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5.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17.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18.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19.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DD97A8EA-9A9A-E61F-A557-7D5A7D7259CE}"/>
  <workbookPr codeName="ThisWorkbook"/>
  <mc:AlternateContent xmlns:mc="http://schemas.openxmlformats.org/markup-compatibility/2006">
    <mc:Choice Requires="x15">
      <x15ac:absPath xmlns:x15ac="http://schemas.microsoft.com/office/spreadsheetml/2010/11/ac" url="https://lcilk-my.sharepoint.com/personal/hansinee_ambeonsecurities_lk/Documents/Training/Sample models/"/>
    </mc:Choice>
  </mc:AlternateContent>
  <xr:revisionPtr revIDLastSave="0" documentId="13_ncr:1_{BE43FC99-4526-4BC8-85D3-1E1C6660EFF7}" xr6:coauthVersionLast="47" xr6:coauthVersionMax="47" xr10:uidLastSave="{00000000-0000-0000-0000-000000000000}"/>
  <bookViews>
    <workbookView xWindow="-108" yWindow="-108" windowWidth="23256" windowHeight="12456" tabRatio="899" xr2:uid="{00000000-000D-0000-FFFF-FFFF00000000}"/>
  </bookViews>
  <sheets>
    <sheet name="Cover" sheetId="13" r:id="rId1"/>
    <sheet name="Summary" sheetId="14" r:id="rId2"/>
    <sheet name="IS &amp; BS" sheetId="1" r:id="rId3"/>
    <sheet name="Cashflow" sheetId="2" r:id="rId4"/>
    <sheet name="IS_BS_Assumptions" sheetId="9" r:id="rId5"/>
    <sheet name="Ratios watch" sheetId="21" r:id="rId6"/>
    <sheet name="Segment" sheetId="18" r:id="rId7"/>
    <sheet name="Comps" sheetId="11" r:id="rId8"/>
    <sheet name="DCF" sheetId="12" r:id="rId9"/>
    <sheet name="Multiplier" sheetId="15" r:id="rId10"/>
    <sheet name="ACL.N0000`N" sheetId="6" state="hidden" r:id="rId11"/>
    <sheet name="Matetial prices" sheetId="5" state="hidden" r:id="rId12"/>
    <sheet name="ACL N0000`N" sheetId="7" state="hidden" r:id="rId13"/>
    <sheet name="PE band" sheetId="17" r:id="rId14"/>
    <sheet name="ACL N0000" sheetId="23" r:id="rId15"/>
    <sheet name="Front Corp_Update" sheetId="33" state="hidden" r:id="rId16"/>
    <sheet name="52 W data" sheetId="25" r:id="rId17"/>
    <sheet name="Valuaiton tables FY18" sheetId="43" state="hidden" r:id="rId18"/>
    <sheet name="Quarterly" sheetId="29" r:id="rId19"/>
    <sheet name="Front Earnings Update" sheetId="22" r:id="rId20"/>
    <sheet name="Valuaiton tables C U" sheetId="41" state="hidden" r:id="rId21"/>
    <sheet name="Valuaiton tables E U" sheetId="31" r:id="rId22"/>
    <sheet name="ASPIv ACL" sheetId="35" r:id="rId23"/>
    <sheet name="Interest rates" sheetId="37" r:id="rId24"/>
    <sheet name="News" sheetId="24" r:id="rId25"/>
    <sheet name="Industry" sheetId="36" r:id="rId26"/>
    <sheet name="2.0 charts" sheetId="27" r:id="rId27"/>
    <sheet name="3.0 charts" sheetId="40" r:id="rId28"/>
    <sheet name="3.0 Cu and Al" sheetId="38" r:id="rId29"/>
    <sheet name="3.0Ex rate" sheetId="39" r:id="rId30"/>
    <sheet name="Structure_etc" sheetId="28" r:id="rId31"/>
    <sheet name="Recommendation" sheetId="30" r:id="rId32"/>
    <sheet name="Projects" sheetId="26" r:id="rId33"/>
    <sheet name="Sheet1" sheetId="3" state="hidden" r:id="rId34"/>
    <sheet name="Workings" sheetId="8" state="hidden" r:id="rId35"/>
    <sheet name="Analysis" sheetId="19" state="hidden" r:id="rId36"/>
  </sheets>
  <definedNames>
    <definedName name="_xlnm.Print_Area" localSheetId="23">'Interest rates'!$A$1:$U$185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2" i="9" l="1"/>
  <c r="F3" i="38" l="1"/>
  <c r="E71" i="38"/>
  <c r="E83" i="38"/>
  <c r="AK66" i="31"/>
  <c r="AJ66" i="31"/>
  <c r="AI66" i="31"/>
  <c r="AH66" i="31"/>
  <c r="AG66" i="31"/>
  <c r="AK65" i="31"/>
  <c r="AJ65" i="31"/>
  <c r="AI65" i="31"/>
  <c r="AH65" i="31"/>
  <c r="AG65" i="31"/>
  <c r="AK64" i="31"/>
  <c r="AJ64" i="31"/>
  <c r="AI64" i="31"/>
  <c r="AH64" i="31"/>
  <c r="AG64" i="31"/>
  <c r="AK63" i="31"/>
  <c r="AJ63" i="31"/>
  <c r="AI63" i="31"/>
  <c r="AH63" i="31"/>
  <c r="AG63" i="31"/>
  <c r="AK62" i="31"/>
  <c r="AJ62" i="31"/>
  <c r="AI62" i="31"/>
  <c r="AH62" i="31"/>
  <c r="AG62" i="31"/>
  <c r="AF64" i="31"/>
  <c r="AF65" i="31"/>
  <c r="AI61" i="31"/>
  <c r="AE61" i="31"/>
  <c r="AH60" i="31"/>
  <c r="R266" i="9"/>
  <c r="R267" i="9" s="1"/>
  <c r="AF66" i="31" s="1"/>
  <c r="R264" i="9"/>
  <c r="AF63" i="31" s="1"/>
  <c r="R263" i="9" l="1"/>
  <c r="AF62" i="31" s="1"/>
  <c r="E134" i="17"/>
  <c r="P134" i="17" s="1"/>
  <c r="E135" i="17"/>
  <c r="P135" i="17" s="1"/>
  <c r="E128" i="17"/>
  <c r="P128" i="17" s="1"/>
  <c r="E129" i="17"/>
  <c r="P129" i="17" s="1"/>
  <c r="E130" i="17"/>
  <c r="P130" i="17" s="1"/>
  <c r="E131" i="17"/>
  <c r="P131" i="17" s="1"/>
  <c r="E132" i="17"/>
  <c r="P132" i="17" s="1"/>
  <c r="E133" i="17"/>
  <c r="P133" i="17" s="1"/>
  <c r="E118" i="17"/>
  <c r="E119" i="17"/>
  <c r="E120" i="17"/>
  <c r="E121" i="17"/>
  <c r="E122" i="17"/>
  <c r="E123" i="17"/>
  <c r="E124" i="17"/>
  <c r="E125" i="17"/>
  <c r="E126" i="17"/>
  <c r="E127" i="17"/>
  <c r="E117" i="17"/>
  <c r="G1974" i="35"/>
  <c r="G1975" i="35"/>
  <c r="G1976" i="35"/>
  <c r="G1977" i="35"/>
  <c r="G1978" i="35"/>
  <c r="G1955" i="35"/>
  <c r="G1956" i="35"/>
  <c r="G1957" i="35"/>
  <c r="G1958" i="35"/>
  <c r="G1959" i="35"/>
  <c r="G1960" i="35"/>
  <c r="G1961" i="35"/>
  <c r="G1962" i="35"/>
  <c r="G1963" i="35"/>
  <c r="G1964" i="35"/>
  <c r="G1965" i="35"/>
  <c r="G1966" i="35"/>
  <c r="G1967" i="35"/>
  <c r="G1968" i="35"/>
  <c r="G1969" i="35"/>
  <c r="G1970" i="35"/>
  <c r="G1971" i="35"/>
  <c r="G1972" i="35"/>
  <c r="G1973" i="35"/>
  <c r="G1940" i="35"/>
  <c r="G1941" i="35"/>
  <c r="G1942" i="35"/>
  <c r="G1943" i="35"/>
  <c r="G1944" i="35"/>
  <c r="G1945" i="35"/>
  <c r="G1946" i="35"/>
  <c r="G1947" i="35"/>
  <c r="G1948" i="35"/>
  <c r="G1949" i="35"/>
  <c r="G1950" i="35"/>
  <c r="G1951" i="35"/>
  <c r="G1952" i="35"/>
  <c r="G1953" i="35"/>
  <c r="G1954" i="35"/>
  <c r="G1911" i="35"/>
  <c r="G1912" i="35"/>
  <c r="G1913" i="35"/>
  <c r="G1914" i="35"/>
  <c r="G1915" i="35"/>
  <c r="G1916" i="35"/>
  <c r="G1917" i="35"/>
  <c r="G1918" i="35"/>
  <c r="G1919" i="35"/>
  <c r="G1920" i="35"/>
  <c r="G1921" i="35"/>
  <c r="G1922" i="35"/>
  <c r="G1923" i="35"/>
  <c r="G1924" i="35"/>
  <c r="G1925" i="35"/>
  <c r="G1926" i="35"/>
  <c r="G1927" i="35"/>
  <c r="G1928" i="35"/>
  <c r="G1929" i="35"/>
  <c r="G1930" i="35"/>
  <c r="G1931" i="35"/>
  <c r="G1932" i="35"/>
  <c r="G1933" i="35"/>
  <c r="G1934" i="35"/>
  <c r="G1935" i="35"/>
  <c r="G1936" i="35"/>
  <c r="G1937" i="35"/>
  <c r="G1938" i="35"/>
  <c r="G1939" i="35"/>
  <c r="G1910" i="35"/>
  <c r="G1897" i="35"/>
  <c r="G1898" i="35"/>
  <c r="G1899" i="35"/>
  <c r="G1900" i="35"/>
  <c r="G1901" i="35"/>
  <c r="G1902" i="35"/>
  <c r="G1903" i="35"/>
  <c r="G1904" i="35"/>
  <c r="G1905" i="35"/>
  <c r="G1906" i="35"/>
  <c r="G1907" i="35"/>
  <c r="G1908" i="35"/>
  <c r="G1909" i="35"/>
  <c r="G1877" i="35"/>
  <c r="G1878" i="35"/>
  <c r="G1879" i="35"/>
  <c r="G1880" i="35"/>
  <c r="G1881" i="35"/>
  <c r="G1882" i="35"/>
  <c r="G1883" i="35"/>
  <c r="G1884" i="35"/>
  <c r="G1885" i="35"/>
  <c r="G1886" i="35"/>
  <c r="G1887" i="35"/>
  <c r="G1888" i="35"/>
  <c r="G1889" i="35"/>
  <c r="G1890" i="35"/>
  <c r="G1891" i="35"/>
  <c r="G1892" i="35"/>
  <c r="G1893" i="35"/>
  <c r="G1894" i="35"/>
  <c r="G1895" i="35"/>
  <c r="G1896" i="35"/>
  <c r="G1876" i="35"/>
  <c r="G1790" i="35"/>
  <c r="G1791" i="35"/>
  <c r="G1792" i="35"/>
  <c r="G1793" i="35"/>
  <c r="G1794" i="35"/>
  <c r="G1795" i="35"/>
  <c r="G1796" i="35"/>
  <c r="G1797" i="35"/>
  <c r="G1798" i="35"/>
  <c r="G1799" i="35"/>
  <c r="G1800" i="35"/>
  <c r="G1801" i="35"/>
  <c r="G1802" i="35"/>
  <c r="G1803" i="35"/>
  <c r="G1804" i="35"/>
  <c r="G1805" i="35"/>
  <c r="G1806" i="35"/>
  <c r="G1807" i="35"/>
  <c r="G1808" i="35"/>
  <c r="G1809" i="35"/>
  <c r="G1810" i="35"/>
  <c r="G1811" i="35"/>
  <c r="G1812" i="35"/>
  <c r="G1813" i="35"/>
  <c r="G1814" i="35"/>
  <c r="G1815" i="35"/>
  <c r="G1816" i="35"/>
  <c r="G1817" i="35"/>
  <c r="G1818" i="35"/>
  <c r="G1819" i="35"/>
  <c r="G1820" i="35"/>
  <c r="G1821" i="35"/>
  <c r="G1822" i="35"/>
  <c r="G1823" i="35"/>
  <c r="G1824" i="35"/>
  <c r="G1825" i="35"/>
  <c r="G1826" i="35"/>
  <c r="G1827" i="35"/>
  <c r="G1828" i="35"/>
  <c r="G1829" i="35"/>
  <c r="G1830" i="35"/>
  <c r="G1831" i="35"/>
  <c r="G1832" i="35"/>
  <c r="G1833" i="35"/>
  <c r="G1834" i="35"/>
  <c r="G1835" i="35"/>
  <c r="G1836" i="35"/>
  <c r="G1837" i="35"/>
  <c r="G1838" i="35"/>
  <c r="G1839" i="35"/>
  <c r="G1840" i="35"/>
  <c r="G1841" i="35"/>
  <c r="G1842" i="35"/>
  <c r="G1843" i="35"/>
  <c r="G1844" i="35"/>
  <c r="G1845" i="35"/>
  <c r="G1846" i="35"/>
  <c r="G1847" i="35"/>
  <c r="G1848" i="35"/>
  <c r="G1849" i="35"/>
  <c r="G1850" i="35"/>
  <c r="G1851" i="35"/>
  <c r="G1852" i="35"/>
  <c r="G1853" i="35"/>
  <c r="G1854" i="35"/>
  <c r="G1855" i="35"/>
  <c r="G1856" i="35"/>
  <c r="G1857" i="35"/>
  <c r="G1858" i="35"/>
  <c r="G1859" i="35"/>
  <c r="G1860" i="35"/>
  <c r="G1861" i="35"/>
  <c r="G1862" i="35"/>
  <c r="G1863" i="35"/>
  <c r="G1864" i="35"/>
  <c r="G1865" i="35"/>
  <c r="G1866" i="35"/>
  <c r="G1867" i="35"/>
  <c r="G1868" i="35"/>
  <c r="G1869" i="35"/>
  <c r="G1870" i="35"/>
  <c r="G1871" i="35"/>
  <c r="G1872" i="35"/>
  <c r="G1873" i="35"/>
  <c r="G1874" i="35"/>
  <c r="G1875" i="35"/>
  <c r="U262" i="9" l="1"/>
  <c r="AG61" i="31" s="1"/>
  <c r="Y262" i="9"/>
  <c r="AK61" i="31" s="1"/>
  <c r="X262" i="9"/>
  <c r="AJ61" i="31" s="1"/>
  <c r="V262" i="9"/>
  <c r="AH61" i="31" s="1"/>
  <c r="C1850" i="25"/>
  <c r="C1849" i="25"/>
  <c r="E1871" i="35"/>
  <c r="E1859" i="35"/>
  <c r="E1847" i="35"/>
  <c r="E1835" i="35"/>
  <c r="E1823" i="35"/>
  <c r="E1811" i="35"/>
  <c r="E1799" i="35"/>
  <c r="E1792" i="35"/>
  <c r="F1639" i="23"/>
  <c r="G1828" i="23"/>
  <c r="E1977" i="35" s="1"/>
  <c r="G1827" i="23"/>
  <c r="E1976" i="35" s="1"/>
  <c r="G1826" i="23"/>
  <c r="E1975" i="35" s="1"/>
  <c r="G1825" i="23"/>
  <c r="E1974" i="35" s="1"/>
  <c r="G1824" i="23"/>
  <c r="E1973" i="35" s="1"/>
  <c r="G1823" i="23"/>
  <c r="E1972" i="35" s="1"/>
  <c r="G1822" i="23"/>
  <c r="E1971" i="35" s="1"/>
  <c r="G1821" i="23"/>
  <c r="E1970" i="35" s="1"/>
  <c r="G1820" i="23"/>
  <c r="E1969" i="35" s="1"/>
  <c r="G1819" i="23"/>
  <c r="E1968" i="35" s="1"/>
  <c r="G1818" i="23"/>
  <c r="E1967" i="35" s="1"/>
  <c r="G1817" i="23"/>
  <c r="E1966" i="35" s="1"/>
  <c r="G1816" i="23"/>
  <c r="E1965" i="35" s="1"/>
  <c r="G1815" i="23"/>
  <c r="E1964" i="35" s="1"/>
  <c r="G1814" i="23"/>
  <c r="E1963" i="35" s="1"/>
  <c r="G1813" i="23"/>
  <c r="E1962" i="35" s="1"/>
  <c r="G1812" i="23"/>
  <c r="E1961" i="35" s="1"/>
  <c r="G1811" i="23"/>
  <c r="E1960" i="35" s="1"/>
  <c r="G1810" i="23"/>
  <c r="E1959" i="35" s="1"/>
  <c r="G1809" i="23"/>
  <c r="E1958" i="35" s="1"/>
  <c r="G1808" i="23"/>
  <c r="E1957" i="35" s="1"/>
  <c r="G1807" i="23"/>
  <c r="E1956" i="35" s="1"/>
  <c r="G1806" i="23"/>
  <c r="E1955" i="35" s="1"/>
  <c r="G1805" i="23"/>
  <c r="E1954" i="35" s="1"/>
  <c r="G1804" i="23"/>
  <c r="E1953" i="35" s="1"/>
  <c r="G1803" i="23"/>
  <c r="E1952" i="35" s="1"/>
  <c r="G1802" i="23"/>
  <c r="E1951" i="35" s="1"/>
  <c r="G1801" i="23"/>
  <c r="E1950" i="35" s="1"/>
  <c r="G1800" i="23"/>
  <c r="E1949" i="35" s="1"/>
  <c r="G1799" i="23"/>
  <c r="E1948" i="35" s="1"/>
  <c r="G1798" i="23"/>
  <c r="E1947" i="35" s="1"/>
  <c r="G1797" i="23"/>
  <c r="E1946" i="35" s="1"/>
  <c r="G1796" i="23"/>
  <c r="E1945" i="35" s="1"/>
  <c r="G1795" i="23"/>
  <c r="E1944" i="35" s="1"/>
  <c r="G1794" i="23"/>
  <c r="E1943" i="35" s="1"/>
  <c r="G1793" i="23"/>
  <c r="E1942" i="35" s="1"/>
  <c r="G1792" i="23"/>
  <c r="E1941" i="35" s="1"/>
  <c r="G1791" i="23"/>
  <c r="E1940" i="35" s="1"/>
  <c r="G1790" i="23"/>
  <c r="E1939" i="35" s="1"/>
  <c r="G1789" i="23"/>
  <c r="E1938" i="35" s="1"/>
  <c r="G1788" i="23"/>
  <c r="E1937" i="35" s="1"/>
  <c r="G1787" i="23"/>
  <c r="E1936" i="35" s="1"/>
  <c r="G1786" i="23"/>
  <c r="E1935" i="35" s="1"/>
  <c r="G1785" i="23"/>
  <c r="E1934" i="35" s="1"/>
  <c r="G1784" i="23"/>
  <c r="E1933" i="35" s="1"/>
  <c r="G1783" i="23"/>
  <c r="E1932" i="35" s="1"/>
  <c r="G1782" i="23"/>
  <c r="E1931" i="35" s="1"/>
  <c r="G1781" i="23"/>
  <c r="E1930" i="35" s="1"/>
  <c r="G1780" i="23"/>
  <c r="E1929" i="35" s="1"/>
  <c r="G1779" i="23"/>
  <c r="E1928" i="35" s="1"/>
  <c r="G1778" i="23"/>
  <c r="E1927" i="35" s="1"/>
  <c r="G1777" i="23"/>
  <c r="E1926" i="35" s="1"/>
  <c r="G1776" i="23"/>
  <c r="E1925" i="35" s="1"/>
  <c r="G1775" i="23"/>
  <c r="E1924" i="35" s="1"/>
  <c r="G1774" i="23"/>
  <c r="E1923" i="35" s="1"/>
  <c r="G1773" i="23"/>
  <c r="E1922" i="35" s="1"/>
  <c r="G1772" i="23"/>
  <c r="E1921" i="35" s="1"/>
  <c r="G1771" i="23"/>
  <c r="E1920" i="35" s="1"/>
  <c r="G1770" i="23"/>
  <c r="E1919" i="35" s="1"/>
  <c r="G1769" i="23"/>
  <c r="E1918" i="35" s="1"/>
  <c r="G1768" i="23"/>
  <c r="E1917" i="35" s="1"/>
  <c r="G1767" i="23"/>
  <c r="E1916" i="35" s="1"/>
  <c r="G1766" i="23"/>
  <c r="E1915" i="35" s="1"/>
  <c r="G1765" i="23"/>
  <c r="E1914" i="35" s="1"/>
  <c r="G1764" i="23"/>
  <c r="E1913" i="35" s="1"/>
  <c r="G1763" i="23"/>
  <c r="E1912" i="35" s="1"/>
  <c r="G1762" i="23"/>
  <c r="E1911" i="35" s="1"/>
  <c r="G1761" i="23"/>
  <c r="E1910" i="35" s="1"/>
  <c r="F1760" i="23"/>
  <c r="G1760" i="23" s="1"/>
  <c r="G1759" i="23"/>
  <c r="E1909" i="35" s="1"/>
  <c r="G1758" i="23"/>
  <c r="E1908" i="35" s="1"/>
  <c r="G1757" i="23"/>
  <c r="E1907" i="35" s="1"/>
  <c r="G1756" i="23"/>
  <c r="E1906" i="35" s="1"/>
  <c r="G1755" i="23"/>
  <c r="E1905" i="35" s="1"/>
  <c r="G1754" i="23"/>
  <c r="E1904" i="35" s="1"/>
  <c r="G1753" i="23"/>
  <c r="E1903" i="35" s="1"/>
  <c r="G1752" i="23"/>
  <c r="E1902" i="35" s="1"/>
  <c r="G1751" i="23"/>
  <c r="E1901" i="35" s="1"/>
  <c r="G1750" i="23"/>
  <c r="E1900" i="35" s="1"/>
  <c r="G1749" i="23"/>
  <c r="E1899" i="35" s="1"/>
  <c r="G1748" i="23"/>
  <c r="E1898" i="35" s="1"/>
  <c r="G1747" i="23"/>
  <c r="E1897" i="35" s="1"/>
  <c r="G1746" i="23"/>
  <c r="E1896" i="35" s="1"/>
  <c r="G1745" i="23"/>
  <c r="E1895" i="35" s="1"/>
  <c r="G1744" i="23"/>
  <c r="E1894" i="35" s="1"/>
  <c r="G1743" i="23"/>
  <c r="E1893" i="35" s="1"/>
  <c r="G1742" i="23"/>
  <c r="E1892" i="35" s="1"/>
  <c r="G1741" i="23"/>
  <c r="E1891" i="35" s="1"/>
  <c r="G1740" i="23"/>
  <c r="E1890" i="35" s="1"/>
  <c r="G1739" i="23"/>
  <c r="E1889" i="35" s="1"/>
  <c r="G1738" i="23"/>
  <c r="E1888" i="35" s="1"/>
  <c r="G1737" i="23"/>
  <c r="E1887" i="35" s="1"/>
  <c r="G1736" i="23"/>
  <c r="E1886" i="35" s="1"/>
  <c r="G1735" i="23"/>
  <c r="E1885" i="35" s="1"/>
  <c r="G1734" i="23"/>
  <c r="E1884" i="35" s="1"/>
  <c r="G1733" i="23"/>
  <c r="E1883" i="35" s="1"/>
  <c r="G1732" i="23"/>
  <c r="E1882" i="35" s="1"/>
  <c r="G1731" i="23"/>
  <c r="E1881" i="35" s="1"/>
  <c r="G1730" i="23"/>
  <c r="E1880" i="35" s="1"/>
  <c r="G1729" i="23"/>
  <c r="E1879" i="35" s="1"/>
  <c r="G1728" i="23"/>
  <c r="E1878" i="35" s="1"/>
  <c r="G1727" i="23"/>
  <c r="E1877" i="35" s="1"/>
  <c r="G1726" i="23"/>
  <c r="E1876" i="35" s="1"/>
  <c r="F1725" i="23"/>
  <c r="G1725" i="23" s="1"/>
  <c r="G1724" i="23"/>
  <c r="E1875" i="35" s="1"/>
  <c r="G1723" i="23"/>
  <c r="E1874" i="35" s="1"/>
  <c r="G1722" i="23"/>
  <c r="E1873" i="35" s="1"/>
  <c r="G1721" i="23"/>
  <c r="E1872" i="35" s="1"/>
  <c r="G1720" i="23"/>
  <c r="G1719" i="23"/>
  <c r="E1870" i="35" s="1"/>
  <c r="G1718" i="23"/>
  <c r="E1869" i="35" s="1"/>
  <c r="G1717" i="23"/>
  <c r="E1868" i="35" s="1"/>
  <c r="G1716" i="23"/>
  <c r="E1867" i="35" s="1"/>
  <c r="G1715" i="23"/>
  <c r="E1866" i="35" s="1"/>
  <c r="G1714" i="23"/>
  <c r="E1865" i="35" s="1"/>
  <c r="G1713" i="23"/>
  <c r="E1864" i="35" s="1"/>
  <c r="G1712" i="23"/>
  <c r="E1863" i="35" s="1"/>
  <c r="G1711" i="23"/>
  <c r="E1862" i="35" s="1"/>
  <c r="G1710" i="23"/>
  <c r="E1861" i="35" s="1"/>
  <c r="G1709" i="23"/>
  <c r="E1860" i="35" s="1"/>
  <c r="G1708" i="23"/>
  <c r="G1707" i="23"/>
  <c r="E1858" i="35" s="1"/>
  <c r="G1706" i="23"/>
  <c r="E1857" i="35" s="1"/>
  <c r="G1705" i="23"/>
  <c r="E1856" i="35" s="1"/>
  <c r="G1704" i="23"/>
  <c r="E1855" i="35" s="1"/>
  <c r="G1703" i="23"/>
  <c r="E1854" i="35" s="1"/>
  <c r="G1702" i="23"/>
  <c r="E1853" i="35" s="1"/>
  <c r="G1701" i="23"/>
  <c r="E1852" i="35" s="1"/>
  <c r="G1700" i="23"/>
  <c r="E1851" i="35" s="1"/>
  <c r="G1699" i="23"/>
  <c r="E1850" i="35" s="1"/>
  <c r="G1698" i="23"/>
  <c r="E1849" i="35" s="1"/>
  <c r="G1697" i="23"/>
  <c r="E1848" i="35" s="1"/>
  <c r="G1696" i="23"/>
  <c r="G1695" i="23"/>
  <c r="E1846" i="35" s="1"/>
  <c r="G1694" i="23"/>
  <c r="E1845" i="35" s="1"/>
  <c r="G1693" i="23"/>
  <c r="E1844" i="35" s="1"/>
  <c r="G1692" i="23"/>
  <c r="E1843" i="35" s="1"/>
  <c r="G1691" i="23"/>
  <c r="E1842" i="35" s="1"/>
  <c r="G1690" i="23"/>
  <c r="E1841" i="35" s="1"/>
  <c r="G1689" i="23"/>
  <c r="E1840" i="35" s="1"/>
  <c r="G1688" i="23"/>
  <c r="E1839" i="35" s="1"/>
  <c r="G1687" i="23"/>
  <c r="E1838" i="35" s="1"/>
  <c r="G1686" i="23"/>
  <c r="E1837" i="35" s="1"/>
  <c r="G1685" i="23"/>
  <c r="E1836" i="35" s="1"/>
  <c r="G1684" i="23"/>
  <c r="G1683" i="23"/>
  <c r="E1834" i="35" s="1"/>
  <c r="G1682" i="23"/>
  <c r="E1833" i="35" s="1"/>
  <c r="G1681" i="23"/>
  <c r="E1832" i="35" s="1"/>
  <c r="G1680" i="23"/>
  <c r="E1831" i="35" s="1"/>
  <c r="G1679" i="23"/>
  <c r="E1830" i="35" s="1"/>
  <c r="G1678" i="23"/>
  <c r="E1829" i="35" s="1"/>
  <c r="G1677" i="23"/>
  <c r="E1828" i="35" s="1"/>
  <c r="G1676" i="23"/>
  <c r="E1827" i="35" s="1"/>
  <c r="G1675" i="23"/>
  <c r="E1826" i="35" s="1"/>
  <c r="G1674" i="23"/>
  <c r="E1825" i="35" s="1"/>
  <c r="G1673" i="23"/>
  <c r="E1824" i="35" s="1"/>
  <c r="G1672" i="23"/>
  <c r="G1671" i="23"/>
  <c r="E1822" i="35" s="1"/>
  <c r="G1670" i="23"/>
  <c r="E1821" i="35" s="1"/>
  <c r="G1669" i="23"/>
  <c r="E1820" i="35" s="1"/>
  <c r="G1668" i="23"/>
  <c r="E1819" i="35" s="1"/>
  <c r="G1667" i="23"/>
  <c r="E1818" i="35" s="1"/>
  <c r="G1666" i="23"/>
  <c r="E1817" i="35" s="1"/>
  <c r="G1665" i="23"/>
  <c r="E1816" i="35" s="1"/>
  <c r="G1664" i="23"/>
  <c r="E1815" i="35" s="1"/>
  <c r="G1663" i="23"/>
  <c r="E1814" i="35" s="1"/>
  <c r="G1662" i="23"/>
  <c r="E1813" i="35" s="1"/>
  <c r="G1661" i="23"/>
  <c r="E1812" i="35" s="1"/>
  <c r="G1660" i="23"/>
  <c r="G1659" i="23"/>
  <c r="E1810" i="35" s="1"/>
  <c r="G1658" i="23"/>
  <c r="E1809" i="35" s="1"/>
  <c r="G1657" i="23"/>
  <c r="E1808" i="35" s="1"/>
  <c r="G1656" i="23"/>
  <c r="E1807" i="35" s="1"/>
  <c r="G1655" i="23"/>
  <c r="E1806" i="35" s="1"/>
  <c r="G1654" i="23"/>
  <c r="E1805" i="35" s="1"/>
  <c r="G1653" i="23"/>
  <c r="E1804" i="35" s="1"/>
  <c r="G1652" i="23"/>
  <c r="E1803" i="35" s="1"/>
  <c r="G1651" i="23"/>
  <c r="E1802" i="35" s="1"/>
  <c r="G1650" i="23"/>
  <c r="E1801" i="35" s="1"/>
  <c r="G1649" i="23"/>
  <c r="E1800" i="35" s="1"/>
  <c r="G1648" i="23"/>
  <c r="G1647" i="23"/>
  <c r="E1798" i="35" s="1"/>
  <c r="G1646" i="23"/>
  <c r="E1797" i="35" s="1"/>
  <c r="G1645" i="23"/>
  <c r="E1796" i="35" s="1"/>
  <c r="G1644" i="23"/>
  <c r="E1795" i="35" s="1"/>
  <c r="G1643" i="23"/>
  <c r="E1794" i="35" s="1"/>
  <c r="G1642" i="23"/>
  <c r="E1793" i="35" s="1"/>
  <c r="G1641" i="23"/>
  <c r="G1640" i="23"/>
  <c r="E1791" i="35" s="1"/>
  <c r="C1838" i="25"/>
  <c r="A1841" i="25"/>
  <c r="A1844" i="25"/>
  <c r="C1844" i="25" s="1"/>
  <c r="A1840" i="25"/>
  <c r="C1840" i="25" s="1"/>
  <c r="A1839" i="25"/>
  <c r="C1839" i="25" s="1"/>
  <c r="F1641" i="25"/>
  <c r="F1727" i="25"/>
  <c r="G1727" i="25" s="1"/>
  <c r="F1762" i="25"/>
  <c r="G1641" i="25"/>
  <c r="G1642" i="25"/>
  <c r="G1643" i="25"/>
  <c r="G1644" i="25"/>
  <c r="G1645" i="25"/>
  <c r="G1646" i="25"/>
  <c r="G1647" i="25"/>
  <c r="G1648" i="25"/>
  <c r="G1649" i="25"/>
  <c r="G1650" i="25"/>
  <c r="G1651" i="25"/>
  <c r="G1652" i="25"/>
  <c r="G1653" i="25"/>
  <c r="G1654" i="25"/>
  <c r="G1655" i="25"/>
  <c r="G1656" i="25"/>
  <c r="G1657" i="25"/>
  <c r="G1658" i="25"/>
  <c r="G1659" i="25"/>
  <c r="G1660" i="25"/>
  <c r="G1661" i="25"/>
  <c r="G1662" i="25"/>
  <c r="G1663" i="25"/>
  <c r="G1664" i="25"/>
  <c r="G1665" i="25"/>
  <c r="G1666" i="25"/>
  <c r="G1667" i="25"/>
  <c r="G1668" i="25"/>
  <c r="G1669" i="25"/>
  <c r="G1670" i="25"/>
  <c r="G1671" i="25"/>
  <c r="G1672" i="25"/>
  <c r="G1673" i="25"/>
  <c r="G1674" i="25"/>
  <c r="G1675" i="25"/>
  <c r="G1676" i="25"/>
  <c r="G1677" i="25"/>
  <c r="G1678" i="25"/>
  <c r="G1679" i="25"/>
  <c r="G1680" i="25"/>
  <c r="G1681" i="25"/>
  <c r="G1682" i="25"/>
  <c r="G1683" i="25"/>
  <c r="G1684" i="25"/>
  <c r="G1685" i="25"/>
  <c r="G1686" i="25"/>
  <c r="G1687" i="25"/>
  <c r="G1688" i="25"/>
  <c r="G1689" i="25"/>
  <c r="G1690" i="25"/>
  <c r="G1691" i="25"/>
  <c r="G1692" i="25"/>
  <c r="G1693" i="25"/>
  <c r="G1694" i="25"/>
  <c r="G1695" i="25"/>
  <c r="G1696" i="25"/>
  <c r="G1697" i="25"/>
  <c r="G1698" i="25"/>
  <c r="G1699" i="25"/>
  <c r="G1700" i="25"/>
  <c r="G1701" i="25"/>
  <c r="G1702" i="25"/>
  <c r="G1703" i="25"/>
  <c r="G1704" i="25"/>
  <c r="G1705" i="25"/>
  <c r="G1706" i="25"/>
  <c r="G1707" i="25"/>
  <c r="G1708" i="25"/>
  <c r="G1709" i="25"/>
  <c r="G1710" i="25"/>
  <c r="G1711" i="25"/>
  <c r="G1712" i="25"/>
  <c r="G1713" i="25"/>
  <c r="G1714" i="25"/>
  <c r="G1715" i="25"/>
  <c r="G1716" i="25"/>
  <c r="G1717" i="25"/>
  <c r="G1718" i="25"/>
  <c r="G1719" i="25"/>
  <c r="G1720" i="25"/>
  <c r="G1721" i="25"/>
  <c r="G1722" i="25"/>
  <c r="G1723" i="25"/>
  <c r="G1724" i="25"/>
  <c r="G1725" i="25"/>
  <c r="G1726" i="25"/>
  <c r="G1728" i="25"/>
  <c r="G1729" i="25"/>
  <c r="G1730" i="25"/>
  <c r="G1731" i="25"/>
  <c r="G1732" i="25"/>
  <c r="G1733" i="25"/>
  <c r="G1734" i="25"/>
  <c r="G1735" i="25"/>
  <c r="G1736" i="25"/>
  <c r="G1737" i="25"/>
  <c r="G1738" i="25"/>
  <c r="G1739" i="25"/>
  <c r="G1740" i="25"/>
  <c r="G1741" i="25"/>
  <c r="G1742" i="25"/>
  <c r="G1743" i="25"/>
  <c r="G1744" i="25"/>
  <c r="G1745" i="25"/>
  <c r="G1746" i="25"/>
  <c r="G1747" i="25"/>
  <c r="G1748" i="25"/>
  <c r="G1749" i="25"/>
  <c r="G1750" i="25"/>
  <c r="G1751" i="25"/>
  <c r="G1752" i="25"/>
  <c r="G1753" i="25"/>
  <c r="G1754" i="25"/>
  <c r="G1755" i="25"/>
  <c r="G1756" i="25"/>
  <c r="G1757" i="25"/>
  <c r="G1758" i="25"/>
  <c r="G1759" i="25"/>
  <c r="G1760" i="25"/>
  <c r="G1761" i="25"/>
  <c r="G1762" i="25"/>
  <c r="G1763" i="25"/>
  <c r="G1764" i="25"/>
  <c r="G1765" i="25"/>
  <c r="G1766" i="25"/>
  <c r="G1767" i="25"/>
  <c r="G1768" i="25"/>
  <c r="G1769" i="25"/>
  <c r="G1770" i="25"/>
  <c r="G1771" i="25"/>
  <c r="G1772" i="25"/>
  <c r="G1773" i="25"/>
  <c r="G1774" i="25"/>
  <c r="G1775" i="25"/>
  <c r="G1776" i="25"/>
  <c r="G1777" i="25"/>
  <c r="G1778" i="25"/>
  <c r="G1779" i="25"/>
  <c r="G1780" i="25"/>
  <c r="G1781" i="25"/>
  <c r="G1782" i="25"/>
  <c r="G1783" i="25"/>
  <c r="G1784" i="25"/>
  <c r="G1785" i="25"/>
  <c r="G1786" i="25"/>
  <c r="G1787" i="25"/>
  <c r="G1788" i="25"/>
  <c r="G1789" i="25"/>
  <c r="G1790" i="25"/>
  <c r="G1791" i="25"/>
  <c r="G1792" i="25"/>
  <c r="G1793" i="25"/>
  <c r="G1794" i="25"/>
  <c r="G1795" i="25"/>
  <c r="G1796" i="25"/>
  <c r="G1797" i="25"/>
  <c r="G1798" i="25"/>
  <c r="G1799" i="25"/>
  <c r="G1800" i="25"/>
  <c r="G1801" i="25"/>
  <c r="G1802" i="25"/>
  <c r="G1803" i="25"/>
  <c r="G1804" i="25"/>
  <c r="G1805" i="25"/>
  <c r="G1806" i="25"/>
  <c r="G1807" i="25"/>
  <c r="G1808" i="25"/>
  <c r="G1809" i="25"/>
  <c r="G1810" i="25"/>
  <c r="G1811" i="25"/>
  <c r="G1812" i="25"/>
  <c r="G1813" i="25"/>
  <c r="G1814" i="25"/>
  <c r="G1815" i="25"/>
  <c r="G1816" i="25"/>
  <c r="G1817" i="25"/>
  <c r="G1818" i="25"/>
  <c r="G1819" i="25"/>
  <c r="G1820" i="25"/>
  <c r="G1821" i="25"/>
  <c r="G1822" i="25"/>
  <c r="G1823" i="25"/>
  <c r="G1824" i="25"/>
  <c r="G1825" i="25"/>
  <c r="G1826" i="25"/>
  <c r="G1827" i="25"/>
  <c r="G1828" i="25"/>
  <c r="G1829" i="25"/>
  <c r="G1830" i="25"/>
  <c r="AP73" i="31"/>
  <c r="A1845" i="25" l="1"/>
  <c r="C1845" i="25" s="1"/>
  <c r="A1846" i="25"/>
  <c r="C1846" i="25" s="1"/>
  <c r="A1847" i="25"/>
  <c r="C1841" i="25"/>
  <c r="BF136" i="22"/>
  <c r="BF137" i="22"/>
  <c r="BF138" i="22"/>
  <c r="BF139" i="22"/>
  <c r="BF141" i="22"/>
  <c r="BF142" i="22"/>
  <c r="BF147" i="22"/>
  <c r="BF148" i="22"/>
  <c r="BF152" i="22"/>
  <c r="BF153" i="22"/>
  <c r="BF155" i="22"/>
  <c r="BF162" i="22"/>
  <c r="BF165" i="22"/>
  <c r="BF167" i="22"/>
  <c r="BF168" i="22"/>
  <c r="BF169" i="22"/>
  <c r="BF176" i="22"/>
  <c r="AZ127" i="22"/>
  <c r="AZ128" i="22"/>
  <c r="BA128" i="22"/>
  <c r="AZ129" i="22"/>
  <c r="AZ130" i="22"/>
  <c r="BA130" i="22"/>
  <c r="AZ131" i="22"/>
  <c r="BA131" i="22"/>
  <c r="AZ132" i="22"/>
  <c r="BA132" i="22"/>
  <c r="AZ133" i="22"/>
  <c r="BA133" i="22"/>
  <c r="AZ134" i="22"/>
  <c r="BA134" i="22"/>
  <c r="AZ135" i="22"/>
  <c r="BA135" i="22"/>
  <c r="AZ136" i="22"/>
  <c r="BA136" i="22"/>
  <c r="BB136" i="22"/>
  <c r="BC136" i="22"/>
  <c r="BD136" i="22"/>
  <c r="BE136" i="22"/>
  <c r="AZ137" i="22"/>
  <c r="BA137" i="22"/>
  <c r="BB137" i="22"/>
  <c r="BC137" i="22"/>
  <c r="BD137" i="22"/>
  <c r="BE137" i="22"/>
  <c r="AZ138" i="22"/>
  <c r="BA138" i="22"/>
  <c r="BB138" i="22"/>
  <c r="BC138" i="22"/>
  <c r="BD138" i="22"/>
  <c r="BE138" i="22"/>
  <c r="AZ139" i="22"/>
  <c r="BA139" i="22"/>
  <c r="BB139" i="22"/>
  <c r="BC139" i="22"/>
  <c r="BD139" i="22"/>
  <c r="BE139" i="22"/>
  <c r="AZ140" i="22"/>
  <c r="AZ141" i="22"/>
  <c r="BA141" i="22"/>
  <c r="BB141" i="22"/>
  <c r="BC141" i="22"/>
  <c r="BD141" i="22"/>
  <c r="BE141" i="22"/>
  <c r="AZ142" i="22"/>
  <c r="BA142" i="22"/>
  <c r="BB142" i="22"/>
  <c r="BC142" i="22"/>
  <c r="BD142" i="22"/>
  <c r="BE142" i="22"/>
  <c r="AZ143" i="22"/>
  <c r="AZ144" i="22"/>
  <c r="BA144" i="22"/>
  <c r="AZ145" i="22"/>
  <c r="BA145" i="22"/>
  <c r="BB145" i="22"/>
  <c r="AZ146" i="22"/>
  <c r="BA146" i="22"/>
  <c r="AZ147" i="22"/>
  <c r="BA147" i="22"/>
  <c r="BB147" i="22"/>
  <c r="BC147" i="22"/>
  <c r="BD147" i="22"/>
  <c r="BE147" i="22"/>
  <c r="AZ148" i="22"/>
  <c r="BA148" i="22"/>
  <c r="BB148" i="22"/>
  <c r="BC148" i="22"/>
  <c r="BD148" i="22"/>
  <c r="BE148" i="22"/>
  <c r="AZ149" i="22"/>
  <c r="AZ151" i="22"/>
  <c r="BA151" i="22"/>
  <c r="AZ152" i="22"/>
  <c r="BA152" i="22"/>
  <c r="BB152" i="22"/>
  <c r="BC152" i="22"/>
  <c r="BD152" i="22"/>
  <c r="BE152" i="22"/>
  <c r="AZ153" i="22"/>
  <c r="BA153" i="22"/>
  <c r="BB153" i="22"/>
  <c r="BC153" i="22"/>
  <c r="BD153" i="22"/>
  <c r="BE153" i="22"/>
  <c r="AZ154" i="22"/>
  <c r="BA154" i="22"/>
  <c r="BB154" i="22"/>
  <c r="BC154" i="22"/>
  <c r="AZ155" i="22"/>
  <c r="BA155" i="22"/>
  <c r="BB155" i="22"/>
  <c r="BC155" i="22"/>
  <c r="BD155" i="22"/>
  <c r="BE155" i="22"/>
  <c r="AZ156" i="22"/>
  <c r="AZ158" i="22"/>
  <c r="AZ159" i="22"/>
  <c r="BA159" i="22"/>
  <c r="AZ160" i="22"/>
  <c r="BA160" i="22"/>
  <c r="AZ161" i="22"/>
  <c r="BA161" i="22"/>
  <c r="AZ162" i="22"/>
  <c r="BA162" i="22"/>
  <c r="BB162" i="22"/>
  <c r="BC162" i="22"/>
  <c r="BD162" i="22"/>
  <c r="BE162" i="22"/>
  <c r="AZ163" i="22"/>
  <c r="BA163" i="22"/>
  <c r="AZ164" i="22"/>
  <c r="BA164" i="22"/>
  <c r="AZ165" i="22"/>
  <c r="BA165" i="22"/>
  <c r="BB165" i="22"/>
  <c r="BC165" i="22"/>
  <c r="BD165" i="22"/>
  <c r="BE165" i="22"/>
  <c r="AZ166" i="22"/>
  <c r="BA166" i="22"/>
  <c r="BB166" i="22"/>
  <c r="AZ167" i="22"/>
  <c r="BA167" i="22"/>
  <c r="BB167" i="22"/>
  <c r="BC167" i="22"/>
  <c r="BD167" i="22"/>
  <c r="BE167" i="22"/>
  <c r="AZ168" i="22"/>
  <c r="BA168" i="22"/>
  <c r="BB168" i="22"/>
  <c r="BC168" i="22"/>
  <c r="BD168" i="22"/>
  <c r="BE168" i="22"/>
  <c r="AZ169" i="22"/>
  <c r="BA169" i="22"/>
  <c r="BC169" i="22"/>
  <c r="BD169" i="22"/>
  <c r="BE169" i="22"/>
  <c r="AZ170" i="22"/>
  <c r="AZ172" i="22"/>
  <c r="AZ173" i="22"/>
  <c r="BA173" i="22"/>
  <c r="AZ174" i="22"/>
  <c r="BA174" i="22"/>
  <c r="AZ175" i="22"/>
  <c r="BA175" i="22"/>
  <c r="AZ176" i="22"/>
  <c r="BA176" i="22"/>
  <c r="BB176" i="22"/>
  <c r="BC176" i="22"/>
  <c r="BD176" i="22"/>
  <c r="BE176" i="22"/>
  <c r="AZ177" i="22"/>
  <c r="AZ178" i="22"/>
  <c r="AZ180" i="22"/>
  <c r="AZ181" i="22"/>
  <c r="BA181" i="22"/>
  <c r="BC181" i="22"/>
  <c r="AZ182" i="22"/>
  <c r="BA182" i="22"/>
  <c r="AZ183" i="22"/>
  <c r="BK190" i="22"/>
  <c r="BL190" i="22"/>
  <c r="Z54" i="22"/>
  <c r="AA54" i="22"/>
  <c r="AB54" i="22"/>
  <c r="AC54" i="22"/>
  <c r="AD54" i="22"/>
  <c r="AE54" i="22"/>
  <c r="Y54" i="22"/>
  <c r="AE63" i="22"/>
  <c r="AD63" i="22"/>
  <c r="AC63" i="22"/>
  <c r="AE61" i="22"/>
  <c r="AD61" i="22"/>
  <c r="AF61" i="22" s="1"/>
  <c r="AC61" i="22"/>
  <c r="AE60" i="22"/>
  <c r="AF60" i="22" s="1"/>
  <c r="AD60" i="22"/>
  <c r="AC60" i="22"/>
  <c r="AE58" i="22"/>
  <c r="AD58" i="22"/>
  <c r="AC58" i="22"/>
  <c r="AE56" i="22"/>
  <c r="AD56" i="22"/>
  <c r="AC56" i="22"/>
  <c r="AE55" i="22"/>
  <c r="AD55" i="22"/>
  <c r="AF55" i="22" s="1"/>
  <c r="AC55" i="22"/>
  <c r="N22" i="29"/>
  <c r="O22" i="29"/>
  <c r="P22" i="29"/>
  <c r="N19" i="29"/>
  <c r="O19" i="29"/>
  <c r="P19" i="29"/>
  <c r="N13" i="29"/>
  <c r="O13" i="29"/>
  <c r="P13" i="29"/>
  <c r="N10" i="29"/>
  <c r="O10" i="29"/>
  <c r="P10" i="29"/>
  <c r="N8" i="29"/>
  <c r="O8" i="29"/>
  <c r="P8" i="29"/>
  <c r="AF58" i="22" l="1"/>
  <c r="AD57" i="22"/>
  <c r="AF56" i="22"/>
  <c r="AF63" i="22"/>
  <c r="AC59" i="22"/>
  <c r="AC57" i="22"/>
  <c r="AD59" i="22"/>
  <c r="AE62" i="22"/>
  <c r="AE59" i="22"/>
  <c r="AC62" i="22"/>
  <c r="AE57" i="22"/>
  <c r="AF57" i="22" s="1"/>
  <c r="AD62" i="22"/>
  <c r="S51" i="22"/>
  <c r="S50" i="22"/>
  <c r="S49" i="22"/>
  <c r="S48" i="22"/>
  <c r="S47" i="22"/>
  <c r="S46" i="22"/>
  <c r="U46" i="22"/>
  <c r="K13" i="12"/>
  <c r="N40" i="22" s="1"/>
  <c r="J12" i="31"/>
  <c r="I12" i="31"/>
  <c r="AF62" i="22" l="1"/>
  <c r="AF59" i="22"/>
  <c r="G43" i="12"/>
  <c r="F83" i="38"/>
  <c r="N3" i="17"/>
  <c r="O3" i="17" s="1"/>
  <c r="L3" i="17"/>
  <c r="K3" i="17" s="1"/>
  <c r="J149" i="9" l="1"/>
  <c r="K149" i="9" s="1"/>
  <c r="L149" i="9" s="1"/>
  <c r="N149" i="9" s="1"/>
  <c r="J140" i="9"/>
  <c r="E1" i="17" l="1"/>
  <c r="D1" i="17"/>
  <c r="C1" i="17"/>
  <c r="E1" i="15"/>
  <c r="D1" i="15"/>
  <c r="C1" i="15"/>
  <c r="E1" i="12"/>
  <c r="D1" i="12"/>
  <c r="C1" i="12"/>
  <c r="E1" i="21"/>
  <c r="D1" i="21"/>
  <c r="C1" i="21"/>
  <c r="J1" i="17"/>
  <c r="G1" i="17"/>
  <c r="F1" i="17"/>
  <c r="J1" i="15"/>
  <c r="G1" i="15"/>
  <c r="F1" i="15"/>
  <c r="J1" i="12"/>
  <c r="G1" i="12"/>
  <c r="F1" i="12"/>
  <c r="J1" i="21"/>
  <c r="G1" i="21"/>
  <c r="F1" i="21"/>
  <c r="H46" i="2" l="1"/>
  <c r="BC166" i="22" s="1"/>
  <c r="H208" i="9"/>
  <c r="H35" i="1" l="1"/>
  <c r="H91" i="9"/>
  <c r="B91" i="9"/>
  <c r="C91" i="9"/>
  <c r="D91" i="9"/>
  <c r="E91" i="9"/>
  <c r="F91" i="9"/>
  <c r="G91" i="9"/>
  <c r="H201" i="9"/>
  <c r="H197" i="9"/>
  <c r="H194" i="9"/>
  <c r="H192" i="9"/>
  <c r="H160" i="9"/>
  <c r="H152" i="9"/>
  <c r="H153" i="9" s="1"/>
  <c r="H151" i="9"/>
  <c r="H144" i="9"/>
  <c r="H141" i="9"/>
  <c r="H142" i="9" s="1"/>
  <c r="H139" i="9"/>
  <c r="H123" i="9"/>
  <c r="H110" i="9"/>
  <c r="H109" i="9"/>
  <c r="N93" i="9"/>
  <c r="N50" i="9"/>
  <c r="M93" i="9"/>
  <c r="M50" i="9"/>
  <c r="L93" i="9"/>
  <c r="L50" i="9"/>
  <c r="N56" i="2"/>
  <c r="N55" i="2"/>
  <c r="N46" i="2"/>
  <c r="N41" i="2"/>
  <c r="N3" i="2"/>
  <c r="N3" i="9" s="1"/>
  <c r="M56" i="2"/>
  <c r="M55" i="2"/>
  <c r="M46" i="2"/>
  <c r="M41" i="2"/>
  <c r="M3" i="2"/>
  <c r="M3" i="9" s="1"/>
  <c r="L56" i="2"/>
  <c r="L55" i="2"/>
  <c r="L46" i="2"/>
  <c r="L41" i="2"/>
  <c r="L3" i="2"/>
  <c r="L3" i="9" s="1"/>
  <c r="K56" i="2"/>
  <c r="BF174" i="22" s="1"/>
  <c r="K55" i="2"/>
  <c r="BF173" i="22" s="1"/>
  <c r="K46" i="2"/>
  <c r="BF166" i="22" s="1"/>
  <c r="K41" i="2"/>
  <c r="BF161" i="22" s="1"/>
  <c r="K3" i="2"/>
  <c r="BF126" i="22" s="1"/>
  <c r="N28" i="1"/>
  <c r="M28" i="1"/>
  <c r="L28" i="1"/>
  <c r="H100" i="9"/>
  <c r="H95" i="9"/>
  <c r="H93" i="9"/>
  <c r="H94" i="9" l="1"/>
  <c r="H87" i="9"/>
  <c r="H85" i="9" s="1"/>
  <c r="H69" i="9"/>
  <c r="H64" i="9"/>
  <c r="H57" i="9"/>
  <c r="H51" i="9"/>
  <c r="H52" i="9" s="1"/>
  <c r="H50" i="9"/>
  <c r="F74" i="38"/>
  <c r="F75" i="38"/>
  <c r="F76" i="38"/>
  <c r="F77" i="38"/>
  <c r="F78" i="38"/>
  <c r="F79" i="38"/>
  <c r="F80" i="38"/>
  <c r="F66" i="38"/>
  <c r="F67" i="38"/>
  <c r="F68" i="38"/>
  <c r="F69" i="38"/>
  <c r="F70" i="38"/>
  <c r="F71" i="38"/>
  <c r="F72" i="38"/>
  <c r="F73" i="38"/>
  <c r="H43" i="9"/>
  <c r="H35" i="9"/>
  <c r="H36" i="9" s="1"/>
  <c r="H34" i="9"/>
  <c r="Q45" i="18"/>
  <c r="Q46" i="18"/>
  <c r="Q43" i="18"/>
  <c r="Q58" i="18" s="1"/>
  <c r="Q59" i="18"/>
  <c r="Q60" i="18"/>
  <c r="Q61" i="18"/>
  <c r="Q63" i="18"/>
  <c r="Q64" i="18"/>
  <c r="Q65" i="18"/>
  <c r="Q66" i="18"/>
  <c r="Q69" i="18"/>
  <c r="Q70" i="18"/>
  <c r="Q71" i="18"/>
  <c r="Q74" i="18"/>
  <c r="Q44" i="18" s="1"/>
  <c r="Q75" i="18"/>
  <c r="Q76" i="18"/>
  <c r="H94" i="18"/>
  <c r="H89" i="18"/>
  <c r="G89" i="18"/>
  <c r="H83" i="18"/>
  <c r="H77" i="18"/>
  <c r="H72" i="18"/>
  <c r="H67" i="18"/>
  <c r="H44" i="18"/>
  <c r="H45" i="18"/>
  <c r="H46" i="18"/>
  <c r="H8" i="9"/>
  <c r="H10" i="9"/>
  <c r="H12" i="9"/>
  <c r="H62" i="18"/>
  <c r="H90" i="18"/>
  <c r="H49" i="18" s="1"/>
  <c r="H85" i="18"/>
  <c r="H79" i="18"/>
  <c r="H73" i="18"/>
  <c r="H68" i="18"/>
  <c r="H63" i="18"/>
  <c r="H58" i="18"/>
  <c r="H53" i="18"/>
  <c r="H55" i="18" s="1"/>
  <c r="H6" i="9" l="1"/>
  <c r="H32" i="9" s="1"/>
  <c r="H13" i="9"/>
  <c r="H11" i="9"/>
  <c r="Q73" i="18"/>
  <c r="Q68" i="18"/>
  <c r="H47" i="18"/>
  <c r="H56" i="18"/>
  <c r="G50" i="14"/>
  <c r="I51" i="14" s="1"/>
  <c r="R50" i="33" l="1"/>
  <c r="J51" i="14"/>
  <c r="G21" i="31" l="1"/>
  <c r="N4" i="12"/>
  <c r="M4" i="12"/>
  <c r="L4" i="12"/>
  <c r="J44" i="14"/>
  <c r="I44" i="14"/>
  <c r="J31" i="14"/>
  <c r="J35" i="14"/>
  <c r="N3" i="14"/>
  <c r="M3" i="14"/>
  <c r="L3" i="14"/>
  <c r="L3" i="21"/>
  <c r="N3" i="21"/>
  <c r="M3" i="21" l="1"/>
  <c r="G53" i="14"/>
  <c r="G54" i="14"/>
  <c r="G55" i="14"/>
  <c r="G56" i="14" s="1"/>
  <c r="E114" i="17" l="1"/>
  <c r="E115" i="17"/>
  <c r="E116" i="17"/>
  <c r="E111" i="17"/>
  <c r="E112" i="17"/>
  <c r="E113" i="17"/>
  <c r="E106" i="17"/>
  <c r="E107" i="17"/>
  <c r="E108" i="17"/>
  <c r="E109" i="17"/>
  <c r="E110" i="17"/>
  <c r="D14" i="22"/>
  <c r="D13" i="22"/>
  <c r="G1775" i="35"/>
  <c r="G1776" i="35"/>
  <c r="G1777" i="35"/>
  <c r="G1778" i="35"/>
  <c r="G1779" i="35"/>
  <c r="G1780" i="35"/>
  <c r="G1781" i="35"/>
  <c r="G1782" i="35"/>
  <c r="G1783" i="35"/>
  <c r="G1784" i="35"/>
  <c r="G1785" i="35"/>
  <c r="G1786" i="35"/>
  <c r="G1787" i="35"/>
  <c r="G1788" i="35"/>
  <c r="G1789" i="35"/>
  <c r="G1755" i="35"/>
  <c r="G1756" i="35"/>
  <c r="G1757" i="35"/>
  <c r="G1758" i="35"/>
  <c r="G1759" i="35"/>
  <c r="G1760" i="35"/>
  <c r="G1761" i="35"/>
  <c r="G1762" i="35"/>
  <c r="G1763" i="35"/>
  <c r="G1764" i="35"/>
  <c r="G1765" i="35"/>
  <c r="G1766" i="35"/>
  <c r="G1767" i="35"/>
  <c r="G1768" i="35"/>
  <c r="G1769" i="35"/>
  <c r="G1770" i="35"/>
  <c r="G1771" i="35"/>
  <c r="G1772" i="35"/>
  <c r="G1773" i="35"/>
  <c r="G1774" i="35"/>
  <c r="G1737" i="35"/>
  <c r="G1738" i="35"/>
  <c r="G1739" i="35"/>
  <c r="G1740" i="35"/>
  <c r="G1741" i="35"/>
  <c r="G1742" i="35"/>
  <c r="G1743" i="35"/>
  <c r="G1744" i="35"/>
  <c r="G1745" i="35"/>
  <c r="G1746" i="35"/>
  <c r="G1747" i="35"/>
  <c r="G1748" i="35"/>
  <c r="G1749" i="35"/>
  <c r="G1750" i="35"/>
  <c r="G1751" i="35"/>
  <c r="G1752" i="35"/>
  <c r="G1753" i="35"/>
  <c r="G1754" i="35"/>
  <c r="G1713" i="35"/>
  <c r="G1714" i="35"/>
  <c r="G1715" i="35"/>
  <c r="G1716" i="35"/>
  <c r="G1717" i="35"/>
  <c r="G1718" i="35"/>
  <c r="G1719" i="35"/>
  <c r="G1720" i="35"/>
  <c r="G1721" i="35"/>
  <c r="G1722" i="35"/>
  <c r="G1723" i="35"/>
  <c r="G1724" i="35"/>
  <c r="G1725" i="35"/>
  <c r="G1726" i="35"/>
  <c r="G1727" i="35"/>
  <c r="G1728" i="35"/>
  <c r="G1729" i="35"/>
  <c r="G1730" i="35"/>
  <c r="G1731" i="35"/>
  <c r="G1732" i="35"/>
  <c r="G1733" i="35"/>
  <c r="G1734" i="35"/>
  <c r="G1735" i="35"/>
  <c r="G1736" i="35"/>
  <c r="G1691" i="35"/>
  <c r="G1692" i="35"/>
  <c r="G1693" i="35"/>
  <c r="G1694" i="35"/>
  <c r="G1695" i="35"/>
  <c r="G1696" i="35"/>
  <c r="G1697" i="35"/>
  <c r="G1698" i="35"/>
  <c r="G1699" i="35"/>
  <c r="G1700" i="35"/>
  <c r="G1701" i="35"/>
  <c r="G1702" i="35"/>
  <c r="G1703" i="35"/>
  <c r="G1704" i="35"/>
  <c r="G1705" i="35"/>
  <c r="G1706" i="35"/>
  <c r="G1707" i="35"/>
  <c r="G1708" i="35"/>
  <c r="G1709" i="35"/>
  <c r="G1710" i="35"/>
  <c r="G1711" i="35"/>
  <c r="G1712" i="35"/>
  <c r="G1683" i="35"/>
  <c r="G1684" i="35"/>
  <c r="G1685" i="35"/>
  <c r="G1686" i="35"/>
  <c r="G1687" i="35"/>
  <c r="G1688" i="35"/>
  <c r="G1689" i="35"/>
  <c r="G1690" i="35"/>
  <c r="G1639" i="23" l="1"/>
  <c r="E1790" i="35" s="1"/>
  <c r="G1638" i="23"/>
  <c r="E1789" i="35" s="1"/>
  <c r="G1637" i="23"/>
  <c r="E1788" i="35" s="1"/>
  <c r="G1636" i="23"/>
  <c r="E1787" i="35" s="1"/>
  <c r="G1635" i="23"/>
  <c r="E1786" i="35" s="1"/>
  <c r="G1634" i="23"/>
  <c r="E1785" i="35" s="1"/>
  <c r="G1633" i="23"/>
  <c r="E1784" i="35" s="1"/>
  <c r="G1632" i="23"/>
  <c r="E1783" i="35" s="1"/>
  <c r="G1631" i="23"/>
  <c r="E1782" i="35" s="1"/>
  <c r="G1630" i="23"/>
  <c r="E1781" i="35" s="1"/>
  <c r="G1629" i="23"/>
  <c r="E1780" i="35" s="1"/>
  <c r="G1628" i="23"/>
  <c r="E1779" i="35" s="1"/>
  <c r="G1627" i="23"/>
  <c r="E1778" i="35" s="1"/>
  <c r="G1626" i="23"/>
  <c r="E1777" i="35" s="1"/>
  <c r="G1625" i="23"/>
  <c r="E1776" i="35" s="1"/>
  <c r="G1624" i="23"/>
  <c r="E1775" i="35" s="1"/>
  <c r="G1623" i="23"/>
  <c r="E1774" i="35" s="1"/>
  <c r="G1622" i="23"/>
  <c r="E1773" i="35" s="1"/>
  <c r="G1621" i="23"/>
  <c r="E1772" i="35" s="1"/>
  <c r="G1620" i="23"/>
  <c r="E1771" i="35" s="1"/>
  <c r="G1619" i="23"/>
  <c r="E1770" i="35" s="1"/>
  <c r="G1618" i="23"/>
  <c r="E1769" i="35" s="1"/>
  <c r="G1617" i="23"/>
  <c r="E1768" i="35" s="1"/>
  <c r="G1616" i="23"/>
  <c r="E1767" i="35" s="1"/>
  <c r="G1615" i="23"/>
  <c r="E1766" i="35" s="1"/>
  <c r="G1614" i="23"/>
  <c r="E1765" i="35" s="1"/>
  <c r="G1613" i="23"/>
  <c r="E1764" i="35" s="1"/>
  <c r="G1612" i="23"/>
  <c r="E1763" i="35" s="1"/>
  <c r="G1611" i="23"/>
  <c r="E1762" i="35" s="1"/>
  <c r="G1610" i="23"/>
  <c r="E1761" i="35" s="1"/>
  <c r="G1609" i="23"/>
  <c r="E1760" i="35" s="1"/>
  <c r="G1608" i="23"/>
  <c r="E1759" i="35" s="1"/>
  <c r="G1607" i="23"/>
  <c r="E1758" i="35" s="1"/>
  <c r="G1606" i="23"/>
  <c r="E1757" i="35" s="1"/>
  <c r="G1605" i="23"/>
  <c r="E1756" i="35" s="1"/>
  <c r="G1604" i="23"/>
  <c r="E1755" i="35" s="1"/>
  <c r="G1603" i="23"/>
  <c r="E1754" i="35" s="1"/>
  <c r="G1602" i="23"/>
  <c r="E1753" i="35" s="1"/>
  <c r="G1601" i="23"/>
  <c r="E1752" i="35" s="1"/>
  <c r="G1600" i="23"/>
  <c r="E1751" i="35" s="1"/>
  <c r="G1599" i="23"/>
  <c r="E1750" i="35" s="1"/>
  <c r="G1598" i="23"/>
  <c r="E1749" i="35" s="1"/>
  <c r="G1597" i="23"/>
  <c r="E1748" i="35" s="1"/>
  <c r="G1596" i="23"/>
  <c r="E1747" i="35" s="1"/>
  <c r="G1595" i="23"/>
  <c r="E1746" i="35" s="1"/>
  <c r="G1594" i="23"/>
  <c r="E1745" i="35" s="1"/>
  <c r="G1593" i="23"/>
  <c r="E1744" i="35" s="1"/>
  <c r="G1592" i="23"/>
  <c r="E1743" i="35" s="1"/>
  <c r="G1591" i="23"/>
  <c r="E1742" i="35" s="1"/>
  <c r="G1590" i="23"/>
  <c r="E1741" i="35" s="1"/>
  <c r="G1589" i="23"/>
  <c r="E1740" i="35" s="1"/>
  <c r="G1588" i="23"/>
  <c r="E1739" i="35" s="1"/>
  <c r="G1587" i="23"/>
  <c r="E1738" i="35" s="1"/>
  <c r="C1847" i="25" s="1"/>
  <c r="G1586" i="23"/>
  <c r="E1737" i="35" s="1"/>
  <c r="G1585" i="23"/>
  <c r="E1736" i="35" s="1"/>
  <c r="G1584" i="23"/>
  <c r="E1735" i="35" s="1"/>
  <c r="G1583" i="23"/>
  <c r="E1734" i="35" s="1"/>
  <c r="G1582" i="23"/>
  <c r="E1733" i="35" s="1"/>
  <c r="G1581" i="23"/>
  <c r="E1732" i="35" s="1"/>
  <c r="G1580" i="23"/>
  <c r="E1731" i="35" s="1"/>
  <c r="G1579" i="23"/>
  <c r="E1730" i="35" s="1"/>
  <c r="G1578" i="23"/>
  <c r="E1729" i="35" s="1"/>
  <c r="G1577" i="23"/>
  <c r="E1728" i="35" s="1"/>
  <c r="G1576" i="23"/>
  <c r="E1727" i="35" s="1"/>
  <c r="G1575" i="23"/>
  <c r="E1726" i="35" s="1"/>
  <c r="G1574" i="23"/>
  <c r="E1725" i="35" s="1"/>
  <c r="G1573" i="23"/>
  <c r="E1724" i="35" s="1"/>
  <c r="G1572" i="23"/>
  <c r="E1723" i="35" s="1"/>
  <c r="G1571" i="23"/>
  <c r="E1722" i="35" s="1"/>
  <c r="G1570" i="23"/>
  <c r="E1721" i="35" s="1"/>
  <c r="G1569" i="23"/>
  <c r="E1720" i="35" s="1"/>
  <c r="G1568" i="23"/>
  <c r="E1719" i="35" s="1"/>
  <c r="G1567" i="23"/>
  <c r="E1718" i="35" s="1"/>
  <c r="G1566" i="23"/>
  <c r="E1717" i="35" s="1"/>
  <c r="G1565" i="23"/>
  <c r="E1716" i="35" s="1"/>
  <c r="G1564" i="23"/>
  <c r="E1715" i="35" s="1"/>
  <c r="G1563" i="23"/>
  <c r="E1714" i="35" s="1"/>
  <c r="G1562" i="23"/>
  <c r="E1713" i="35" s="1"/>
  <c r="G1561" i="23"/>
  <c r="E1712" i="35" s="1"/>
  <c r="G1560" i="23"/>
  <c r="E1711" i="35" s="1"/>
  <c r="G1559" i="23"/>
  <c r="E1710" i="35" s="1"/>
  <c r="G1558" i="23"/>
  <c r="E1709" i="35" s="1"/>
  <c r="G1557" i="23"/>
  <c r="E1708" i="35" s="1"/>
  <c r="G1556" i="23"/>
  <c r="E1707" i="35" s="1"/>
  <c r="G1555" i="23"/>
  <c r="E1706" i="35" s="1"/>
  <c r="G1554" i="23"/>
  <c r="E1705" i="35" s="1"/>
  <c r="G1553" i="23"/>
  <c r="E1704" i="35" s="1"/>
  <c r="G1552" i="23"/>
  <c r="E1703" i="35" s="1"/>
  <c r="G1551" i="23"/>
  <c r="E1702" i="35" s="1"/>
  <c r="G1550" i="23"/>
  <c r="E1701" i="35" s="1"/>
  <c r="G1549" i="23"/>
  <c r="E1700" i="35" s="1"/>
  <c r="G1548" i="23"/>
  <c r="E1699" i="35" s="1"/>
  <c r="G1547" i="23"/>
  <c r="E1698" i="35" s="1"/>
  <c r="G1546" i="23"/>
  <c r="E1697" i="35" s="1"/>
  <c r="G1545" i="23"/>
  <c r="E1696" i="35" s="1"/>
  <c r="G1544" i="23"/>
  <c r="E1695" i="35" s="1"/>
  <c r="G1543" i="23"/>
  <c r="E1694" i="35" s="1"/>
  <c r="G1542" i="23"/>
  <c r="E1693" i="35" s="1"/>
  <c r="G1541" i="23"/>
  <c r="E1692" i="35" s="1"/>
  <c r="G1540" i="23"/>
  <c r="E1691" i="35" s="1"/>
  <c r="G1539" i="23"/>
  <c r="E1690" i="35" s="1"/>
  <c r="G1538" i="23"/>
  <c r="E1689" i="35" s="1"/>
  <c r="G1537" i="23"/>
  <c r="E1688" i="35" s="1"/>
  <c r="G1536" i="23"/>
  <c r="E1687" i="35" s="1"/>
  <c r="G1535" i="23"/>
  <c r="E1686" i="35" s="1"/>
  <c r="G1534" i="23"/>
  <c r="E1685" i="35" s="1"/>
  <c r="G1533" i="23"/>
  <c r="E1684" i="35" s="1"/>
  <c r="G1532" i="23"/>
  <c r="E1683" i="35" s="1"/>
  <c r="G1501" i="25"/>
  <c r="G1502" i="25"/>
  <c r="G1503" i="25"/>
  <c r="G1504" i="25"/>
  <c r="G1505" i="25"/>
  <c r="G1506" i="25"/>
  <c r="G1507" i="25"/>
  <c r="G1508" i="25"/>
  <c r="G1509" i="25"/>
  <c r="G1510" i="25"/>
  <c r="G1511" i="25"/>
  <c r="G1512" i="25"/>
  <c r="G1513" i="25"/>
  <c r="G1514" i="25"/>
  <c r="G1515" i="25"/>
  <c r="G1516" i="25"/>
  <c r="G1517" i="25"/>
  <c r="G1518" i="25"/>
  <c r="G1519" i="25"/>
  <c r="G1520" i="25"/>
  <c r="G1521" i="25"/>
  <c r="G1522" i="25"/>
  <c r="G1523" i="25"/>
  <c r="G1524" i="25"/>
  <c r="G1525" i="25"/>
  <c r="G1526" i="25"/>
  <c r="G1527" i="25"/>
  <c r="G1528" i="25"/>
  <c r="G1529" i="25"/>
  <c r="G1530" i="25"/>
  <c r="G1531" i="25"/>
  <c r="G1532" i="25"/>
  <c r="G1533" i="25"/>
  <c r="G1534" i="25"/>
  <c r="G1535" i="25"/>
  <c r="G1536" i="25"/>
  <c r="G1537" i="25"/>
  <c r="G1538" i="25"/>
  <c r="G1539" i="25"/>
  <c r="G1540" i="25"/>
  <c r="G1541" i="25"/>
  <c r="G1542" i="25"/>
  <c r="G1543" i="25"/>
  <c r="G1544" i="25"/>
  <c r="G1545" i="25"/>
  <c r="G1546" i="25"/>
  <c r="G1547" i="25"/>
  <c r="G1548" i="25"/>
  <c r="G1549" i="25"/>
  <c r="G1550" i="25"/>
  <c r="G1551" i="25"/>
  <c r="G1552" i="25"/>
  <c r="G1553" i="25"/>
  <c r="G1554" i="25"/>
  <c r="G1555" i="25"/>
  <c r="G1556" i="25"/>
  <c r="G1557" i="25"/>
  <c r="G1558" i="25"/>
  <c r="G1559" i="25"/>
  <c r="G1560" i="25"/>
  <c r="G1561" i="25"/>
  <c r="G1562" i="25"/>
  <c r="G1563" i="25"/>
  <c r="G1564" i="25"/>
  <c r="G1565" i="25"/>
  <c r="G1566" i="25"/>
  <c r="G1567" i="25"/>
  <c r="G1568" i="25"/>
  <c r="G1569" i="25"/>
  <c r="G1570" i="25"/>
  <c r="G1571" i="25"/>
  <c r="G1572" i="25"/>
  <c r="G1573" i="25"/>
  <c r="G1574" i="25"/>
  <c r="G1575" i="25"/>
  <c r="G1576" i="25"/>
  <c r="G1577" i="25"/>
  <c r="G1578" i="25"/>
  <c r="G1579" i="25"/>
  <c r="G1580" i="25"/>
  <c r="G1581" i="25"/>
  <c r="G1582" i="25"/>
  <c r="G1583" i="25"/>
  <c r="G1584" i="25"/>
  <c r="G1585" i="25"/>
  <c r="G1586" i="25"/>
  <c r="G1587" i="25"/>
  <c r="G1588" i="25"/>
  <c r="G1589" i="25"/>
  <c r="G1590" i="25"/>
  <c r="G1591" i="25"/>
  <c r="G1592" i="25"/>
  <c r="G1593" i="25"/>
  <c r="G1594" i="25"/>
  <c r="G1595" i="25"/>
  <c r="G1596" i="25"/>
  <c r="G1597" i="25"/>
  <c r="G1598" i="25"/>
  <c r="G1599" i="25"/>
  <c r="G1600" i="25"/>
  <c r="G1601" i="25"/>
  <c r="G1602" i="25"/>
  <c r="G1603" i="25"/>
  <c r="G1604" i="25"/>
  <c r="G1605" i="25"/>
  <c r="G1606" i="25"/>
  <c r="G1607" i="25"/>
  <c r="G1608" i="25"/>
  <c r="G1609" i="25"/>
  <c r="G1610" i="25"/>
  <c r="G1611" i="25"/>
  <c r="G1612" i="25"/>
  <c r="G1613" i="25"/>
  <c r="G1614" i="25"/>
  <c r="G1615" i="25"/>
  <c r="G1616" i="25"/>
  <c r="G1617" i="25"/>
  <c r="G1618" i="25"/>
  <c r="G1619" i="25"/>
  <c r="G1620" i="25"/>
  <c r="G1621" i="25"/>
  <c r="G1622" i="25"/>
  <c r="G1623" i="25"/>
  <c r="G1624" i="25"/>
  <c r="G1625" i="25"/>
  <c r="G1626" i="25"/>
  <c r="G1627" i="25"/>
  <c r="G1628" i="25"/>
  <c r="G1629" i="25"/>
  <c r="G1630" i="25"/>
  <c r="G1631" i="25"/>
  <c r="G1632" i="25"/>
  <c r="G1633" i="25"/>
  <c r="G1634" i="25"/>
  <c r="G1635" i="25"/>
  <c r="G1636" i="25"/>
  <c r="G1637" i="25"/>
  <c r="G1638" i="25"/>
  <c r="G1639" i="25"/>
  <c r="G1640" i="25"/>
  <c r="I44" i="9"/>
  <c r="M68" i="29"/>
  <c r="M67" i="29"/>
  <c r="M66" i="29"/>
  <c r="C1854" i="25" l="1"/>
  <c r="C1853" i="25"/>
  <c r="H22" i="29"/>
  <c r="I22" i="29"/>
  <c r="J22" i="29"/>
  <c r="L22" i="29"/>
  <c r="M22" i="29"/>
  <c r="Y63" i="22"/>
  <c r="AA63" i="22"/>
  <c r="Y61" i="22"/>
  <c r="AA61" i="22"/>
  <c r="Y60" i="22"/>
  <c r="AA60" i="22"/>
  <c r="Y58" i="22"/>
  <c r="AA58" i="22"/>
  <c r="Y56" i="22"/>
  <c r="AA56" i="22"/>
  <c r="Y55" i="22"/>
  <c r="AA55" i="22"/>
  <c r="AB63" i="22"/>
  <c r="AB61" i="22"/>
  <c r="AB60" i="22"/>
  <c r="AB58" i="22"/>
  <c r="AB56" i="22"/>
  <c r="AB55" i="22"/>
  <c r="L19" i="29"/>
  <c r="L13" i="29"/>
  <c r="L10" i="29"/>
  <c r="L8" i="29"/>
  <c r="D12" i="22" l="1"/>
  <c r="M19" i="29"/>
  <c r="M13" i="29"/>
  <c r="M10" i="29"/>
  <c r="M8" i="29"/>
  <c r="A16" i="15" l="1"/>
  <c r="A15" i="15"/>
  <c r="A12" i="15"/>
  <c r="A11" i="15"/>
  <c r="A10" i="15"/>
  <c r="F22" i="12"/>
  <c r="E22" i="12"/>
  <c r="D22" i="12"/>
  <c r="C22" i="12"/>
  <c r="B22" i="12"/>
  <c r="F21" i="12"/>
  <c r="E21" i="12"/>
  <c r="D21" i="12"/>
  <c r="C21" i="12"/>
  <c r="B21" i="12"/>
  <c r="V235" i="9" l="1"/>
  <c r="U235" i="9" s="1"/>
  <c r="T235" i="9" s="1"/>
  <c r="S235" i="9" s="1"/>
  <c r="X235" i="9"/>
  <c r="Y235" i="9" s="1"/>
  <c r="Z235" i="9" s="1"/>
  <c r="AA235" i="9" s="1"/>
  <c r="AA247" i="9" s="1"/>
  <c r="AA222" i="9" s="1"/>
  <c r="R241" i="9"/>
  <c r="R242" i="9" s="1"/>
  <c r="R243" i="9" s="1"/>
  <c r="R244" i="9" s="1"/>
  <c r="R256" i="9" s="1"/>
  <c r="R231" i="9" s="1"/>
  <c r="R239" i="9"/>
  <c r="R238" i="9" s="1"/>
  <c r="R237" i="9" s="1"/>
  <c r="R236" i="9" s="1"/>
  <c r="AA223" i="9"/>
  <c r="AA224" i="9"/>
  <c r="AA225" i="9"/>
  <c r="AA226" i="9"/>
  <c r="AA227" i="9"/>
  <c r="AA228" i="9"/>
  <c r="AA229" i="9"/>
  <c r="AA230" i="9"/>
  <c r="AA231" i="9"/>
  <c r="T231" i="9"/>
  <c r="U231" i="9"/>
  <c r="V231" i="9"/>
  <c r="W231" i="9"/>
  <c r="X231" i="9"/>
  <c r="Y231" i="9"/>
  <c r="Z231" i="9"/>
  <c r="S231" i="9"/>
  <c r="Z230" i="9" l="1"/>
  <c r="Y230" i="9"/>
  <c r="X230" i="9"/>
  <c r="W230" i="9"/>
  <c r="V230" i="9"/>
  <c r="U230" i="9"/>
  <c r="T230" i="9"/>
  <c r="S230" i="9"/>
  <c r="Z229" i="9"/>
  <c r="Y229" i="9"/>
  <c r="X229" i="9"/>
  <c r="W229" i="9"/>
  <c r="V229" i="9"/>
  <c r="U229" i="9"/>
  <c r="T229" i="9"/>
  <c r="S229" i="9"/>
  <c r="Z228" i="9"/>
  <c r="Y228" i="9"/>
  <c r="X228" i="9"/>
  <c r="W228" i="9"/>
  <c r="V228" i="9"/>
  <c r="U228" i="9"/>
  <c r="T228" i="9"/>
  <c r="S228" i="9"/>
  <c r="Z227" i="9"/>
  <c r="Y227" i="9"/>
  <c r="X227" i="9"/>
  <c r="W227" i="9"/>
  <c r="V227" i="9"/>
  <c r="U227" i="9"/>
  <c r="T227" i="9"/>
  <c r="S227" i="9"/>
  <c r="Z226" i="9"/>
  <c r="Y226" i="9"/>
  <c r="X226" i="9"/>
  <c r="W226" i="9"/>
  <c r="V226" i="9"/>
  <c r="U226" i="9"/>
  <c r="T226" i="9"/>
  <c r="S226" i="9"/>
  <c r="Z225" i="9"/>
  <c r="Y225" i="9"/>
  <c r="X225" i="9"/>
  <c r="W225" i="9"/>
  <c r="V225" i="9"/>
  <c r="U225" i="9"/>
  <c r="T225" i="9"/>
  <c r="S225" i="9"/>
  <c r="Z224" i="9"/>
  <c r="Y224" i="9"/>
  <c r="X224" i="9"/>
  <c r="W224" i="9"/>
  <c r="V224" i="9"/>
  <c r="U224" i="9"/>
  <c r="T224" i="9"/>
  <c r="S224" i="9"/>
  <c r="Z223" i="9"/>
  <c r="Y223" i="9"/>
  <c r="X223" i="9"/>
  <c r="W223" i="9"/>
  <c r="V223" i="9"/>
  <c r="U223" i="9"/>
  <c r="T223" i="9"/>
  <c r="S223" i="9"/>
  <c r="R255" i="9"/>
  <c r="R230" i="9" s="1"/>
  <c r="R254" i="9" s="1"/>
  <c r="R229" i="9" s="1"/>
  <c r="R253" i="9" s="1"/>
  <c r="R228" i="9" s="1"/>
  <c r="R252" i="9" s="1"/>
  <c r="R227" i="9" s="1"/>
  <c r="R251" i="9" s="1"/>
  <c r="R226" i="9" s="1"/>
  <c r="R250" i="9" s="1"/>
  <c r="R225" i="9" s="1"/>
  <c r="R249" i="9" s="1"/>
  <c r="R224" i="9" s="1"/>
  <c r="R248" i="9" s="1"/>
  <c r="R223" i="9" s="1"/>
  <c r="K42" i="9" l="1"/>
  <c r="L42" i="9" s="1"/>
  <c r="M42" i="9" s="1"/>
  <c r="N42" i="9" s="1"/>
  <c r="AE72" i="43" l="1"/>
  <c r="AD72" i="43"/>
  <c r="AC73" i="43" s="1"/>
  <c r="Z63" i="43"/>
  <c r="Y63" i="43"/>
  <c r="X63" i="43"/>
  <c r="W63" i="43"/>
  <c r="V63" i="43"/>
  <c r="Z62" i="43"/>
  <c r="Y62" i="43"/>
  <c r="X62" i="43"/>
  <c r="W62" i="43"/>
  <c r="V62" i="43"/>
  <c r="Z61" i="43"/>
  <c r="Y61" i="43"/>
  <c r="X61" i="43"/>
  <c r="W61" i="43"/>
  <c r="V61" i="43"/>
  <c r="U61" i="43"/>
  <c r="Z60" i="43"/>
  <c r="Y60" i="43"/>
  <c r="X60" i="43"/>
  <c r="W60" i="43"/>
  <c r="V60" i="43"/>
  <c r="Z59" i="43"/>
  <c r="Y59" i="43"/>
  <c r="X59" i="43"/>
  <c r="W59" i="43"/>
  <c r="V59" i="43"/>
  <c r="X58" i="43"/>
  <c r="Z54" i="43"/>
  <c r="Y54" i="43"/>
  <c r="X54" i="43"/>
  <c r="W54" i="43"/>
  <c r="V54" i="43"/>
  <c r="U54" i="43"/>
  <c r="Z53" i="43"/>
  <c r="Y53" i="43"/>
  <c r="X53" i="43"/>
  <c r="W53" i="43"/>
  <c r="V53" i="43"/>
  <c r="U53" i="43"/>
  <c r="Z52" i="43"/>
  <c r="Y52" i="43"/>
  <c r="X52" i="43"/>
  <c r="W52" i="43"/>
  <c r="V52" i="43"/>
  <c r="U52" i="43"/>
  <c r="Z51" i="43"/>
  <c r="Y51" i="43"/>
  <c r="X51" i="43"/>
  <c r="W51" i="43"/>
  <c r="V51" i="43"/>
  <c r="U51" i="43"/>
  <c r="Z50" i="43"/>
  <c r="Y50" i="43"/>
  <c r="X50" i="43"/>
  <c r="W50" i="43"/>
  <c r="V50" i="43"/>
  <c r="U50" i="43"/>
  <c r="Z49" i="43"/>
  <c r="Y49" i="43"/>
  <c r="X49" i="43"/>
  <c r="W49" i="43"/>
  <c r="V49" i="43"/>
  <c r="T49" i="43"/>
  <c r="T58" i="43" s="1"/>
  <c r="W48" i="43"/>
  <c r="W57" i="43" s="1"/>
  <c r="N35" i="43"/>
  <c r="N33" i="43"/>
  <c r="K27" i="43"/>
  <c r="K24" i="43"/>
  <c r="H11" i="43"/>
  <c r="G11" i="43"/>
  <c r="E72" i="12"/>
  <c r="D72" i="12" s="1"/>
  <c r="V58" i="43" s="1"/>
  <c r="G72" i="12"/>
  <c r="H72" i="12" s="1"/>
  <c r="Z58" i="43" s="1"/>
  <c r="C74" i="12"/>
  <c r="C73" i="12" s="1"/>
  <c r="U59" i="43" s="1"/>
  <c r="C76" i="12"/>
  <c r="U62" i="43" s="1"/>
  <c r="C77" i="12"/>
  <c r="U63" i="43" s="1"/>
  <c r="Y58" i="43" l="1"/>
  <c r="U60" i="43"/>
  <c r="W58" i="43"/>
  <c r="D14" i="33" l="1"/>
  <c r="D13" i="33"/>
  <c r="E1840" i="25" l="1"/>
  <c r="D19" i="22" s="1"/>
  <c r="E1841" i="25"/>
  <c r="E19" i="22" s="1"/>
  <c r="E1839" i="25"/>
  <c r="C19" i="22" s="1"/>
  <c r="E1662" i="35"/>
  <c r="E1663" i="35"/>
  <c r="E1664" i="35"/>
  <c r="E1665" i="35"/>
  <c r="E1666" i="35"/>
  <c r="E1667" i="35"/>
  <c r="E1668" i="35"/>
  <c r="E1669" i="35"/>
  <c r="E1670" i="35"/>
  <c r="E1671" i="35"/>
  <c r="E1672" i="35"/>
  <c r="E1673" i="35"/>
  <c r="E1674" i="35"/>
  <c r="E1675" i="35"/>
  <c r="E1676" i="35"/>
  <c r="E1677" i="35"/>
  <c r="E1678" i="35"/>
  <c r="E1679" i="35"/>
  <c r="E1680" i="35"/>
  <c r="E1681" i="35"/>
  <c r="E1682" i="35"/>
  <c r="G1662" i="35"/>
  <c r="G1663" i="35"/>
  <c r="G1664" i="35"/>
  <c r="G1665" i="35"/>
  <c r="G1666" i="35"/>
  <c r="G1667" i="35"/>
  <c r="G1668" i="35"/>
  <c r="G1669" i="35"/>
  <c r="G1670" i="35"/>
  <c r="G1671" i="35"/>
  <c r="G1672" i="35"/>
  <c r="G1673" i="35"/>
  <c r="G1674" i="35"/>
  <c r="G1675" i="35"/>
  <c r="G1676" i="35"/>
  <c r="G1677" i="35"/>
  <c r="G1678" i="35"/>
  <c r="G1679" i="35"/>
  <c r="G1680" i="35"/>
  <c r="G1681" i="35"/>
  <c r="G1682" i="35"/>
  <c r="E1845" i="25" l="1"/>
  <c r="C18" i="22" s="1"/>
  <c r="G1652" i="35"/>
  <c r="G1653" i="35"/>
  <c r="G1654" i="35"/>
  <c r="G1655" i="35"/>
  <c r="G1656" i="35"/>
  <c r="G1657" i="35"/>
  <c r="G1658" i="35"/>
  <c r="G1659" i="35"/>
  <c r="G1660" i="35"/>
  <c r="G1661" i="35"/>
  <c r="E1652" i="35"/>
  <c r="E1653" i="35"/>
  <c r="E1654" i="35"/>
  <c r="E1655" i="35"/>
  <c r="E1656" i="35"/>
  <c r="E1657" i="35"/>
  <c r="E1658" i="35"/>
  <c r="E1659" i="35"/>
  <c r="E1660" i="35"/>
  <c r="E1661" i="35"/>
  <c r="E85" i="40" l="1"/>
  <c r="F85" i="40"/>
  <c r="G85" i="40"/>
  <c r="H85" i="40"/>
  <c r="I85" i="40"/>
  <c r="L86" i="40"/>
  <c r="D86" i="40"/>
  <c r="D85" i="40"/>
  <c r="AD73" i="41" l="1"/>
  <c r="AC73" i="41"/>
  <c r="AB74" i="41" s="1"/>
  <c r="Y64" i="41"/>
  <c r="X64" i="41"/>
  <c r="W64" i="41"/>
  <c r="V64" i="41"/>
  <c r="U64" i="41"/>
  <c r="T64" i="41"/>
  <c r="Y63" i="41"/>
  <c r="X63" i="41"/>
  <c r="W63" i="41"/>
  <c r="V63" i="41"/>
  <c r="U63" i="41"/>
  <c r="T63" i="41"/>
  <c r="Y62" i="41"/>
  <c r="X62" i="41"/>
  <c r="W62" i="41"/>
  <c r="V62" i="41"/>
  <c r="U62" i="41"/>
  <c r="T62" i="41"/>
  <c r="Y61" i="41"/>
  <c r="X61" i="41"/>
  <c r="W61" i="41"/>
  <c r="V61" i="41"/>
  <c r="U61" i="41"/>
  <c r="T61" i="41"/>
  <c r="Y60" i="41"/>
  <c r="X60" i="41"/>
  <c r="W60" i="41"/>
  <c r="V60" i="41"/>
  <c r="U60" i="41"/>
  <c r="T60" i="41"/>
  <c r="W59" i="41"/>
  <c r="Y55" i="41"/>
  <c r="X55" i="41"/>
  <c r="W55" i="41"/>
  <c r="V55" i="41"/>
  <c r="U55" i="41"/>
  <c r="T55" i="41"/>
  <c r="Y54" i="41"/>
  <c r="X54" i="41"/>
  <c r="W54" i="41"/>
  <c r="V54" i="41"/>
  <c r="U54" i="41"/>
  <c r="T54" i="41"/>
  <c r="Y53" i="41"/>
  <c r="X53" i="41"/>
  <c r="W53" i="41"/>
  <c r="V53" i="41"/>
  <c r="U53" i="41"/>
  <c r="T53" i="41"/>
  <c r="Y52" i="41"/>
  <c r="X52" i="41"/>
  <c r="W52" i="41"/>
  <c r="V52" i="41"/>
  <c r="U52" i="41"/>
  <c r="T52" i="41"/>
  <c r="Y51" i="41"/>
  <c r="X51" i="41"/>
  <c r="W51" i="41"/>
  <c r="V51" i="41"/>
  <c r="U51" i="41"/>
  <c r="T51" i="41"/>
  <c r="W50" i="41"/>
  <c r="S50" i="41"/>
  <c r="S59" i="41" s="1"/>
  <c r="V49" i="41"/>
  <c r="V58" i="41" s="1"/>
  <c r="M36" i="41"/>
  <c r="M34" i="41"/>
  <c r="J28" i="41"/>
  <c r="J25" i="41"/>
  <c r="H11" i="41"/>
  <c r="G11" i="41"/>
  <c r="K75" i="40"/>
  <c r="L75" i="40"/>
  <c r="M75" i="40"/>
  <c r="E28" i="40"/>
  <c r="F28" i="40"/>
  <c r="G28" i="40"/>
  <c r="H28" i="40"/>
  <c r="I28" i="40"/>
  <c r="D28" i="40"/>
  <c r="E6" i="40"/>
  <c r="F6" i="40"/>
  <c r="G6" i="40"/>
  <c r="H6" i="40"/>
  <c r="I6" i="40"/>
  <c r="J6" i="40"/>
  <c r="K6" i="40"/>
  <c r="L6" i="40"/>
  <c r="M6" i="40"/>
  <c r="D6" i="40"/>
  <c r="E3" i="40" l="1"/>
  <c r="F3" i="40"/>
  <c r="G3" i="40"/>
  <c r="H3" i="40"/>
  <c r="I3" i="40"/>
  <c r="J3" i="40"/>
  <c r="K3" i="40"/>
  <c r="L3" i="40"/>
  <c r="M3" i="40"/>
  <c r="D3" i="40"/>
  <c r="F5" i="40"/>
  <c r="G5" i="40"/>
  <c r="H5" i="40"/>
  <c r="I5" i="40"/>
  <c r="J5" i="40"/>
  <c r="K5" i="40"/>
  <c r="L5" i="40"/>
  <c r="M5" i="40"/>
  <c r="E5" i="40"/>
  <c r="U11" i="38"/>
  <c r="V11" i="38"/>
  <c r="W11" i="38"/>
  <c r="Y11" i="38"/>
  <c r="Z11" i="38"/>
  <c r="U12" i="38"/>
  <c r="V12" i="38"/>
  <c r="Y12" i="38"/>
  <c r="Z12" i="38"/>
  <c r="AA12" i="38"/>
  <c r="U13" i="38"/>
  <c r="V13" i="38"/>
  <c r="Y13" i="38"/>
  <c r="Z13" i="38"/>
  <c r="N10" i="38" a="1"/>
  <c r="N12" i="38" s="1"/>
  <c r="O10" i="38" a="1"/>
  <c r="O10" i="38" s="1"/>
  <c r="AI19" i="29"/>
  <c r="AH19" i="29"/>
  <c r="AG19" i="29"/>
  <c r="AF19" i="29"/>
  <c r="AE19" i="29"/>
  <c r="AD19" i="29"/>
  <c r="AC19" i="29"/>
  <c r="AB19" i="29"/>
  <c r="AA19" i="29"/>
  <c r="AI13" i="29"/>
  <c r="AH13" i="29"/>
  <c r="AG13" i="29"/>
  <c r="AF13" i="29"/>
  <c r="AE13" i="29"/>
  <c r="AD13" i="29"/>
  <c r="AC13" i="29"/>
  <c r="AB13" i="29"/>
  <c r="AA13" i="29"/>
  <c r="AI10" i="29"/>
  <c r="AH10" i="29"/>
  <c r="AG10" i="29"/>
  <c r="AF10" i="29"/>
  <c r="AE10" i="29"/>
  <c r="AD10" i="29"/>
  <c r="AC10" i="29"/>
  <c r="AB10" i="29"/>
  <c r="AA10" i="29"/>
  <c r="AI8" i="29"/>
  <c r="AH8" i="29"/>
  <c r="AG8" i="29"/>
  <c r="AF8" i="29"/>
  <c r="AE8" i="29"/>
  <c r="AD8" i="29"/>
  <c r="AC8" i="29"/>
  <c r="AB8" i="29"/>
  <c r="AA8" i="29"/>
  <c r="AJ19" i="29"/>
  <c r="AJ13" i="29"/>
  <c r="AJ10" i="29"/>
  <c r="AJ8" i="29"/>
  <c r="AI29" i="29"/>
  <c r="W13" i="38" l="1"/>
  <c r="AA13" i="38"/>
  <c r="W12" i="38"/>
  <c r="AA11" i="38"/>
  <c r="N17" i="38"/>
  <c r="N13" i="38"/>
  <c r="N19" i="38"/>
  <c r="N15" i="38"/>
  <c r="N11" i="38"/>
  <c r="N18" i="38"/>
  <c r="N14" i="38"/>
  <c r="N10" i="38"/>
  <c r="N16" i="38"/>
  <c r="O13" i="38"/>
  <c r="O12" i="38"/>
  <c r="O19" i="38"/>
  <c r="O15" i="38"/>
  <c r="O11" i="38"/>
  <c r="O17" i="38"/>
  <c r="O16" i="38"/>
  <c r="O18" i="38"/>
  <c r="O14" i="38"/>
  <c r="C21" i="27"/>
  <c r="D12" i="27"/>
  <c r="D11" i="27"/>
  <c r="B5" i="27"/>
  <c r="B6" i="27"/>
  <c r="B4" i="27"/>
  <c r="C5" i="27"/>
  <c r="C6" i="27"/>
  <c r="C4" i="27"/>
  <c r="D5" i="27"/>
  <c r="D6" i="27"/>
  <c r="D4" i="27"/>
  <c r="D65" i="27" l="1"/>
  <c r="E65" i="27"/>
  <c r="F65" i="27"/>
  <c r="G65" i="27"/>
  <c r="H65" i="27"/>
  <c r="I65" i="27"/>
  <c r="D66" i="27"/>
  <c r="E66" i="27"/>
  <c r="F66" i="27"/>
  <c r="G66" i="27"/>
  <c r="H66" i="27"/>
  <c r="I66" i="27"/>
  <c r="D67" i="27"/>
  <c r="E67" i="27"/>
  <c r="F67" i="27"/>
  <c r="G67" i="27"/>
  <c r="H67" i="27"/>
  <c r="I67" i="27"/>
  <c r="D68" i="27"/>
  <c r="E68" i="27"/>
  <c r="F68" i="27"/>
  <c r="G68" i="27"/>
  <c r="H68" i="27"/>
  <c r="I68" i="27"/>
  <c r="D69" i="27"/>
  <c r="E69" i="27"/>
  <c r="F69" i="27"/>
  <c r="G69" i="27"/>
  <c r="H69" i="27"/>
  <c r="I69" i="27"/>
  <c r="D70" i="27"/>
  <c r="E70" i="27"/>
  <c r="F70" i="27"/>
  <c r="G70" i="27"/>
  <c r="H70" i="27"/>
  <c r="I70" i="27"/>
  <c r="B61" i="27"/>
  <c r="B62" i="27"/>
  <c r="B63" i="27"/>
  <c r="B64" i="27"/>
  <c r="B65" i="27"/>
  <c r="B66" i="27"/>
  <c r="B67" i="27"/>
  <c r="B68" i="27"/>
  <c r="B69" i="27"/>
  <c r="B70" i="27"/>
  <c r="B60" i="27"/>
  <c r="D61" i="27"/>
  <c r="E61" i="27"/>
  <c r="F61" i="27"/>
  <c r="G61" i="27"/>
  <c r="H61" i="27"/>
  <c r="I61" i="27"/>
  <c r="D62" i="27"/>
  <c r="E62" i="27"/>
  <c r="F62" i="27"/>
  <c r="G62" i="27"/>
  <c r="H62" i="27"/>
  <c r="I62" i="27"/>
  <c r="D63" i="27"/>
  <c r="E63" i="27"/>
  <c r="F63" i="27"/>
  <c r="G63" i="27"/>
  <c r="H63" i="27"/>
  <c r="I63" i="27"/>
  <c r="D64" i="27"/>
  <c r="E64" i="27"/>
  <c r="F64" i="27"/>
  <c r="G64" i="27"/>
  <c r="H64" i="27"/>
  <c r="I64" i="27"/>
  <c r="E60" i="27"/>
  <c r="F60" i="27"/>
  <c r="G60" i="27"/>
  <c r="H60" i="27"/>
  <c r="I60" i="27"/>
  <c r="D60" i="27"/>
  <c r="C56" i="27"/>
  <c r="G8" i="36" l="1"/>
  <c r="C6" i="36"/>
  <c r="C5" i="36"/>
  <c r="E9" i="36" l="1"/>
  <c r="E6" i="36" l="1"/>
  <c r="E7" i="36"/>
  <c r="E5" i="36"/>
  <c r="C7" i="36"/>
  <c r="C9" i="36" s="1"/>
  <c r="G1633" i="35"/>
  <c r="G1634" i="35"/>
  <c r="G1635" i="35"/>
  <c r="G1636" i="35"/>
  <c r="G1637" i="35"/>
  <c r="G1638" i="35"/>
  <c r="G1639" i="35"/>
  <c r="G1640" i="35"/>
  <c r="G1641" i="35"/>
  <c r="G1642" i="35"/>
  <c r="G1643" i="35"/>
  <c r="G1644" i="35"/>
  <c r="G1645" i="35"/>
  <c r="G1646" i="35"/>
  <c r="G1647" i="35"/>
  <c r="G1648" i="35"/>
  <c r="G1649" i="35"/>
  <c r="G1650" i="35"/>
  <c r="G1651" i="35"/>
  <c r="G1632" i="35"/>
  <c r="G1628" i="35"/>
  <c r="G1415" i="35"/>
  <c r="G1416" i="35"/>
  <c r="G1417" i="35"/>
  <c r="G1418" i="35"/>
  <c r="G1419" i="35"/>
  <c r="G1420" i="35"/>
  <c r="G1421" i="35"/>
  <c r="G1422" i="35"/>
  <c r="G1423" i="35"/>
  <c r="G1424" i="35"/>
  <c r="G1425" i="35"/>
  <c r="G1426" i="35"/>
  <c r="G1427" i="35"/>
  <c r="G1428" i="35"/>
  <c r="G1429" i="35"/>
  <c r="G1430" i="35"/>
  <c r="G1431" i="35"/>
  <c r="G1432" i="35"/>
  <c r="G1433" i="35"/>
  <c r="G1434" i="35"/>
  <c r="G1435" i="35"/>
  <c r="G1436" i="35"/>
  <c r="G1437" i="35"/>
  <c r="G1438" i="35"/>
  <c r="G1439" i="35"/>
  <c r="G1440" i="35"/>
  <c r="G1441" i="35"/>
  <c r="G1442" i="35"/>
  <c r="G1444" i="35"/>
  <c r="G1445" i="35"/>
  <c r="G1446" i="35"/>
  <c r="G1447" i="35"/>
  <c r="G1448" i="35"/>
  <c r="G1449" i="35"/>
  <c r="G1450" i="35"/>
  <c r="G1451" i="35"/>
  <c r="G1452" i="35"/>
  <c r="G1453" i="35"/>
  <c r="G1454" i="35"/>
  <c r="G1455" i="35"/>
  <c r="G1456" i="35"/>
  <c r="G1457" i="35"/>
  <c r="G1458" i="35"/>
  <c r="G1459" i="35"/>
  <c r="G1460" i="35"/>
  <c r="G1461" i="35"/>
  <c r="G1462" i="35"/>
  <c r="G1463" i="35"/>
  <c r="G1464" i="35"/>
  <c r="G1465" i="35"/>
  <c r="G1466" i="35"/>
  <c r="G1467" i="35"/>
  <c r="G1468" i="35"/>
  <c r="G1469" i="35"/>
  <c r="G1470" i="35"/>
  <c r="G1471" i="35"/>
  <c r="G1472" i="35"/>
  <c r="G1473" i="35"/>
  <c r="G1474" i="35"/>
  <c r="G1475" i="35"/>
  <c r="G1476" i="35"/>
  <c r="G1477" i="35"/>
  <c r="G1478" i="35"/>
  <c r="G1479" i="35"/>
  <c r="G1480" i="35"/>
  <c r="G1481" i="35"/>
  <c r="G1482" i="35"/>
  <c r="G1483" i="35"/>
  <c r="G1484" i="35"/>
  <c r="G1485" i="35"/>
  <c r="G1486" i="35"/>
  <c r="G1487" i="35"/>
  <c r="G1488" i="35"/>
  <c r="G1489" i="35"/>
  <c r="G1490" i="35"/>
  <c r="G1491" i="35"/>
  <c r="G1492" i="35"/>
  <c r="G1493" i="35"/>
  <c r="G1494" i="35"/>
  <c r="G1495" i="35"/>
  <c r="G1496" i="35"/>
  <c r="G1497" i="35"/>
  <c r="G1498" i="35"/>
  <c r="G1499" i="35"/>
  <c r="G1500" i="35"/>
  <c r="G1501" i="35"/>
  <c r="G1502" i="35"/>
  <c r="G1503" i="35"/>
  <c r="G1504" i="35"/>
  <c r="G1505" i="35"/>
  <c r="G1506" i="35"/>
  <c r="G1507" i="35"/>
  <c r="G1508" i="35"/>
  <c r="G1509" i="35"/>
  <c r="G1510" i="35"/>
  <c r="G1511" i="35"/>
  <c r="G1512" i="35"/>
  <c r="G1513" i="35"/>
  <c r="G1514" i="35"/>
  <c r="G1515" i="35"/>
  <c r="G1516" i="35"/>
  <c r="G1517" i="35"/>
  <c r="G1518" i="35"/>
  <c r="G1519" i="35"/>
  <c r="G1520" i="35"/>
  <c r="G1521" i="35"/>
  <c r="G1522" i="35"/>
  <c r="G1523" i="35"/>
  <c r="G1524" i="35"/>
  <c r="G1525" i="35"/>
  <c r="G1526" i="35"/>
  <c r="G1527" i="35"/>
  <c r="G1528" i="35"/>
  <c r="G1529" i="35"/>
  <c r="G1530" i="35"/>
  <c r="G1531" i="35"/>
  <c r="G1532" i="35"/>
  <c r="G1533" i="35"/>
  <c r="G1534" i="35"/>
  <c r="G1535" i="35"/>
  <c r="G1536" i="35"/>
  <c r="G1537" i="35"/>
  <c r="G1538" i="35"/>
  <c r="G1539" i="35"/>
  <c r="G1540" i="35"/>
  <c r="G1541" i="35"/>
  <c r="G1542" i="35"/>
  <c r="G1543" i="35"/>
  <c r="G1544" i="35"/>
  <c r="G1545" i="35"/>
  <c r="G1546" i="35"/>
  <c r="G1547" i="35"/>
  <c r="G1548" i="35"/>
  <c r="G1549" i="35"/>
  <c r="G1550" i="35"/>
  <c r="G1551" i="35"/>
  <c r="G1552" i="35"/>
  <c r="G1553" i="35"/>
  <c r="G1554" i="35"/>
  <c r="G1555" i="35"/>
  <c r="G1556" i="35"/>
  <c r="G1557" i="35"/>
  <c r="G1558" i="35"/>
  <c r="G1559" i="35"/>
  <c r="G1560" i="35"/>
  <c r="G1561" i="35"/>
  <c r="G1562" i="35"/>
  <c r="G1563" i="35"/>
  <c r="G1564" i="35"/>
  <c r="G1565" i="35"/>
  <c r="G1566" i="35"/>
  <c r="G1567" i="35"/>
  <c r="G1568" i="35"/>
  <c r="G1569" i="35"/>
  <c r="G1570" i="35"/>
  <c r="G1571" i="35"/>
  <c r="G1572" i="35"/>
  <c r="G1573" i="35"/>
  <c r="G1574" i="35"/>
  <c r="G1575" i="35"/>
  <c r="G1576" i="35"/>
  <c r="G1577" i="35"/>
  <c r="G1578" i="35"/>
  <c r="G1579" i="35"/>
  <c r="G1580" i="35"/>
  <c r="G1581" i="35"/>
  <c r="G1582" i="35"/>
  <c r="G1583" i="35"/>
  <c r="G1584" i="35"/>
  <c r="G1585" i="35"/>
  <c r="G1586" i="35"/>
  <c r="G1587" i="35"/>
  <c r="G1588" i="35"/>
  <c r="G1589" i="35"/>
  <c r="G1590" i="35"/>
  <c r="G1591" i="35"/>
  <c r="G1592" i="35"/>
  <c r="G1593" i="35"/>
  <c r="G1594" i="35"/>
  <c r="G1595" i="35"/>
  <c r="G1596" i="35"/>
  <c r="G1597" i="35"/>
  <c r="G1598" i="35"/>
  <c r="G1599" i="35"/>
  <c r="G1600" i="35"/>
  <c r="G1601" i="35"/>
  <c r="G1602" i="35"/>
  <c r="G1603" i="35"/>
  <c r="G1604" i="35"/>
  <c r="G1605" i="35"/>
  <c r="G1606" i="35"/>
  <c r="G1607" i="35"/>
  <c r="G1608" i="35"/>
  <c r="G1609" i="35"/>
  <c r="G1610" i="35"/>
  <c r="G1611" i="35"/>
  <c r="G1612" i="35"/>
  <c r="G1613" i="35"/>
  <c r="G1614" i="35"/>
  <c r="G1615" i="35"/>
  <c r="G1616" i="35"/>
  <c r="G1617" i="35"/>
  <c r="G1618" i="35"/>
  <c r="G1619" i="35"/>
  <c r="G1620" i="35"/>
  <c r="G1621" i="35"/>
  <c r="G1622" i="35"/>
  <c r="G1623" i="35"/>
  <c r="G1624" i="35"/>
  <c r="G1625" i="35"/>
  <c r="G1626" i="35"/>
  <c r="G1627" i="35"/>
  <c r="G1414" i="35"/>
  <c r="E8" i="36" l="1"/>
  <c r="D7" i="36"/>
  <c r="D5" i="36"/>
  <c r="D6" i="36"/>
  <c r="H44" i="14"/>
  <c r="AQ126" i="33" l="1"/>
  <c r="AR122" i="33"/>
  <c r="AQ122" i="33"/>
  <c r="AQ121" i="33"/>
  <c r="AR117" i="33"/>
  <c r="AQ117" i="33"/>
  <c r="AR115" i="33"/>
  <c r="AQ115" i="33"/>
  <c r="AR114" i="33"/>
  <c r="AQ114" i="33"/>
  <c r="AQ113" i="33"/>
  <c r="AQ106" i="33"/>
  <c r="AQ105" i="33"/>
  <c r="AQ104" i="33"/>
  <c r="AQ103" i="33"/>
  <c r="AQ99" i="33"/>
  <c r="AQ98" i="33"/>
  <c r="AK88" i="33"/>
  <c r="AJ88" i="33"/>
  <c r="AK86" i="33"/>
  <c r="AJ86" i="33"/>
  <c r="AK84" i="33"/>
  <c r="AJ84" i="33"/>
  <c r="AK82" i="33"/>
  <c r="AJ82" i="33"/>
  <c r="AK81" i="33"/>
  <c r="AJ81" i="33"/>
  <c r="AK79" i="33"/>
  <c r="AJ79" i="33"/>
  <c r="AK78" i="33"/>
  <c r="AE74" i="33"/>
  <c r="AD74" i="33"/>
  <c r="AC74" i="33"/>
  <c r="AE72" i="33"/>
  <c r="AD72" i="33"/>
  <c r="AC72" i="33"/>
  <c r="AE71" i="33"/>
  <c r="AD71" i="33"/>
  <c r="AC71" i="33"/>
  <c r="AE69" i="33"/>
  <c r="AD69" i="33"/>
  <c r="AC69" i="33"/>
  <c r="AE67" i="33"/>
  <c r="AD67" i="33"/>
  <c r="AC67" i="33"/>
  <c r="AE66" i="33"/>
  <c r="AD66" i="33"/>
  <c r="AC66" i="33"/>
  <c r="V62" i="33"/>
  <c r="U62" i="33"/>
  <c r="V61" i="33"/>
  <c r="U61" i="33"/>
  <c r="V60" i="33"/>
  <c r="U60" i="33"/>
  <c r="V59" i="33"/>
  <c r="U59" i="33"/>
  <c r="V58" i="33"/>
  <c r="U58" i="33"/>
  <c r="X57" i="33"/>
  <c r="V57" i="33"/>
  <c r="U57" i="33"/>
  <c r="N39" i="33"/>
  <c r="O40" i="33" s="1"/>
  <c r="E19" i="33"/>
  <c r="D19" i="33"/>
  <c r="C19" i="33"/>
  <c r="C11" i="33"/>
  <c r="AD68" i="33" l="1"/>
  <c r="W57" i="33"/>
  <c r="W59" i="33"/>
  <c r="W58" i="33"/>
  <c r="AC73" i="33"/>
  <c r="AD70" i="33"/>
  <c r="W60" i="33"/>
  <c r="W61" i="33"/>
  <c r="AE70" i="33"/>
  <c r="AD73" i="33"/>
  <c r="AE73" i="33"/>
  <c r="AC68" i="33"/>
  <c r="W62" i="33"/>
  <c r="AC70" i="33"/>
  <c r="AE68" i="33"/>
  <c r="AJ77" i="22"/>
  <c r="AI77" i="22"/>
  <c r="AO73" i="31" l="1"/>
  <c r="AN73" i="31"/>
  <c r="AM74" i="31" s="1"/>
  <c r="O35" i="31"/>
  <c r="I35" i="14"/>
  <c r="V59" i="41" l="1"/>
  <c r="X59" i="41"/>
  <c r="V50" i="41"/>
  <c r="U50" i="41"/>
  <c r="X50" i="41"/>
  <c r="Y50" i="41"/>
  <c r="K25" i="43"/>
  <c r="K26" i="43" s="1"/>
  <c r="J1" i="9"/>
  <c r="U59" i="41" l="1"/>
  <c r="Y59" i="41"/>
  <c r="G40" i="12"/>
  <c r="J26" i="41"/>
  <c r="J27" i="41" s="1"/>
  <c r="K28" i="43" l="1"/>
  <c r="N31" i="43"/>
  <c r="L30" i="31"/>
  <c r="J29" i="41"/>
  <c r="M32" i="41"/>
  <c r="G139" i="9" l="1"/>
  <c r="G140" i="9"/>
  <c r="C11" i="22" l="1"/>
  <c r="A39" i="29"/>
  <c r="E42" i="29"/>
  <c r="E54" i="29"/>
  <c r="E52" i="29"/>
  <c r="E51" i="29"/>
  <c r="E48" i="29"/>
  <c r="E46" i="29"/>
  <c r="E45" i="29"/>
  <c r="E40" i="29"/>
  <c r="E39" i="29"/>
  <c r="D53" i="29"/>
  <c r="D47" i="29"/>
  <c r="D41" i="29"/>
  <c r="J35" i="29"/>
  <c r="I35" i="29"/>
  <c r="H35" i="29"/>
  <c r="D35" i="29"/>
  <c r="C35" i="29"/>
  <c r="D29" i="29"/>
  <c r="C29" i="29"/>
  <c r="K29" i="29" s="1"/>
  <c r="J29" i="29"/>
  <c r="I29" i="29"/>
  <c r="H29" i="29"/>
  <c r="K54" i="29"/>
  <c r="K52" i="29"/>
  <c r="K51" i="29"/>
  <c r="K48" i="29"/>
  <c r="K46" i="29"/>
  <c r="K45" i="29"/>
  <c r="K42" i="29"/>
  <c r="K40" i="29"/>
  <c r="K39" i="29"/>
  <c r="V51" i="31" l="1"/>
  <c r="Z51" i="31"/>
  <c r="X52" i="31"/>
  <c r="Y52" i="31"/>
  <c r="Z52" i="31"/>
  <c r="AA52" i="31"/>
  <c r="AB52" i="31"/>
  <c r="X53" i="31"/>
  <c r="Y53" i="31"/>
  <c r="Z53" i="31"/>
  <c r="AA53" i="31"/>
  <c r="AB53" i="31"/>
  <c r="W54" i="31"/>
  <c r="X54" i="31"/>
  <c r="Y54" i="31"/>
  <c r="Z54" i="31"/>
  <c r="AA54" i="31"/>
  <c r="AB54" i="31"/>
  <c r="X55" i="31"/>
  <c r="Y55" i="31"/>
  <c r="Z55" i="31"/>
  <c r="AA55" i="31"/>
  <c r="AB55" i="31"/>
  <c r="X56" i="31"/>
  <c r="Y56" i="31"/>
  <c r="Z56" i="31"/>
  <c r="AA56" i="31"/>
  <c r="AB56" i="31"/>
  <c r="Y50" i="31"/>
  <c r="O33" i="31"/>
  <c r="L29" i="31" l="1"/>
  <c r="L27" i="31"/>
  <c r="L26" i="31"/>
  <c r="L28" i="31" l="1"/>
  <c r="H12" i="31" l="1"/>
  <c r="G13" i="30"/>
  <c r="F13" i="30"/>
  <c r="E13" i="30"/>
  <c r="D13" i="30"/>
  <c r="G12" i="30"/>
  <c r="F12" i="30"/>
  <c r="E12" i="30"/>
  <c r="D12" i="30"/>
  <c r="G11" i="30"/>
  <c r="F11" i="30"/>
  <c r="E11" i="30"/>
  <c r="D11" i="30"/>
  <c r="AR111" i="22" l="1"/>
  <c r="AR106" i="22"/>
  <c r="AR104" i="22"/>
  <c r="AR103" i="22"/>
  <c r="AQ115" i="22"/>
  <c r="AQ111" i="22"/>
  <c r="AQ110" i="22"/>
  <c r="AQ106" i="22"/>
  <c r="AQ104" i="22"/>
  <c r="AQ103" i="22"/>
  <c r="AQ102" i="22"/>
  <c r="AQ95" i="22"/>
  <c r="AQ94" i="22"/>
  <c r="AQ93" i="22"/>
  <c r="AQ92" i="22"/>
  <c r="AQ88" i="22"/>
  <c r="AQ87" i="22"/>
  <c r="AJ67" i="22"/>
  <c r="AJ68" i="22"/>
  <c r="AJ70" i="22"/>
  <c r="AJ71" i="22"/>
  <c r="AJ73" i="22"/>
  <c r="AJ75" i="22"/>
  <c r="AI75" i="22"/>
  <c r="AI73" i="22"/>
  <c r="AI71" i="22"/>
  <c r="AI70" i="22"/>
  <c r="AI68" i="22"/>
  <c r="R6" i="29"/>
  <c r="R18" i="29"/>
  <c r="R14" i="29"/>
  <c r="R12" i="29"/>
  <c r="K21" i="29"/>
  <c r="K14" i="29"/>
  <c r="Z60" i="22" s="1"/>
  <c r="K12" i="29"/>
  <c r="Z58" i="22" s="1"/>
  <c r="J31" i="29"/>
  <c r="J26" i="29"/>
  <c r="I53" i="29"/>
  <c r="J53" i="29"/>
  <c r="K53" i="29"/>
  <c r="I47" i="29"/>
  <c r="J47" i="29"/>
  <c r="K47" i="29"/>
  <c r="K41" i="29"/>
  <c r="J41" i="29"/>
  <c r="I41" i="29"/>
  <c r="I31" i="29"/>
  <c r="C53" i="29"/>
  <c r="C31" i="29"/>
  <c r="F54" i="29"/>
  <c r="F52" i="29"/>
  <c r="F51" i="29"/>
  <c r="F48" i="29"/>
  <c r="F46" i="29"/>
  <c r="F45" i="29"/>
  <c r="F42" i="29"/>
  <c r="F40" i="29"/>
  <c r="F39" i="29"/>
  <c r="H53" i="29"/>
  <c r="H47" i="29"/>
  <c r="H41" i="29"/>
  <c r="H31" i="29"/>
  <c r="I24" i="29"/>
  <c r="I25" i="29" s="1"/>
  <c r="J24" i="29"/>
  <c r="J25" i="29" s="1"/>
  <c r="H24" i="29"/>
  <c r="H25" i="29" s="1"/>
  <c r="J13" i="29"/>
  <c r="I13" i="29"/>
  <c r="H13" i="29"/>
  <c r="D13" i="29"/>
  <c r="C13" i="29"/>
  <c r="J10" i="29"/>
  <c r="I10" i="29"/>
  <c r="H10" i="29"/>
  <c r="J8" i="29"/>
  <c r="I8" i="29"/>
  <c r="H8" i="29"/>
  <c r="J19" i="29"/>
  <c r="I19" i="29"/>
  <c r="H19" i="29"/>
  <c r="D19" i="29"/>
  <c r="C19" i="29"/>
  <c r="K7" i="29"/>
  <c r="Z56" i="22" s="1"/>
  <c r="K9" i="29"/>
  <c r="K16" i="29"/>
  <c r="K18" i="29"/>
  <c r="Z61" i="22" s="1"/>
  <c r="K23" i="29"/>
  <c r="K33" i="29"/>
  <c r="K34" i="29"/>
  <c r="K35" i="29" s="1"/>
  <c r="K30" i="29"/>
  <c r="K31" i="29"/>
  <c r="K6" i="29"/>
  <c r="Z55" i="22" s="1"/>
  <c r="R7" i="29"/>
  <c r="C47" i="29"/>
  <c r="C41" i="29"/>
  <c r="E31" i="29"/>
  <c r="F31" i="29" s="1"/>
  <c r="E30" i="29"/>
  <c r="F30" i="29" s="1"/>
  <c r="E34" i="29"/>
  <c r="F34" i="29" s="1"/>
  <c r="E33" i="29"/>
  <c r="F33" i="29" s="1"/>
  <c r="D26" i="29"/>
  <c r="C26" i="29"/>
  <c r="K26" i="29" s="1"/>
  <c r="D24" i="29"/>
  <c r="C24" i="29"/>
  <c r="K24" i="29" s="1"/>
  <c r="E23" i="29"/>
  <c r="F23" i="29" s="1"/>
  <c r="E18" i="29"/>
  <c r="F18" i="29" s="1"/>
  <c r="E16" i="29"/>
  <c r="F16" i="29" s="1"/>
  <c r="D10" i="29"/>
  <c r="C10" i="29"/>
  <c r="E9" i="29"/>
  <c r="F9" i="29" s="1"/>
  <c r="D8" i="29"/>
  <c r="C8" i="29"/>
  <c r="E7" i="29"/>
  <c r="F7" i="29" s="1"/>
  <c r="E6" i="29"/>
  <c r="F6" i="29" s="1"/>
  <c r="K22" i="29" l="1"/>
  <c r="Z63" i="22"/>
  <c r="K13" i="29"/>
  <c r="AF66" i="33"/>
  <c r="AG66" i="33" s="1"/>
  <c r="AF69" i="33"/>
  <c r="AF67" i="33"/>
  <c r="AF71" i="33"/>
  <c r="AG71" i="33" s="1"/>
  <c r="AB62" i="22"/>
  <c r="AF72" i="33"/>
  <c r="AF74" i="33"/>
  <c r="AG74" i="33" s="1"/>
  <c r="AA62" i="22"/>
  <c r="Z62" i="22"/>
  <c r="Z57" i="22"/>
  <c r="Z59" i="22"/>
  <c r="AB59" i="22"/>
  <c r="Y59" i="22"/>
  <c r="AA59" i="22"/>
  <c r="Y62" i="22"/>
  <c r="AB57" i="22"/>
  <c r="AA57" i="22"/>
  <c r="Y57" i="22"/>
  <c r="K10" i="29"/>
  <c r="K8" i="29"/>
  <c r="K19" i="29"/>
  <c r="E24" i="29"/>
  <c r="F24" i="29" s="1"/>
  <c r="C25" i="29"/>
  <c r="K25" i="29" s="1"/>
  <c r="AG72" i="33" l="1"/>
  <c r="AF73" i="33"/>
  <c r="AG73" i="33" s="1"/>
  <c r="AG67" i="33"/>
  <c r="AF68" i="33"/>
  <c r="AG68" i="33" s="1"/>
  <c r="AG69" i="33"/>
  <c r="AF70" i="33"/>
  <c r="AG70" i="33" s="1"/>
  <c r="C18" i="33" l="1"/>
  <c r="P95" i="9" l="1"/>
  <c r="G95" i="9"/>
  <c r="I55" i="2"/>
  <c r="BD173" i="22" s="1"/>
  <c r="J55" i="2"/>
  <c r="BE173" i="22" s="1"/>
  <c r="I56" i="2"/>
  <c r="BD174" i="22" s="1"/>
  <c r="J56" i="2"/>
  <c r="BE174" i="22" s="1"/>
  <c r="H56" i="2"/>
  <c r="BC174" i="22" s="1"/>
  <c r="H55" i="2"/>
  <c r="BC173" i="22" s="1"/>
  <c r="F197" i="9"/>
  <c r="E197" i="9"/>
  <c r="D197" i="9"/>
  <c r="C197" i="9"/>
  <c r="G197" i="9"/>
  <c r="I193" i="9"/>
  <c r="J193" i="9" s="1"/>
  <c r="K193" i="9" s="1"/>
  <c r="L193" i="9" s="1"/>
  <c r="F198" i="9"/>
  <c r="E198" i="9"/>
  <c r="D198" i="9"/>
  <c r="C198" i="9"/>
  <c r="B198" i="9"/>
  <c r="J46" i="2"/>
  <c r="BE166" i="22" s="1"/>
  <c r="I46" i="2"/>
  <c r="BD166" i="22" s="1"/>
  <c r="G131" i="9"/>
  <c r="C201" i="9"/>
  <c r="D201" i="9"/>
  <c r="E201" i="9"/>
  <c r="F201" i="9"/>
  <c r="G201" i="9"/>
  <c r="B201" i="9"/>
  <c r="B45" i="9"/>
  <c r="D45" i="9"/>
  <c r="E45" i="9"/>
  <c r="F45" i="9"/>
  <c r="G45" i="9"/>
  <c r="C45" i="9"/>
  <c r="M193" i="9" l="1"/>
  <c r="L72" i="1"/>
  <c r="G46" i="9"/>
  <c r="G21" i="9" s="1"/>
  <c r="G94" i="9"/>
  <c r="F94" i="9"/>
  <c r="C94" i="9"/>
  <c r="E94" i="9"/>
  <c r="B94" i="9"/>
  <c r="D94" i="9"/>
  <c r="I95" i="9"/>
  <c r="J95" i="9" s="1"/>
  <c r="K95" i="9" s="1"/>
  <c r="L95" i="9" s="1"/>
  <c r="M95" i="9" s="1"/>
  <c r="N95" i="9" s="1"/>
  <c r="E196" i="9"/>
  <c r="F196" i="9"/>
  <c r="C196" i="9"/>
  <c r="F46" i="9"/>
  <c r="F21" i="9" s="1"/>
  <c r="D196" i="9"/>
  <c r="I190" i="9"/>
  <c r="D46" i="9"/>
  <c r="D21" i="9" s="1"/>
  <c r="E46" i="9"/>
  <c r="E21" i="9" s="1"/>
  <c r="C46" i="9"/>
  <c r="H58" i="27"/>
  <c r="G58" i="27"/>
  <c r="F58" i="27"/>
  <c r="E58" i="27"/>
  <c r="I58" i="27"/>
  <c r="H42" i="27"/>
  <c r="F42" i="27"/>
  <c r="I56" i="27"/>
  <c r="H56" i="27"/>
  <c r="I57" i="27" s="1"/>
  <c r="G56" i="27"/>
  <c r="G57" i="27" s="1"/>
  <c r="F56" i="27"/>
  <c r="F57" i="27" s="1"/>
  <c r="E56" i="27"/>
  <c r="D56" i="27"/>
  <c r="E57" i="27" l="1"/>
  <c r="D58" i="27"/>
  <c r="D57" i="27"/>
  <c r="J57" i="27"/>
  <c r="J56" i="27" s="1"/>
  <c r="K56" i="27" s="1"/>
  <c r="N193" i="9"/>
  <c r="N72" i="1" s="1"/>
  <c r="M72" i="1"/>
  <c r="J190" i="9"/>
  <c r="K190" i="9" s="1"/>
  <c r="L190" i="9" s="1"/>
  <c r="H57" i="27"/>
  <c r="L64" i="1" l="1"/>
  <c r="M190" i="9"/>
  <c r="G167" i="9"/>
  <c r="D167" i="9"/>
  <c r="E167" i="9"/>
  <c r="F167" i="9"/>
  <c r="C167" i="9"/>
  <c r="N190" i="9" l="1"/>
  <c r="N64" i="1" s="1"/>
  <c r="M64" i="1"/>
  <c r="G1500" i="25"/>
  <c r="G1499" i="25"/>
  <c r="G1498" i="25"/>
  <c r="G1497" i="25"/>
  <c r="G1496" i="25"/>
  <c r="G1495" i="25"/>
  <c r="G1494" i="25"/>
  <c r="G1493" i="25"/>
  <c r="G1492" i="25"/>
  <c r="G1491" i="25"/>
  <c r="G1490" i="25"/>
  <c r="G1489" i="25"/>
  <c r="G1488" i="25"/>
  <c r="G1487" i="25"/>
  <c r="G1486" i="25"/>
  <c r="G1485" i="25"/>
  <c r="G1484" i="25"/>
  <c r="G1483" i="25"/>
  <c r="G1482" i="25"/>
  <c r="G1481" i="25"/>
  <c r="G1480" i="25"/>
  <c r="G1478" i="25"/>
  <c r="G1479" i="25" s="1"/>
  <c r="G1477" i="25"/>
  <c r="G1476" i="25"/>
  <c r="G1475" i="25"/>
  <c r="G1474" i="25"/>
  <c r="G1473" i="25"/>
  <c r="G1472" i="25"/>
  <c r="G1471" i="25"/>
  <c r="G1470" i="25"/>
  <c r="G1469" i="25"/>
  <c r="G1468" i="25"/>
  <c r="G1467" i="25"/>
  <c r="G1466" i="25"/>
  <c r="G1465" i="25"/>
  <c r="G1464" i="25"/>
  <c r="G1463" i="25"/>
  <c r="G1462" i="25"/>
  <c r="G1461" i="25"/>
  <c r="G1460" i="25"/>
  <c r="G1459" i="25"/>
  <c r="G1458" i="25"/>
  <c r="G1457" i="25"/>
  <c r="G1456" i="25"/>
  <c r="G1455" i="25"/>
  <c r="G1454" i="25"/>
  <c r="G1453" i="25"/>
  <c r="G1452" i="25"/>
  <c r="G1451" i="25"/>
  <c r="G1450" i="25"/>
  <c r="G1449" i="25"/>
  <c r="G1448" i="25"/>
  <c r="G1447" i="25"/>
  <c r="G1446" i="25"/>
  <c r="G1445" i="25"/>
  <c r="G1444" i="25"/>
  <c r="G1443" i="25"/>
  <c r="G1442" i="25"/>
  <c r="G1441" i="25"/>
  <c r="G1440" i="25"/>
  <c r="G1439" i="25"/>
  <c r="G1438" i="25"/>
  <c r="G1437" i="25"/>
  <c r="G1436" i="25"/>
  <c r="G1435" i="25"/>
  <c r="G1434" i="25"/>
  <c r="G1433" i="25"/>
  <c r="G1432" i="25"/>
  <c r="G1431" i="25"/>
  <c r="G1430" i="25"/>
  <c r="G1429" i="25"/>
  <c r="G1428" i="25"/>
  <c r="G1427" i="25"/>
  <c r="G1426" i="25"/>
  <c r="G1425" i="25"/>
  <c r="G1424" i="25"/>
  <c r="G1423" i="25"/>
  <c r="G1422" i="25"/>
  <c r="G1421" i="25"/>
  <c r="G1420" i="25"/>
  <c r="G1419" i="25"/>
  <c r="G1418" i="25"/>
  <c r="G1417" i="25"/>
  <c r="G1416" i="25"/>
  <c r="G1415" i="25"/>
  <c r="G1414" i="25"/>
  <c r="G1413" i="25"/>
  <c r="G1412" i="25"/>
  <c r="G1411" i="25"/>
  <c r="G1410" i="25"/>
  <c r="G1409" i="25"/>
  <c r="G1408" i="25"/>
  <c r="G1407" i="25"/>
  <c r="G1406" i="25"/>
  <c r="G1405" i="25"/>
  <c r="G1404" i="25"/>
  <c r="G1403" i="25"/>
  <c r="G1402" i="25"/>
  <c r="G1401" i="25"/>
  <c r="G1400" i="25"/>
  <c r="G1399" i="25"/>
  <c r="G1398" i="25"/>
  <c r="G1397" i="25"/>
  <c r="G1396" i="25"/>
  <c r="G1395" i="25"/>
  <c r="G1394" i="25"/>
  <c r="G1393" i="25"/>
  <c r="G1392" i="25"/>
  <c r="G1391" i="25"/>
  <c r="G1390" i="25"/>
  <c r="G1389" i="25"/>
  <c r="G1388" i="25"/>
  <c r="G1387" i="25"/>
  <c r="G1386" i="25"/>
  <c r="G1385" i="25"/>
  <c r="G1384" i="25"/>
  <c r="G1383" i="25"/>
  <c r="G1382" i="25"/>
  <c r="G1381" i="25"/>
  <c r="G1380" i="25"/>
  <c r="G1379" i="25"/>
  <c r="G1378" i="25"/>
  <c r="G1377" i="25"/>
  <c r="G1376" i="25"/>
  <c r="G1375" i="25"/>
  <c r="G1374" i="25"/>
  <c r="G1373" i="25"/>
  <c r="G1372" i="25"/>
  <c r="G1371" i="25"/>
  <c r="G1370" i="25"/>
  <c r="G1369" i="25"/>
  <c r="G1368" i="25"/>
  <c r="G1367" i="25"/>
  <c r="G1366" i="25"/>
  <c r="G1365" i="25"/>
  <c r="G1364" i="25"/>
  <c r="G1363" i="25"/>
  <c r="G1362" i="25"/>
  <c r="G1361" i="25"/>
  <c r="G1360" i="25"/>
  <c r="G1359" i="25"/>
  <c r="G1358" i="25"/>
  <c r="G1357" i="25"/>
  <c r="G1356" i="25"/>
  <c r="G1355" i="25"/>
  <c r="G1354" i="25"/>
  <c r="G1353" i="25"/>
  <c r="G1352" i="25"/>
  <c r="G1351" i="25"/>
  <c r="G1350" i="25"/>
  <c r="G1349" i="25"/>
  <c r="G1348" i="25"/>
  <c r="G1347" i="25"/>
  <c r="G1346" i="25"/>
  <c r="G1345" i="25"/>
  <c r="G1344" i="25"/>
  <c r="G1343" i="25"/>
  <c r="G1342" i="25"/>
  <c r="G1341" i="25"/>
  <c r="G1340" i="25"/>
  <c r="G1339" i="25"/>
  <c r="G1338" i="25"/>
  <c r="G1337" i="25"/>
  <c r="G1336" i="25"/>
  <c r="G1335" i="25"/>
  <c r="G1334" i="25"/>
  <c r="G1333" i="25"/>
  <c r="G1332" i="25"/>
  <c r="G1331" i="25"/>
  <c r="G1330" i="25"/>
  <c r="G1329" i="25"/>
  <c r="G1328" i="25"/>
  <c r="G1327" i="25"/>
  <c r="G1326" i="25"/>
  <c r="G1325" i="25"/>
  <c r="G1324" i="25"/>
  <c r="G1323" i="25"/>
  <c r="G1322" i="25"/>
  <c r="G1321" i="25"/>
  <c r="G1320" i="25"/>
  <c r="G1319" i="25"/>
  <c r="G1318" i="25"/>
  <c r="G1317" i="25"/>
  <c r="G1316" i="25"/>
  <c r="G1315" i="25"/>
  <c r="G1314" i="25"/>
  <c r="G1313" i="25"/>
  <c r="G1312" i="25"/>
  <c r="G1311" i="25"/>
  <c r="G1310" i="25"/>
  <c r="G1309" i="25"/>
  <c r="G1308" i="25"/>
  <c r="G1307" i="25"/>
  <c r="G1306" i="25"/>
  <c r="G1305" i="25"/>
  <c r="G1304" i="25"/>
  <c r="G1303" i="25"/>
  <c r="G1302" i="25"/>
  <c r="G1301" i="25"/>
  <c r="G1300" i="25"/>
  <c r="G1299" i="25"/>
  <c r="G1298" i="25"/>
  <c r="G1297" i="25"/>
  <c r="G1296" i="25"/>
  <c r="G1295" i="25"/>
  <c r="G1294" i="25"/>
  <c r="G1293" i="25"/>
  <c r="G1292" i="25"/>
  <c r="G1291" i="25"/>
  <c r="G1290" i="25"/>
  <c r="G1289" i="25"/>
  <c r="G1288" i="25"/>
  <c r="G1287" i="25"/>
  <c r="G1286" i="25"/>
  <c r="G1285" i="25"/>
  <c r="G1284" i="25"/>
  <c r="G1283" i="25"/>
  <c r="G1282" i="25"/>
  <c r="G1281" i="25"/>
  <c r="G1280" i="25"/>
  <c r="G1279" i="25"/>
  <c r="G1278" i="25"/>
  <c r="G1277" i="25"/>
  <c r="G1276" i="25"/>
  <c r="G1275" i="25"/>
  <c r="G1274" i="25"/>
  <c r="G1273" i="25"/>
  <c r="G1272" i="25"/>
  <c r="G1271" i="25"/>
  <c r="G1270" i="25"/>
  <c r="G1269" i="25"/>
  <c r="G1268" i="25"/>
  <c r="G1267" i="25"/>
  <c r="G1266" i="25"/>
  <c r="G1265" i="25"/>
  <c r="G1264" i="25"/>
  <c r="G1263" i="25"/>
  <c r="G1262" i="25"/>
  <c r="G1261" i="25"/>
  <c r="G1260" i="25"/>
  <c r="G1259" i="25"/>
  <c r="G1258" i="25"/>
  <c r="G1257" i="25"/>
  <c r="G1256" i="25"/>
  <c r="G1255" i="25"/>
  <c r="G1254" i="25"/>
  <c r="G1253" i="25"/>
  <c r="G1252" i="25"/>
  <c r="G1251" i="25"/>
  <c r="G1250" i="25"/>
  <c r="G1249" i="25"/>
  <c r="G1248" i="25"/>
  <c r="G1247" i="25"/>
  <c r="G1246" i="25"/>
  <c r="G1245" i="25"/>
  <c r="G1244" i="25"/>
  <c r="G1243" i="25"/>
  <c r="G1242" i="25"/>
  <c r="G1241" i="25"/>
  <c r="G1240" i="25"/>
  <c r="G1239" i="25"/>
  <c r="G1238" i="25"/>
  <c r="G1237" i="25"/>
  <c r="G1236" i="25"/>
  <c r="G1235" i="25"/>
  <c r="G1234" i="25"/>
  <c r="G1233" i="25"/>
  <c r="G1232" i="25"/>
  <c r="G1231" i="25"/>
  <c r="G1230" i="25"/>
  <c r="G1229" i="25"/>
  <c r="G1228" i="25"/>
  <c r="G1227" i="25"/>
  <c r="G1226" i="25"/>
  <c r="G1225" i="25"/>
  <c r="G1224" i="25"/>
  <c r="G1223" i="25"/>
  <c r="G1222" i="25"/>
  <c r="G1221" i="25"/>
  <c r="G1220" i="25"/>
  <c r="G1219" i="25"/>
  <c r="G1218" i="25"/>
  <c r="G1217" i="25"/>
  <c r="G1216" i="25"/>
  <c r="G1215" i="25"/>
  <c r="G1214" i="25"/>
  <c r="G1213" i="25"/>
  <c r="G1212" i="25"/>
  <c r="G1211" i="25"/>
  <c r="G1210" i="25"/>
  <c r="G1209" i="25"/>
  <c r="G1208" i="25"/>
  <c r="G1207" i="25"/>
  <c r="G1206" i="25"/>
  <c r="G1205" i="25"/>
  <c r="G1204" i="25"/>
  <c r="G1203" i="25"/>
  <c r="G1202" i="25"/>
  <c r="G1201" i="25"/>
  <c r="G1199" i="25"/>
  <c r="G1200" i="25" s="1"/>
  <c r="G1198" i="25"/>
  <c r="G1197" i="25"/>
  <c r="G1196" i="25"/>
  <c r="G1195" i="25"/>
  <c r="G1194" i="25"/>
  <c r="G1193" i="25"/>
  <c r="G1192" i="25"/>
  <c r="G1191" i="25"/>
  <c r="G1190" i="25"/>
  <c r="G1189" i="25"/>
  <c r="G1188" i="25"/>
  <c r="G1187" i="25"/>
  <c r="G1186" i="25"/>
  <c r="G1185" i="25"/>
  <c r="G1184" i="25"/>
  <c r="G1183" i="25"/>
  <c r="G1182" i="25"/>
  <c r="G1181" i="25"/>
  <c r="G1180" i="25"/>
  <c r="G1179" i="25"/>
  <c r="G1178" i="25"/>
  <c r="G1177" i="25"/>
  <c r="G1176" i="25"/>
  <c r="G1175" i="25"/>
  <c r="G1174" i="25"/>
  <c r="G1173" i="25"/>
  <c r="G1172" i="25"/>
  <c r="G1171" i="25"/>
  <c r="G1170" i="25"/>
  <c r="G1169" i="25"/>
  <c r="G1168" i="25"/>
  <c r="G1167" i="25"/>
  <c r="G1166" i="25"/>
  <c r="G1165" i="25"/>
  <c r="G1164" i="25"/>
  <c r="G1163" i="25"/>
  <c r="G1162" i="25"/>
  <c r="G1161" i="25"/>
  <c r="G1160" i="25"/>
  <c r="G1159" i="25"/>
  <c r="G1158" i="25"/>
  <c r="G1157" i="25"/>
  <c r="G1156" i="25"/>
  <c r="G1155" i="25"/>
  <c r="G1154" i="25"/>
  <c r="G1153" i="25"/>
  <c r="G1152" i="25"/>
  <c r="G1151" i="25"/>
  <c r="G1150" i="25"/>
  <c r="G1149" i="25"/>
  <c r="G1148" i="25"/>
  <c r="G1147" i="25"/>
  <c r="G1146" i="25"/>
  <c r="G1145" i="25"/>
  <c r="G1144" i="25"/>
  <c r="G1143" i="25"/>
  <c r="G1142" i="25"/>
  <c r="G1141" i="25"/>
  <c r="G1140" i="25"/>
  <c r="G1139" i="25"/>
  <c r="G1138" i="25"/>
  <c r="G1137" i="25"/>
  <c r="G1136" i="25"/>
  <c r="G1135" i="25"/>
  <c r="G1134" i="25"/>
  <c r="G1133" i="25"/>
  <c r="G1132" i="25"/>
  <c r="G1131" i="25"/>
  <c r="G1130" i="25"/>
  <c r="G1129" i="25"/>
  <c r="G1128" i="25"/>
  <c r="G1127" i="25"/>
  <c r="G1126" i="25"/>
  <c r="G1125" i="25"/>
  <c r="G1124" i="25"/>
  <c r="G1123" i="25"/>
  <c r="G1122" i="25"/>
  <c r="G1121" i="25"/>
  <c r="G1120" i="25"/>
  <c r="G1119" i="25"/>
  <c r="G1118" i="25"/>
  <c r="G1117" i="25"/>
  <c r="G1116" i="25"/>
  <c r="G1115" i="25"/>
  <c r="G1114" i="25"/>
  <c r="G1113" i="25"/>
  <c r="G1112" i="25"/>
  <c r="G1111" i="25"/>
  <c r="G1110" i="25"/>
  <c r="G1109" i="25"/>
  <c r="G1108" i="25"/>
  <c r="G1107" i="25"/>
  <c r="G1106" i="25"/>
  <c r="G1105" i="25"/>
  <c r="G1104" i="25"/>
  <c r="G1103" i="25"/>
  <c r="G1102" i="25"/>
  <c r="G1101" i="25"/>
  <c r="G1100" i="25"/>
  <c r="G1099" i="25"/>
  <c r="G1098" i="25"/>
  <c r="G1097" i="25"/>
  <c r="G1096" i="25"/>
  <c r="G1095" i="25"/>
  <c r="G1094" i="25"/>
  <c r="G1093" i="25"/>
  <c r="G1092" i="25"/>
  <c r="G1091" i="25"/>
  <c r="G1090" i="25"/>
  <c r="G1089" i="25"/>
  <c r="G1088" i="25"/>
  <c r="G1087" i="25"/>
  <c r="G1086" i="25"/>
  <c r="G1085" i="25"/>
  <c r="G1084" i="25"/>
  <c r="G1083" i="25"/>
  <c r="G1082" i="25"/>
  <c r="G1081" i="25"/>
  <c r="G1080" i="25"/>
  <c r="G1079" i="25"/>
  <c r="G1078" i="25"/>
  <c r="G1077" i="25"/>
  <c r="G1076" i="25"/>
  <c r="G1075" i="25"/>
  <c r="G1074" i="25"/>
  <c r="G1073" i="25"/>
  <c r="G1072" i="25"/>
  <c r="G1071" i="25"/>
  <c r="G1070" i="25"/>
  <c r="G1069" i="25"/>
  <c r="G1068" i="25"/>
  <c r="G1067" i="25"/>
  <c r="G1066" i="25"/>
  <c r="G1065" i="25"/>
  <c r="G1064" i="25"/>
  <c r="G1063" i="25"/>
  <c r="G1062" i="25"/>
  <c r="G1061" i="25"/>
  <c r="G1060" i="25"/>
  <c r="G1059" i="25"/>
  <c r="G1058" i="25"/>
  <c r="G1057" i="25"/>
  <c r="G1056" i="25"/>
  <c r="G1055" i="25"/>
  <c r="G1054" i="25"/>
  <c r="G1053" i="25"/>
  <c r="G1052" i="25"/>
  <c r="G1051" i="25"/>
  <c r="G1050" i="25"/>
  <c r="G1049" i="25"/>
  <c r="G1048" i="25"/>
  <c r="G1047" i="25"/>
  <c r="G1046" i="25"/>
  <c r="G1045" i="25"/>
  <c r="G1044" i="25"/>
  <c r="G1043" i="25"/>
  <c r="G1042" i="25"/>
  <c r="G1041" i="25"/>
  <c r="G1040" i="25"/>
  <c r="G1039" i="25"/>
  <c r="G1038" i="25"/>
  <c r="G1037" i="25"/>
  <c r="G1036" i="25"/>
  <c r="G1035" i="25"/>
  <c r="G1034" i="25"/>
  <c r="G1033" i="25"/>
  <c r="G1032" i="25"/>
  <c r="G1031" i="25"/>
  <c r="G1030" i="25"/>
  <c r="G1029" i="25"/>
  <c r="G1028" i="25"/>
  <c r="G1027" i="25"/>
  <c r="G1026" i="25"/>
  <c r="G1025" i="25"/>
  <c r="G1024" i="25"/>
  <c r="G1023" i="25"/>
  <c r="G1022" i="25"/>
  <c r="G1021" i="25"/>
  <c r="G1020" i="25"/>
  <c r="G1019" i="25"/>
  <c r="G1018" i="25"/>
  <c r="G1017" i="25"/>
  <c r="G1016" i="25"/>
  <c r="G1015" i="25"/>
  <c r="G1014" i="25"/>
  <c r="G1013" i="25"/>
  <c r="G1012" i="25"/>
  <c r="G1011" i="25"/>
  <c r="G1010" i="25"/>
  <c r="G1009" i="25"/>
  <c r="G1008" i="25"/>
  <c r="G1007" i="25"/>
  <c r="G1006" i="25"/>
  <c r="G1005" i="25"/>
  <c r="G1004" i="25"/>
  <c r="G1003" i="25"/>
  <c r="G1002" i="25"/>
  <c r="G1001" i="25"/>
  <c r="G1000" i="25"/>
  <c r="G999" i="25"/>
  <c r="G998" i="25"/>
  <c r="G997" i="25"/>
  <c r="G996" i="25"/>
  <c r="G995" i="25"/>
  <c r="G994" i="25"/>
  <c r="G993" i="25"/>
  <c r="G992" i="25"/>
  <c r="G991" i="25"/>
  <c r="G990" i="25"/>
  <c r="G989" i="25"/>
  <c r="G988" i="25"/>
  <c r="G987" i="25"/>
  <c r="G986" i="25"/>
  <c r="G985" i="25"/>
  <c r="G984" i="25"/>
  <c r="G983" i="25"/>
  <c r="G982" i="25"/>
  <c r="G981" i="25"/>
  <c r="G980" i="25"/>
  <c r="G979" i="25"/>
  <c r="G978" i="25"/>
  <c r="G977" i="25"/>
  <c r="G976" i="25"/>
  <c r="G975" i="25"/>
  <c r="G974" i="25"/>
  <c r="G973" i="25"/>
  <c r="G972" i="25"/>
  <c r="G971" i="25"/>
  <c r="G970" i="25"/>
  <c r="G969" i="25"/>
  <c r="G968" i="25"/>
  <c r="G967" i="25"/>
  <c r="G966" i="25"/>
  <c r="G965" i="25"/>
  <c r="G964" i="25"/>
  <c r="G963" i="25"/>
  <c r="G962" i="25"/>
  <c r="G961" i="25"/>
  <c r="G960" i="25"/>
  <c r="G959" i="25"/>
  <c r="G958" i="25"/>
  <c r="G957" i="25"/>
  <c r="G956" i="25"/>
  <c r="G955" i="25"/>
  <c r="G954" i="25"/>
  <c r="G953" i="25"/>
  <c r="G952" i="25"/>
  <c r="G951" i="25"/>
  <c r="G950" i="25"/>
  <c r="G949" i="25"/>
  <c r="G948" i="25"/>
  <c r="G947" i="25"/>
  <c r="G946" i="25"/>
  <c r="G945" i="25"/>
  <c r="G944" i="25"/>
  <c r="G943" i="25"/>
  <c r="G942" i="25"/>
  <c r="G941" i="25"/>
  <c r="G940" i="25"/>
  <c r="G939" i="25"/>
  <c r="G938" i="25"/>
  <c r="G937" i="25"/>
  <c r="G936" i="25"/>
  <c r="G935" i="25"/>
  <c r="G934" i="25"/>
  <c r="G933" i="25"/>
  <c r="G932" i="25"/>
  <c r="G931" i="25"/>
  <c r="G930" i="25"/>
  <c r="G929" i="25"/>
  <c r="G928" i="25"/>
  <c r="G927" i="25"/>
  <c r="G926" i="25"/>
  <c r="G925" i="25"/>
  <c r="G924" i="25"/>
  <c r="G923" i="25"/>
  <c r="G922" i="25"/>
  <c r="G921" i="25"/>
  <c r="G920" i="25"/>
  <c r="G919" i="25"/>
  <c r="G918" i="25"/>
  <c r="G917" i="25"/>
  <c r="G916" i="25"/>
  <c r="G915" i="25"/>
  <c r="G914" i="25"/>
  <c r="G913" i="25"/>
  <c r="G912" i="25"/>
  <c r="G911" i="25"/>
  <c r="G910" i="25"/>
  <c r="G909" i="25"/>
  <c r="G908" i="25"/>
  <c r="G907" i="25"/>
  <c r="G906" i="25"/>
  <c r="G905" i="25"/>
  <c r="G904" i="25"/>
  <c r="G903" i="25"/>
  <c r="G902" i="25"/>
  <c r="G901" i="25"/>
  <c r="G900" i="25"/>
  <c r="G899" i="25"/>
  <c r="G898" i="25"/>
  <c r="G897" i="25"/>
  <c r="G896" i="25"/>
  <c r="G895" i="25"/>
  <c r="G894" i="25"/>
  <c r="G893" i="25"/>
  <c r="G892" i="25"/>
  <c r="G891" i="25"/>
  <c r="G890" i="25"/>
  <c r="G889" i="25"/>
  <c r="G888" i="25"/>
  <c r="G887" i="25"/>
  <c r="G886" i="25"/>
  <c r="G885" i="25"/>
  <c r="G884" i="25"/>
  <c r="G883" i="25"/>
  <c r="G882" i="25"/>
  <c r="G881" i="25"/>
  <c r="G880" i="25"/>
  <c r="G879" i="25"/>
  <c r="G878" i="25"/>
  <c r="G877" i="25"/>
  <c r="G876" i="25"/>
  <c r="G875" i="25"/>
  <c r="G874" i="25"/>
  <c r="G873" i="25"/>
  <c r="G872" i="25"/>
  <c r="G871" i="25"/>
  <c r="G870" i="25"/>
  <c r="G869" i="25"/>
  <c r="G868" i="25"/>
  <c r="G867" i="25"/>
  <c r="G866" i="25"/>
  <c r="G865" i="25"/>
  <c r="G864" i="25"/>
  <c r="G863" i="25"/>
  <c r="G862" i="25"/>
  <c r="G861" i="25"/>
  <c r="G860" i="25"/>
  <c r="G859" i="25"/>
  <c r="G858" i="25"/>
  <c r="G857" i="25"/>
  <c r="G856" i="25"/>
  <c r="G855" i="25"/>
  <c r="G854" i="25"/>
  <c r="G853" i="25"/>
  <c r="G852" i="25"/>
  <c r="G851" i="25"/>
  <c r="G850" i="25"/>
  <c r="G849" i="25"/>
  <c r="G848" i="25"/>
  <c r="G847" i="25"/>
  <c r="G846" i="25"/>
  <c r="G845" i="25"/>
  <c r="G844" i="25"/>
  <c r="G843" i="25"/>
  <c r="G842" i="25"/>
  <c r="G841" i="25"/>
  <c r="G840" i="25"/>
  <c r="G839" i="25"/>
  <c r="G838" i="25"/>
  <c r="G837" i="25"/>
  <c r="G836" i="25"/>
  <c r="G835" i="25"/>
  <c r="G834" i="25"/>
  <c r="G833" i="25"/>
  <c r="G832" i="25"/>
  <c r="G831" i="25"/>
  <c r="G830" i="25"/>
  <c r="G829" i="25"/>
  <c r="G828" i="25"/>
  <c r="G827" i="25"/>
  <c r="G826" i="25"/>
  <c r="G825" i="25"/>
  <c r="G824" i="25"/>
  <c r="G823" i="25"/>
  <c r="G822" i="25"/>
  <c r="G821" i="25"/>
  <c r="G820" i="25"/>
  <c r="G819" i="25"/>
  <c r="G818" i="25"/>
  <c r="G817" i="25"/>
  <c r="G816" i="25"/>
  <c r="G815" i="25"/>
  <c r="G814" i="25"/>
  <c r="G813" i="25"/>
  <c r="G812" i="25"/>
  <c r="G811" i="25"/>
  <c r="G810" i="25"/>
  <c r="G809" i="25"/>
  <c r="G808" i="25"/>
  <c r="G807" i="25"/>
  <c r="G806" i="25"/>
  <c r="G805" i="25"/>
  <c r="G804" i="25"/>
  <c r="G803" i="25"/>
  <c r="G802" i="25"/>
  <c r="G801" i="25"/>
  <c r="G800" i="25"/>
  <c r="G799" i="25"/>
  <c r="G798" i="25"/>
  <c r="G797" i="25"/>
  <c r="G796" i="25"/>
  <c r="G795" i="25"/>
  <c r="G794" i="25"/>
  <c r="G793" i="25"/>
  <c r="G792" i="25"/>
  <c r="G791" i="25"/>
  <c r="G790" i="25"/>
  <c r="G789" i="25"/>
  <c r="G788" i="25"/>
  <c r="G787" i="25"/>
  <c r="G786" i="25"/>
  <c r="G785" i="25"/>
  <c r="G784" i="25"/>
  <c r="G783" i="25"/>
  <c r="G782" i="25"/>
  <c r="G781" i="25"/>
  <c r="G780" i="25"/>
  <c r="G779" i="25"/>
  <c r="G778" i="25"/>
  <c r="G777" i="25"/>
  <c r="G776" i="25"/>
  <c r="G775" i="25"/>
  <c r="G774" i="25"/>
  <c r="G773" i="25"/>
  <c r="G772" i="25"/>
  <c r="G771" i="25"/>
  <c r="G770" i="25"/>
  <c r="G769" i="25"/>
  <c r="G768" i="25"/>
  <c r="G767" i="25"/>
  <c r="G766" i="25"/>
  <c r="G765" i="25"/>
  <c r="G764" i="25"/>
  <c r="G763" i="25"/>
  <c r="G762" i="25"/>
  <c r="G761" i="25"/>
  <c r="G760" i="25"/>
  <c r="G759" i="25"/>
  <c r="G758" i="25"/>
  <c r="G757" i="25"/>
  <c r="G756" i="25"/>
  <c r="G755" i="25"/>
  <c r="G754" i="25"/>
  <c r="G753" i="25"/>
  <c r="G752" i="25"/>
  <c r="G751" i="25"/>
  <c r="G750" i="25"/>
  <c r="G749" i="25"/>
  <c r="G748" i="25"/>
  <c r="G747" i="25"/>
  <c r="G746" i="25"/>
  <c r="G745" i="25"/>
  <c r="G744" i="25"/>
  <c r="G743" i="25"/>
  <c r="G742" i="25"/>
  <c r="G741" i="25"/>
  <c r="G740" i="25"/>
  <c r="G739" i="25"/>
  <c r="G738" i="25"/>
  <c r="G737" i="25"/>
  <c r="G736" i="25"/>
  <c r="G735" i="25"/>
  <c r="G734" i="25"/>
  <c r="G733" i="25"/>
  <c r="G732" i="25"/>
  <c r="G731" i="25"/>
  <c r="G730" i="25"/>
  <c r="G729" i="25"/>
  <c r="G728" i="25"/>
  <c r="G727" i="25"/>
  <c r="G726" i="25"/>
  <c r="G725" i="25"/>
  <c r="G724" i="25"/>
  <c r="G723" i="25"/>
  <c r="G722" i="25"/>
  <c r="G721" i="25"/>
  <c r="G720" i="25"/>
  <c r="G719" i="25"/>
  <c r="G718" i="25"/>
  <c r="G717" i="25"/>
  <c r="G716" i="25"/>
  <c r="G715" i="25"/>
  <c r="G714" i="25"/>
  <c r="G713" i="25"/>
  <c r="G712" i="25"/>
  <c r="G711" i="25"/>
  <c r="G710" i="25"/>
  <c r="G709" i="25"/>
  <c r="G708" i="25"/>
  <c r="G707" i="25"/>
  <c r="G706" i="25"/>
  <c r="G705" i="25"/>
  <c r="G704" i="25"/>
  <c r="G703" i="25"/>
  <c r="G702" i="25"/>
  <c r="G701" i="25"/>
  <c r="G700" i="25"/>
  <c r="G699" i="25"/>
  <c r="G698" i="25"/>
  <c r="G697" i="25"/>
  <c r="G696" i="25"/>
  <c r="G695" i="25"/>
  <c r="G694" i="25"/>
  <c r="G693" i="25"/>
  <c r="G692" i="25"/>
  <c r="G691" i="25"/>
  <c r="G690" i="25"/>
  <c r="G689" i="25"/>
  <c r="G688" i="25"/>
  <c r="G687" i="25"/>
  <c r="G686" i="25"/>
  <c r="G685" i="25"/>
  <c r="G684" i="25"/>
  <c r="G683" i="25"/>
  <c r="G682" i="25"/>
  <c r="G681" i="25"/>
  <c r="G680" i="25"/>
  <c r="G679" i="25"/>
  <c r="G678" i="25"/>
  <c r="G677" i="25"/>
  <c r="G676" i="25"/>
  <c r="G675" i="25"/>
  <c r="G674" i="25"/>
  <c r="G673" i="25"/>
  <c r="G672" i="25"/>
  <c r="G671" i="25"/>
  <c r="G670" i="25"/>
  <c r="G669" i="25"/>
  <c r="G668" i="25"/>
  <c r="G667" i="25"/>
  <c r="G666" i="25"/>
  <c r="G665" i="25"/>
  <c r="G664" i="25"/>
  <c r="G663" i="25"/>
  <c r="G662" i="25"/>
  <c r="G661" i="25"/>
  <c r="G660" i="25"/>
  <c r="G659" i="25"/>
  <c r="G658" i="25"/>
  <c r="G657" i="25"/>
  <c r="G656" i="25"/>
  <c r="G655" i="25"/>
  <c r="G654" i="25"/>
  <c r="G653" i="25"/>
  <c r="G652" i="25"/>
  <c r="G651" i="25"/>
  <c r="G650" i="25"/>
  <c r="G649" i="25"/>
  <c r="G648" i="25"/>
  <c r="G647" i="25"/>
  <c r="G646" i="25"/>
  <c r="G645" i="25"/>
  <c r="G644" i="25"/>
  <c r="G643" i="25"/>
  <c r="G642" i="25"/>
  <c r="G641" i="25"/>
  <c r="G640" i="25"/>
  <c r="G639" i="25"/>
  <c r="G638" i="25"/>
  <c r="G637" i="25"/>
  <c r="G636" i="25"/>
  <c r="G635" i="25"/>
  <c r="G634" i="25"/>
  <c r="G633" i="25"/>
  <c r="G632" i="25"/>
  <c r="G631" i="25"/>
  <c r="G630" i="25"/>
  <c r="G629" i="25"/>
  <c r="G628" i="25"/>
  <c r="G627" i="25"/>
  <c r="G626" i="25"/>
  <c r="G625" i="25"/>
  <c r="G624" i="25"/>
  <c r="G623" i="25"/>
  <c r="G622" i="25"/>
  <c r="G621" i="25"/>
  <c r="G620" i="25"/>
  <c r="G619" i="25"/>
  <c r="G618" i="25"/>
  <c r="G617" i="25"/>
  <c r="G616" i="25"/>
  <c r="G615" i="25"/>
  <c r="G614" i="25"/>
  <c r="G613" i="25"/>
  <c r="G612" i="25"/>
  <c r="G611" i="25"/>
  <c r="G610" i="25"/>
  <c r="G609" i="25"/>
  <c r="G608" i="25"/>
  <c r="G607" i="25"/>
  <c r="G606" i="25"/>
  <c r="G605" i="25"/>
  <c r="G604" i="25"/>
  <c r="G603" i="25"/>
  <c r="G602" i="25"/>
  <c r="G601" i="25"/>
  <c r="G600" i="25"/>
  <c r="G599" i="25"/>
  <c r="G598" i="25"/>
  <c r="G597" i="25"/>
  <c r="G596" i="25"/>
  <c r="G595" i="25"/>
  <c r="G594" i="25"/>
  <c r="G593" i="25"/>
  <c r="G592" i="25"/>
  <c r="G591" i="25"/>
  <c r="G590" i="25"/>
  <c r="G589" i="25"/>
  <c r="G588" i="25"/>
  <c r="G587" i="25"/>
  <c r="G586" i="25"/>
  <c r="G585" i="25"/>
  <c r="G584" i="25"/>
  <c r="G583" i="25"/>
  <c r="G582" i="25"/>
  <c r="G581" i="25"/>
  <c r="G580" i="25"/>
  <c r="G579" i="25"/>
  <c r="G578" i="25"/>
  <c r="G577" i="25"/>
  <c r="G576" i="25"/>
  <c r="G575" i="25"/>
  <c r="G574" i="25"/>
  <c r="G573" i="25"/>
  <c r="G572" i="25"/>
  <c r="G571" i="25"/>
  <c r="G570" i="25"/>
  <c r="G569" i="25"/>
  <c r="G568" i="25"/>
  <c r="G567" i="25"/>
  <c r="G566" i="25"/>
  <c r="G565" i="25"/>
  <c r="G564" i="25"/>
  <c r="G563" i="25"/>
  <c r="G562" i="25"/>
  <c r="G561" i="25"/>
  <c r="G560" i="25"/>
  <c r="G559" i="25"/>
  <c r="G558" i="25"/>
  <c r="G557" i="25"/>
  <c r="G556" i="25"/>
  <c r="G555" i="25"/>
  <c r="G554" i="25"/>
  <c r="G553" i="25"/>
  <c r="G552" i="25"/>
  <c r="G551" i="25"/>
  <c r="G550" i="25"/>
  <c r="G549" i="25"/>
  <c r="G548" i="25"/>
  <c r="G547" i="25"/>
  <c r="G546" i="25"/>
  <c r="G545" i="25"/>
  <c r="G544" i="25"/>
  <c r="G543" i="25"/>
  <c r="G542" i="25"/>
  <c r="G541" i="25"/>
  <c r="G540" i="25"/>
  <c r="G539" i="25"/>
  <c r="G538" i="25"/>
  <c r="G537" i="25"/>
  <c r="G536" i="25"/>
  <c r="G535" i="25"/>
  <c r="G534" i="25"/>
  <c r="G533" i="25"/>
  <c r="G532" i="25"/>
  <c r="G531" i="25"/>
  <c r="G530" i="25"/>
  <c r="G529" i="25"/>
  <c r="G528" i="25"/>
  <c r="G527" i="25"/>
  <c r="G526" i="25"/>
  <c r="G525" i="25"/>
  <c r="G524" i="25"/>
  <c r="G523" i="25"/>
  <c r="G522" i="25"/>
  <c r="G521" i="25"/>
  <c r="G520" i="25"/>
  <c r="G519" i="25"/>
  <c r="G518" i="25"/>
  <c r="G517" i="25"/>
  <c r="G516" i="25"/>
  <c r="G515" i="25"/>
  <c r="G514" i="25"/>
  <c r="G513" i="25"/>
  <c r="G512" i="25"/>
  <c r="G511" i="25"/>
  <c r="G510" i="25"/>
  <c r="G509" i="25"/>
  <c r="G508" i="25"/>
  <c r="G507" i="25"/>
  <c r="G506" i="25"/>
  <c r="G505" i="25"/>
  <c r="G504" i="25"/>
  <c r="G503" i="25"/>
  <c r="G502" i="25"/>
  <c r="G501" i="25"/>
  <c r="G500" i="25"/>
  <c r="G499" i="25"/>
  <c r="G498" i="25"/>
  <c r="G497" i="25"/>
  <c r="G496" i="25"/>
  <c r="G495" i="25"/>
  <c r="G494" i="25"/>
  <c r="G493" i="25"/>
  <c r="G492" i="25"/>
  <c r="G491" i="25"/>
  <c r="G490" i="25"/>
  <c r="G489" i="25"/>
  <c r="G488" i="25"/>
  <c r="G487" i="25"/>
  <c r="G486" i="25"/>
  <c r="G485" i="25"/>
  <c r="G484" i="25"/>
  <c r="G483" i="25"/>
  <c r="G482" i="25"/>
  <c r="G481" i="25"/>
  <c r="G480" i="25"/>
  <c r="G479" i="25"/>
  <c r="G478" i="25"/>
  <c r="G477" i="25"/>
  <c r="G476" i="25"/>
  <c r="G475" i="25"/>
  <c r="G474" i="25"/>
  <c r="G473" i="25"/>
  <c r="G472" i="25"/>
  <c r="G471" i="25"/>
  <c r="G470" i="25"/>
  <c r="G469" i="25"/>
  <c r="G468" i="25"/>
  <c r="G467" i="25"/>
  <c r="G466" i="25"/>
  <c r="G465" i="25"/>
  <c r="G464" i="25"/>
  <c r="G463" i="25"/>
  <c r="G462" i="25"/>
  <c r="G461" i="25"/>
  <c r="G460" i="25"/>
  <c r="G459" i="25"/>
  <c r="G458" i="25"/>
  <c r="G457" i="25"/>
  <c r="G456" i="25"/>
  <c r="G455" i="25"/>
  <c r="G454" i="25"/>
  <c r="G453" i="25"/>
  <c r="G452" i="25"/>
  <c r="G451" i="25"/>
  <c r="G450" i="25"/>
  <c r="G449" i="25"/>
  <c r="G448" i="25"/>
  <c r="G447" i="25"/>
  <c r="G446" i="25"/>
  <c r="G445" i="25"/>
  <c r="G444" i="25"/>
  <c r="G443" i="25"/>
  <c r="G442" i="25"/>
  <c r="G441" i="25"/>
  <c r="G440" i="25"/>
  <c r="G439" i="25"/>
  <c r="G438" i="25"/>
  <c r="G437" i="25"/>
  <c r="G436" i="25"/>
  <c r="G435" i="25"/>
  <c r="G434" i="25"/>
  <c r="G433" i="25"/>
  <c r="G432" i="25"/>
  <c r="G431" i="25"/>
  <c r="G430" i="25"/>
  <c r="G429" i="25"/>
  <c r="G428" i="25"/>
  <c r="G427" i="25"/>
  <c r="G426" i="25"/>
  <c r="G425" i="25"/>
  <c r="G424" i="25"/>
  <c r="G423" i="25"/>
  <c r="G422" i="25"/>
  <c r="G421" i="25"/>
  <c r="G420" i="25"/>
  <c r="G419" i="25"/>
  <c r="G418" i="25"/>
  <c r="G417" i="25"/>
  <c r="G416" i="25"/>
  <c r="G415" i="25"/>
  <c r="G414" i="25"/>
  <c r="G413" i="25"/>
  <c r="G412" i="25"/>
  <c r="G411" i="25"/>
  <c r="G410" i="25"/>
  <c r="G409" i="25"/>
  <c r="G408" i="25"/>
  <c r="G407" i="25"/>
  <c r="G406" i="25"/>
  <c r="G405" i="25"/>
  <c r="G404" i="25"/>
  <c r="G403" i="25"/>
  <c r="G402" i="25"/>
  <c r="G401" i="25"/>
  <c r="G400" i="25"/>
  <c r="G399" i="25"/>
  <c r="G398" i="25"/>
  <c r="G397" i="25"/>
  <c r="G396" i="25"/>
  <c r="G395" i="25"/>
  <c r="G394" i="25"/>
  <c r="G393" i="25"/>
  <c r="G392" i="25"/>
  <c r="G391" i="25"/>
  <c r="G390" i="25"/>
  <c r="G389" i="25"/>
  <c r="G388" i="25"/>
  <c r="G387" i="25"/>
  <c r="G386" i="25"/>
  <c r="G385" i="25"/>
  <c r="G384" i="25"/>
  <c r="G383" i="25"/>
  <c r="G382" i="25"/>
  <c r="G381" i="25"/>
  <c r="G380" i="25"/>
  <c r="G379" i="25"/>
  <c r="G378" i="25"/>
  <c r="G377" i="25"/>
  <c r="G376" i="25"/>
  <c r="G375" i="25"/>
  <c r="G374" i="25"/>
  <c r="G373" i="25"/>
  <c r="G372" i="25"/>
  <c r="G371" i="25"/>
  <c r="G370" i="25"/>
  <c r="G369" i="25"/>
  <c r="G368" i="25"/>
  <c r="G367" i="25"/>
  <c r="G366" i="25"/>
  <c r="G365" i="25"/>
  <c r="G364" i="25"/>
  <c r="G363" i="25"/>
  <c r="G362" i="25"/>
  <c r="G361" i="25"/>
  <c r="G360" i="25"/>
  <c r="G359" i="25"/>
  <c r="G358" i="25"/>
  <c r="G357" i="25"/>
  <c r="G356" i="25"/>
  <c r="G355" i="25"/>
  <c r="G354" i="25"/>
  <c r="G353" i="25"/>
  <c r="G352" i="25"/>
  <c r="G351" i="25"/>
  <c r="G350" i="25"/>
  <c r="G349" i="25"/>
  <c r="G348" i="25"/>
  <c r="G347" i="25"/>
  <c r="G346" i="25"/>
  <c r="G345" i="25"/>
  <c r="G344" i="25"/>
  <c r="G343" i="25"/>
  <c r="G342" i="25"/>
  <c r="G341" i="25"/>
  <c r="G340" i="25"/>
  <c r="G339" i="25"/>
  <c r="G338" i="25"/>
  <c r="G337" i="25"/>
  <c r="G336" i="25"/>
  <c r="G335" i="25"/>
  <c r="G334" i="25"/>
  <c r="G333" i="25"/>
  <c r="G332" i="25"/>
  <c r="G331" i="25"/>
  <c r="G330" i="25"/>
  <c r="G329" i="25"/>
  <c r="G328" i="25"/>
  <c r="G327" i="25"/>
  <c r="G326" i="25"/>
  <c r="G325" i="25"/>
  <c r="G324" i="25"/>
  <c r="G323" i="25"/>
  <c r="G322" i="25"/>
  <c r="G321" i="25"/>
  <c r="G320" i="25"/>
  <c r="G319" i="25"/>
  <c r="G318" i="25"/>
  <c r="G317" i="25"/>
  <c r="G316" i="25"/>
  <c r="G315" i="25"/>
  <c r="G314" i="25"/>
  <c r="G313" i="25"/>
  <c r="G312" i="25"/>
  <c r="G311" i="25"/>
  <c r="G310" i="25"/>
  <c r="G309" i="25"/>
  <c r="G308" i="25"/>
  <c r="G307" i="25"/>
  <c r="G306" i="25"/>
  <c r="G305" i="25"/>
  <c r="G304" i="25"/>
  <c r="G303" i="25"/>
  <c r="G302" i="25"/>
  <c r="G301" i="25"/>
  <c r="G300" i="25"/>
  <c r="G299" i="25"/>
  <c r="G298" i="25"/>
  <c r="G297" i="25"/>
  <c r="G296" i="25"/>
  <c r="G295" i="25"/>
  <c r="G294" i="25"/>
  <c r="G293" i="25"/>
  <c r="G292" i="25"/>
  <c r="G291" i="25"/>
  <c r="G290" i="25"/>
  <c r="G289" i="25"/>
  <c r="G288" i="25"/>
  <c r="G287" i="25"/>
  <c r="G286" i="25"/>
  <c r="G285" i="25"/>
  <c r="G284" i="25"/>
  <c r="G283" i="25"/>
  <c r="G282" i="25"/>
  <c r="G281" i="25"/>
  <c r="G280" i="25"/>
  <c r="G279" i="25"/>
  <c r="G278" i="25"/>
  <c r="G277" i="25"/>
  <c r="G276" i="25"/>
  <c r="G275" i="25"/>
  <c r="G274" i="25"/>
  <c r="G273" i="25"/>
  <c r="G272" i="25"/>
  <c r="G271" i="25"/>
  <c r="G270" i="25"/>
  <c r="G269" i="25"/>
  <c r="G268" i="25"/>
  <c r="G267" i="25"/>
  <c r="G266" i="25"/>
  <c r="G265" i="25"/>
  <c r="G264" i="25"/>
  <c r="G263" i="25"/>
  <c r="G262" i="25"/>
  <c r="G261" i="25"/>
  <c r="G260" i="25"/>
  <c r="G259" i="25"/>
  <c r="G258" i="25"/>
  <c r="G257" i="25"/>
  <c r="G256" i="25"/>
  <c r="G255" i="25"/>
  <c r="G254" i="25"/>
  <c r="G253" i="25"/>
  <c r="G252" i="25"/>
  <c r="G251" i="25"/>
  <c r="G250" i="25"/>
  <c r="G249" i="25"/>
  <c r="G248" i="25"/>
  <c r="G247" i="25"/>
  <c r="G246" i="25"/>
  <c r="G245" i="25"/>
  <c r="G244" i="25"/>
  <c r="G243" i="25"/>
  <c r="G242" i="25"/>
  <c r="G241" i="25"/>
  <c r="G240" i="25"/>
  <c r="G239" i="25"/>
  <c r="G238" i="25"/>
  <c r="G237" i="25"/>
  <c r="G236" i="25"/>
  <c r="G235" i="25"/>
  <c r="G234" i="25"/>
  <c r="G233" i="25"/>
  <c r="G232" i="25"/>
  <c r="G231" i="25"/>
  <c r="G230" i="25"/>
  <c r="G229" i="25"/>
  <c r="G228" i="25"/>
  <c r="G227" i="25"/>
  <c r="G226" i="25"/>
  <c r="G225" i="25"/>
  <c r="G224" i="25"/>
  <c r="G223" i="25"/>
  <c r="G222" i="25"/>
  <c r="G221" i="25"/>
  <c r="G220" i="25"/>
  <c r="G219" i="25"/>
  <c r="G218" i="25"/>
  <c r="G217" i="25"/>
  <c r="G216" i="25"/>
  <c r="G215" i="25"/>
  <c r="G214" i="25"/>
  <c r="G213" i="25"/>
  <c r="G212" i="25"/>
  <c r="G211" i="25"/>
  <c r="G210" i="25"/>
  <c r="G209" i="25"/>
  <c r="G208" i="25"/>
  <c r="G207" i="25"/>
  <c r="G206" i="25"/>
  <c r="G205" i="25"/>
  <c r="G204" i="25"/>
  <c r="G203" i="25"/>
  <c r="G202" i="25"/>
  <c r="G201" i="25"/>
  <c r="G200" i="25"/>
  <c r="G199" i="25"/>
  <c r="G198" i="25"/>
  <c r="G197" i="25"/>
  <c r="G196" i="25"/>
  <c r="G195" i="25"/>
  <c r="G194" i="25"/>
  <c r="G193" i="25"/>
  <c r="G192" i="25"/>
  <c r="G191" i="25"/>
  <c r="G190" i="25"/>
  <c r="G189" i="25"/>
  <c r="G188" i="25"/>
  <c r="G187" i="25"/>
  <c r="G186" i="25"/>
  <c r="G185" i="25"/>
  <c r="G184" i="25"/>
  <c r="G183" i="25"/>
  <c r="G182" i="25"/>
  <c r="G181" i="25"/>
  <c r="G180" i="25"/>
  <c r="G179" i="25"/>
  <c r="G178" i="25"/>
  <c r="G177" i="25"/>
  <c r="G176" i="25"/>
  <c r="G175" i="25"/>
  <c r="G174" i="25"/>
  <c r="G173" i="25"/>
  <c r="G172" i="25"/>
  <c r="G171" i="25"/>
  <c r="G170" i="25"/>
  <c r="G169" i="25"/>
  <c r="G168" i="25"/>
  <c r="G167" i="25"/>
  <c r="G166" i="25"/>
  <c r="G165" i="25"/>
  <c r="G164" i="25"/>
  <c r="G163" i="25"/>
  <c r="G162" i="25"/>
  <c r="G161" i="25"/>
  <c r="G160" i="25"/>
  <c r="G159" i="25"/>
  <c r="G158" i="25"/>
  <c r="G157" i="25"/>
  <c r="G156" i="25"/>
  <c r="G155" i="25"/>
  <c r="G154" i="25"/>
  <c r="G153" i="25"/>
  <c r="G152" i="25"/>
  <c r="G151" i="25"/>
  <c r="G150" i="25"/>
  <c r="G149" i="25"/>
  <c r="G148" i="25"/>
  <c r="G147" i="25"/>
  <c r="G146" i="25"/>
  <c r="G145" i="25"/>
  <c r="G144" i="25"/>
  <c r="G143" i="25"/>
  <c r="G142" i="25"/>
  <c r="G141" i="25"/>
  <c r="G140" i="25"/>
  <c r="G139" i="25"/>
  <c r="G138" i="25"/>
  <c r="G137" i="25"/>
  <c r="G136" i="25"/>
  <c r="G135" i="25"/>
  <c r="G134" i="25"/>
  <c r="G133" i="25"/>
  <c r="G132" i="25"/>
  <c r="G131" i="25"/>
  <c r="G130" i="25"/>
  <c r="G129" i="25"/>
  <c r="G128" i="25"/>
  <c r="G127" i="25"/>
  <c r="G126" i="25"/>
  <c r="G125" i="25"/>
  <c r="G124" i="25"/>
  <c r="G123" i="25"/>
  <c r="G122" i="25"/>
  <c r="G121" i="25"/>
  <c r="G120" i="25"/>
  <c r="G119" i="25"/>
  <c r="G118" i="25"/>
  <c r="G117" i="25"/>
  <c r="G116" i="25"/>
  <c r="G115" i="25"/>
  <c r="G114" i="25"/>
  <c r="G113" i="25"/>
  <c r="G112" i="25"/>
  <c r="G111" i="25"/>
  <c r="G110" i="25"/>
  <c r="G109" i="25"/>
  <c r="G108" i="25"/>
  <c r="G107" i="25"/>
  <c r="G106"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G77" i="25"/>
  <c r="G76" i="25"/>
  <c r="G75" i="25"/>
  <c r="G74" i="25"/>
  <c r="G73" i="25"/>
  <c r="G72" i="25"/>
  <c r="G71" i="25"/>
  <c r="G70" i="25"/>
  <c r="G69" i="25"/>
  <c r="G68" i="25"/>
  <c r="G67" i="25"/>
  <c r="G66" i="25"/>
  <c r="G65" i="25"/>
  <c r="G64" i="25"/>
  <c r="G63" i="25"/>
  <c r="G62" i="25"/>
  <c r="G61" i="25"/>
  <c r="G60" i="25"/>
  <c r="G59" i="25"/>
  <c r="G58" i="25"/>
  <c r="G57" i="25"/>
  <c r="G56" i="25"/>
  <c r="G55" i="25"/>
  <c r="G54" i="25"/>
  <c r="G53" i="25"/>
  <c r="G52" i="25"/>
  <c r="G51" i="25"/>
  <c r="G50" i="25"/>
  <c r="G49" i="25"/>
  <c r="G48" i="25"/>
  <c r="G47" i="25"/>
  <c r="G46" i="25"/>
  <c r="G45" i="25"/>
  <c r="G44" i="25"/>
  <c r="G43" i="25"/>
  <c r="G42" i="25"/>
  <c r="G41" i="25"/>
  <c r="G40" i="25"/>
  <c r="G39" i="25"/>
  <c r="G38" i="25"/>
  <c r="G37" i="25"/>
  <c r="G36" i="25"/>
  <c r="G35" i="25"/>
  <c r="G34" i="25"/>
  <c r="G33" i="25"/>
  <c r="G32" i="25"/>
  <c r="G31" i="25"/>
  <c r="G30" i="25"/>
  <c r="G29" i="25"/>
  <c r="G28" i="25"/>
  <c r="G27" i="25"/>
  <c r="G26" i="25"/>
  <c r="G25" i="25"/>
  <c r="G24" i="25"/>
  <c r="G23" i="25"/>
  <c r="G22" i="25"/>
  <c r="G21" i="25"/>
  <c r="G20" i="25"/>
  <c r="G19" i="25"/>
  <c r="G18" i="25"/>
  <c r="G17" i="25"/>
  <c r="G16" i="25"/>
  <c r="G15" i="25"/>
  <c r="G14" i="25"/>
  <c r="G13" i="25"/>
  <c r="G12" i="25"/>
  <c r="G11" i="25"/>
  <c r="G10" i="25"/>
  <c r="G9" i="25"/>
  <c r="G8" i="25"/>
  <c r="G7" i="25"/>
  <c r="G6" i="25"/>
  <c r="G5" i="25"/>
  <c r="J244" i="25" l="1"/>
  <c r="J469" i="25"/>
  <c r="J1422" i="25"/>
  <c r="J940" i="25"/>
  <c r="J5" i="25"/>
  <c r="J697" i="25"/>
  <c r="J1180" i="25"/>
  <c r="P4" i="1"/>
  <c r="J29" i="22" l="1"/>
  <c r="A21" i="21" l="1"/>
  <c r="A20" i="21"/>
  <c r="A19" i="21"/>
  <c r="G5" i="23" l="1"/>
  <c r="G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39" i="23"/>
  <c r="G40" i="23"/>
  <c r="G41" i="23"/>
  <c r="G42" i="23"/>
  <c r="G43" i="23"/>
  <c r="G44" i="23"/>
  <c r="G45" i="23"/>
  <c r="G46" i="23"/>
  <c r="G47" i="23"/>
  <c r="G48" i="23"/>
  <c r="G49" i="23"/>
  <c r="G50" i="23"/>
  <c r="G51" i="23"/>
  <c r="G52" i="23"/>
  <c r="G53" i="23"/>
  <c r="G54" i="23"/>
  <c r="G55" i="23"/>
  <c r="G56" i="23"/>
  <c r="G57" i="23"/>
  <c r="G58" i="23"/>
  <c r="G59" i="23"/>
  <c r="G60" i="23"/>
  <c r="G61" i="23"/>
  <c r="G62" i="23"/>
  <c r="G63" i="23"/>
  <c r="G64" i="23"/>
  <c r="G65" i="23"/>
  <c r="G66" i="23"/>
  <c r="G67" i="23"/>
  <c r="G68" i="23"/>
  <c r="G69" i="23"/>
  <c r="G70" i="23"/>
  <c r="G71" i="23"/>
  <c r="G72" i="23"/>
  <c r="G73" i="23"/>
  <c r="G74" i="23"/>
  <c r="G75" i="23"/>
  <c r="G76" i="23"/>
  <c r="G77" i="23"/>
  <c r="G78" i="23"/>
  <c r="G79" i="23"/>
  <c r="G80" i="23"/>
  <c r="G81" i="23"/>
  <c r="G82" i="23"/>
  <c r="G83" i="23"/>
  <c r="G84" i="23"/>
  <c r="G85" i="23"/>
  <c r="G86" i="23"/>
  <c r="G87" i="23"/>
  <c r="G88" i="23"/>
  <c r="G89" i="23"/>
  <c r="G90" i="23"/>
  <c r="G91" i="23"/>
  <c r="G92" i="23"/>
  <c r="G93" i="23"/>
  <c r="G94" i="23"/>
  <c r="G95" i="23"/>
  <c r="G96" i="23"/>
  <c r="G97" i="23"/>
  <c r="G98" i="23"/>
  <c r="G99" i="23"/>
  <c r="G100" i="23"/>
  <c r="G101" i="23"/>
  <c r="G102" i="23"/>
  <c r="G103" i="23"/>
  <c r="G104" i="23"/>
  <c r="G105" i="23"/>
  <c r="G106" i="23"/>
  <c r="G107" i="23"/>
  <c r="G108" i="23"/>
  <c r="G109" i="23"/>
  <c r="G110" i="23"/>
  <c r="G111" i="23"/>
  <c r="G112" i="23"/>
  <c r="G113" i="23"/>
  <c r="G114" i="23"/>
  <c r="G115" i="23"/>
  <c r="G116" i="23"/>
  <c r="G117" i="23"/>
  <c r="G118" i="23"/>
  <c r="G119" i="23"/>
  <c r="G120" i="23"/>
  <c r="G121" i="23"/>
  <c r="G122" i="23"/>
  <c r="G123" i="23"/>
  <c r="G124" i="23"/>
  <c r="G125" i="23"/>
  <c r="G126" i="23"/>
  <c r="G127" i="23"/>
  <c r="G128" i="23"/>
  <c r="G129" i="23"/>
  <c r="G130" i="23"/>
  <c r="G131" i="23"/>
  <c r="G132" i="23"/>
  <c r="G133" i="23"/>
  <c r="G134" i="23"/>
  <c r="G135" i="23"/>
  <c r="G136" i="23"/>
  <c r="G137" i="23"/>
  <c r="G138" i="23"/>
  <c r="G139" i="23"/>
  <c r="G140" i="23"/>
  <c r="G141" i="23"/>
  <c r="G142" i="23"/>
  <c r="G143" i="23"/>
  <c r="G144" i="23"/>
  <c r="G145" i="23"/>
  <c r="G146" i="23"/>
  <c r="G147" i="23"/>
  <c r="G148" i="23"/>
  <c r="G149" i="23"/>
  <c r="G150" i="23"/>
  <c r="G151" i="23"/>
  <c r="G152" i="23"/>
  <c r="G153" i="23"/>
  <c r="G154" i="23"/>
  <c r="G155" i="23"/>
  <c r="G156" i="23"/>
  <c r="G157" i="23"/>
  <c r="G158" i="23"/>
  <c r="G159" i="23"/>
  <c r="G160" i="23"/>
  <c r="G161" i="23"/>
  <c r="G162" i="23"/>
  <c r="G163" i="23"/>
  <c r="G164" i="23"/>
  <c r="G165" i="23"/>
  <c r="G166" i="23"/>
  <c r="G167" i="23"/>
  <c r="G168" i="23"/>
  <c r="G169" i="23"/>
  <c r="G170" i="23"/>
  <c r="G171" i="23"/>
  <c r="G172" i="23"/>
  <c r="G173" i="23"/>
  <c r="G174" i="23"/>
  <c r="G175" i="23"/>
  <c r="G176" i="23"/>
  <c r="G177" i="23"/>
  <c r="G178" i="23"/>
  <c r="G179" i="23"/>
  <c r="G180" i="23"/>
  <c r="G181" i="23"/>
  <c r="G182" i="23"/>
  <c r="G183" i="23"/>
  <c r="G184" i="23"/>
  <c r="G185" i="23"/>
  <c r="G186" i="23"/>
  <c r="G187" i="23"/>
  <c r="G188" i="23"/>
  <c r="G189" i="23"/>
  <c r="G190" i="23"/>
  <c r="G191" i="23"/>
  <c r="G192" i="23"/>
  <c r="G193" i="23"/>
  <c r="G194" i="23"/>
  <c r="G195" i="23"/>
  <c r="G196" i="23"/>
  <c r="G197" i="23"/>
  <c r="G198" i="23"/>
  <c r="G199" i="23"/>
  <c r="G200" i="23"/>
  <c r="G201" i="23"/>
  <c r="G202" i="23"/>
  <c r="G203" i="23"/>
  <c r="G204" i="23"/>
  <c r="G205" i="23"/>
  <c r="G206" i="23"/>
  <c r="G207" i="23"/>
  <c r="G208" i="23"/>
  <c r="G209" i="23"/>
  <c r="G210" i="23"/>
  <c r="G211" i="23"/>
  <c r="G212" i="23"/>
  <c r="G213" i="23"/>
  <c r="G214" i="23"/>
  <c r="G215" i="23"/>
  <c r="G216" i="23"/>
  <c r="G217" i="23"/>
  <c r="G218" i="23"/>
  <c r="G219" i="23"/>
  <c r="G220" i="23"/>
  <c r="G221" i="23"/>
  <c r="G222" i="23"/>
  <c r="G223" i="23"/>
  <c r="G224" i="23"/>
  <c r="G225" i="23"/>
  <c r="G226" i="23"/>
  <c r="G227" i="23"/>
  <c r="G228" i="23"/>
  <c r="G229" i="23"/>
  <c r="G230" i="23"/>
  <c r="G231" i="23"/>
  <c r="G232" i="23"/>
  <c r="G45" i="8" l="1"/>
  <c r="H45" i="8" s="1"/>
  <c r="F45" i="8"/>
  <c r="E45" i="8"/>
  <c r="D45" i="8"/>
  <c r="C45" i="8"/>
  <c r="B45" i="8"/>
  <c r="G44" i="8"/>
  <c r="F44" i="8"/>
  <c r="E44" i="8"/>
  <c r="D44" i="8"/>
  <c r="C44" i="8"/>
  <c r="H43" i="8"/>
  <c r="I43" i="8" s="1"/>
  <c r="K41" i="8"/>
  <c r="J41" i="8"/>
  <c r="I41" i="8"/>
  <c r="H41" i="8"/>
  <c r="G41" i="8"/>
  <c r="F41" i="8"/>
  <c r="E41" i="8"/>
  <c r="D41" i="8"/>
  <c r="C41" i="8"/>
  <c r="B41" i="8"/>
  <c r="D39" i="8"/>
  <c r="D38" i="8"/>
  <c r="E22" i="8"/>
  <c r="I19" i="8" s="1"/>
  <c r="D22" i="8"/>
  <c r="I21" i="8"/>
  <c r="C21" i="8"/>
  <c r="C28" i="8" s="1"/>
  <c r="I20" i="8"/>
  <c r="C20" i="8"/>
  <c r="C19" i="8"/>
  <c r="C27" i="8" s="1"/>
  <c r="C14" i="8"/>
  <c r="C7" i="8"/>
  <c r="D6" i="3"/>
  <c r="C6" i="3"/>
  <c r="B6" i="3"/>
  <c r="G5" i="3"/>
  <c r="E5" i="3"/>
  <c r="G4" i="3"/>
  <c r="E4" i="3"/>
  <c r="G233" i="23"/>
  <c r="G234" i="23"/>
  <c r="G235" i="23"/>
  <c r="G236" i="23"/>
  <c r="G237" i="23"/>
  <c r="G238" i="23"/>
  <c r="G239" i="23"/>
  <c r="G240" i="23"/>
  <c r="G241" i="23"/>
  <c r="G242" i="23"/>
  <c r="G243" i="23"/>
  <c r="G244" i="23"/>
  <c r="G245" i="23"/>
  <c r="G246" i="23"/>
  <c r="G247" i="23"/>
  <c r="G248" i="23"/>
  <c r="G249" i="23"/>
  <c r="G250" i="23"/>
  <c r="G251" i="23"/>
  <c r="G252" i="23"/>
  <c r="G253" i="23"/>
  <c r="G254" i="23"/>
  <c r="G255" i="23"/>
  <c r="G256" i="23"/>
  <c r="G257" i="23"/>
  <c r="G258" i="23"/>
  <c r="G259" i="23"/>
  <c r="G260" i="23"/>
  <c r="G261" i="23"/>
  <c r="G262" i="23"/>
  <c r="G263" i="23"/>
  <c r="G264" i="23"/>
  <c r="G265" i="23"/>
  <c r="G266" i="23"/>
  <c r="G267" i="23"/>
  <c r="G268" i="23"/>
  <c r="G269" i="23"/>
  <c r="G270" i="23"/>
  <c r="G271" i="23"/>
  <c r="G272" i="23"/>
  <c r="G273" i="23"/>
  <c r="G274" i="23"/>
  <c r="G275" i="23"/>
  <c r="G276" i="23"/>
  <c r="G277" i="23"/>
  <c r="G278" i="23"/>
  <c r="G279" i="23"/>
  <c r="G280" i="23"/>
  <c r="G281" i="23"/>
  <c r="G282" i="23"/>
  <c r="G283" i="23"/>
  <c r="G284" i="23"/>
  <c r="G285" i="23"/>
  <c r="G286" i="23"/>
  <c r="G287" i="23"/>
  <c r="G288" i="23"/>
  <c r="G289" i="23"/>
  <c r="G290" i="23"/>
  <c r="G291" i="23"/>
  <c r="G292" i="23"/>
  <c r="G293" i="23"/>
  <c r="G294" i="23"/>
  <c r="G295" i="23"/>
  <c r="G296" i="23"/>
  <c r="G297" i="23"/>
  <c r="G298" i="23"/>
  <c r="G299" i="23"/>
  <c r="G300" i="23"/>
  <c r="G301" i="23"/>
  <c r="G302" i="23"/>
  <c r="G303" i="23"/>
  <c r="G304" i="23"/>
  <c r="G305" i="23"/>
  <c r="G306" i="23"/>
  <c r="G307" i="23"/>
  <c r="G308" i="23"/>
  <c r="G309" i="23"/>
  <c r="G310" i="23"/>
  <c r="G311" i="23"/>
  <c r="G312" i="23"/>
  <c r="G313" i="23"/>
  <c r="G314" i="23"/>
  <c r="G315" i="23"/>
  <c r="G316" i="23"/>
  <c r="G317" i="23"/>
  <c r="G318" i="23"/>
  <c r="G319" i="23"/>
  <c r="G320" i="23"/>
  <c r="G321" i="23"/>
  <c r="G322" i="23"/>
  <c r="G323" i="23"/>
  <c r="G324" i="23"/>
  <c r="G325" i="23"/>
  <c r="G326" i="23"/>
  <c r="G327" i="23"/>
  <c r="G328" i="23"/>
  <c r="G329" i="23"/>
  <c r="G330" i="23"/>
  <c r="G331" i="23"/>
  <c r="G332" i="23"/>
  <c r="G333" i="23"/>
  <c r="G334" i="23"/>
  <c r="G335" i="23"/>
  <c r="G336" i="23"/>
  <c r="G337" i="23"/>
  <c r="G338" i="23"/>
  <c r="G339" i="23"/>
  <c r="G340" i="23"/>
  <c r="G341" i="23"/>
  <c r="G342" i="23"/>
  <c r="G343" i="23"/>
  <c r="G344" i="23"/>
  <c r="G345" i="23"/>
  <c r="G346" i="23"/>
  <c r="G347" i="23"/>
  <c r="G348" i="23"/>
  <c r="G349" i="23"/>
  <c r="G350" i="23"/>
  <c r="G351" i="23"/>
  <c r="G352" i="23"/>
  <c r="G353" i="23"/>
  <c r="G354" i="23"/>
  <c r="G355" i="23"/>
  <c r="G356" i="23"/>
  <c r="G357" i="23"/>
  <c r="G358" i="23"/>
  <c r="G359" i="23"/>
  <c r="G360" i="23"/>
  <c r="G361" i="23"/>
  <c r="G362" i="23"/>
  <c r="G363" i="23"/>
  <c r="G364" i="23"/>
  <c r="G365" i="23"/>
  <c r="G366" i="23"/>
  <c r="G367" i="23"/>
  <c r="G368" i="23"/>
  <c r="G369" i="23"/>
  <c r="G370" i="23"/>
  <c r="G371" i="23"/>
  <c r="G372" i="23"/>
  <c r="G373" i="23"/>
  <c r="G374" i="23"/>
  <c r="G375" i="23"/>
  <c r="G376" i="23"/>
  <c r="G377" i="23"/>
  <c r="G378" i="23"/>
  <c r="G379" i="23"/>
  <c r="G380" i="23"/>
  <c r="G381" i="23"/>
  <c r="G382" i="23"/>
  <c r="G383" i="23"/>
  <c r="G384" i="23"/>
  <c r="G385" i="23"/>
  <c r="G386" i="23"/>
  <c r="G387" i="23"/>
  <c r="G388" i="23"/>
  <c r="G389" i="23"/>
  <c r="G390" i="23"/>
  <c r="G391" i="23"/>
  <c r="G392" i="23"/>
  <c r="G393" i="23"/>
  <c r="G394" i="23"/>
  <c r="G395" i="23"/>
  <c r="G396" i="23"/>
  <c r="G397" i="23"/>
  <c r="G398" i="23"/>
  <c r="G399" i="23"/>
  <c r="G400" i="23"/>
  <c r="G401" i="23"/>
  <c r="G402" i="23"/>
  <c r="G403" i="23"/>
  <c r="G404" i="23"/>
  <c r="G405" i="23"/>
  <c r="G406" i="23"/>
  <c r="G407" i="23"/>
  <c r="G408" i="23"/>
  <c r="G409" i="23"/>
  <c r="G410" i="23"/>
  <c r="G411" i="23"/>
  <c r="G412" i="23"/>
  <c r="G413" i="23"/>
  <c r="G414" i="23"/>
  <c r="G415" i="23"/>
  <c r="G416" i="23"/>
  <c r="G417" i="23"/>
  <c r="G418" i="23"/>
  <c r="G419" i="23"/>
  <c r="G420" i="23"/>
  <c r="G421" i="23"/>
  <c r="G422" i="23"/>
  <c r="G423" i="23"/>
  <c r="G424" i="23"/>
  <c r="G425" i="23"/>
  <c r="G426" i="23"/>
  <c r="G427" i="23"/>
  <c r="G428" i="23"/>
  <c r="G429" i="23"/>
  <c r="G430" i="23"/>
  <c r="G431" i="23"/>
  <c r="G432" i="23"/>
  <c r="G433" i="23"/>
  <c r="G434" i="23"/>
  <c r="G435" i="23"/>
  <c r="G436" i="23"/>
  <c r="G437" i="23"/>
  <c r="G438" i="23"/>
  <c r="G439" i="23"/>
  <c r="G440" i="23"/>
  <c r="G441" i="23"/>
  <c r="G442" i="23"/>
  <c r="G443" i="23"/>
  <c r="G444" i="23"/>
  <c r="G445" i="23"/>
  <c r="G446" i="23"/>
  <c r="G447" i="23"/>
  <c r="G448" i="23"/>
  <c r="G449" i="23"/>
  <c r="G450" i="23"/>
  <c r="G451" i="23"/>
  <c r="G452" i="23"/>
  <c r="G453" i="23"/>
  <c r="G454" i="23"/>
  <c r="G455" i="23"/>
  <c r="G456" i="23"/>
  <c r="G457" i="23"/>
  <c r="G458" i="23"/>
  <c r="G459" i="23"/>
  <c r="G460" i="23"/>
  <c r="G461" i="23"/>
  <c r="G462" i="23"/>
  <c r="G463" i="23"/>
  <c r="G464" i="23"/>
  <c r="G465" i="23"/>
  <c r="G466" i="23"/>
  <c r="G467" i="23"/>
  <c r="G468" i="23"/>
  <c r="G469" i="23"/>
  <c r="G470" i="23"/>
  <c r="G471" i="23"/>
  <c r="G472" i="23"/>
  <c r="G473" i="23"/>
  <c r="G474" i="23"/>
  <c r="G475" i="23"/>
  <c r="G476" i="23"/>
  <c r="G477" i="23"/>
  <c r="G478" i="23"/>
  <c r="G479" i="23"/>
  <c r="G480" i="23"/>
  <c r="G481" i="23"/>
  <c r="G482" i="23"/>
  <c r="G483" i="23"/>
  <c r="G484" i="23"/>
  <c r="G485" i="23"/>
  <c r="G486" i="23"/>
  <c r="G487" i="23"/>
  <c r="G488" i="23"/>
  <c r="G489" i="23"/>
  <c r="G490" i="23"/>
  <c r="G491" i="23"/>
  <c r="G492" i="23"/>
  <c r="G493" i="23"/>
  <c r="G494" i="23"/>
  <c r="G495" i="23"/>
  <c r="G496" i="23"/>
  <c r="G497" i="23"/>
  <c r="G498" i="23"/>
  <c r="G499" i="23"/>
  <c r="G500" i="23"/>
  <c r="G501" i="23"/>
  <c r="G502" i="23"/>
  <c r="G503" i="23"/>
  <c r="G504" i="23"/>
  <c r="G505" i="23"/>
  <c r="G506" i="23"/>
  <c r="G507" i="23"/>
  <c r="G508" i="23"/>
  <c r="G509" i="23"/>
  <c r="G510" i="23"/>
  <c r="G511" i="23"/>
  <c r="G512" i="23"/>
  <c r="G513" i="23"/>
  <c r="G514" i="23"/>
  <c r="G515" i="23"/>
  <c r="G516" i="23"/>
  <c r="G517" i="23"/>
  <c r="G518" i="23"/>
  <c r="G519" i="23"/>
  <c r="G520" i="23"/>
  <c r="G521" i="23"/>
  <c r="G522" i="23"/>
  <c r="G523" i="23"/>
  <c r="G524" i="23"/>
  <c r="G525" i="23"/>
  <c r="G526" i="23"/>
  <c r="G527" i="23"/>
  <c r="G528" i="23"/>
  <c r="G529" i="23"/>
  <c r="G530" i="23"/>
  <c r="G531" i="23"/>
  <c r="G532" i="23"/>
  <c r="G533" i="23"/>
  <c r="G534" i="23"/>
  <c r="G535" i="23"/>
  <c r="G536" i="23"/>
  <c r="G537" i="23"/>
  <c r="G538" i="23"/>
  <c r="G539" i="23"/>
  <c r="G540" i="23"/>
  <c r="G541" i="23"/>
  <c r="G542" i="23"/>
  <c r="G543" i="23"/>
  <c r="G544" i="23"/>
  <c r="G545" i="23"/>
  <c r="G546" i="23"/>
  <c r="G547" i="23"/>
  <c r="G548" i="23"/>
  <c r="G549" i="23"/>
  <c r="G550" i="23"/>
  <c r="G551" i="23"/>
  <c r="G552" i="23"/>
  <c r="G553" i="23"/>
  <c r="G554" i="23"/>
  <c r="G555" i="23"/>
  <c r="G556" i="23"/>
  <c r="G557" i="23"/>
  <c r="G558" i="23"/>
  <c r="G559" i="23"/>
  <c r="G560" i="23"/>
  <c r="G561" i="23"/>
  <c r="G562" i="23"/>
  <c r="G563" i="23"/>
  <c r="G564" i="23"/>
  <c r="G565" i="23"/>
  <c r="G566" i="23"/>
  <c r="G567" i="23"/>
  <c r="G568" i="23"/>
  <c r="G569" i="23"/>
  <c r="G570" i="23"/>
  <c r="G571" i="23"/>
  <c r="G572" i="23"/>
  <c r="G573" i="23"/>
  <c r="G574" i="23"/>
  <c r="G575" i="23"/>
  <c r="G576" i="23"/>
  <c r="G577" i="23"/>
  <c r="G578" i="23"/>
  <c r="G579" i="23"/>
  <c r="G580" i="23"/>
  <c r="G581" i="23"/>
  <c r="G582" i="23"/>
  <c r="G583" i="23"/>
  <c r="G584" i="23"/>
  <c r="G585" i="23"/>
  <c r="G586" i="23"/>
  <c r="G587" i="23"/>
  <c r="G588" i="23"/>
  <c r="G589" i="23"/>
  <c r="G590" i="23"/>
  <c r="G591" i="23"/>
  <c r="G592" i="23"/>
  <c r="G593" i="23"/>
  <c r="G594" i="23"/>
  <c r="G595" i="23"/>
  <c r="G596" i="23"/>
  <c r="G597" i="23"/>
  <c r="G598" i="23"/>
  <c r="G599" i="23"/>
  <c r="G600" i="23"/>
  <c r="G601" i="23"/>
  <c r="G602" i="23"/>
  <c r="G603" i="23"/>
  <c r="G604" i="23"/>
  <c r="G605" i="23"/>
  <c r="G606" i="23"/>
  <c r="G607" i="23"/>
  <c r="G608" i="23"/>
  <c r="G609" i="23"/>
  <c r="G610" i="23"/>
  <c r="G611" i="23"/>
  <c r="G612" i="23"/>
  <c r="G613" i="23"/>
  <c r="G614" i="23"/>
  <c r="G615" i="23"/>
  <c r="G616" i="23"/>
  <c r="G617" i="23"/>
  <c r="G618" i="23"/>
  <c r="G619" i="23"/>
  <c r="G620" i="23"/>
  <c r="G621" i="23"/>
  <c r="G622" i="23"/>
  <c r="G623" i="23"/>
  <c r="G624" i="23"/>
  <c r="G625" i="23"/>
  <c r="G626" i="23"/>
  <c r="G627" i="23"/>
  <c r="G628" i="23"/>
  <c r="G629" i="23"/>
  <c r="G630" i="23"/>
  <c r="G631" i="23"/>
  <c r="G632" i="23"/>
  <c r="G633" i="23"/>
  <c r="G634" i="23"/>
  <c r="G635" i="23"/>
  <c r="G636" i="23"/>
  <c r="G637" i="23"/>
  <c r="G638" i="23"/>
  <c r="G639" i="23"/>
  <c r="G640" i="23"/>
  <c r="G641" i="23"/>
  <c r="G642" i="23"/>
  <c r="G643" i="23"/>
  <c r="G644" i="23"/>
  <c r="G645" i="23"/>
  <c r="G646" i="23"/>
  <c r="G647" i="23"/>
  <c r="G648" i="23"/>
  <c r="G649" i="23"/>
  <c r="G650" i="23"/>
  <c r="G651" i="23"/>
  <c r="G652" i="23"/>
  <c r="G653" i="23"/>
  <c r="G654" i="23"/>
  <c r="G655" i="23"/>
  <c r="G656" i="23"/>
  <c r="G657" i="23"/>
  <c r="G658" i="23"/>
  <c r="G659" i="23"/>
  <c r="G660" i="23"/>
  <c r="G661" i="23"/>
  <c r="G662" i="23"/>
  <c r="G663" i="23"/>
  <c r="G664" i="23"/>
  <c r="G665" i="23"/>
  <c r="G666" i="23"/>
  <c r="G667" i="23"/>
  <c r="G668" i="23"/>
  <c r="G669" i="23"/>
  <c r="G670" i="23"/>
  <c r="G671" i="23"/>
  <c r="G672" i="23"/>
  <c r="G673" i="23"/>
  <c r="G674" i="23"/>
  <c r="G675" i="23"/>
  <c r="G676" i="23"/>
  <c r="G677" i="23"/>
  <c r="G678" i="23"/>
  <c r="G679" i="23"/>
  <c r="G680" i="23"/>
  <c r="G681" i="23"/>
  <c r="G682" i="23"/>
  <c r="G683" i="23"/>
  <c r="G684" i="23"/>
  <c r="G685" i="23"/>
  <c r="G686" i="23"/>
  <c r="G687" i="23"/>
  <c r="G688" i="23"/>
  <c r="G689" i="23"/>
  <c r="G690" i="23"/>
  <c r="G691" i="23"/>
  <c r="G692" i="23"/>
  <c r="G693" i="23"/>
  <c r="G694" i="23"/>
  <c r="G695" i="23"/>
  <c r="G696" i="23"/>
  <c r="G697" i="23"/>
  <c r="G698" i="23"/>
  <c r="G699" i="23"/>
  <c r="G700" i="23"/>
  <c r="G701" i="23"/>
  <c r="G702" i="23"/>
  <c r="G703" i="23"/>
  <c r="G704" i="23"/>
  <c r="G705" i="23"/>
  <c r="G706" i="23"/>
  <c r="G707" i="23"/>
  <c r="G708" i="23"/>
  <c r="G709" i="23"/>
  <c r="G710" i="23"/>
  <c r="G711" i="23"/>
  <c r="G712" i="23"/>
  <c r="G713" i="23"/>
  <c r="G714" i="23"/>
  <c r="G715" i="23"/>
  <c r="G716" i="23"/>
  <c r="G717" i="23"/>
  <c r="G718" i="23"/>
  <c r="G719" i="23"/>
  <c r="G720" i="23"/>
  <c r="G721" i="23"/>
  <c r="G722" i="23"/>
  <c r="G723" i="23"/>
  <c r="G724" i="23"/>
  <c r="G725" i="23"/>
  <c r="G726" i="23"/>
  <c r="G727" i="23"/>
  <c r="G728" i="23"/>
  <c r="G729" i="23"/>
  <c r="G730" i="23"/>
  <c r="G731" i="23"/>
  <c r="G732" i="23"/>
  <c r="G733" i="23"/>
  <c r="G734" i="23"/>
  <c r="G735" i="23"/>
  <c r="G736" i="23"/>
  <c r="G737" i="23"/>
  <c r="G738" i="23"/>
  <c r="G739" i="23"/>
  <c r="G740" i="23"/>
  <c r="G741" i="23"/>
  <c r="G742" i="23"/>
  <c r="G743" i="23"/>
  <c r="G744" i="23"/>
  <c r="G745" i="23"/>
  <c r="G746" i="23"/>
  <c r="G747" i="23"/>
  <c r="G748" i="23"/>
  <c r="G749" i="23"/>
  <c r="G750" i="23"/>
  <c r="G751" i="23"/>
  <c r="G752" i="23"/>
  <c r="G753" i="23"/>
  <c r="G754" i="23"/>
  <c r="G755" i="23"/>
  <c r="G756" i="23"/>
  <c r="G757" i="23"/>
  <c r="G758" i="23"/>
  <c r="G759" i="23"/>
  <c r="G760" i="23"/>
  <c r="G761" i="23"/>
  <c r="G762" i="23"/>
  <c r="G763" i="23"/>
  <c r="G764" i="23"/>
  <c r="G765" i="23"/>
  <c r="G766" i="23"/>
  <c r="G767" i="23"/>
  <c r="G768" i="23"/>
  <c r="G769" i="23"/>
  <c r="G770" i="23"/>
  <c r="G771" i="23"/>
  <c r="G772" i="23"/>
  <c r="G773" i="23"/>
  <c r="G774" i="23"/>
  <c r="G775" i="23"/>
  <c r="G776" i="23"/>
  <c r="G777" i="23"/>
  <c r="G778" i="23"/>
  <c r="G779" i="23"/>
  <c r="G780" i="23"/>
  <c r="G781" i="23"/>
  <c r="G782" i="23"/>
  <c r="G783" i="23"/>
  <c r="G784" i="23"/>
  <c r="G785" i="23"/>
  <c r="G786" i="23"/>
  <c r="G787" i="23"/>
  <c r="G788" i="23"/>
  <c r="G789" i="23"/>
  <c r="G790" i="23"/>
  <c r="G791" i="23"/>
  <c r="G792" i="23"/>
  <c r="G793" i="23"/>
  <c r="G794" i="23"/>
  <c r="G795" i="23"/>
  <c r="G796" i="23"/>
  <c r="G797" i="23"/>
  <c r="G798" i="23"/>
  <c r="G799" i="23"/>
  <c r="G800" i="23"/>
  <c r="G801" i="23"/>
  <c r="G802" i="23"/>
  <c r="G803" i="23"/>
  <c r="G804" i="23"/>
  <c r="G805" i="23"/>
  <c r="G806" i="23"/>
  <c r="G807" i="23"/>
  <c r="G808" i="23"/>
  <c r="G809" i="23"/>
  <c r="G810" i="23"/>
  <c r="G811" i="23"/>
  <c r="G812" i="23"/>
  <c r="G813" i="23"/>
  <c r="G814" i="23"/>
  <c r="G815" i="23"/>
  <c r="G816" i="23"/>
  <c r="G817" i="23"/>
  <c r="G818" i="23"/>
  <c r="G819" i="23"/>
  <c r="G820" i="23"/>
  <c r="G821" i="23"/>
  <c r="G822" i="23"/>
  <c r="G823" i="23"/>
  <c r="G824" i="23"/>
  <c r="G825" i="23"/>
  <c r="G826" i="23"/>
  <c r="G827" i="23"/>
  <c r="G828" i="23"/>
  <c r="G829" i="23"/>
  <c r="G830" i="23"/>
  <c r="G831" i="23"/>
  <c r="G832" i="23"/>
  <c r="G833" i="23"/>
  <c r="G834" i="23"/>
  <c r="G835" i="23"/>
  <c r="G836" i="23"/>
  <c r="G837" i="23"/>
  <c r="G838" i="23"/>
  <c r="G839" i="23"/>
  <c r="G840" i="23"/>
  <c r="G841" i="23"/>
  <c r="G842" i="23"/>
  <c r="G843" i="23"/>
  <c r="G844" i="23"/>
  <c r="G845" i="23"/>
  <c r="G846" i="23"/>
  <c r="G847" i="23"/>
  <c r="G848" i="23"/>
  <c r="G849" i="23"/>
  <c r="G850" i="23"/>
  <c r="G851" i="23"/>
  <c r="G852" i="23"/>
  <c r="G853" i="23"/>
  <c r="G854" i="23"/>
  <c r="G855" i="23"/>
  <c r="G856" i="23"/>
  <c r="G857" i="23"/>
  <c r="G858" i="23"/>
  <c r="G859" i="23"/>
  <c r="G860" i="23"/>
  <c r="G861" i="23"/>
  <c r="G862" i="23"/>
  <c r="G863" i="23"/>
  <c r="G864" i="23"/>
  <c r="G865" i="23"/>
  <c r="G866" i="23"/>
  <c r="G867" i="23"/>
  <c r="G868" i="23"/>
  <c r="G869" i="23"/>
  <c r="G870" i="23"/>
  <c r="G871" i="23"/>
  <c r="G872" i="23"/>
  <c r="G873" i="23"/>
  <c r="G874" i="23"/>
  <c r="G875" i="23"/>
  <c r="G876" i="23"/>
  <c r="G877" i="23"/>
  <c r="G878" i="23"/>
  <c r="G879" i="23"/>
  <c r="G880" i="23"/>
  <c r="G881" i="23"/>
  <c r="G882" i="23"/>
  <c r="G883" i="23"/>
  <c r="G884" i="23"/>
  <c r="G885" i="23"/>
  <c r="G886" i="23"/>
  <c r="G887" i="23"/>
  <c r="G888" i="23"/>
  <c r="G889" i="23"/>
  <c r="G890" i="23"/>
  <c r="G891" i="23"/>
  <c r="G892" i="23"/>
  <c r="G893" i="23"/>
  <c r="G894" i="23"/>
  <c r="G895" i="23"/>
  <c r="G896" i="23"/>
  <c r="G897" i="23"/>
  <c r="G898" i="23"/>
  <c r="G899" i="23"/>
  <c r="G900" i="23"/>
  <c r="G901" i="23"/>
  <c r="G902" i="23"/>
  <c r="G903" i="23"/>
  <c r="G904" i="23"/>
  <c r="G905" i="23"/>
  <c r="G906" i="23"/>
  <c r="G907" i="23"/>
  <c r="G908" i="23"/>
  <c r="G909" i="23"/>
  <c r="G910" i="23"/>
  <c r="G911" i="23"/>
  <c r="G912" i="23"/>
  <c r="G913" i="23"/>
  <c r="G914" i="23"/>
  <c r="G915" i="23"/>
  <c r="G916" i="23"/>
  <c r="G917" i="23"/>
  <c r="G918" i="23"/>
  <c r="G919" i="23"/>
  <c r="G920" i="23"/>
  <c r="G921" i="23"/>
  <c r="G922" i="23"/>
  <c r="G923" i="23"/>
  <c r="G924" i="23"/>
  <c r="G925" i="23"/>
  <c r="G926" i="23"/>
  <c r="G927" i="23"/>
  <c r="G928" i="23"/>
  <c r="G929" i="23"/>
  <c r="G930" i="23"/>
  <c r="G931" i="23"/>
  <c r="G932" i="23"/>
  <c r="G933" i="23"/>
  <c r="G934" i="23"/>
  <c r="G935" i="23"/>
  <c r="G936" i="23"/>
  <c r="G937" i="23"/>
  <c r="G938" i="23"/>
  <c r="G939" i="23"/>
  <c r="G940" i="23"/>
  <c r="G941" i="23"/>
  <c r="G942" i="23"/>
  <c r="G943" i="23"/>
  <c r="G944" i="23"/>
  <c r="G945" i="23"/>
  <c r="G946" i="23"/>
  <c r="G947" i="23"/>
  <c r="G948" i="23"/>
  <c r="G949" i="23"/>
  <c r="G950" i="23"/>
  <c r="G951" i="23"/>
  <c r="G952" i="23"/>
  <c r="G953" i="23"/>
  <c r="G954" i="23"/>
  <c r="G955" i="23"/>
  <c r="G956" i="23"/>
  <c r="G957" i="23"/>
  <c r="G958" i="23"/>
  <c r="G959" i="23"/>
  <c r="G960" i="23"/>
  <c r="G961" i="23"/>
  <c r="G962" i="23"/>
  <c r="G963" i="23"/>
  <c r="G964" i="23"/>
  <c r="G965" i="23"/>
  <c r="G966" i="23"/>
  <c r="G967" i="23"/>
  <c r="G968" i="23"/>
  <c r="G969" i="23"/>
  <c r="G970" i="23"/>
  <c r="G971" i="23"/>
  <c r="G972" i="23"/>
  <c r="G973" i="23"/>
  <c r="G974" i="23"/>
  <c r="G975" i="23"/>
  <c r="G976" i="23"/>
  <c r="G977" i="23"/>
  <c r="G978" i="23"/>
  <c r="G979" i="23"/>
  <c r="G980" i="23"/>
  <c r="G981" i="23"/>
  <c r="G982" i="23"/>
  <c r="G983" i="23"/>
  <c r="G984" i="23"/>
  <c r="G985" i="23"/>
  <c r="G986" i="23"/>
  <c r="G987" i="23"/>
  <c r="G988" i="23"/>
  <c r="G989" i="23"/>
  <c r="G990" i="23"/>
  <c r="G991" i="23"/>
  <c r="G992" i="23"/>
  <c r="G993" i="23"/>
  <c r="G994" i="23"/>
  <c r="G995" i="23"/>
  <c r="G996" i="23"/>
  <c r="G997" i="23"/>
  <c r="G998" i="23"/>
  <c r="G999" i="23"/>
  <c r="G1000" i="23"/>
  <c r="G1001" i="23"/>
  <c r="G1002" i="23"/>
  <c r="G1003" i="23"/>
  <c r="G1004" i="23"/>
  <c r="G1005" i="23"/>
  <c r="G1006" i="23"/>
  <c r="G1007" i="23"/>
  <c r="G1008" i="23"/>
  <c r="G1009" i="23"/>
  <c r="G1010" i="23"/>
  <c r="G1011" i="23"/>
  <c r="G1012" i="23"/>
  <c r="G1013" i="23"/>
  <c r="G1014" i="23"/>
  <c r="G1015" i="23"/>
  <c r="G1016" i="23"/>
  <c r="G1017" i="23"/>
  <c r="G1018" i="23"/>
  <c r="G1019" i="23"/>
  <c r="G1020" i="23"/>
  <c r="G1021" i="23"/>
  <c r="G1022" i="23"/>
  <c r="G1023" i="23"/>
  <c r="G1024" i="23"/>
  <c r="G1025" i="23"/>
  <c r="G1026" i="23"/>
  <c r="G1027" i="23"/>
  <c r="G1028" i="23"/>
  <c r="G1029" i="23"/>
  <c r="G1030" i="23"/>
  <c r="G1031" i="23"/>
  <c r="G1032" i="23"/>
  <c r="G1033" i="23"/>
  <c r="G1034" i="23"/>
  <c r="G1035" i="23"/>
  <c r="G1036" i="23"/>
  <c r="G1037" i="23"/>
  <c r="G1038" i="23"/>
  <c r="G1039" i="23"/>
  <c r="G1040" i="23"/>
  <c r="G1041" i="23"/>
  <c r="G1042" i="23"/>
  <c r="G1043" i="23"/>
  <c r="G1044" i="23"/>
  <c r="G1045" i="23"/>
  <c r="G1046" i="23"/>
  <c r="G1047" i="23"/>
  <c r="G1048" i="23"/>
  <c r="G1049" i="23"/>
  <c r="G1050" i="23"/>
  <c r="G1051" i="23"/>
  <c r="G1052" i="23"/>
  <c r="G1053" i="23"/>
  <c r="G1054" i="23"/>
  <c r="G1055" i="23"/>
  <c r="G1056" i="23"/>
  <c r="G1057" i="23"/>
  <c r="G1058" i="23"/>
  <c r="G1059" i="23"/>
  <c r="G1060" i="23"/>
  <c r="G1061" i="23"/>
  <c r="G1062" i="23"/>
  <c r="G1063" i="23"/>
  <c r="G1064" i="23"/>
  <c r="G1065" i="23"/>
  <c r="G1066" i="23"/>
  <c r="G1067" i="23"/>
  <c r="G1068" i="23"/>
  <c r="G1069" i="23"/>
  <c r="G1070" i="23"/>
  <c r="G1071" i="23"/>
  <c r="G1072" i="23"/>
  <c r="G1073" i="23"/>
  <c r="G1074" i="23"/>
  <c r="G1075" i="23"/>
  <c r="G1076" i="23"/>
  <c r="G1077" i="23"/>
  <c r="G1078" i="23"/>
  <c r="G1079" i="23"/>
  <c r="G1080" i="23"/>
  <c r="G1081" i="23"/>
  <c r="G1082" i="23"/>
  <c r="G1083" i="23"/>
  <c r="G1084" i="23"/>
  <c r="G1085" i="23"/>
  <c r="G1086" i="23"/>
  <c r="G1087" i="23"/>
  <c r="G1088" i="23"/>
  <c r="G1089" i="23"/>
  <c r="G1091" i="23"/>
  <c r="G1090" i="23"/>
  <c r="G1092" i="23"/>
  <c r="G1093" i="23"/>
  <c r="G1094" i="23"/>
  <c r="G1095" i="23"/>
  <c r="G1096" i="23"/>
  <c r="G1097" i="23"/>
  <c r="G1098" i="23"/>
  <c r="G1099" i="23"/>
  <c r="G1100" i="23"/>
  <c r="G1101" i="23"/>
  <c r="G1102" i="23"/>
  <c r="G1103" i="23"/>
  <c r="G1104" i="23"/>
  <c r="G1105" i="23"/>
  <c r="G1106" i="23"/>
  <c r="G1107" i="23"/>
  <c r="G1108" i="23"/>
  <c r="G1109" i="23"/>
  <c r="G1110" i="23"/>
  <c r="G1111" i="23"/>
  <c r="G1112" i="23"/>
  <c r="G1113" i="23"/>
  <c r="G1114" i="23"/>
  <c r="G1115" i="23"/>
  <c r="G1116" i="23"/>
  <c r="G1117" i="23"/>
  <c r="G1118" i="23"/>
  <c r="G1119" i="23"/>
  <c r="G1120" i="23"/>
  <c r="G1121" i="23"/>
  <c r="G1122" i="23"/>
  <c r="G1123" i="23"/>
  <c r="G1124" i="23"/>
  <c r="G1125" i="23"/>
  <c r="G1126" i="23"/>
  <c r="G1127" i="23"/>
  <c r="G1128" i="23"/>
  <c r="G1129" i="23"/>
  <c r="G1130" i="23"/>
  <c r="G1131" i="23"/>
  <c r="G1132" i="23"/>
  <c r="G1133" i="23"/>
  <c r="G1134" i="23"/>
  <c r="G1135" i="23"/>
  <c r="G1136" i="23"/>
  <c r="G1137" i="23"/>
  <c r="G1138" i="23"/>
  <c r="G1139" i="23"/>
  <c r="G1140" i="23"/>
  <c r="G1141" i="23"/>
  <c r="G1142" i="23"/>
  <c r="G1143" i="23"/>
  <c r="G1144" i="23"/>
  <c r="G1145" i="23"/>
  <c r="G1146" i="23"/>
  <c r="G1147" i="23"/>
  <c r="G1148" i="23"/>
  <c r="G1149" i="23"/>
  <c r="G1150" i="23"/>
  <c r="G1151" i="23"/>
  <c r="G1152" i="23"/>
  <c r="G1153" i="23"/>
  <c r="G1154" i="23"/>
  <c r="G1155" i="23"/>
  <c r="G1156" i="23"/>
  <c r="G1157" i="23"/>
  <c r="G1158" i="23"/>
  <c r="G1159" i="23"/>
  <c r="G1160" i="23"/>
  <c r="G1161" i="23"/>
  <c r="G1162" i="23"/>
  <c r="G1163" i="23"/>
  <c r="G1164" i="23"/>
  <c r="G1165" i="23"/>
  <c r="G1166" i="23"/>
  <c r="G1167" i="23"/>
  <c r="G1168" i="23"/>
  <c r="G1169" i="23"/>
  <c r="G1170" i="23"/>
  <c r="G1171" i="23"/>
  <c r="G1172" i="23"/>
  <c r="G1173" i="23"/>
  <c r="G1174" i="23"/>
  <c r="G1175" i="23"/>
  <c r="G1176" i="23"/>
  <c r="G1177" i="23"/>
  <c r="G1178" i="23"/>
  <c r="G1179" i="23"/>
  <c r="G1180" i="23"/>
  <c r="G1181" i="23"/>
  <c r="G1182" i="23"/>
  <c r="G1183" i="23"/>
  <c r="G1184" i="23"/>
  <c r="G1185" i="23"/>
  <c r="G1186" i="23"/>
  <c r="G1187" i="23"/>
  <c r="G1188" i="23"/>
  <c r="G1189" i="23"/>
  <c r="G1190" i="23"/>
  <c r="G1191" i="23"/>
  <c r="G1192" i="23"/>
  <c r="G1193" i="23"/>
  <c r="G1194" i="23"/>
  <c r="G1195" i="23"/>
  <c r="G1196" i="23"/>
  <c r="G1197" i="23"/>
  <c r="G1198" i="23"/>
  <c r="G1199" i="23"/>
  <c r="G1200" i="23" s="1"/>
  <c r="G1201" i="23"/>
  <c r="G1202" i="23"/>
  <c r="G1203" i="23"/>
  <c r="G1204" i="23"/>
  <c r="G1205" i="23"/>
  <c r="G1206" i="23"/>
  <c r="G1207" i="23"/>
  <c r="G1208" i="23"/>
  <c r="G1209" i="23"/>
  <c r="G1210" i="23"/>
  <c r="G1211" i="23"/>
  <c r="G1212" i="23"/>
  <c r="G1213" i="23"/>
  <c r="G1214" i="23"/>
  <c r="G1215" i="23"/>
  <c r="G1216" i="23"/>
  <c r="G1217" i="23"/>
  <c r="G1218" i="23"/>
  <c r="G1219" i="23"/>
  <c r="G1220" i="23"/>
  <c r="G1221" i="23"/>
  <c r="G1222" i="23"/>
  <c r="G1223" i="23"/>
  <c r="G1224" i="23"/>
  <c r="G1225" i="23"/>
  <c r="G1226" i="23"/>
  <c r="G1227" i="23"/>
  <c r="G1228" i="23"/>
  <c r="G1229" i="23"/>
  <c r="G1230" i="23"/>
  <c r="G1231" i="23"/>
  <c r="G1232" i="23"/>
  <c r="G1233" i="23"/>
  <c r="G1234" i="23"/>
  <c r="G1235" i="23"/>
  <c r="G1236" i="23"/>
  <c r="G1237" i="23"/>
  <c r="G1238" i="23"/>
  <c r="G1239" i="23"/>
  <c r="G1240" i="23"/>
  <c r="G1241" i="23"/>
  <c r="G1242" i="23"/>
  <c r="G1243" i="23"/>
  <c r="G1244" i="23"/>
  <c r="G1245" i="23"/>
  <c r="G1246" i="23"/>
  <c r="G1247" i="23"/>
  <c r="G1248" i="23"/>
  <c r="G1249" i="23"/>
  <c r="G1250" i="23"/>
  <c r="G1251" i="23"/>
  <c r="G1252" i="23"/>
  <c r="G1253" i="23"/>
  <c r="G1254" i="23"/>
  <c r="G1255" i="23"/>
  <c r="G1256" i="23"/>
  <c r="G1257" i="23"/>
  <c r="G1258" i="23"/>
  <c r="G1259" i="23"/>
  <c r="G1260" i="23"/>
  <c r="G1261" i="23"/>
  <c r="G1262" i="23"/>
  <c r="G1263" i="23"/>
  <c r="G1264" i="23"/>
  <c r="G1265" i="23"/>
  <c r="G1266" i="23"/>
  <c r="E1414" i="35" s="1"/>
  <c r="G1267" i="23"/>
  <c r="E1415" i="35" s="1"/>
  <c r="G1268" i="23"/>
  <c r="E1416" i="35" s="1"/>
  <c r="G1269" i="23"/>
  <c r="E1417" i="35" s="1"/>
  <c r="G1270" i="23"/>
  <c r="E1418" i="35" s="1"/>
  <c r="G1271" i="23"/>
  <c r="E1419" i="35" s="1"/>
  <c r="G1272" i="23"/>
  <c r="E1420" i="35" s="1"/>
  <c r="G1273" i="23"/>
  <c r="E1421" i="35" s="1"/>
  <c r="G1274" i="23"/>
  <c r="E1422" i="35" s="1"/>
  <c r="G1275" i="23"/>
  <c r="E1423" i="35" s="1"/>
  <c r="G1276" i="23"/>
  <c r="E1424" i="35" s="1"/>
  <c r="G1277" i="23"/>
  <c r="E1425" i="35" s="1"/>
  <c r="G1278" i="23"/>
  <c r="E1426" i="35" s="1"/>
  <c r="G1279" i="23"/>
  <c r="E1427" i="35" s="1"/>
  <c r="G1280" i="23"/>
  <c r="E1428" i="35" s="1"/>
  <c r="G1281" i="23"/>
  <c r="E1429" i="35" s="1"/>
  <c r="G1282" i="23"/>
  <c r="E1430" i="35" s="1"/>
  <c r="G1283" i="23"/>
  <c r="E1431" i="35" s="1"/>
  <c r="G1284" i="23"/>
  <c r="E1432" i="35" s="1"/>
  <c r="G1285" i="23"/>
  <c r="E1433" i="35" s="1"/>
  <c r="G1286" i="23"/>
  <c r="E1434" i="35" s="1"/>
  <c r="G1287" i="23"/>
  <c r="E1435" i="35" s="1"/>
  <c r="G1288" i="23"/>
  <c r="E1436" i="35" s="1"/>
  <c r="G1289" i="23"/>
  <c r="E1437" i="35" s="1"/>
  <c r="G1290" i="23"/>
  <c r="E1438" i="35" s="1"/>
  <c r="G1291" i="23"/>
  <c r="E1439" i="35" s="1"/>
  <c r="G1292" i="23"/>
  <c r="E1440" i="35" s="1"/>
  <c r="G1293" i="23"/>
  <c r="E1441" i="35" s="1"/>
  <c r="G1294" i="23"/>
  <c r="E1442" i="35" s="1"/>
  <c r="G1296" i="23"/>
  <c r="E1444" i="35" s="1"/>
  <c r="G1297" i="23"/>
  <c r="E1445" i="35" s="1"/>
  <c r="G1298" i="23"/>
  <c r="E1446" i="35" s="1"/>
  <c r="G1299" i="23"/>
  <c r="E1447" i="35" s="1"/>
  <c r="G1300" i="23"/>
  <c r="E1448" i="35" s="1"/>
  <c r="G1301" i="23"/>
  <c r="E1449" i="35" s="1"/>
  <c r="G1302" i="23"/>
  <c r="E1450" i="35" s="1"/>
  <c r="G1303" i="23"/>
  <c r="E1451" i="35" s="1"/>
  <c r="G1304" i="23"/>
  <c r="E1452" i="35" s="1"/>
  <c r="G1305" i="23"/>
  <c r="E1453" i="35" s="1"/>
  <c r="G1306" i="23"/>
  <c r="E1454" i="35" s="1"/>
  <c r="G1307" i="23"/>
  <c r="E1455" i="35" s="1"/>
  <c r="G1308" i="23"/>
  <c r="E1456" i="35" s="1"/>
  <c r="G1309" i="23"/>
  <c r="E1457" i="35" s="1"/>
  <c r="G1310" i="23"/>
  <c r="E1458" i="35" s="1"/>
  <c r="G1311" i="23"/>
  <c r="E1459" i="35" s="1"/>
  <c r="G1312" i="23"/>
  <c r="E1460" i="35" s="1"/>
  <c r="G1313" i="23"/>
  <c r="E1461" i="35" s="1"/>
  <c r="G1314" i="23"/>
  <c r="E1462" i="35" s="1"/>
  <c r="G1315" i="23"/>
  <c r="E1463" i="35" s="1"/>
  <c r="G1316" i="23"/>
  <c r="E1464" i="35" s="1"/>
  <c r="G1317" i="23"/>
  <c r="E1465" i="35" s="1"/>
  <c r="G1318" i="23"/>
  <c r="E1466" i="35" s="1"/>
  <c r="G1319" i="23"/>
  <c r="E1467" i="35" s="1"/>
  <c r="G1320" i="23"/>
  <c r="E1468" i="35" s="1"/>
  <c r="G1321" i="23"/>
  <c r="E1469" i="35" s="1"/>
  <c r="G1322" i="23"/>
  <c r="E1470" i="35" s="1"/>
  <c r="G1323" i="23"/>
  <c r="E1471" i="35" s="1"/>
  <c r="G1324" i="23"/>
  <c r="E1472" i="35" s="1"/>
  <c r="G1325" i="23"/>
  <c r="E1473" i="35" s="1"/>
  <c r="G1326" i="23"/>
  <c r="E1474" i="35" s="1"/>
  <c r="G1327" i="23"/>
  <c r="E1475" i="35" s="1"/>
  <c r="G1328" i="23"/>
  <c r="E1476" i="35" s="1"/>
  <c r="G1329" i="23"/>
  <c r="E1477" i="35" s="1"/>
  <c r="G1330" i="23"/>
  <c r="E1478" i="35" s="1"/>
  <c r="G1331" i="23"/>
  <c r="E1479" i="35" s="1"/>
  <c r="G1332" i="23"/>
  <c r="E1480" i="35" s="1"/>
  <c r="G1333" i="23"/>
  <c r="E1481" i="35" s="1"/>
  <c r="G1334" i="23"/>
  <c r="E1482" i="35" s="1"/>
  <c r="G1335" i="23"/>
  <c r="E1483" i="35" s="1"/>
  <c r="G1336" i="23"/>
  <c r="E1484" i="35" s="1"/>
  <c r="G1337" i="23"/>
  <c r="E1485" i="35" s="1"/>
  <c r="G1338" i="23"/>
  <c r="E1486" i="35" s="1"/>
  <c r="G1339" i="23"/>
  <c r="E1487" i="35" s="1"/>
  <c r="G1340" i="23"/>
  <c r="E1488" i="35" s="1"/>
  <c r="G1341" i="23"/>
  <c r="E1489" i="35" s="1"/>
  <c r="G1342" i="23"/>
  <c r="E1490" i="35" s="1"/>
  <c r="G1343" i="23"/>
  <c r="E1491" i="35" s="1"/>
  <c r="G1344" i="23"/>
  <c r="E1492" i="35" s="1"/>
  <c r="G1345" i="23"/>
  <c r="E1493" i="35" s="1"/>
  <c r="G1346" i="23"/>
  <c r="E1494" i="35" s="1"/>
  <c r="G1347" i="23"/>
  <c r="E1495" i="35" s="1"/>
  <c r="G1348" i="23"/>
  <c r="E1496" i="35" s="1"/>
  <c r="G1349" i="23"/>
  <c r="E1497" i="35" s="1"/>
  <c r="G1350" i="23"/>
  <c r="E1498" i="35" s="1"/>
  <c r="G1351" i="23"/>
  <c r="E1499" i="35" s="1"/>
  <c r="G1352" i="23"/>
  <c r="E1500" i="35" s="1"/>
  <c r="G1353" i="23"/>
  <c r="E1501" i="35" s="1"/>
  <c r="G1354" i="23"/>
  <c r="E1502" i="35" s="1"/>
  <c r="G1355" i="23"/>
  <c r="E1503" i="35" s="1"/>
  <c r="G1356" i="23"/>
  <c r="E1504" i="35" s="1"/>
  <c r="G1357" i="23"/>
  <c r="E1505" i="35" s="1"/>
  <c r="G1358" i="23"/>
  <c r="E1506" i="35" s="1"/>
  <c r="G1359" i="23"/>
  <c r="E1507" i="35" s="1"/>
  <c r="G1360" i="23"/>
  <c r="E1508" i="35" s="1"/>
  <c r="G1361" i="23"/>
  <c r="E1509" i="35" s="1"/>
  <c r="G1362" i="23"/>
  <c r="E1510" i="35" s="1"/>
  <c r="G1363" i="23"/>
  <c r="E1511" i="35" s="1"/>
  <c r="G1364" i="23"/>
  <c r="E1512" i="35" s="1"/>
  <c r="G1365" i="23"/>
  <c r="E1513" i="35" s="1"/>
  <c r="G1366" i="23"/>
  <c r="E1514" i="35" s="1"/>
  <c r="G1367" i="23"/>
  <c r="E1515" i="35" s="1"/>
  <c r="G1368" i="23"/>
  <c r="E1516" i="35" s="1"/>
  <c r="G1369" i="23"/>
  <c r="E1517" i="35" s="1"/>
  <c r="G1370" i="23"/>
  <c r="E1518" i="35" s="1"/>
  <c r="G1371" i="23"/>
  <c r="E1519" i="35" s="1"/>
  <c r="G1372" i="23"/>
  <c r="E1520" i="35" s="1"/>
  <c r="G1373" i="23"/>
  <c r="E1521" i="35" s="1"/>
  <c r="G1374" i="23"/>
  <c r="E1522" i="35" s="1"/>
  <c r="G1375" i="23"/>
  <c r="E1523" i="35" s="1"/>
  <c r="G1376" i="23"/>
  <c r="E1524" i="35" s="1"/>
  <c r="G1377" i="23"/>
  <c r="E1525" i="35" s="1"/>
  <c r="G1378" i="23"/>
  <c r="E1526" i="35" s="1"/>
  <c r="G1379" i="23"/>
  <c r="E1527" i="35" s="1"/>
  <c r="G1380" i="23"/>
  <c r="E1528" i="35" s="1"/>
  <c r="G1381" i="23"/>
  <c r="E1529" i="35" s="1"/>
  <c r="G1382" i="23"/>
  <c r="E1530" i="35" s="1"/>
  <c r="G1383" i="23"/>
  <c r="E1531" i="35" s="1"/>
  <c r="G1384" i="23"/>
  <c r="E1532" i="35" s="1"/>
  <c r="G1385" i="23"/>
  <c r="E1533" i="35" s="1"/>
  <c r="G1386" i="23"/>
  <c r="E1534" i="35" s="1"/>
  <c r="G1387" i="23"/>
  <c r="E1535" i="35" s="1"/>
  <c r="G1388" i="23"/>
  <c r="E1536" i="35" s="1"/>
  <c r="G1389" i="23"/>
  <c r="E1537" i="35" s="1"/>
  <c r="G1390" i="23"/>
  <c r="E1538" i="35" s="1"/>
  <c r="G1391" i="23"/>
  <c r="E1539" i="35" s="1"/>
  <c r="G1392" i="23"/>
  <c r="E1540" i="35" s="1"/>
  <c r="G1393" i="23"/>
  <c r="E1541" i="35" s="1"/>
  <c r="G1394" i="23"/>
  <c r="E1542" i="35" s="1"/>
  <c r="G1395" i="23"/>
  <c r="E1543" i="35" s="1"/>
  <c r="G1396" i="23"/>
  <c r="E1544" i="35" s="1"/>
  <c r="G1397" i="23"/>
  <c r="E1545" i="35" s="1"/>
  <c r="G1398" i="23"/>
  <c r="E1546" i="35" s="1"/>
  <c r="G1399" i="23"/>
  <c r="E1547" i="35" s="1"/>
  <c r="G1400" i="23"/>
  <c r="E1548" i="35" s="1"/>
  <c r="G1401" i="23"/>
  <c r="E1549" i="35" s="1"/>
  <c r="G1402" i="23"/>
  <c r="E1550" i="35" s="1"/>
  <c r="G1403" i="23"/>
  <c r="E1551" i="35" s="1"/>
  <c r="G1404" i="23"/>
  <c r="E1552" i="35" s="1"/>
  <c r="G1405" i="23"/>
  <c r="E1553" i="35" s="1"/>
  <c r="G1406" i="23"/>
  <c r="E1554" i="35" s="1"/>
  <c r="G1407" i="23"/>
  <c r="E1555" i="35" s="1"/>
  <c r="G1408" i="23"/>
  <c r="E1556" i="35" s="1"/>
  <c r="G1409" i="23"/>
  <c r="E1557" i="35" s="1"/>
  <c r="G1410" i="23"/>
  <c r="E1558" i="35" s="1"/>
  <c r="G1411" i="23"/>
  <c r="E1559" i="35" s="1"/>
  <c r="G1412" i="23"/>
  <c r="E1560" i="35" s="1"/>
  <c r="G1413" i="23"/>
  <c r="E1561" i="35" s="1"/>
  <c r="G1414" i="23"/>
  <c r="E1562" i="35" s="1"/>
  <c r="G1415" i="23"/>
  <c r="E1563" i="35" s="1"/>
  <c r="G1416" i="23"/>
  <c r="E1564" i="35" s="1"/>
  <c r="G1417" i="23"/>
  <c r="E1565" i="35" s="1"/>
  <c r="G1418" i="23"/>
  <c r="E1566" i="35" s="1"/>
  <c r="G1419" i="23"/>
  <c r="E1567" i="35" s="1"/>
  <c r="G1420" i="23"/>
  <c r="E1568" i="35" s="1"/>
  <c r="G1421" i="23"/>
  <c r="E1569" i="35" s="1"/>
  <c r="G1422" i="23"/>
  <c r="E1570" i="35" s="1"/>
  <c r="G1423" i="23"/>
  <c r="E1571" i="35" s="1"/>
  <c r="G1424" i="23"/>
  <c r="E1572" i="35" s="1"/>
  <c r="G1425" i="23"/>
  <c r="E1573" i="35" s="1"/>
  <c r="G1426" i="23"/>
  <c r="E1574" i="35" s="1"/>
  <c r="G1427" i="23"/>
  <c r="E1575" i="35" s="1"/>
  <c r="G1428" i="23"/>
  <c r="E1576" i="35" s="1"/>
  <c r="G1429" i="23"/>
  <c r="E1577" i="35" s="1"/>
  <c r="G1430" i="23"/>
  <c r="E1578" i="35" s="1"/>
  <c r="G1431" i="23"/>
  <c r="E1579" i="35" s="1"/>
  <c r="G1432" i="23"/>
  <c r="E1580" i="35" s="1"/>
  <c r="G1433" i="23"/>
  <c r="E1581" i="35" s="1"/>
  <c r="G1434" i="23"/>
  <c r="E1582" i="35" s="1"/>
  <c r="G1435" i="23"/>
  <c r="E1583" i="35" s="1"/>
  <c r="G1436" i="23"/>
  <c r="E1584" i="35" s="1"/>
  <c r="G1437" i="23"/>
  <c r="E1585" i="35" s="1"/>
  <c r="G1438" i="23"/>
  <c r="E1586" i="35" s="1"/>
  <c r="G1439" i="23"/>
  <c r="E1587" i="35" s="1"/>
  <c r="G1440" i="23"/>
  <c r="E1588" i="35" s="1"/>
  <c r="G1441" i="23"/>
  <c r="E1589" i="35" s="1"/>
  <c r="G1442" i="23"/>
  <c r="E1590" i="35" s="1"/>
  <c r="G1443" i="23"/>
  <c r="E1591" i="35" s="1"/>
  <c r="G1444" i="23"/>
  <c r="E1592" i="35" s="1"/>
  <c r="G1445" i="23"/>
  <c r="E1593" i="35" s="1"/>
  <c r="G1446" i="23"/>
  <c r="E1594" i="35" s="1"/>
  <c r="G1447" i="23"/>
  <c r="E1595" i="35" s="1"/>
  <c r="G1448" i="23"/>
  <c r="E1596" i="35" s="1"/>
  <c r="G1449" i="23"/>
  <c r="E1597" i="35" s="1"/>
  <c r="G1450" i="23"/>
  <c r="E1598" i="35" s="1"/>
  <c r="G1451" i="23"/>
  <c r="E1599" i="35" s="1"/>
  <c r="G1452" i="23"/>
  <c r="E1600" i="35" s="1"/>
  <c r="G1453" i="23"/>
  <c r="E1601" i="35" s="1"/>
  <c r="G1454" i="23"/>
  <c r="E1602" i="35" s="1"/>
  <c r="G1455" i="23"/>
  <c r="E1603" i="35" s="1"/>
  <c r="G1456" i="23"/>
  <c r="E1604" i="35" s="1"/>
  <c r="G1457" i="23"/>
  <c r="E1605" i="35" s="1"/>
  <c r="G1458" i="23"/>
  <c r="E1606" i="35" s="1"/>
  <c r="G1459" i="23"/>
  <c r="E1607" i="35" s="1"/>
  <c r="G1460" i="23"/>
  <c r="E1608" i="35" s="1"/>
  <c r="G1461" i="23"/>
  <c r="E1609" i="35" s="1"/>
  <c r="G1462" i="23"/>
  <c r="E1610" i="35" s="1"/>
  <c r="G1463" i="23"/>
  <c r="E1611" i="35" s="1"/>
  <c r="G1464" i="23"/>
  <c r="E1612" i="35" s="1"/>
  <c r="G1465" i="23"/>
  <c r="E1613" i="35" s="1"/>
  <c r="G1466" i="23"/>
  <c r="E1614" i="35" s="1"/>
  <c r="G1467" i="23"/>
  <c r="E1615" i="35" s="1"/>
  <c r="G1468" i="23"/>
  <c r="E1616" i="35" s="1"/>
  <c r="G1469" i="23"/>
  <c r="E1617" i="35" s="1"/>
  <c r="G1470" i="23"/>
  <c r="E1618" i="35" s="1"/>
  <c r="G1471" i="23"/>
  <c r="E1619" i="35" s="1"/>
  <c r="G1472" i="23"/>
  <c r="E1620" i="35" s="1"/>
  <c r="G1473" i="23"/>
  <c r="E1621" i="35" s="1"/>
  <c r="G1474" i="23"/>
  <c r="E1622" i="35" s="1"/>
  <c r="E1846" i="25" s="1"/>
  <c r="D18" i="22" s="1"/>
  <c r="G1475" i="23"/>
  <c r="E1623" i="35" s="1"/>
  <c r="G1476" i="23"/>
  <c r="E1624" i="35" s="1"/>
  <c r="G1477" i="23"/>
  <c r="E1625" i="35" s="1"/>
  <c r="G1478" i="23"/>
  <c r="E1626" i="35" s="1"/>
  <c r="G1479" i="23"/>
  <c r="E1627" i="35" s="1"/>
  <c r="G1480" i="23"/>
  <c r="E1628" i="35" s="1"/>
  <c r="G1481" i="23"/>
  <c r="G1482" i="23"/>
  <c r="E1633" i="35" s="1"/>
  <c r="G1483" i="23"/>
  <c r="E1634" i="35" s="1"/>
  <c r="G1484" i="23"/>
  <c r="E1635" i="35" s="1"/>
  <c r="G1485" i="23"/>
  <c r="E1636" i="35" s="1"/>
  <c r="G1486" i="23"/>
  <c r="E1637" i="35" s="1"/>
  <c r="G1487" i="23"/>
  <c r="E1638" i="35" s="1"/>
  <c r="G1488" i="23"/>
  <c r="E1639" i="35" s="1"/>
  <c r="G1489" i="23"/>
  <c r="E1640" i="35" s="1"/>
  <c r="G1490" i="23"/>
  <c r="E1641" i="35" s="1"/>
  <c r="G1491" i="23"/>
  <c r="E1642" i="35" s="1"/>
  <c r="G1492" i="23"/>
  <c r="E1643" i="35" s="1"/>
  <c r="G1493" i="23"/>
  <c r="E1644" i="35" s="1"/>
  <c r="G1494" i="23"/>
  <c r="E1645" i="35" s="1"/>
  <c r="G1495" i="23"/>
  <c r="E1646" i="35" s="1"/>
  <c r="G1496" i="23"/>
  <c r="E1647" i="35" s="1"/>
  <c r="G1497" i="23"/>
  <c r="E1648" i="35" s="1"/>
  <c r="G1498" i="23"/>
  <c r="E1649" i="35" s="1"/>
  <c r="G1499" i="23"/>
  <c r="E1650" i="35" s="1"/>
  <c r="G1500" i="23"/>
  <c r="E1651" i="35" s="1"/>
  <c r="D2388" i="17"/>
  <c r="D2387" i="17"/>
  <c r="D233" i="17"/>
  <c r="J180" i="17"/>
  <c r="J179" i="17"/>
  <c r="J178" i="17"/>
  <c r="J177" i="17"/>
  <c r="J176" i="17"/>
  <c r="J175" i="17"/>
  <c r="J174" i="17"/>
  <c r="F174" i="17"/>
  <c r="J173" i="17"/>
  <c r="J172" i="17"/>
  <c r="J171" i="17"/>
  <c r="J170" i="17"/>
  <c r="J169" i="17"/>
  <c r="J168" i="17"/>
  <c r="J167" i="17"/>
  <c r="J166" i="17"/>
  <c r="J165" i="17"/>
  <c r="J164" i="17"/>
  <c r="J163" i="17"/>
  <c r="J162" i="17"/>
  <c r="F162" i="17"/>
  <c r="J161" i="17"/>
  <c r="J160" i="17"/>
  <c r="J159" i="17"/>
  <c r="J158" i="17"/>
  <c r="J157" i="17"/>
  <c r="J156" i="17"/>
  <c r="J155" i="17"/>
  <c r="J154" i="17"/>
  <c r="J153" i="17"/>
  <c r="J152" i="17"/>
  <c r="J151" i="17"/>
  <c r="J150" i="17"/>
  <c r="J149" i="17"/>
  <c r="J148" i="17"/>
  <c r="J147" i="17"/>
  <c r="J146" i="17"/>
  <c r="J145" i="17"/>
  <c r="J144" i="17"/>
  <c r="J143" i="17"/>
  <c r="J142" i="17"/>
  <c r="J141" i="17"/>
  <c r="J140" i="17"/>
  <c r="J139" i="17"/>
  <c r="J138" i="17"/>
  <c r="J137" i="17"/>
  <c r="J136" i="17"/>
  <c r="J135" i="17"/>
  <c r="J134" i="17"/>
  <c r="J133" i="17"/>
  <c r="J132" i="17"/>
  <c r="J131" i="17"/>
  <c r="J130" i="17"/>
  <c r="J129" i="17"/>
  <c r="J128" i="17"/>
  <c r="J127" i="17"/>
  <c r="P127" i="17"/>
  <c r="J126" i="17"/>
  <c r="P126" i="17"/>
  <c r="J125" i="17"/>
  <c r="P125" i="17"/>
  <c r="J124" i="17"/>
  <c r="P124" i="17"/>
  <c r="J123" i="17"/>
  <c r="P123" i="17"/>
  <c r="J122" i="17"/>
  <c r="P122" i="17"/>
  <c r="J121" i="17"/>
  <c r="P121" i="17"/>
  <c r="J120" i="17"/>
  <c r="P120" i="17"/>
  <c r="J119" i="17"/>
  <c r="P119" i="17"/>
  <c r="J118" i="17"/>
  <c r="P118" i="17"/>
  <c r="J117" i="17"/>
  <c r="P117" i="17"/>
  <c r="J116" i="17"/>
  <c r="P116" i="17"/>
  <c r="J115" i="17"/>
  <c r="P115" i="17"/>
  <c r="J114" i="17"/>
  <c r="P114" i="17"/>
  <c r="J113" i="17"/>
  <c r="P113" i="17"/>
  <c r="J112" i="17"/>
  <c r="P112" i="17"/>
  <c r="J111" i="17"/>
  <c r="P111" i="17"/>
  <c r="J110" i="17"/>
  <c r="P110" i="17"/>
  <c r="J109" i="17"/>
  <c r="P109" i="17"/>
  <c r="J108" i="17"/>
  <c r="P108" i="17"/>
  <c r="J107" i="17"/>
  <c r="P107" i="17"/>
  <c r="J106" i="17"/>
  <c r="P106" i="17"/>
  <c r="J105" i="17"/>
  <c r="E105" i="17"/>
  <c r="P105" i="17" s="1"/>
  <c r="J104" i="17"/>
  <c r="E104" i="17"/>
  <c r="P104" i="17" s="1"/>
  <c r="J103" i="17"/>
  <c r="E103" i="17"/>
  <c r="P103" i="17" s="1"/>
  <c r="J102" i="17"/>
  <c r="E102" i="17"/>
  <c r="P102" i="17" s="1"/>
  <c r="J101" i="17"/>
  <c r="E101" i="17"/>
  <c r="P101" i="17" s="1"/>
  <c r="J100" i="17"/>
  <c r="E100" i="17"/>
  <c r="P100" i="17" s="1"/>
  <c r="J99" i="17"/>
  <c r="E99" i="17"/>
  <c r="P99" i="17" s="1"/>
  <c r="J98" i="17"/>
  <c r="E98" i="17"/>
  <c r="P98" i="17" s="1"/>
  <c r="J97" i="17"/>
  <c r="E97" i="17"/>
  <c r="P97" i="17" s="1"/>
  <c r="J96" i="17"/>
  <c r="E96" i="17"/>
  <c r="P96" i="17" s="1"/>
  <c r="J95" i="17"/>
  <c r="E95" i="17"/>
  <c r="P95" i="17" s="1"/>
  <c r="J94" i="17"/>
  <c r="E94" i="17"/>
  <c r="P94" i="17" s="1"/>
  <c r="J93" i="17"/>
  <c r="E93" i="17"/>
  <c r="P93" i="17" s="1"/>
  <c r="J92" i="17"/>
  <c r="E92" i="17"/>
  <c r="P92" i="17" s="1"/>
  <c r="J91" i="17"/>
  <c r="E91" i="17"/>
  <c r="P91" i="17" s="1"/>
  <c r="J90" i="17"/>
  <c r="E90" i="17"/>
  <c r="P90" i="17" s="1"/>
  <c r="J89" i="17"/>
  <c r="E89" i="17"/>
  <c r="P89" i="17" s="1"/>
  <c r="J88" i="17"/>
  <c r="E88" i="17"/>
  <c r="P88" i="17" s="1"/>
  <c r="J87" i="17"/>
  <c r="E87" i="17"/>
  <c r="P87" i="17" s="1"/>
  <c r="J86" i="17"/>
  <c r="E86" i="17"/>
  <c r="P86" i="17" s="1"/>
  <c r="J85" i="17"/>
  <c r="E85" i="17"/>
  <c r="P85" i="17" s="1"/>
  <c r="J84" i="17"/>
  <c r="E84" i="17"/>
  <c r="P84" i="17" s="1"/>
  <c r="J83" i="17"/>
  <c r="E83" i="17"/>
  <c r="P83" i="17" s="1"/>
  <c r="J82" i="17"/>
  <c r="E82" i="17"/>
  <c r="P82" i="17" s="1"/>
  <c r="J81" i="17"/>
  <c r="E81" i="17"/>
  <c r="P81" i="17" s="1"/>
  <c r="J80" i="17"/>
  <c r="E80" i="17"/>
  <c r="P80" i="17" s="1"/>
  <c r="J79" i="17"/>
  <c r="E79" i="17"/>
  <c r="P79" i="17" s="1"/>
  <c r="J78" i="17"/>
  <c r="E78" i="17"/>
  <c r="P78" i="17" s="1"/>
  <c r="J77" i="17"/>
  <c r="E77" i="17"/>
  <c r="P77" i="17" s="1"/>
  <c r="J76" i="17"/>
  <c r="E76" i="17"/>
  <c r="P76" i="17" s="1"/>
  <c r="J75" i="17"/>
  <c r="E75" i="17"/>
  <c r="P75" i="17" s="1"/>
  <c r="J74" i="17"/>
  <c r="E74" i="17"/>
  <c r="P74" i="17" s="1"/>
  <c r="J73" i="17"/>
  <c r="E73" i="17"/>
  <c r="P73" i="17" s="1"/>
  <c r="J72" i="17"/>
  <c r="E72" i="17"/>
  <c r="P72" i="17" s="1"/>
  <c r="J71" i="17"/>
  <c r="E71" i="17"/>
  <c r="P71" i="17" s="1"/>
  <c r="J70" i="17"/>
  <c r="E70" i="17"/>
  <c r="P70" i="17" s="1"/>
  <c r="J69" i="17"/>
  <c r="E69" i="17"/>
  <c r="P69" i="17" s="1"/>
  <c r="J68" i="17"/>
  <c r="E68" i="17"/>
  <c r="P68" i="17" s="1"/>
  <c r="J67" i="17"/>
  <c r="E67" i="17"/>
  <c r="P67" i="17" s="1"/>
  <c r="J66" i="17"/>
  <c r="E66" i="17"/>
  <c r="P66" i="17" s="1"/>
  <c r="J65" i="17"/>
  <c r="E65" i="17"/>
  <c r="P65" i="17" s="1"/>
  <c r="J64" i="17"/>
  <c r="E64" i="17"/>
  <c r="P64" i="17" s="1"/>
  <c r="J63" i="17"/>
  <c r="E63" i="17"/>
  <c r="P63" i="17" s="1"/>
  <c r="J62" i="17"/>
  <c r="E62" i="17"/>
  <c r="P62" i="17" s="1"/>
  <c r="J61" i="17"/>
  <c r="E61" i="17"/>
  <c r="P61" i="17" s="1"/>
  <c r="J60" i="17"/>
  <c r="E60" i="17"/>
  <c r="P60" i="17" s="1"/>
  <c r="J59" i="17"/>
  <c r="E59" i="17"/>
  <c r="P59" i="17" s="1"/>
  <c r="J58" i="17"/>
  <c r="E58" i="17"/>
  <c r="P58" i="17" s="1"/>
  <c r="J57" i="17"/>
  <c r="E57" i="17"/>
  <c r="P57" i="17" s="1"/>
  <c r="J56" i="17"/>
  <c r="E56" i="17"/>
  <c r="P56" i="17" s="1"/>
  <c r="J55" i="17"/>
  <c r="E55" i="17"/>
  <c r="P55" i="17" s="1"/>
  <c r="J54" i="17"/>
  <c r="E54" i="17"/>
  <c r="P54" i="17" s="1"/>
  <c r="J53" i="17"/>
  <c r="E53" i="17"/>
  <c r="P53" i="17" s="1"/>
  <c r="J52" i="17"/>
  <c r="E52" i="17"/>
  <c r="P52" i="17" s="1"/>
  <c r="J51" i="17"/>
  <c r="E51" i="17"/>
  <c r="P51" i="17" s="1"/>
  <c r="J50" i="17"/>
  <c r="E50" i="17"/>
  <c r="P50" i="17" s="1"/>
  <c r="J49" i="17"/>
  <c r="E49" i="17"/>
  <c r="P49" i="17" s="1"/>
  <c r="J48" i="17"/>
  <c r="E48" i="17"/>
  <c r="P48" i="17" s="1"/>
  <c r="J47" i="17"/>
  <c r="E47" i="17"/>
  <c r="P47" i="17" s="1"/>
  <c r="J46" i="17"/>
  <c r="E46" i="17"/>
  <c r="P46" i="17" s="1"/>
  <c r="J45" i="17"/>
  <c r="E45" i="17"/>
  <c r="P45" i="17" s="1"/>
  <c r="J44" i="17"/>
  <c r="E44" i="17"/>
  <c r="P44" i="17" s="1"/>
  <c r="J43" i="17"/>
  <c r="E43" i="17"/>
  <c r="P43" i="17" s="1"/>
  <c r="J42" i="17"/>
  <c r="E42" i="17"/>
  <c r="P42" i="17" s="1"/>
  <c r="J41" i="17"/>
  <c r="E41" i="17"/>
  <c r="P41" i="17" s="1"/>
  <c r="J40" i="17"/>
  <c r="E40" i="17"/>
  <c r="P40" i="17" s="1"/>
  <c r="J39" i="17"/>
  <c r="E39" i="17"/>
  <c r="P39" i="17" s="1"/>
  <c r="J38" i="17"/>
  <c r="E38" i="17"/>
  <c r="P38" i="17" s="1"/>
  <c r="J37" i="17"/>
  <c r="E37" i="17"/>
  <c r="P37" i="17" s="1"/>
  <c r="J36" i="17"/>
  <c r="E36" i="17"/>
  <c r="P36" i="17" s="1"/>
  <c r="J35" i="17"/>
  <c r="E35" i="17"/>
  <c r="P35" i="17" s="1"/>
  <c r="J34" i="17"/>
  <c r="E34" i="17"/>
  <c r="P34" i="17" s="1"/>
  <c r="F33" i="17"/>
  <c r="Q2938" i="7"/>
  <c r="P2938" i="7"/>
  <c r="O2938" i="7"/>
  <c r="Q2937" i="7"/>
  <c r="P2937" i="7"/>
  <c r="O2937" i="7"/>
  <c r="A36" i="15"/>
  <c r="A35" i="15"/>
  <c r="A47" i="15" s="1"/>
  <c r="A34" i="15"/>
  <c r="A46" i="15" s="1"/>
  <c r="G33" i="15"/>
  <c r="A33" i="15"/>
  <c r="A45" i="15" s="1"/>
  <c r="A32" i="15"/>
  <c r="A44" i="15" s="1"/>
  <c r="J28" i="15"/>
  <c r="I28" i="15"/>
  <c r="H28" i="15"/>
  <c r="G28" i="15"/>
  <c r="L27" i="15"/>
  <c r="H27" i="15"/>
  <c r="I27" i="15" s="1"/>
  <c r="J27" i="15" s="1"/>
  <c r="K4" i="15"/>
  <c r="J4" i="15"/>
  <c r="I4" i="15"/>
  <c r="H4" i="15"/>
  <c r="G4" i="15"/>
  <c r="F4" i="15"/>
  <c r="E4" i="15"/>
  <c r="D4" i="15"/>
  <c r="C4" i="15"/>
  <c r="B4" i="15"/>
  <c r="I3" i="15"/>
  <c r="J3" i="15" s="1"/>
  <c r="K3" i="15" s="1"/>
  <c r="G11" i="12"/>
  <c r="H8" i="12"/>
  <c r="H6" i="12"/>
  <c r="G6" i="12"/>
  <c r="F6" i="12"/>
  <c r="E6" i="12"/>
  <c r="D6" i="12"/>
  <c r="C6" i="12"/>
  <c r="K4" i="12"/>
  <c r="J4" i="12"/>
  <c r="I4" i="12"/>
  <c r="H4" i="12"/>
  <c r="G4" i="12"/>
  <c r="F4" i="12"/>
  <c r="E4" i="12"/>
  <c r="D4" i="12"/>
  <c r="C4" i="12"/>
  <c r="B4" i="12"/>
  <c r="I3" i="12"/>
  <c r="G148" i="11"/>
  <c r="G150" i="11" s="1"/>
  <c r="G144" i="11"/>
  <c r="G146" i="11" s="1"/>
  <c r="G151" i="11" s="1"/>
  <c r="G45" i="15" s="1"/>
  <c r="G141" i="11"/>
  <c r="G16" i="15" s="1"/>
  <c r="G134" i="11"/>
  <c r="F134" i="11"/>
  <c r="E134" i="11"/>
  <c r="D134" i="11"/>
  <c r="C134" i="11"/>
  <c r="B134" i="11"/>
  <c r="G131" i="11"/>
  <c r="F131" i="11"/>
  <c r="E131" i="11"/>
  <c r="E99" i="11" s="1"/>
  <c r="D131" i="11"/>
  <c r="D99" i="11" s="1"/>
  <c r="C131" i="11"/>
  <c r="C99" i="11" s="1"/>
  <c r="B131" i="11"/>
  <c r="B99" i="11" s="1"/>
  <c r="G130" i="11"/>
  <c r="F130" i="11"/>
  <c r="E130" i="11"/>
  <c r="D130" i="11"/>
  <c r="C130" i="11"/>
  <c r="C112" i="11" s="1"/>
  <c r="B130" i="11"/>
  <c r="F129" i="11"/>
  <c r="F125" i="11"/>
  <c r="E125" i="11"/>
  <c r="D125" i="11"/>
  <c r="C125" i="11"/>
  <c r="F124" i="11"/>
  <c r="F119" i="11" s="1"/>
  <c r="E124" i="11"/>
  <c r="D124" i="11"/>
  <c r="C124" i="11"/>
  <c r="G122" i="11"/>
  <c r="G119" i="11"/>
  <c r="G99" i="11" s="1"/>
  <c r="G44" i="15" s="1"/>
  <c r="G47" i="15" s="1"/>
  <c r="E119" i="11"/>
  <c r="D119" i="11"/>
  <c r="C119" i="11"/>
  <c r="B119" i="11"/>
  <c r="G114" i="11"/>
  <c r="F114" i="11"/>
  <c r="E114" i="11"/>
  <c r="D114" i="11"/>
  <c r="C114" i="11"/>
  <c r="B114" i="11"/>
  <c r="A114" i="11"/>
  <c r="G113" i="11"/>
  <c r="F113" i="11"/>
  <c r="E113" i="11"/>
  <c r="D113" i="11"/>
  <c r="C113" i="11"/>
  <c r="B113" i="11"/>
  <c r="A113" i="11"/>
  <c r="G112" i="11"/>
  <c r="F112" i="11"/>
  <c r="E112" i="11"/>
  <c r="D112" i="11"/>
  <c r="B112" i="11"/>
  <c r="A112" i="11"/>
  <c r="G111" i="11"/>
  <c r="F111" i="11"/>
  <c r="E111" i="11"/>
  <c r="D111" i="11"/>
  <c r="C111" i="11"/>
  <c r="B111" i="11"/>
  <c r="A111" i="11"/>
  <c r="G110" i="11"/>
  <c r="F110" i="11"/>
  <c r="E110" i="11"/>
  <c r="D110" i="11"/>
  <c r="C110" i="11"/>
  <c r="B110" i="11"/>
  <c r="A110" i="11"/>
  <c r="G109" i="11"/>
  <c r="F109" i="11"/>
  <c r="E109" i="11"/>
  <c r="D109" i="11"/>
  <c r="C109" i="11"/>
  <c r="B109" i="11"/>
  <c r="A109" i="11"/>
  <c r="A58" i="11" s="1"/>
  <c r="F58" i="11" s="1"/>
  <c r="G107" i="11"/>
  <c r="F107" i="11"/>
  <c r="E107" i="11"/>
  <c r="D107" i="11"/>
  <c r="C107" i="11"/>
  <c r="A107" i="11"/>
  <c r="G106" i="11"/>
  <c r="F106" i="11"/>
  <c r="E106" i="11"/>
  <c r="D106" i="11"/>
  <c r="C106" i="11"/>
  <c r="A106" i="11"/>
  <c r="G105" i="11"/>
  <c r="F105" i="11"/>
  <c r="E105" i="11"/>
  <c r="D105" i="11"/>
  <c r="C105" i="11"/>
  <c r="A105" i="11"/>
  <c r="G104" i="11"/>
  <c r="F104" i="11"/>
  <c r="E104" i="11"/>
  <c r="D104" i="11"/>
  <c r="C104" i="11"/>
  <c r="B104" i="11"/>
  <c r="A104" i="11"/>
  <c r="G103" i="11"/>
  <c r="F103" i="11"/>
  <c r="E103" i="11"/>
  <c r="D103" i="11"/>
  <c r="C103" i="11"/>
  <c r="B103" i="11"/>
  <c r="A103" i="11"/>
  <c r="G101" i="11"/>
  <c r="A101" i="11"/>
  <c r="G100" i="11"/>
  <c r="F100" i="11"/>
  <c r="E100" i="11"/>
  <c r="D100" i="11"/>
  <c r="C100" i="11"/>
  <c r="B100" i="11"/>
  <c r="A100" i="11"/>
  <c r="A99" i="11"/>
  <c r="A52" i="11" s="1"/>
  <c r="D52" i="11" s="1"/>
  <c r="G98" i="11"/>
  <c r="G32" i="15" s="1"/>
  <c r="G35" i="15" s="1"/>
  <c r="F98" i="11"/>
  <c r="E98" i="11"/>
  <c r="A98" i="11"/>
  <c r="G97" i="11"/>
  <c r="G15" i="15" s="1"/>
  <c r="A97" i="11"/>
  <c r="A95" i="11"/>
  <c r="A49" i="11" s="1"/>
  <c r="F49" i="11" s="1"/>
  <c r="G94" i="11"/>
  <c r="F94" i="11"/>
  <c r="E94" i="11"/>
  <c r="D94" i="11"/>
  <c r="D98" i="11" s="1"/>
  <c r="C94" i="11"/>
  <c r="C98" i="11" s="1"/>
  <c r="B94" i="11"/>
  <c r="B98" i="11" s="1"/>
  <c r="A94" i="11"/>
  <c r="F93" i="11"/>
  <c r="F97" i="11" s="1"/>
  <c r="E93" i="11"/>
  <c r="E101" i="11" s="1"/>
  <c r="D93" i="11"/>
  <c r="D97" i="11" s="1"/>
  <c r="C93" i="11"/>
  <c r="C101" i="11" s="1"/>
  <c r="B93" i="11"/>
  <c r="B101" i="11" s="1"/>
  <c r="A93" i="11"/>
  <c r="A92" i="11"/>
  <c r="G90" i="11"/>
  <c r="F90" i="11"/>
  <c r="E90" i="11"/>
  <c r="D90" i="11"/>
  <c r="C90" i="11"/>
  <c r="B90" i="11"/>
  <c r="D79" i="11"/>
  <c r="C79" i="11"/>
  <c r="B79" i="11"/>
  <c r="H65" i="11"/>
  <c r="H70" i="11" s="1"/>
  <c r="G65" i="11"/>
  <c r="G70" i="11" s="1"/>
  <c r="F65" i="11"/>
  <c r="F70" i="11" s="1"/>
  <c r="E65" i="11"/>
  <c r="E70" i="11" s="1"/>
  <c r="D65" i="11"/>
  <c r="D70" i="11" s="1"/>
  <c r="C65" i="11"/>
  <c r="C70" i="11" s="1"/>
  <c r="A57" i="11"/>
  <c r="B55" i="11"/>
  <c r="B58" i="11" s="1"/>
  <c r="A55" i="11"/>
  <c r="B54" i="11"/>
  <c r="B57" i="11" s="1"/>
  <c r="A54" i="11"/>
  <c r="B52" i="11"/>
  <c r="B51" i="11"/>
  <c r="A51" i="11"/>
  <c r="F8" i="11" s="1"/>
  <c r="A48" i="11"/>
  <c r="G47" i="11"/>
  <c r="F47" i="11"/>
  <c r="E47" i="11"/>
  <c r="D47" i="11"/>
  <c r="C47" i="11"/>
  <c r="A28" i="11"/>
  <c r="A8" i="11"/>
  <c r="A102" i="18"/>
  <c r="A101" i="18"/>
  <c r="A100" i="18"/>
  <c r="A99" i="18"/>
  <c r="D98" i="18"/>
  <c r="A98" i="18"/>
  <c r="G94" i="18"/>
  <c r="F94" i="18"/>
  <c r="F102" i="18" s="1"/>
  <c r="E94" i="18"/>
  <c r="E102" i="18" s="1"/>
  <c r="C94" i="18"/>
  <c r="C102" i="18" s="1"/>
  <c r="B94" i="18"/>
  <c r="B102" i="18" s="1"/>
  <c r="D93" i="18"/>
  <c r="D94" i="18" s="1"/>
  <c r="D102" i="18" s="1"/>
  <c r="F89" i="18"/>
  <c r="E89" i="18"/>
  <c r="B89" i="18"/>
  <c r="D88" i="18"/>
  <c r="M66" i="18" s="1"/>
  <c r="C88" i="18"/>
  <c r="C89" i="18" s="1"/>
  <c r="G83" i="18"/>
  <c r="F83" i="18"/>
  <c r="E83" i="18"/>
  <c r="B83" i="18"/>
  <c r="J82" i="18"/>
  <c r="D82" i="18"/>
  <c r="D83" i="18" s="1"/>
  <c r="C82" i="18"/>
  <c r="C83" i="18" s="1"/>
  <c r="J81" i="18"/>
  <c r="J80" i="18"/>
  <c r="J79" i="18"/>
  <c r="G77" i="18"/>
  <c r="F77" i="18"/>
  <c r="E77" i="18"/>
  <c r="B77" i="18"/>
  <c r="P76" i="18"/>
  <c r="O76" i="18"/>
  <c r="N76" i="18"/>
  <c r="K76" i="18"/>
  <c r="D76" i="18"/>
  <c r="D77" i="18" s="1"/>
  <c r="C76" i="18"/>
  <c r="C77" i="18" s="1"/>
  <c r="P75" i="18"/>
  <c r="O75" i="18"/>
  <c r="N75" i="18"/>
  <c r="N45" i="18" s="1"/>
  <c r="M75" i="18"/>
  <c r="M45" i="18" s="1"/>
  <c r="L75" i="18"/>
  <c r="K75" i="18"/>
  <c r="K45" i="18" s="1"/>
  <c r="P74" i="18"/>
  <c r="O74" i="18"/>
  <c r="N74" i="18"/>
  <c r="M74" i="18"/>
  <c r="L74" i="18"/>
  <c r="K74" i="18"/>
  <c r="K44" i="18" s="1"/>
  <c r="G72" i="18"/>
  <c r="F72" i="18"/>
  <c r="E72" i="18"/>
  <c r="B72" i="18"/>
  <c r="P71" i="18"/>
  <c r="O71" i="18"/>
  <c r="N71" i="18"/>
  <c r="K71" i="18"/>
  <c r="D71" i="18"/>
  <c r="M61" i="18" s="1"/>
  <c r="C71" i="18"/>
  <c r="L76" i="18" s="1"/>
  <c r="P70" i="18"/>
  <c r="O70" i="18"/>
  <c r="N70" i="18"/>
  <c r="M70" i="18"/>
  <c r="L70" i="18"/>
  <c r="K70" i="18"/>
  <c r="P69" i="18"/>
  <c r="O69" i="18"/>
  <c r="N69" i="18"/>
  <c r="M69" i="18"/>
  <c r="L69" i="18"/>
  <c r="K69" i="18"/>
  <c r="G67" i="18"/>
  <c r="F67" i="18"/>
  <c r="E67" i="18"/>
  <c r="B67" i="18"/>
  <c r="P66" i="18"/>
  <c r="O66" i="18"/>
  <c r="N66" i="18"/>
  <c r="K66" i="18"/>
  <c r="D66" i="18"/>
  <c r="D67" i="18" s="1"/>
  <c r="C66" i="18"/>
  <c r="C67" i="18" s="1"/>
  <c r="B66" i="18"/>
  <c r="A66" i="18"/>
  <c r="A71" i="18" s="1"/>
  <c r="P65" i="18"/>
  <c r="P45" i="18" s="1"/>
  <c r="O65" i="18"/>
  <c r="N65" i="18"/>
  <c r="M65" i="18"/>
  <c r="L65" i="18"/>
  <c r="L45" i="18" s="1"/>
  <c r="K65" i="18"/>
  <c r="A65" i="18"/>
  <c r="A70" i="18" s="1"/>
  <c r="P64" i="18"/>
  <c r="P44" i="18" s="1"/>
  <c r="O64" i="18"/>
  <c r="N64" i="18"/>
  <c r="M64" i="18"/>
  <c r="L64" i="18"/>
  <c r="K64" i="18"/>
  <c r="A64" i="18"/>
  <c r="A69" i="18" s="1"/>
  <c r="G62" i="18"/>
  <c r="G98" i="18" s="1"/>
  <c r="F62" i="18"/>
  <c r="E62" i="18"/>
  <c r="D62" i="18"/>
  <c r="C62" i="18"/>
  <c r="C98" i="18" s="1"/>
  <c r="B62" i="18"/>
  <c r="B98" i="18" s="1"/>
  <c r="P61" i="18"/>
  <c r="O61" i="18"/>
  <c r="N61" i="18"/>
  <c r="K61" i="18"/>
  <c r="J61" i="18"/>
  <c r="P60" i="18"/>
  <c r="O60" i="18"/>
  <c r="N60" i="18"/>
  <c r="M60" i="18"/>
  <c r="L60" i="18"/>
  <c r="K60" i="18"/>
  <c r="J60" i="18"/>
  <c r="P59" i="18"/>
  <c r="O59" i="18"/>
  <c r="N59" i="18"/>
  <c r="M59" i="18"/>
  <c r="L59" i="18"/>
  <c r="K59" i="18"/>
  <c r="J59" i="18"/>
  <c r="F56" i="18"/>
  <c r="B56" i="18"/>
  <c r="A56" i="18"/>
  <c r="B55" i="18"/>
  <c r="A55" i="18"/>
  <c r="G53" i="18"/>
  <c r="G55" i="18" s="1"/>
  <c r="F53" i="18"/>
  <c r="F4" i="1" s="1"/>
  <c r="E53" i="18"/>
  <c r="E56" i="18" s="1"/>
  <c r="D53" i="18"/>
  <c r="D55" i="18" s="1"/>
  <c r="C53" i="18"/>
  <c r="C55" i="18" s="1"/>
  <c r="B53" i="18"/>
  <c r="P46" i="18"/>
  <c r="O46" i="18"/>
  <c r="N46" i="18"/>
  <c r="K46" i="18"/>
  <c r="G46" i="18"/>
  <c r="F46" i="18"/>
  <c r="E46" i="18"/>
  <c r="D46" i="18"/>
  <c r="C46" i="18"/>
  <c r="B46" i="18"/>
  <c r="O45" i="18"/>
  <c r="G45" i="18"/>
  <c r="F45" i="18"/>
  <c r="E45" i="18"/>
  <c r="D45" i="18"/>
  <c r="C45" i="18"/>
  <c r="B45" i="18"/>
  <c r="O44" i="18"/>
  <c r="N44" i="18"/>
  <c r="M44" i="18"/>
  <c r="G44" i="18"/>
  <c r="F44" i="18"/>
  <c r="E44" i="18"/>
  <c r="D44" i="18"/>
  <c r="C44" i="18"/>
  <c r="B44" i="18"/>
  <c r="J43" i="18"/>
  <c r="A25" i="18" s="1"/>
  <c r="A43" i="18"/>
  <c r="A85" i="21"/>
  <c r="A84" i="21"/>
  <c r="A83" i="21"/>
  <c r="A82" i="21"/>
  <c r="A81" i="21"/>
  <c r="A80" i="21"/>
  <c r="A79" i="21"/>
  <c r="A78" i="21"/>
  <c r="A77" i="21"/>
  <c r="A76" i="21"/>
  <c r="A75" i="21"/>
  <c r="A74" i="21"/>
  <c r="A73" i="21"/>
  <c r="A72" i="21"/>
  <c r="A71" i="21"/>
  <c r="A70" i="21"/>
  <c r="A69" i="21"/>
  <c r="A67" i="21"/>
  <c r="A66" i="21"/>
  <c r="A65" i="21"/>
  <c r="A64" i="21"/>
  <c r="A63" i="21"/>
  <c r="A62" i="21"/>
  <c r="A61" i="21"/>
  <c r="A60" i="21"/>
  <c r="A59" i="21"/>
  <c r="A58" i="21"/>
  <c r="A56" i="21"/>
  <c r="A55" i="21"/>
  <c r="A54" i="21"/>
  <c r="A53" i="21"/>
  <c r="A52" i="21"/>
  <c r="A51" i="21"/>
  <c r="A50" i="21"/>
  <c r="A49" i="21"/>
  <c r="A48" i="21"/>
  <c r="A47" i="21"/>
  <c r="A46" i="21"/>
  <c r="A45" i="21"/>
  <c r="A44" i="21"/>
  <c r="A43" i="21"/>
  <c r="A42" i="21"/>
  <c r="A41" i="21"/>
  <c r="A40" i="21"/>
  <c r="A37" i="21"/>
  <c r="G36" i="21"/>
  <c r="D36" i="21"/>
  <c r="C36" i="21"/>
  <c r="B36" i="21"/>
  <c r="A36" i="21"/>
  <c r="A35" i="21"/>
  <c r="G34" i="21"/>
  <c r="D34" i="21"/>
  <c r="C34" i="21"/>
  <c r="B34" i="21"/>
  <c r="A34" i="21"/>
  <c r="A33" i="21"/>
  <c r="G32" i="21"/>
  <c r="D32" i="21"/>
  <c r="C32" i="21"/>
  <c r="B32" i="21"/>
  <c r="A32" i="21"/>
  <c r="G31" i="21"/>
  <c r="D31" i="21"/>
  <c r="C31" i="21"/>
  <c r="B31" i="21"/>
  <c r="A31" i="21"/>
  <c r="A30" i="21"/>
  <c r="G29" i="21"/>
  <c r="D29" i="21"/>
  <c r="C29" i="21"/>
  <c r="B29" i="21"/>
  <c r="A29" i="21"/>
  <c r="G28" i="21"/>
  <c r="D28" i="21"/>
  <c r="C28" i="21"/>
  <c r="B28" i="21"/>
  <c r="A28" i="21"/>
  <c r="G27" i="21"/>
  <c r="D27" i="21"/>
  <c r="C27" i="21"/>
  <c r="B27" i="21"/>
  <c r="A27" i="21"/>
  <c r="A26" i="21"/>
  <c r="G25" i="21"/>
  <c r="D25" i="21"/>
  <c r="C25" i="21"/>
  <c r="B25" i="21"/>
  <c r="A25" i="21"/>
  <c r="G24" i="21"/>
  <c r="D24" i="21"/>
  <c r="C24" i="21"/>
  <c r="B24" i="21"/>
  <c r="A24" i="21"/>
  <c r="A18" i="21"/>
  <c r="G17" i="21"/>
  <c r="F17" i="21"/>
  <c r="E17" i="21"/>
  <c r="D17" i="21"/>
  <c r="C17" i="21"/>
  <c r="B17" i="21"/>
  <c r="A17" i="21"/>
  <c r="A16" i="21"/>
  <c r="G15" i="21"/>
  <c r="F15" i="21"/>
  <c r="E15" i="21"/>
  <c r="D15" i="21"/>
  <c r="C15" i="21"/>
  <c r="B15" i="21"/>
  <c r="A15" i="21"/>
  <c r="A14" i="21"/>
  <c r="G13" i="21"/>
  <c r="F13" i="21"/>
  <c r="E13" i="21"/>
  <c r="D13" i="21"/>
  <c r="C13" i="21"/>
  <c r="B13" i="21"/>
  <c r="A13" i="21"/>
  <c r="G12" i="21"/>
  <c r="F12" i="21"/>
  <c r="E12" i="21"/>
  <c r="D12" i="21"/>
  <c r="C12" i="21"/>
  <c r="B12" i="21"/>
  <c r="A12" i="21"/>
  <c r="A11" i="21"/>
  <c r="G10" i="21"/>
  <c r="F10" i="21"/>
  <c r="E10" i="21"/>
  <c r="D10" i="21"/>
  <c r="C10" i="21"/>
  <c r="B10" i="21"/>
  <c r="A10" i="21"/>
  <c r="G9" i="21"/>
  <c r="F9" i="21"/>
  <c r="E9" i="21"/>
  <c r="D9" i="21"/>
  <c r="C9" i="21"/>
  <c r="B9" i="21"/>
  <c r="A9" i="21"/>
  <c r="G8" i="21"/>
  <c r="F8" i="21"/>
  <c r="E8" i="21"/>
  <c r="D8" i="21"/>
  <c r="C8" i="21"/>
  <c r="B8" i="21"/>
  <c r="A8" i="21"/>
  <c r="A7" i="21"/>
  <c r="G6" i="21"/>
  <c r="F6" i="21"/>
  <c r="E6" i="21"/>
  <c r="D6" i="21"/>
  <c r="C6" i="21"/>
  <c r="B6" i="21"/>
  <c r="A6" i="21"/>
  <c r="D5" i="21"/>
  <c r="C5" i="21"/>
  <c r="B5" i="21"/>
  <c r="A5" i="21"/>
  <c r="G208" i="9"/>
  <c r="F208" i="9"/>
  <c r="E208" i="9"/>
  <c r="D208" i="9"/>
  <c r="C208" i="9"/>
  <c r="B208" i="9"/>
  <c r="A208" i="9"/>
  <c r="I207" i="9"/>
  <c r="F206" i="9"/>
  <c r="G205" i="9"/>
  <c r="E205" i="9"/>
  <c r="D205" i="9"/>
  <c r="C205" i="9"/>
  <c r="B205" i="9"/>
  <c r="F193" i="9"/>
  <c r="G194" i="9" s="1"/>
  <c r="G55" i="2" s="1"/>
  <c r="BB173" i="22" s="1"/>
  <c r="E193" i="9"/>
  <c r="E72" i="1" s="1"/>
  <c r="D193" i="9"/>
  <c r="D72" i="1" s="1"/>
  <c r="C193" i="9"/>
  <c r="C187" i="9" s="1"/>
  <c r="B193" i="9"/>
  <c r="B187" i="9" s="1"/>
  <c r="G192" i="9"/>
  <c r="G56" i="2" s="1"/>
  <c r="BB174" i="22" s="1"/>
  <c r="F192" i="9"/>
  <c r="E192" i="9"/>
  <c r="D192" i="9"/>
  <c r="C192" i="9"/>
  <c r="G187" i="9"/>
  <c r="J184" i="9"/>
  <c r="K184" i="9" s="1"/>
  <c r="L184" i="9" s="1"/>
  <c r="M184" i="9" s="1"/>
  <c r="N184" i="9" s="1"/>
  <c r="B184" i="9"/>
  <c r="G181" i="9"/>
  <c r="H182" i="9" s="1"/>
  <c r="H184" i="9" s="1"/>
  <c r="P184" i="9" s="1"/>
  <c r="F181" i="9"/>
  <c r="G182" i="9" s="1"/>
  <c r="G184" i="9" s="1"/>
  <c r="E181" i="9"/>
  <c r="F182" i="9" s="1"/>
  <c r="F184" i="9" s="1"/>
  <c r="D181" i="9"/>
  <c r="E182" i="9" s="1"/>
  <c r="E184" i="9" s="1"/>
  <c r="C181" i="9"/>
  <c r="D182" i="9" s="1"/>
  <c r="D184" i="9" s="1"/>
  <c r="B181" i="9"/>
  <c r="C182" i="9" s="1"/>
  <c r="C184" i="9" s="1"/>
  <c r="J177" i="9"/>
  <c r="K177" i="9" s="1"/>
  <c r="L177" i="9" s="1"/>
  <c r="M177" i="9" s="1"/>
  <c r="N177" i="9" s="1"/>
  <c r="G176" i="9"/>
  <c r="F176" i="9"/>
  <c r="E176" i="9"/>
  <c r="D176" i="9"/>
  <c r="C176" i="9"/>
  <c r="B176" i="9"/>
  <c r="G174" i="9"/>
  <c r="H175" i="9" s="1"/>
  <c r="F174" i="9"/>
  <c r="G175" i="9" s="1"/>
  <c r="E174" i="9"/>
  <c r="F175" i="9" s="1"/>
  <c r="D174" i="9"/>
  <c r="E175" i="9" s="1"/>
  <c r="C174" i="9"/>
  <c r="D175" i="9" s="1"/>
  <c r="B174" i="9"/>
  <c r="C175" i="9" s="1"/>
  <c r="F170" i="9"/>
  <c r="E170" i="9"/>
  <c r="D170" i="9"/>
  <c r="C170" i="9"/>
  <c r="C88" i="11" s="1"/>
  <c r="B170" i="9"/>
  <c r="B88" i="11" s="1"/>
  <c r="G169" i="9"/>
  <c r="H169" i="9" s="1"/>
  <c r="H170" i="9" s="1"/>
  <c r="H88" i="11" s="1"/>
  <c r="P167" i="9"/>
  <c r="B167" i="9"/>
  <c r="B6" i="12" s="1"/>
  <c r="H164" i="9"/>
  <c r="G164" i="9"/>
  <c r="F164" i="9"/>
  <c r="E164" i="9"/>
  <c r="D164" i="9"/>
  <c r="C164" i="9"/>
  <c r="P160" i="9"/>
  <c r="I160" i="9"/>
  <c r="J160" i="9" s="1"/>
  <c r="K160" i="9" s="1"/>
  <c r="L160" i="9" s="1"/>
  <c r="M160" i="9" s="1"/>
  <c r="N160" i="9" s="1"/>
  <c r="G160" i="9"/>
  <c r="F160" i="9"/>
  <c r="D160" i="9"/>
  <c r="C160" i="9"/>
  <c r="B160" i="9"/>
  <c r="E159" i="9"/>
  <c r="E160" i="9" s="1"/>
  <c r="G158" i="9"/>
  <c r="F158" i="9"/>
  <c r="E158" i="9"/>
  <c r="D158" i="9"/>
  <c r="C158" i="9"/>
  <c r="G156" i="9"/>
  <c r="G68" i="1" s="1"/>
  <c r="F156" i="9"/>
  <c r="D156" i="9"/>
  <c r="C156" i="9"/>
  <c r="B156" i="9"/>
  <c r="P153" i="9"/>
  <c r="I153" i="9"/>
  <c r="J153" i="9" s="1"/>
  <c r="K153" i="9" s="1"/>
  <c r="L153" i="9" s="1"/>
  <c r="M153" i="9" s="1"/>
  <c r="N153" i="9" s="1"/>
  <c r="G152" i="9"/>
  <c r="G153" i="9" s="1"/>
  <c r="F152" i="9"/>
  <c r="F153" i="9" s="1"/>
  <c r="E152" i="9"/>
  <c r="E153" i="9" s="1"/>
  <c r="D152" i="9"/>
  <c r="D153" i="9" s="1"/>
  <c r="C152" i="9"/>
  <c r="C153" i="9" s="1"/>
  <c r="B152" i="9"/>
  <c r="B153" i="9" s="1"/>
  <c r="G151" i="9"/>
  <c r="F151" i="9"/>
  <c r="E151" i="9"/>
  <c r="D151" i="9"/>
  <c r="C151" i="9"/>
  <c r="B151" i="9"/>
  <c r="G149" i="9"/>
  <c r="I86" i="40" s="1"/>
  <c r="D149" i="9"/>
  <c r="F86" i="40" s="1"/>
  <c r="C149" i="9"/>
  <c r="E86" i="40" s="1"/>
  <c r="G144" i="9"/>
  <c r="F144" i="9"/>
  <c r="E144" i="9"/>
  <c r="D144" i="9"/>
  <c r="C144" i="9"/>
  <c r="B144" i="9"/>
  <c r="I143" i="9"/>
  <c r="J143" i="9" s="1"/>
  <c r="K143" i="9" s="1"/>
  <c r="L143" i="9" s="1"/>
  <c r="M143" i="9" s="1"/>
  <c r="N143" i="9" s="1"/>
  <c r="P142" i="9"/>
  <c r="I142" i="9"/>
  <c r="J142" i="9" s="1"/>
  <c r="K142" i="9" s="1"/>
  <c r="L142" i="9" s="1"/>
  <c r="M142" i="9" s="1"/>
  <c r="N142" i="9" s="1"/>
  <c r="G141" i="9"/>
  <c r="G142" i="9" s="1"/>
  <c r="F141" i="9"/>
  <c r="F142" i="9" s="1"/>
  <c r="E141" i="9"/>
  <c r="E142" i="9" s="1"/>
  <c r="D141" i="9"/>
  <c r="D142" i="9" s="1"/>
  <c r="C141" i="9"/>
  <c r="C142" i="9" s="1"/>
  <c r="B141" i="9"/>
  <c r="B142" i="9" s="1"/>
  <c r="F140" i="9"/>
  <c r="E140" i="9"/>
  <c r="D140" i="9"/>
  <c r="C140" i="9"/>
  <c r="F139" i="9"/>
  <c r="E139" i="9"/>
  <c r="D139" i="9"/>
  <c r="C139" i="9"/>
  <c r="B139" i="9"/>
  <c r="B132" i="9"/>
  <c r="H128" i="9"/>
  <c r="H132" i="9" s="1"/>
  <c r="P132" i="9" s="1"/>
  <c r="G128" i="9"/>
  <c r="G132" i="9" s="1"/>
  <c r="F128" i="9"/>
  <c r="F132" i="9" s="1"/>
  <c r="E128" i="9"/>
  <c r="E132" i="9" s="1"/>
  <c r="D128" i="9"/>
  <c r="D132" i="9" s="1"/>
  <c r="C128" i="9"/>
  <c r="C132" i="9" s="1"/>
  <c r="P123" i="9"/>
  <c r="I123" i="9"/>
  <c r="J123" i="9" s="1"/>
  <c r="K123" i="9" s="1"/>
  <c r="L123" i="9" s="1"/>
  <c r="M123" i="9" s="1"/>
  <c r="N123" i="9" s="1"/>
  <c r="G123" i="9"/>
  <c r="F123" i="9"/>
  <c r="E123" i="9"/>
  <c r="D123" i="9"/>
  <c r="C123" i="9"/>
  <c r="P119" i="9"/>
  <c r="I119" i="9"/>
  <c r="J119" i="9" s="1"/>
  <c r="H118" i="9"/>
  <c r="I117" i="9" s="1"/>
  <c r="G118" i="9"/>
  <c r="H43" i="2" s="1"/>
  <c r="BC163" i="22" s="1"/>
  <c r="F118" i="9"/>
  <c r="E118" i="9"/>
  <c r="D118" i="9"/>
  <c r="H116" i="9"/>
  <c r="G116" i="9"/>
  <c r="F116" i="9"/>
  <c r="E116" i="9"/>
  <c r="D116" i="9"/>
  <c r="C116" i="9"/>
  <c r="B112" i="9"/>
  <c r="G110" i="9"/>
  <c r="E110" i="9"/>
  <c r="D110" i="9"/>
  <c r="C110" i="9"/>
  <c r="B110" i="9"/>
  <c r="I109" i="9"/>
  <c r="G109" i="9"/>
  <c r="F109" i="9"/>
  <c r="E109" i="9"/>
  <c r="D109" i="9"/>
  <c r="C109" i="9"/>
  <c r="B109" i="9"/>
  <c r="P108" i="9"/>
  <c r="J108" i="9"/>
  <c r="K108" i="9" s="1"/>
  <c r="L108" i="9" s="1"/>
  <c r="M108" i="9" s="1"/>
  <c r="N108" i="9" s="1"/>
  <c r="B108" i="9"/>
  <c r="H106" i="9"/>
  <c r="G106" i="9"/>
  <c r="G112" i="9" s="1"/>
  <c r="F106" i="9"/>
  <c r="F108" i="9" s="1"/>
  <c r="E106" i="9"/>
  <c r="E112" i="9" s="1"/>
  <c r="D106" i="9"/>
  <c r="D112" i="9" s="1"/>
  <c r="C106" i="9"/>
  <c r="C112" i="9" s="1"/>
  <c r="G100" i="9"/>
  <c r="F100" i="9"/>
  <c r="E100" i="9"/>
  <c r="D100" i="9"/>
  <c r="C100" i="9"/>
  <c r="B100" i="9"/>
  <c r="K93" i="9"/>
  <c r="J93" i="9"/>
  <c r="I93" i="9"/>
  <c r="G93" i="9"/>
  <c r="F93" i="9"/>
  <c r="E93" i="9"/>
  <c r="D93" i="9"/>
  <c r="C93" i="9"/>
  <c r="G88" i="9"/>
  <c r="F88" i="9"/>
  <c r="E88" i="9"/>
  <c r="D88" i="9"/>
  <c r="C88" i="9"/>
  <c r="B88" i="9"/>
  <c r="G87" i="9"/>
  <c r="G85" i="9" s="1"/>
  <c r="H86" i="9" s="1"/>
  <c r="P86" i="9" s="1"/>
  <c r="F87" i="9"/>
  <c r="F85" i="9" s="1"/>
  <c r="E87" i="9"/>
  <c r="D87" i="9"/>
  <c r="C87" i="9"/>
  <c r="B87" i="9"/>
  <c r="J86" i="9"/>
  <c r="K86" i="9" s="1"/>
  <c r="L86" i="9" s="1"/>
  <c r="M86" i="9" s="1"/>
  <c r="N86" i="9" s="1"/>
  <c r="G81" i="9"/>
  <c r="D81" i="9"/>
  <c r="C81" i="9"/>
  <c r="B81" i="9"/>
  <c r="I77" i="9"/>
  <c r="J77" i="9" s="1"/>
  <c r="K77" i="9" s="1"/>
  <c r="L77" i="9" s="1"/>
  <c r="M77" i="9" s="1"/>
  <c r="N77" i="9" s="1"/>
  <c r="E77" i="9"/>
  <c r="E73" i="9" s="1"/>
  <c r="G75" i="9"/>
  <c r="G73" i="9" s="1"/>
  <c r="I74" i="9"/>
  <c r="F73" i="9"/>
  <c r="D73" i="9"/>
  <c r="C73" i="9"/>
  <c r="B73" i="9"/>
  <c r="G69" i="9"/>
  <c r="I69" i="9" s="1"/>
  <c r="J69" i="9" s="1"/>
  <c r="K69" i="9" s="1"/>
  <c r="L69" i="9" s="1"/>
  <c r="M69" i="9" s="1"/>
  <c r="N69" i="9" s="1"/>
  <c r="G64" i="9"/>
  <c r="I64" i="9" s="1"/>
  <c r="J64" i="9" s="1"/>
  <c r="K64" i="9" s="1"/>
  <c r="L64" i="9" s="1"/>
  <c r="M64" i="9" s="1"/>
  <c r="N64" i="9" s="1"/>
  <c r="G57" i="9"/>
  <c r="G48" i="9" s="1"/>
  <c r="F57" i="9"/>
  <c r="F48" i="9" s="1"/>
  <c r="E57" i="9"/>
  <c r="E48" i="9" s="1"/>
  <c r="D57" i="9"/>
  <c r="D48" i="9" s="1"/>
  <c r="C57" i="9"/>
  <c r="C48" i="9" s="1"/>
  <c r="B57" i="9"/>
  <c r="B48" i="9" s="1"/>
  <c r="G51" i="9"/>
  <c r="G52" i="9" s="1"/>
  <c r="H53" i="9" s="1"/>
  <c r="F51" i="9"/>
  <c r="F52" i="9" s="1"/>
  <c r="E51" i="9"/>
  <c r="E52" i="9" s="1"/>
  <c r="D51" i="9"/>
  <c r="D52" i="9" s="1"/>
  <c r="C51" i="9"/>
  <c r="C52" i="9" s="1"/>
  <c r="B51" i="9"/>
  <c r="B52" i="9" s="1"/>
  <c r="K50" i="9"/>
  <c r="J50" i="9"/>
  <c r="I50" i="9"/>
  <c r="G50" i="9"/>
  <c r="F50" i="9"/>
  <c r="E50" i="9"/>
  <c r="D50" i="9"/>
  <c r="C50" i="9"/>
  <c r="J44" i="9"/>
  <c r="I43" i="9"/>
  <c r="G43" i="9"/>
  <c r="F43" i="9"/>
  <c r="E43" i="9"/>
  <c r="D43" i="9"/>
  <c r="C43" i="9"/>
  <c r="G41" i="9"/>
  <c r="G62" i="9" s="1"/>
  <c r="F41" i="9"/>
  <c r="F62" i="9" s="1"/>
  <c r="E41" i="9"/>
  <c r="E62" i="9" s="1"/>
  <c r="D41" i="9"/>
  <c r="D62" i="9" s="1"/>
  <c r="C41" i="9"/>
  <c r="C62" i="9" s="1"/>
  <c r="B41" i="9"/>
  <c r="B62" i="9" s="1"/>
  <c r="P36" i="9"/>
  <c r="I36" i="9"/>
  <c r="J36" i="9" s="1"/>
  <c r="K36" i="9" s="1"/>
  <c r="L36" i="9" s="1"/>
  <c r="M36" i="9" s="1"/>
  <c r="N36" i="9" s="1"/>
  <c r="G35" i="9"/>
  <c r="G36" i="9" s="1"/>
  <c r="F35" i="9"/>
  <c r="F36" i="9" s="1"/>
  <c r="E35" i="9"/>
  <c r="E36" i="9" s="1"/>
  <c r="D35" i="9"/>
  <c r="D36" i="9" s="1"/>
  <c r="C35" i="9"/>
  <c r="C36" i="9" s="1"/>
  <c r="B35" i="9"/>
  <c r="G34" i="9"/>
  <c r="F34" i="9"/>
  <c r="E34" i="9"/>
  <c r="D34" i="9"/>
  <c r="P13" i="9"/>
  <c r="G12" i="9"/>
  <c r="F12" i="9"/>
  <c r="E12" i="9"/>
  <c r="D12" i="9"/>
  <c r="C12" i="9"/>
  <c r="B12" i="9"/>
  <c r="A12" i="9"/>
  <c r="G10" i="9"/>
  <c r="F10" i="9"/>
  <c r="E10" i="9"/>
  <c r="D10" i="9"/>
  <c r="C10" i="9"/>
  <c r="B10" i="9"/>
  <c r="A10" i="9"/>
  <c r="G8" i="9"/>
  <c r="H9" i="9" s="1"/>
  <c r="F8" i="9"/>
  <c r="E8" i="9"/>
  <c r="D8" i="9"/>
  <c r="D17" i="9" s="1"/>
  <c r="C8" i="9"/>
  <c r="B8" i="9"/>
  <c r="A8" i="9"/>
  <c r="G1" i="9"/>
  <c r="F1" i="9"/>
  <c r="E1" i="9"/>
  <c r="D1" i="9"/>
  <c r="C1" i="9"/>
  <c r="E60" i="2"/>
  <c r="F59" i="2"/>
  <c r="BA177" i="22" s="1"/>
  <c r="F50" i="2"/>
  <c r="BA170" i="22" s="1"/>
  <c r="G49" i="2"/>
  <c r="BB169" i="22" s="1"/>
  <c r="H44" i="2"/>
  <c r="BC164" i="22" s="1"/>
  <c r="G44" i="2"/>
  <c r="BB164" i="22" s="1"/>
  <c r="G43" i="2"/>
  <c r="BB163" i="22" s="1"/>
  <c r="J41" i="2"/>
  <c r="BE161" i="22" s="1"/>
  <c r="I41" i="2"/>
  <c r="BD161" i="22" s="1"/>
  <c r="H41" i="2"/>
  <c r="BC161" i="22" s="1"/>
  <c r="G41" i="2"/>
  <c r="BB161" i="22" s="1"/>
  <c r="G40" i="2"/>
  <c r="BB160" i="22" s="1"/>
  <c r="G39" i="2"/>
  <c r="BB159" i="22" s="1"/>
  <c r="G30" i="2"/>
  <c r="BB151" i="22" s="1"/>
  <c r="G18" i="2"/>
  <c r="BB140" i="22" s="1"/>
  <c r="F18" i="2"/>
  <c r="BA140" i="22" s="1"/>
  <c r="G12" i="2"/>
  <c r="BB135" i="22" s="1"/>
  <c r="G11" i="2"/>
  <c r="BB134" i="22" s="1"/>
  <c r="G10" i="2"/>
  <c r="BB133" i="22" s="1"/>
  <c r="G9" i="2"/>
  <c r="BB132" i="22" s="1"/>
  <c r="G8" i="2"/>
  <c r="BB131" i="22" s="1"/>
  <c r="G7" i="2"/>
  <c r="BB130" i="22" s="1"/>
  <c r="J3" i="2"/>
  <c r="BE126" i="22" s="1"/>
  <c r="I3" i="2"/>
  <c r="BD126" i="22" s="1"/>
  <c r="H3" i="2"/>
  <c r="BC126" i="22" s="1"/>
  <c r="G3" i="2"/>
  <c r="BB126" i="22" s="1"/>
  <c r="F3" i="2"/>
  <c r="BA126" i="22" s="1"/>
  <c r="E3" i="2"/>
  <c r="E43" i="18" s="1"/>
  <c r="D3" i="2"/>
  <c r="D43" i="18" s="1"/>
  <c r="C3" i="2"/>
  <c r="B3" i="2"/>
  <c r="B43" i="18" s="1"/>
  <c r="G73" i="1"/>
  <c r="F73" i="1"/>
  <c r="E73" i="1"/>
  <c r="D73" i="1"/>
  <c r="C73" i="1"/>
  <c r="B73" i="1"/>
  <c r="G72" i="1"/>
  <c r="C72" i="1"/>
  <c r="H71" i="1"/>
  <c r="I71" i="1" s="1"/>
  <c r="J71" i="1" s="1"/>
  <c r="K71" i="1" s="1"/>
  <c r="L71" i="1" s="1"/>
  <c r="M71" i="1" s="1"/>
  <c r="N71" i="1" s="1"/>
  <c r="H70" i="1"/>
  <c r="I70" i="1" s="1"/>
  <c r="J70" i="1" s="1"/>
  <c r="K70" i="1" s="1"/>
  <c r="L70" i="1" s="1"/>
  <c r="M70" i="1" s="1"/>
  <c r="N70" i="1" s="1"/>
  <c r="I69" i="1"/>
  <c r="J69" i="1" s="1"/>
  <c r="K69" i="1" s="1"/>
  <c r="L69" i="1" s="1"/>
  <c r="M69" i="1" s="1"/>
  <c r="N69" i="1" s="1"/>
  <c r="F66" i="1"/>
  <c r="E66" i="1"/>
  <c r="E20" i="14" s="1"/>
  <c r="D66" i="1"/>
  <c r="C66" i="1"/>
  <c r="C20" i="14" s="1"/>
  <c r="B66" i="1"/>
  <c r="B75" i="1" s="1"/>
  <c r="I65" i="1"/>
  <c r="J65" i="1" s="1"/>
  <c r="K65" i="1" s="1"/>
  <c r="L65" i="1" s="1"/>
  <c r="M65" i="1" s="1"/>
  <c r="N65" i="1" s="1"/>
  <c r="G64" i="1"/>
  <c r="I63" i="1"/>
  <c r="J63" i="1" s="1"/>
  <c r="K63" i="1" s="1"/>
  <c r="L63" i="1" s="1"/>
  <c r="M63" i="1" s="1"/>
  <c r="N63" i="1" s="1"/>
  <c r="I62" i="1"/>
  <c r="J62" i="1" s="1"/>
  <c r="K62" i="1" s="1"/>
  <c r="L62" i="1" s="1"/>
  <c r="M62" i="1" s="1"/>
  <c r="N62" i="1" s="1"/>
  <c r="H61" i="1"/>
  <c r="F56" i="1"/>
  <c r="E56" i="1"/>
  <c r="D56" i="1"/>
  <c r="D22" i="1" s="1"/>
  <c r="C56" i="1"/>
  <c r="C58" i="1" s="1"/>
  <c r="C19" i="14" s="1"/>
  <c r="B56" i="1"/>
  <c r="B22" i="1" s="1"/>
  <c r="I54" i="1"/>
  <c r="J54" i="1" s="1"/>
  <c r="K54" i="1" s="1"/>
  <c r="L54" i="1" s="1"/>
  <c r="M54" i="1" s="1"/>
  <c r="N54" i="1" s="1"/>
  <c r="I53" i="1"/>
  <c r="J53" i="1" s="1"/>
  <c r="K53" i="1" s="1"/>
  <c r="L53" i="1" s="1"/>
  <c r="M53" i="1" s="1"/>
  <c r="N53" i="1" s="1"/>
  <c r="G51" i="1"/>
  <c r="F46" i="1"/>
  <c r="F17" i="14" s="1"/>
  <c r="E46" i="1"/>
  <c r="E17" i="14" s="1"/>
  <c r="D46" i="1"/>
  <c r="C46" i="1"/>
  <c r="C17" i="14" s="1"/>
  <c r="B46" i="1"/>
  <c r="B17" i="14" s="1"/>
  <c r="G43" i="1"/>
  <c r="F39" i="1"/>
  <c r="E39" i="1"/>
  <c r="E16" i="14" s="1"/>
  <c r="D39" i="1"/>
  <c r="D16" i="14" s="1"/>
  <c r="C39" i="1"/>
  <c r="C16" i="14" s="1"/>
  <c r="B39" i="1"/>
  <c r="I38" i="1"/>
  <c r="J38" i="1" s="1"/>
  <c r="K38" i="1" s="1"/>
  <c r="L38" i="1" s="1"/>
  <c r="M38" i="1" s="1"/>
  <c r="N38" i="1" s="1"/>
  <c r="H36" i="1"/>
  <c r="I36" i="1" s="1"/>
  <c r="J36" i="1" s="1"/>
  <c r="K36" i="1" s="1"/>
  <c r="L36" i="1" s="1"/>
  <c r="M36" i="1" s="1"/>
  <c r="N36" i="1" s="1"/>
  <c r="I35" i="1"/>
  <c r="J35" i="1" s="1"/>
  <c r="K35" i="1" s="1"/>
  <c r="L35" i="1" s="1"/>
  <c r="M35" i="1" s="1"/>
  <c r="N35" i="1" s="1"/>
  <c r="G34" i="1"/>
  <c r="G33" i="1"/>
  <c r="G32" i="1"/>
  <c r="G31" i="1"/>
  <c r="K28" i="1"/>
  <c r="J28" i="1"/>
  <c r="I28" i="1"/>
  <c r="H28" i="1"/>
  <c r="G28" i="1"/>
  <c r="F28" i="1"/>
  <c r="E28" i="1"/>
  <c r="D28" i="1"/>
  <c r="C28" i="1"/>
  <c r="B28" i="1"/>
  <c r="F22" i="1"/>
  <c r="H21" i="1"/>
  <c r="G21" i="1"/>
  <c r="F21" i="1"/>
  <c r="E21" i="1"/>
  <c r="E12" i="14" s="1"/>
  <c r="D21" i="1"/>
  <c r="D12" i="14" s="1"/>
  <c r="C21" i="1"/>
  <c r="G6" i="1"/>
  <c r="D6" i="1"/>
  <c r="C6" i="1"/>
  <c r="B6" i="1"/>
  <c r="B6" i="14" s="1"/>
  <c r="G29" i="14"/>
  <c r="D21" i="14"/>
  <c r="C21" i="14"/>
  <c r="B21" i="14"/>
  <c r="F20" i="14"/>
  <c r="D20" i="14"/>
  <c r="B20" i="14"/>
  <c r="D17" i="14"/>
  <c r="F15" i="14"/>
  <c r="E15" i="14"/>
  <c r="D15" i="14"/>
  <c r="C15" i="14"/>
  <c r="B15" i="14"/>
  <c r="G8" i="14"/>
  <c r="F8" i="14"/>
  <c r="E8" i="14"/>
  <c r="D8" i="14"/>
  <c r="C8" i="14"/>
  <c r="B8" i="14"/>
  <c r="G5" i="14"/>
  <c r="D5" i="14"/>
  <c r="C5" i="14"/>
  <c r="B5" i="14"/>
  <c r="K3" i="14"/>
  <c r="J3" i="14"/>
  <c r="I3" i="14"/>
  <c r="H3" i="14"/>
  <c r="G3" i="14"/>
  <c r="F3" i="14"/>
  <c r="E3" i="14"/>
  <c r="D3" i="14"/>
  <c r="C3" i="14"/>
  <c r="B3" i="14"/>
  <c r="F99" i="11" l="1"/>
  <c r="F28" i="8"/>
  <c r="M46" i="18"/>
  <c r="BL189" i="22"/>
  <c r="J43" i="8"/>
  <c r="I45" i="8"/>
  <c r="J45" i="8" s="1"/>
  <c r="K45" i="8" s="1"/>
  <c r="H42" i="8"/>
  <c r="G55" i="11"/>
  <c r="C22" i="8"/>
  <c r="C23" i="8" s="1"/>
  <c r="H23" i="8" s="1"/>
  <c r="L61" i="18"/>
  <c r="L44" i="18"/>
  <c r="D89" i="18"/>
  <c r="E97" i="11"/>
  <c r="BL195" i="22"/>
  <c r="U47" i="22"/>
  <c r="D47" i="18"/>
  <c r="F55" i="18"/>
  <c r="D101" i="11"/>
  <c r="C97" i="11"/>
  <c r="G18" i="15"/>
  <c r="M71" i="18"/>
  <c r="F101" i="11"/>
  <c r="B97" i="11"/>
  <c r="E55" i="18"/>
  <c r="E156" i="9"/>
  <c r="B20" i="12"/>
  <c r="L71" i="18"/>
  <c r="E4" i="1"/>
  <c r="E5" i="14" s="1"/>
  <c r="C22" i="1"/>
  <c r="C47" i="18"/>
  <c r="G47" i="18"/>
  <c r="G21" i="12"/>
  <c r="I132" i="9"/>
  <c r="J132" i="9" s="1"/>
  <c r="K132" i="9" s="1"/>
  <c r="L132" i="9" s="1"/>
  <c r="M132" i="9" s="1"/>
  <c r="N132" i="9" s="1"/>
  <c r="F88" i="11"/>
  <c r="F79" i="1"/>
  <c r="D20" i="12"/>
  <c r="D88" i="11"/>
  <c r="D86" i="11" s="1"/>
  <c r="D79" i="1"/>
  <c r="H108" i="9"/>
  <c r="H112" i="9"/>
  <c r="E88" i="11"/>
  <c r="E86" i="11" s="1"/>
  <c r="I43" i="2"/>
  <c r="BD163" i="22" s="1"/>
  <c r="E7" i="18"/>
  <c r="A7" i="18"/>
  <c r="B47" i="18"/>
  <c r="F47" i="18"/>
  <c r="A76" i="18"/>
  <c r="J71" i="18"/>
  <c r="J69" i="18"/>
  <c r="A74" i="18"/>
  <c r="J70" i="18"/>
  <c r="A75" i="18"/>
  <c r="M76" i="18"/>
  <c r="C56" i="18"/>
  <c r="G56" i="18"/>
  <c r="J66" i="18"/>
  <c r="C72" i="18"/>
  <c r="D56" i="18"/>
  <c r="J64" i="18"/>
  <c r="J65" i="18"/>
  <c r="D72" i="18"/>
  <c r="L66" i="18"/>
  <c r="L46" i="18" s="1"/>
  <c r="E47" i="18"/>
  <c r="D24" i="1"/>
  <c r="F2" i="40"/>
  <c r="F4" i="40"/>
  <c r="AR113" i="33"/>
  <c r="AR102" i="22"/>
  <c r="AQ116" i="33"/>
  <c r="AQ105" i="22"/>
  <c r="C189" i="9"/>
  <c r="AQ107" i="33"/>
  <c r="AQ96" i="22"/>
  <c r="G6" i="14"/>
  <c r="G7" i="14" s="1"/>
  <c r="I4" i="40"/>
  <c r="I2" i="40"/>
  <c r="X58" i="33"/>
  <c r="AK80" i="33"/>
  <c r="AJ69" i="22"/>
  <c r="AQ100" i="33"/>
  <c r="AQ89" i="22"/>
  <c r="I52" i="1"/>
  <c r="AS115" i="33"/>
  <c r="AS104" i="22"/>
  <c r="I61" i="1"/>
  <c r="AS122" i="33"/>
  <c r="AS111" i="22"/>
  <c r="E2" i="40"/>
  <c r="E4" i="40"/>
  <c r="C6" i="14"/>
  <c r="B10" i="1"/>
  <c r="B17" i="12" s="1"/>
  <c r="D4" i="40"/>
  <c r="D2" i="40"/>
  <c r="AQ123" i="33"/>
  <c r="AQ112" i="22"/>
  <c r="F43" i="18"/>
  <c r="F79" i="18" s="1"/>
  <c r="J3" i="9"/>
  <c r="H3" i="21"/>
  <c r="I3" i="21"/>
  <c r="E27" i="40"/>
  <c r="E20" i="12"/>
  <c r="F20" i="12"/>
  <c r="C20" i="12"/>
  <c r="G20" i="12"/>
  <c r="F27" i="40"/>
  <c r="AR126" i="33"/>
  <c r="AR115" i="22"/>
  <c r="G12" i="14"/>
  <c r="AK92" i="33"/>
  <c r="N47" i="33"/>
  <c r="N49" i="33"/>
  <c r="AJ81" i="22"/>
  <c r="AR99" i="33"/>
  <c r="AR88" i="22"/>
  <c r="G27" i="40"/>
  <c r="F12" i="14"/>
  <c r="M49" i="33"/>
  <c r="AJ92" i="33"/>
  <c r="M47" i="33"/>
  <c r="AI81" i="22"/>
  <c r="AR127" i="33"/>
  <c r="AR116" i="22"/>
  <c r="H12" i="14"/>
  <c r="O47" i="33"/>
  <c r="O49" i="33"/>
  <c r="AL92" i="33"/>
  <c r="AK81" i="22"/>
  <c r="H45" i="9"/>
  <c r="H46" i="9" s="1"/>
  <c r="H21" i="9" s="1"/>
  <c r="G135" i="9"/>
  <c r="G41" i="1" s="1"/>
  <c r="G15" i="14"/>
  <c r="AR98" i="33"/>
  <c r="AR87" i="22"/>
  <c r="C85" i="9"/>
  <c r="J74" i="40"/>
  <c r="I43" i="1"/>
  <c r="J43" i="1" s="1"/>
  <c r="K43" i="1" s="1"/>
  <c r="L43" i="1" s="1"/>
  <c r="M43" i="1" s="1"/>
  <c r="N43" i="1" s="1"/>
  <c r="AR105" i="33"/>
  <c r="AR94" i="22"/>
  <c r="G102" i="18"/>
  <c r="B78" i="1"/>
  <c r="B23" i="14" s="1"/>
  <c r="F78" i="1"/>
  <c r="G66" i="1"/>
  <c r="I27" i="40"/>
  <c r="AR121" i="33"/>
  <c r="AR110" i="22"/>
  <c r="F28" i="2"/>
  <c r="BA149" i="22" s="1"/>
  <c r="G14" i="43"/>
  <c r="G17" i="43" s="1"/>
  <c r="G14" i="41"/>
  <c r="G17" i="41" s="1"/>
  <c r="E1847" i="25"/>
  <c r="E18" i="22" s="1"/>
  <c r="D18" i="33"/>
  <c r="G5" i="21"/>
  <c r="M39" i="33"/>
  <c r="AJ78" i="33"/>
  <c r="Y57" i="33"/>
  <c r="Z57" i="33" s="1"/>
  <c r="AI67" i="22"/>
  <c r="D55" i="11"/>
  <c r="E1629" i="35"/>
  <c r="E1630" i="35" s="1"/>
  <c r="E1631" i="35" s="1"/>
  <c r="E1632" i="35"/>
  <c r="W52" i="31"/>
  <c r="W53" i="31"/>
  <c r="W56" i="31"/>
  <c r="W55" i="31"/>
  <c r="X51" i="31"/>
  <c r="Y51" i="31"/>
  <c r="I8" i="12"/>
  <c r="AB51" i="31"/>
  <c r="AA51" i="31"/>
  <c r="J3" i="12"/>
  <c r="K3" i="12" s="1"/>
  <c r="L3" i="12" s="1"/>
  <c r="M3" i="12" s="1"/>
  <c r="N3" i="12" s="1"/>
  <c r="H15" i="31"/>
  <c r="H18" i="31" s="1"/>
  <c r="H40" i="14"/>
  <c r="H47" i="14" s="1"/>
  <c r="D209" i="9"/>
  <c r="D213" i="9" s="1"/>
  <c r="D210" i="9"/>
  <c r="D211" i="9" s="1"/>
  <c r="E209" i="9"/>
  <c r="E213" i="9" s="1"/>
  <c r="E210" i="9"/>
  <c r="E211" i="9" s="1"/>
  <c r="C23" i="1"/>
  <c r="C22" i="15" s="1"/>
  <c r="F67" i="9"/>
  <c r="F59" i="9" s="1"/>
  <c r="B67" i="9"/>
  <c r="B59" i="9" s="1"/>
  <c r="E135" i="9"/>
  <c r="B209" i="9"/>
  <c r="B213" i="9" s="1"/>
  <c r="B210" i="9"/>
  <c r="B211" i="9" s="1"/>
  <c r="G209" i="9"/>
  <c r="G213" i="9" s="1"/>
  <c r="G210" i="9"/>
  <c r="H10" i="2"/>
  <c r="BC133" i="22" s="1"/>
  <c r="C209" i="9"/>
  <c r="C213" i="9" s="1"/>
  <c r="C210" i="9"/>
  <c r="C211" i="9" s="1"/>
  <c r="F205" i="9"/>
  <c r="F210" i="9" s="1"/>
  <c r="F211" i="9" s="1"/>
  <c r="E53" i="9"/>
  <c r="E28" i="9" s="1"/>
  <c r="C135" i="9"/>
  <c r="B147" i="9"/>
  <c r="H39" i="2"/>
  <c r="BC159" i="22" s="1"/>
  <c r="E97" i="9"/>
  <c r="E187" i="9"/>
  <c r="G97" i="9"/>
  <c r="F187" i="9"/>
  <c r="G188" i="9" s="1"/>
  <c r="G45" i="1"/>
  <c r="D67" i="9"/>
  <c r="C97" i="9"/>
  <c r="D194" i="9"/>
  <c r="B72" i="1"/>
  <c r="F72" i="1"/>
  <c r="E67" i="9"/>
  <c r="E59" i="9" s="1"/>
  <c r="D97" i="9"/>
  <c r="H7" i="2"/>
  <c r="BC130" i="22" s="1"/>
  <c r="B23" i="1"/>
  <c r="B64" i="11" s="1"/>
  <c r="B68" i="11" s="1"/>
  <c r="H33" i="1"/>
  <c r="E39" i="9"/>
  <c r="B135" i="9"/>
  <c r="G25" i="2"/>
  <c r="BB146" i="22" s="1"/>
  <c r="C67" i="9"/>
  <c r="C59" i="9" s="1"/>
  <c r="G67" i="9"/>
  <c r="G70" i="9" s="1"/>
  <c r="E147" i="9"/>
  <c r="B21" i="1"/>
  <c r="B20" i="21" s="1"/>
  <c r="F23" i="1"/>
  <c r="E24" i="9"/>
  <c r="F97" i="9"/>
  <c r="H32" i="1"/>
  <c r="F135" i="9"/>
  <c r="D135" i="9"/>
  <c r="F147" i="9"/>
  <c r="B39" i="9"/>
  <c r="B85" i="9"/>
  <c r="P143" i="9"/>
  <c r="D147" i="9"/>
  <c r="C191" i="9"/>
  <c r="C194" i="9"/>
  <c r="F39" i="9"/>
  <c r="D85" i="9"/>
  <c r="O86" i="9" s="1"/>
  <c r="B191" i="9"/>
  <c r="G191" i="9"/>
  <c r="C188" i="9"/>
  <c r="E194" i="9"/>
  <c r="F58" i="1"/>
  <c r="B7" i="14"/>
  <c r="F3" i="9"/>
  <c r="C7" i="14"/>
  <c r="F5" i="14"/>
  <c r="B47" i="1"/>
  <c r="B18" i="14" s="1"/>
  <c r="F47" i="1"/>
  <c r="F45" i="21" s="1"/>
  <c r="H75" i="9"/>
  <c r="H18" i="2"/>
  <c r="BC140" i="22" s="1"/>
  <c r="F63" i="9"/>
  <c r="I44" i="2"/>
  <c r="BD164" i="22" s="1"/>
  <c r="J74" i="9"/>
  <c r="I10" i="2"/>
  <c r="BD133" i="22" s="1"/>
  <c r="H88" i="9"/>
  <c r="H9" i="2"/>
  <c r="BC132" i="22" s="1"/>
  <c r="O63" i="9"/>
  <c r="G63" i="9"/>
  <c r="G65" i="9"/>
  <c r="K119" i="9"/>
  <c r="J109" i="9"/>
  <c r="J207" i="9"/>
  <c r="I92" i="9"/>
  <c r="F53" i="9"/>
  <c r="F28" i="9" s="1"/>
  <c r="C108" i="9"/>
  <c r="G108" i="9"/>
  <c r="F112" i="9"/>
  <c r="I118" i="9"/>
  <c r="J117" i="9" s="1"/>
  <c r="I122" i="9"/>
  <c r="C147" i="9"/>
  <c r="G147" i="9"/>
  <c r="G42" i="1" s="1"/>
  <c r="G170" i="9"/>
  <c r="O188" i="9"/>
  <c r="B65" i="11"/>
  <c r="B70" i="11" s="1"/>
  <c r="C39" i="9"/>
  <c r="G39" i="9"/>
  <c r="C53" i="9"/>
  <c r="G53" i="9"/>
  <c r="G28" i="9" s="1"/>
  <c r="E85" i="9"/>
  <c r="G86" i="9"/>
  <c r="D108" i="9"/>
  <c r="J118" i="9"/>
  <c r="K117" i="9" s="1"/>
  <c r="F194" i="9"/>
  <c r="D39" i="9"/>
  <c r="D53" i="9"/>
  <c r="D28" i="9" s="1"/>
  <c r="H28" i="9"/>
  <c r="E108" i="9"/>
  <c r="D187" i="9"/>
  <c r="E63" i="9"/>
  <c r="H166" i="9"/>
  <c r="H57" i="2" s="1"/>
  <c r="BC175" i="22" s="1"/>
  <c r="D6" i="14"/>
  <c r="D7" i="14" s="1"/>
  <c r="F6" i="1"/>
  <c r="G7" i="21" s="1"/>
  <c r="I3" i="9"/>
  <c r="C47" i="1"/>
  <c r="C66" i="21" s="1"/>
  <c r="B58" i="1"/>
  <c r="B67" i="21" s="1"/>
  <c r="C78" i="1"/>
  <c r="C23" i="14" s="1"/>
  <c r="E3" i="21"/>
  <c r="B16" i="14"/>
  <c r="F16" i="14"/>
  <c r="E3" i="9"/>
  <c r="B30" i="21"/>
  <c r="D49" i="40" s="1"/>
  <c r="C79" i="21"/>
  <c r="C77" i="21"/>
  <c r="C73" i="21"/>
  <c r="C71" i="21"/>
  <c r="C69" i="21"/>
  <c r="C80" i="21"/>
  <c r="C74" i="21"/>
  <c r="C72" i="21"/>
  <c r="C70" i="21"/>
  <c r="C63" i="21"/>
  <c r="C61" i="21"/>
  <c r="C52" i="21"/>
  <c r="C44" i="21"/>
  <c r="C42" i="21"/>
  <c r="C40" i="21"/>
  <c r="C58" i="21"/>
  <c r="C59" i="21"/>
  <c r="C45" i="21"/>
  <c r="C18" i="14"/>
  <c r="C73" i="11"/>
  <c r="C10" i="1"/>
  <c r="C17" i="12" s="1"/>
  <c r="C26" i="21"/>
  <c r="E48" i="40" s="1"/>
  <c r="C7" i="21"/>
  <c r="C24" i="1"/>
  <c r="P6" i="1"/>
  <c r="G73" i="11"/>
  <c r="G10" i="1"/>
  <c r="U48" i="22" s="1"/>
  <c r="G26" i="21"/>
  <c r="I48" i="40" s="1"/>
  <c r="G24" i="1"/>
  <c r="D83" i="11"/>
  <c r="D47" i="1"/>
  <c r="D48" i="21" s="1"/>
  <c r="D58" i="1"/>
  <c r="D23" i="1"/>
  <c r="D64" i="11" s="1"/>
  <c r="D68" i="11" s="1"/>
  <c r="C67" i="21"/>
  <c r="B101" i="18"/>
  <c r="D78" i="1"/>
  <c r="D23" i="14" s="1"/>
  <c r="C43" i="18"/>
  <c r="C3" i="21"/>
  <c r="C3" i="9"/>
  <c r="G43" i="18"/>
  <c r="G3" i="21"/>
  <c r="G3" i="9"/>
  <c r="K3" i="21"/>
  <c r="K3" i="9"/>
  <c r="B3" i="21"/>
  <c r="J3" i="21"/>
  <c r="E24" i="21"/>
  <c r="E29" i="21"/>
  <c r="D73" i="11"/>
  <c r="D26" i="21"/>
  <c r="F48" i="40" s="1"/>
  <c r="D7" i="21"/>
  <c r="F56" i="21"/>
  <c r="F71" i="21"/>
  <c r="F62" i="21"/>
  <c r="F53" i="21"/>
  <c r="E78" i="1"/>
  <c r="E23" i="14" s="1"/>
  <c r="E58" i="1"/>
  <c r="E79" i="1" s="1"/>
  <c r="E23" i="1"/>
  <c r="E64" i="11" s="1"/>
  <c r="E68" i="11" s="1"/>
  <c r="C75" i="1"/>
  <c r="I29" i="22"/>
  <c r="G79" i="11"/>
  <c r="F79" i="11"/>
  <c r="F98" i="18"/>
  <c r="F36" i="21"/>
  <c r="F32" i="21"/>
  <c r="F28" i="21"/>
  <c r="F24" i="21"/>
  <c r="F81" i="9"/>
  <c r="F29" i="21"/>
  <c r="F25" i="21"/>
  <c r="F34" i="21"/>
  <c r="F31" i="21"/>
  <c r="F27" i="21"/>
  <c r="F149" i="9"/>
  <c r="D10" i="1"/>
  <c r="D17" i="12" s="1"/>
  <c r="E22" i="1"/>
  <c r="H51" i="1"/>
  <c r="G56" i="1"/>
  <c r="G82" i="11" s="1"/>
  <c r="D75" i="1"/>
  <c r="F3" i="21"/>
  <c r="B73" i="11"/>
  <c r="B7" i="21"/>
  <c r="B24" i="1"/>
  <c r="B26" i="21"/>
  <c r="D48" i="40" s="1"/>
  <c r="C83" i="11"/>
  <c r="C55" i="21"/>
  <c r="B83" i="21"/>
  <c r="B78" i="21"/>
  <c r="B76" i="21"/>
  <c r="B74" i="21"/>
  <c r="B72" i="21"/>
  <c r="B70" i="21"/>
  <c r="B81" i="11"/>
  <c r="B79" i="21"/>
  <c r="B73" i="21"/>
  <c r="B71" i="21"/>
  <c r="B69" i="21"/>
  <c r="B66" i="21"/>
  <c r="B64" i="21"/>
  <c r="B53" i="21"/>
  <c r="B51" i="21"/>
  <c r="B47" i="21"/>
  <c r="B45" i="21"/>
  <c r="B43" i="21"/>
  <c r="B41" i="21"/>
  <c r="B54" i="21"/>
  <c r="B42" i="21"/>
  <c r="B40" i="21"/>
  <c r="B79" i="18"/>
  <c r="B73" i="18"/>
  <c r="B68" i="18"/>
  <c r="B58" i="18"/>
  <c r="K43" i="18"/>
  <c r="B63" i="18"/>
  <c r="B90" i="18"/>
  <c r="B49" i="18" s="1"/>
  <c r="B85" i="18"/>
  <c r="F90" i="18"/>
  <c r="F49" i="18" s="1"/>
  <c r="F85" i="18"/>
  <c r="B3" i="9"/>
  <c r="B83" i="11"/>
  <c r="E47" i="1"/>
  <c r="E75" i="21" s="1"/>
  <c r="B75" i="21"/>
  <c r="B82" i="21"/>
  <c r="E85" i="18"/>
  <c r="E79" i="18"/>
  <c r="E73" i="18"/>
  <c r="E68" i="18"/>
  <c r="E58" i="18"/>
  <c r="N43" i="18"/>
  <c r="E63" i="18"/>
  <c r="E90" i="18"/>
  <c r="E49" i="18" s="1"/>
  <c r="D3" i="9"/>
  <c r="H3" i="9"/>
  <c r="D3" i="21"/>
  <c r="B65" i="21"/>
  <c r="D90" i="18"/>
  <c r="D49" i="18" s="1"/>
  <c r="D85" i="18"/>
  <c r="D79" i="18"/>
  <c r="D73" i="18"/>
  <c r="D68" i="18"/>
  <c r="D58" i="18"/>
  <c r="M43" i="18"/>
  <c r="D63" i="18"/>
  <c r="I85" i="9"/>
  <c r="C11" i="9"/>
  <c r="O11" i="9"/>
  <c r="D177" i="9"/>
  <c r="D63" i="9"/>
  <c r="G74" i="1"/>
  <c r="C6" i="9"/>
  <c r="C32" i="9" s="1"/>
  <c r="G6" i="9"/>
  <c r="D11" i="9"/>
  <c r="C13" i="9"/>
  <c r="G13" i="9"/>
  <c r="B177" i="9"/>
  <c r="F177" i="9"/>
  <c r="G11" i="9"/>
  <c r="I11" i="9" s="1"/>
  <c r="J11" i="9" s="1"/>
  <c r="K11" i="9" s="1"/>
  <c r="L11" i="9" s="1"/>
  <c r="M11" i="9" s="1"/>
  <c r="N11" i="9" s="1"/>
  <c r="D13" i="9"/>
  <c r="C177" i="9"/>
  <c r="G177" i="9"/>
  <c r="G50" i="2"/>
  <c r="BB170" i="22" s="1"/>
  <c r="D6" i="9"/>
  <c r="D32" i="9" s="1"/>
  <c r="D9" i="9"/>
  <c r="E11" i="9"/>
  <c r="E17" i="9"/>
  <c r="E18" i="9" s="1"/>
  <c r="E74" i="1"/>
  <c r="E21" i="14" s="1"/>
  <c r="E9" i="9"/>
  <c r="E13" i="9"/>
  <c r="C12" i="14"/>
  <c r="H8" i="2"/>
  <c r="BC131" i="22" s="1"/>
  <c r="H12" i="1"/>
  <c r="H13" i="21" s="1"/>
  <c r="B6" i="9"/>
  <c r="B32" i="9" s="1"/>
  <c r="B17" i="9"/>
  <c r="B11" i="9"/>
  <c r="F11" i="9"/>
  <c r="B13" i="9"/>
  <c r="E19" i="9"/>
  <c r="O9" i="9"/>
  <c r="B24" i="9"/>
  <c r="E177" i="9"/>
  <c r="F6" i="9"/>
  <c r="F9" i="9"/>
  <c r="F17" i="9"/>
  <c r="F13" i="9"/>
  <c r="D19" i="9"/>
  <c r="F24" i="9"/>
  <c r="C24" i="9"/>
  <c r="G24" i="9"/>
  <c r="E6" i="9"/>
  <c r="C9" i="9"/>
  <c r="G9" i="9"/>
  <c r="C17" i="9"/>
  <c r="D18" i="9" s="1"/>
  <c r="G17" i="9"/>
  <c r="D24" i="9"/>
  <c r="I169" i="9"/>
  <c r="E55" i="11"/>
  <c r="F55" i="11"/>
  <c r="C55" i="11"/>
  <c r="C58" i="11"/>
  <c r="G58" i="11"/>
  <c r="F28" i="11"/>
  <c r="D58" i="11"/>
  <c r="E58" i="11"/>
  <c r="G49" i="11"/>
  <c r="C49" i="11"/>
  <c r="D49" i="11"/>
  <c r="E49" i="11"/>
  <c r="I39" i="22"/>
  <c r="I37" i="22"/>
  <c r="F20" i="21"/>
  <c r="C86" i="11"/>
  <c r="C81" i="21"/>
  <c r="C82" i="11"/>
  <c r="J39" i="22"/>
  <c r="J37" i="22"/>
  <c r="G20" i="21"/>
  <c r="G39" i="1"/>
  <c r="D82" i="11"/>
  <c r="D20" i="21"/>
  <c r="K39" i="22"/>
  <c r="K37" i="22"/>
  <c r="H20" i="21"/>
  <c r="E82" i="11"/>
  <c r="E20" i="21"/>
  <c r="G49" i="15"/>
  <c r="G48" i="12"/>
  <c r="H9" i="12"/>
  <c r="F52" i="11"/>
  <c r="C52" i="11"/>
  <c r="G52" i="11"/>
  <c r="E52" i="11"/>
  <c r="J1180" i="23"/>
  <c r="J940" i="23"/>
  <c r="J1423" i="23"/>
  <c r="J5" i="23"/>
  <c r="J244" i="23"/>
  <c r="J697" i="23"/>
  <c r="J469" i="23"/>
  <c r="E81" i="9" l="1"/>
  <c r="O43" i="18"/>
  <c r="F70" i="21"/>
  <c r="E36" i="21"/>
  <c r="BL191" i="22"/>
  <c r="I42" i="8"/>
  <c r="F65" i="21"/>
  <c r="F58" i="18"/>
  <c r="C82" i="21"/>
  <c r="B49" i="21"/>
  <c r="B77" i="21"/>
  <c r="B80" i="21"/>
  <c r="D75" i="21"/>
  <c r="C75" i="21"/>
  <c r="F78" i="21"/>
  <c r="E149" i="9"/>
  <c r="G86" i="40" s="1"/>
  <c r="C41" i="21"/>
  <c r="C46" i="21"/>
  <c r="C76" i="21"/>
  <c r="C77" i="11"/>
  <c r="F48" i="21"/>
  <c r="F5" i="21"/>
  <c r="I30" i="22" s="1"/>
  <c r="J42" i="8"/>
  <c r="K43" i="8"/>
  <c r="K42" i="8" s="1"/>
  <c r="D81" i="21"/>
  <c r="F68" i="18"/>
  <c r="E27" i="21"/>
  <c r="C43" i="21"/>
  <c r="C50" i="21"/>
  <c r="C78" i="21"/>
  <c r="B13" i="1"/>
  <c r="B101" i="9" s="1"/>
  <c r="B18" i="12" s="1"/>
  <c r="B19" i="12" s="1"/>
  <c r="B23" i="12" s="1"/>
  <c r="F60" i="9"/>
  <c r="BK189" i="22"/>
  <c r="E32" i="21"/>
  <c r="F73" i="18"/>
  <c r="C65" i="21"/>
  <c r="B100" i="18"/>
  <c r="B56" i="21"/>
  <c r="C48" i="21"/>
  <c r="C54" i="21"/>
  <c r="B46" i="21"/>
  <c r="B58" i="21"/>
  <c r="B59" i="21"/>
  <c r="F42" i="21"/>
  <c r="E5" i="21"/>
  <c r="E79" i="11"/>
  <c r="C49" i="21"/>
  <c r="C56" i="21"/>
  <c r="C100" i="18"/>
  <c r="B84" i="11"/>
  <c r="F63" i="18"/>
  <c r="E31" i="21"/>
  <c r="C47" i="21"/>
  <c r="B11" i="21"/>
  <c r="B55" i="21"/>
  <c r="B50" i="21"/>
  <c r="B60" i="21"/>
  <c r="B61" i="21"/>
  <c r="F52" i="21"/>
  <c r="E34" i="21"/>
  <c r="C51" i="21"/>
  <c r="C60" i="21"/>
  <c r="C64" i="21"/>
  <c r="F27" i="8"/>
  <c r="E28" i="21"/>
  <c r="F73" i="11"/>
  <c r="BK195" i="22"/>
  <c r="BK191" i="22"/>
  <c r="B44" i="21"/>
  <c r="E98" i="18"/>
  <c r="C83" i="21"/>
  <c r="B52" i="21"/>
  <c r="B62" i="21"/>
  <c r="B63" i="21"/>
  <c r="E6" i="1"/>
  <c r="E25" i="21"/>
  <c r="B84" i="21"/>
  <c r="C53" i="21"/>
  <c r="C62" i="21"/>
  <c r="H19" i="8"/>
  <c r="H21" i="8"/>
  <c r="H20" i="8"/>
  <c r="F86" i="11"/>
  <c r="BK200" i="22"/>
  <c r="BK199" i="22"/>
  <c r="BK201" i="22"/>
  <c r="P112" i="9"/>
  <c r="I112" i="9"/>
  <c r="J112" i="9" s="1"/>
  <c r="K112" i="9" s="1"/>
  <c r="L112" i="9" s="1"/>
  <c r="M112" i="9" s="1"/>
  <c r="N112" i="9" s="1"/>
  <c r="G78" i="1"/>
  <c r="G79" i="1"/>
  <c r="J43" i="2"/>
  <c r="BE163" i="22" s="1"/>
  <c r="K109" i="9"/>
  <c r="L119" i="9"/>
  <c r="K43" i="2"/>
  <c r="BF163" i="22" s="1"/>
  <c r="L118" i="9"/>
  <c r="M117" i="9" s="1"/>
  <c r="M43" i="2" s="1"/>
  <c r="H73" i="9"/>
  <c r="H7" i="1" s="1"/>
  <c r="A80" i="18"/>
  <c r="A86" i="18" s="1"/>
  <c r="A91" i="18" s="1"/>
  <c r="J74" i="18"/>
  <c r="J75" i="18"/>
  <c r="A81" i="18"/>
  <c r="A87" i="18" s="1"/>
  <c r="A92" i="18" s="1"/>
  <c r="A82" i="18"/>
  <c r="A88" i="18" s="1"/>
  <c r="A93" i="18" s="1"/>
  <c r="J76" i="18"/>
  <c r="G32" i="9"/>
  <c r="H7" i="9"/>
  <c r="G17" i="12"/>
  <c r="AK83" i="33"/>
  <c r="X59" i="33"/>
  <c r="AJ72" i="22"/>
  <c r="F18" i="14"/>
  <c r="AQ109" i="33"/>
  <c r="AQ98" i="22"/>
  <c r="J61" i="1"/>
  <c r="AT122" i="33"/>
  <c r="AT111" i="22"/>
  <c r="AR116" i="33"/>
  <c r="AR105" i="22"/>
  <c r="C81" i="11"/>
  <c r="B48" i="21"/>
  <c r="F19" i="14"/>
  <c r="AQ118" i="33"/>
  <c r="AQ107" i="22"/>
  <c r="E189" i="9"/>
  <c r="I51" i="1"/>
  <c r="AS113" i="33"/>
  <c r="AS102" i="22"/>
  <c r="B189" i="9"/>
  <c r="J52" i="1"/>
  <c r="AT115" i="33"/>
  <c r="AT104" i="22"/>
  <c r="G2" i="40"/>
  <c r="G4" i="40"/>
  <c r="H2" i="40"/>
  <c r="H4" i="40"/>
  <c r="H86" i="40"/>
  <c r="G23" i="2"/>
  <c r="H20" i="12"/>
  <c r="C64" i="11"/>
  <c r="C68" i="11" s="1"/>
  <c r="H12" i="2"/>
  <c r="BC135" i="22" s="1"/>
  <c r="F209" i="9"/>
  <c r="F213" i="9" s="1"/>
  <c r="AR106" i="33"/>
  <c r="AR95" i="22"/>
  <c r="B82" i="11"/>
  <c r="D27" i="40"/>
  <c r="AR100" i="33"/>
  <c r="AR89" i="22"/>
  <c r="C86" i="9"/>
  <c r="G20" i="14"/>
  <c r="AR123" i="33"/>
  <c r="AR112" i="22"/>
  <c r="K74" i="40"/>
  <c r="AR92" i="22"/>
  <c r="AR103" i="33"/>
  <c r="G21" i="14"/>
  <c r="AR128" i="33"/>
  <c r="AR117" i="22"/>
  <c r="AR104" i="33"/>
  <c r="AR93" i="22"/>
  <c r="G68" i="9"/>
  <c r="F64" i="11"/>
  <c r="F68" i="11" s="1"/>
  <c r="M46" i="33"/>
  <c r="M48" i="33"/>
  <c r="F81" i="21"/>
  <c r="H27" i="40"/>
  <c r="AQ127" i="33"/>
  <c r="AQ116" i="22"/>
  <c r="F36" i="2"/>
  <c r="BA156" i="22" s="1"/>
  <c r="F23" i="14"/>
  <c r="AQ132" i="33"/>
  <c r="AQ121" i="22"/>
  <c r="E18" i="33"/>
  <c r="F24" i="1"/>
  <c r="AJ80" i="33"/>
  <c r="Y58" i="33"/>
  <c r="Z58" i="33" s="1"/>
  <c r="AI69" i="22"/>
  <c r="J30" i="22"/>
  <c r="N40" i="33"/>
  <c r="J8" i="12"/>
  <c r="F188" i="9"/>
  <c r="F68" i="9"/>
  <c r="G211" i="9"/>
  <c r="E191" i="9"/>
  <c r="C20" i="21"/>
  <c r="F189" i="9"/>
  <c r="E68" i="9"/>
  <c r="E26" i="9"/>
  <c r="F74" i="1"/>
  <c r="F21" i="14" s="1"/>
  <c r="F191" i="9"/>
  <c r="F82" i="11"/>
  <c r="B81" i="21"/>
  <c r="F22" i="15"/>
  <c r="I36" i="22"/>
  <c r="C21" i="21"/>
  <c r="B22" i="15"/>
  <c r="B86" i="11"/>
  <c r="G59" i="9"/>
  <c r="O68" i="9"/>
  <c r="I38" i="22"/>
  <c r="D59" i="9"/>
  <c r="E60" i="9" s="1"/>
  <c r="D86" i="9"/>
  <c r="B21" i="21"/>
  <c r="D68" i="9"/>
  <c r="E86" i="9"/>
  <c r="G46" i="1"/>
  <c r="AR107" i="33" s="1"/>
  <c r="G198" i="9"/>
  <c r="G196" i="9" s="1"/>
  <c r="I116" i="9"/>
  <c r="I115" i="9" s="1"/>
  <c r="J116" i="9" s="1"/>
  <c r="J115" i="9" s="1"/>
  <c r="B12" i="14"/>
  <c r="H40" i="2"/>
  <c r="E188" i="9"/>
  <c r="D189" i="9"/>
  <c r="H9" i="1"/>
  <c r="H10" i="21" s="1"/>
  <c r="F75" i="21"/>
  <c r="F55" i="21"/>
  <c r="F44" i="21"/>
  <c r="F54" i="21"/>
  <c r="F47" i="21"/>
  <c r="F100" i="18"/>
  <c r="F64" i="21"/>
  <c r="F73" i="21"/>
  <c r="F59" i="21"/>
  <c r="F72" i="21"/>
  <c r="F80" i="21"/>
  <c r="F46" i="21"/>
  <c r="F41" i="21"/>
  <c r="F49" i="21"/>
  <c r="F58" i="21"/>
  <c r="F66" i="21"/>
  <c r="F77" i="21"/>
  <c r="F61" i="21"/>
  <c r="F74" i="21"/>
  <c r="E21" i="21"/>
  <c r="F82" i="21"/>
  <c r="F67" i="21"/>
  <c r="F40" i="21"/>
  <c r="F50" i="21"/>
  <c r="F43" i="21"/>
  <c r="F51" i="21"/>
  <c r="F60" i="21"/>
  <c r="F69" i="21"/>
  <c r="F79" i="21"/>
  <c r="F63" i="21"/>
  <c r="F76" i="21"/>
  <c r="F26" i="21"/>
  <c r="H48" i="40" s="1"/>
  <c r="F7" i="21"/>
  <c r="G166" i="9"/>
  <c r="G57" i="2" s="1"/>
  <c r="BB175" i="22" s="1"/>
  <c r="G51" i="12"/>
  <c r="G88" i="11"/>
  <c r="G86" i="11" s="1"/>
  <c r="F86" i="9"/>
  <c r="D191" i="9"/>
  <c r="D188" i="9"/>
  <c r="I45" i="9"/>
  <c r="I46" i="9" s="1"/>
  <c r="I21" i="9" s="1"/>
  <c r="I51" i="9"/>
  <c r="I128" i="9"/>
  <c r="H34" i="1"/>
  <c r="I39" i="2"/>
  <c r="BD159" i="22" s="1"/>
  <c r="I12" i="2"/>
  <c r="BD135" i="22" s="1"/>
  <c r="I124" i="9"/>
  <c r="J122" i="9"/>
  <c r="I33" i="1"/>
  <c r="K207" i="9"/>
  <c r="J92" i="9"/>
  <c r="K74" i="9"/>
  <c r="J10" i="2"/>
  <c r="BE133" i="22" s="1"/>
  <c r="J44" i="2"/>
  <c r="BE164" i="22" s="1"/>
  <c r="K118" i="9"/>
  <c r="L117" i="9" s="1"/>
  <c r="L43" i="2" s="1"/>
  <c r="D22" i="15"/>
  <c r="F21" i="21"/>
  <c r="E22" i="15"/>
  <c r="D21" i="21"/>
  <c r="E82" i="21"/>
  <c r="B76" i="1"/>
  <c r="B19" i="14"/>
  <c r="F10" i="1"/>
  <c r="F17" i="12" s="1"/>
  <c r="F6" i="14"/>
  <c r="F7" i="14" s="1"/>
  <c r="E81" i="21"/>
  <c r="E100" i="18"/>
  <c r="E80" i="21"/>
  <c r="E78" i="21"/>
  <c r="E76" i="21"/>
  <c r="E74" i="21"/>
  <c r="E72" i="21"/>
  <c r="E70" i="21"/>
  <c r="E81" i="11"/>
  <c r="E79" i="21"/>
  <c r="E77" i="21"/>
  <c r="E73" i="21"/>
  <c r="E71" i="21"/>
  <c r="E69" i="21"/>
  <c r="E66" i="21"/>
  <c r="E64" i="21"/>
  <c r="E62" i="21"/>
  <c r="E60" i="21"/>
  <c r="E56" i="21"/>
  <c r="E58" i="21"/>
  <c r="E53" i="21"/>
  <c r="E51" i="21"/>
  <c r="E49" i="21"/>
  <c r="E47" i="21"/>
  <c r="E45" i="21"/>
  <c r="E43" i="21"/>
  <c r="E41" i="21"/>
  <c r="E63" i="21"/>
  <c r="E61" i="21"/>
  <c r="E59" i="21"/>
  <c r="E54" i="21"/>
  <c r="E52" i="21"/>
  <c r="E50" i="21"/>
  <c r="E46" i="21"/>
  <c r="E44" i="21"/>
  <c r="E42" i="21"/>
  <c r="E40" i="21"/>
  <c r="E18" i="14"/>
  <c r="E65" i="21"/>
  <c r="E77" i="11"/>
  <c r="G63" i="18"/>
  <c r="G90" i="18"/>
  <c r="G49" i="18" s="1"/>
  <c r="G85" i="18"/>
  <c r="G79" i="18"/>
  <c r="G73" i="18"/>
  <c r="G68" i="18"/>
  <c r="G58" i="18"/>
  <c r="P43" i="18"/>
  <c r="D77" i="11"/>
  <c r="D79" i="21"/>
  <c r="D77" i="21"/>
  <c r="D73" i="21"/>
  <c r="D71" i="21"/>
  <c r="D69" i="21"/>
  <c r="D66" i="21"/>
  <c r="D64" i="21"/>
  <c r="D62" i="21"/>
  <c r="D60" i="21"/>
  <c r="D58" i="21"/>
  <c r="D100" i="18"/>
  <c r="D83" i="21"/>
  <c r="D80" i="21"/>
  <c r="D78" i="21"/>
  <c r="D76" i="21"/>
  <c r="D74" i="21"/>
  <c r="D72" i="21"/>
  <c r="D70" i="21"/>
  <c r="D63" i="21"/>
  <c r="D61" i="21"/>
  <c r="D59" i="21"/>
  <c r="D56" i="21"/>
  <c r="D81" i="11"/>
  <c r="D54" i="21"/>
  <c r="D52" i="21"/>
  <c r="D50" i="21"/>
  <c r="D46" i="21"/>
  <c r="D44" i="21"/>
  <c r="D42" i="21"/>
  <c r="D40" i="21"/>
  <c r="D53" i="21"/>
  <c r="D51" i="21"/>
  <c r="D49" i="21"/>
  <c r="D47" i="21"/>
  <c r="D45" i="21"/>
  <c r="D43" i="21"/>
  <c r="D41" i="21"/>
  <c r="D18" i="14"/>
  <c r="N63" i="18"/>
  <c r="N73" i="18"/>
  <c r="N68" i="18"/>
  <c r="N58" i="18"/>
  <c r="O73" i="18"/>
  <c r="O68" i="18"/>
  <c r="O58" i="18"/>
  <c r="O63" i="18"/>
  <c r="K73" i="18"/>
  <c r="K68" i="18"/>
  <c r="K58" i="18"/>
  <c r="K63" i="18"/>
  <c r="G22" i="1"/>
  <c r="G23" i="1"/>
  <c r="G58" i="1"/>
  <c r="D84" i="11"/>
  <c r="D30" i="21"/>
  <c r="F49" i="40" s="1"/>
  <c r="D11" i="21"/>
  <c r="D13" i="1"/>
  <c r="E55" i="21"/>
  <c r="C84" i="11"/>
  <c r="C30" i="21"/>
  <c r="E49" i="40" s="1"/>
  <c r="C11" i="21"/>
  <c r="C13" i="1"/>
  <c r="M73" i="18"/>
  <c r="M68" i="18"/>
  <c r="M58" i="18"/>
  <c r="M63" i="18"/>
  <c r="E73" i="11"/>
  <c r="E26" i="21"/>
  <c r="G48" i="40" s="1"/>
  <c r="E10" i="1"/>
  <c r="E17" i="12" s="1"/>
  <c r="E7" i="21"/>
  <c r="E6" i="14"/>
  <c r="E7" i="14" s="1"/>
  <c r="E24" i="1"/>
  <c r="C101" i="18"/>
  <c r="C84" i="21"/>
  <c r="C76" i="1"/>
  <c r="E67" i="21"/>
  <c r="E19" i="14"/>
  <c r="F81" i="11"/>
  <c r="D67" i="21"/>
  <c r="D19" i="14"/>
  <c r="D55" i="21"/>
  <c r="B87" i="11"/>
  <c r="B40" i="15" s="1"/>
  <c r="B33" i="21"/>
  <c r="D84" i="21"/>
  <c r="D101" i="18"/>
  <c r="D76" i="1"/>
  <c r="D80" i="1" s="1"/>
  <c r="F77" i="11"/>
  <c r="C63" i="18"/>
  <c r="C90" i="18"/>
  <c r="C49" i="18" s="1"/>
  <c r="C85" i="18"/>
  <c r="C79" i="18"/>
  <c r="C73" i="18"/>
  <c r="C68" i="18"/>
  <c r="C58" i="18"/>
  <c r="L43" i="18"/>
  <c r="D82" i="21"/>
  <c r="D65" i="21"/>
  <c r="E48" i="21"/>
  <c r="G84" i="11"/>
  <c r="G30" i="21"/>
  <c r="I49" i="40" s="1"/>
  <c r="G13" i="1"/>
  <c r="J85" i="9"/>
  <c r="E83" i="11"/>
  <c r="P11" i="9"/>
  <c r="G75" i="1"/>
  <c r="G101" i="18" s="1"/>
  <c r="E83" i="21"/>
  <c r="E75" i="1"/>
  <c r="D7" i="9"/>
  <c r="E24" i="8"/>
  <c r="E23" i="8" s="1"/>
  <c r="I23" i="8" s="1"/>
  <c r="E20" i="9"/>
  <c r="C19" i="9"/>
  <c r="D20" i="9" s="1"/>
  <c r="C18" i="9"/>
  <c r="C7" i="9"/>
  <c r="E7" i="9"/>
  <c r="E32" i="9"/>
  <c r="F32" i="9"/>
  <c r="F7" i="9"/>
  <c r="J169" i="9"/>
  <c r="I170" i="9"/>
  <c r="G25" i="9"/>
  <c r="O24" i="9"/>
  <c r="G26" i="9"/>
  <c r="F18" i="9"/>
  <c r="F19" i="9"/>
  <c r="F20" i="9" s="1"/>
  <c r="G7" i="9"/>
  <c r="O18" i="9"/>
  <c r="G19" i="9"/>
  <c r="G18" i="9"/>
  <c r="D26" i="9"/>
  <c r="D25" i="9"/>
  <c r="C25" i="9"/>
  <c r="C26" i="9"/>
  <c r="E25" i="9"/>
  <c r="F26" i="9"/>
  <c r="F25" i="9"/>
  <c r="O7" i="9"/>
  <c r="G16" i="14"/>
  <c r="BL199" i="22" l="1"/>
  <c r="BL200" i="22"/>
  <c r="M40" i="33"/>
  <c r="BL192" i="22"/>
  <c r="BL203" i="22"/>
  <c r="BK192" i="22"/>
  <c r="BK203" i="22"/>
  <c r="BL196" i="22"/>
  <c r="U49" i="22"/>
  <c r="G58" i="9"/>
  <c r="G60" i="9"/>
  <c r="AP70" i="31"/>
  <c r="AO70" i="31"/>
  <c r="T46" i="31"/>
  <c r="S46" i="31"/>
  <c r="B15" i="1"/>
  <c r="B25" i="1" s="1"/>
  <c r="D50" i="40" s="1"/>
  <c r="B14" i="21"/>
  <c r="H21" i="12"/>
  <c r="BC160" i="22"/>
  <c r="G22" i="12"/>
  <c r="BB144" i="22"/>
  <c r="K10" i="2"/>
  <c r="BF133" i="22" s="1"/>
  <c r="L74" i="9"/>
  <c r="K44" i="2"/>
  <c r="BF164" i="22" s="1"/>
  <c r="K92" i="9"/>
  <c r="K39" i="2" s="1"/>
  <c r="BF159" i="22" s="1"/>
  <c r="L207" i="9"/>
  <c r="L109" i="9"/>
  <c r="M119" i="9"/>
  <c r="M118" i="9"/>
  <c r="N117" i="9" s="1"/>
  <c r="N43" i="2" s="1"/>
  <c r="N118" i="9"/>
  <c r="AL81" i="33"/>
  <c r="AK70" i="22"/>
  <c r="H8" i="21"/>
  <c r="K52" i="1"/>
  <c r="AU115" i="33"/>
  <c r="AU104" i="22"/>
  <c r="J51" i="1"/>
  <c r="AT113" i="33"/>
  <c r="AT102" i="22"/>
  <c r="G19" i="14"/>
  <c r="AR118" i="33"/>
  <c r="AR107" i="22"/>
  <c r="G189" i="9"/>
  <c r="AK85" i="33"/>
  <c r="X60" i="33"/>
  <c r="AJ74" i="22"/>
  <c r="K61" i="1"/>
  <c r="AU122" i="33"/>
  <c r="AU111" i="22"/>
  <c r="D12" i="33"/>
  <c r="F475" i="39" a="1"/>
  <c r="F476" i="39" s="1"/>
  <c r="J51" i="9"/>
  <c r="F83" i="21"/>
  <c r="N46" i="33"/>
  <c r="N48" i="33"/>
  <c r="AD69" i="43"/>
  <c r="R44" i="43"/>
  <c r="Q44" i="43"/>
  <c r="AE69" i="43"/>
  <c r="AD70" i="41"/>
  <c r="Q45" i="41"/>
  <c r="AC70" i="41"/>
  <c r="P45" i="41"/>
  <c r="E15" i="33"/>
  <c r="AN70" i="31"/>
  <c r="R46" i="31"/>
  <c r="L74" i="40"/>
  <c r="K73" i="40"/>
  <c r="G23" i="14"/>
  <c r="AR132" i="33"/>
  <c r="AR121" i="22"/>
  <c r="F75" i="1"/>
  <c r="AQ128" i="33"/>
  <c r="AQ117" i="22"/>
  <c r="F83" i="11"/>
  <c r="G59" i="2"/>
  <c r="BB177" i="22" s="1"/>
  <c r="F60" i="2"/>
  <c r="BA178" i="22" s="1"/>
  <c r="Y59" i="33"/>
  <c r="Z59" i="33" s="1"/>
  <c r="AJ83" i="33"/>
  <c r="AI72" i="22"/>
  <c r="G83" i="11"/>
  <c r="AR96" i="22"/>
  <c r="F27" i="9"/>
  <c r="E27" i="9"/>
  <c r="G47" i="1"/>
  <c r="G17" i="14"/>
  <c r="H50" i="2"/>
  <c r="BC170" i="22" s="1"/>
  <c r="I32" i="1"/>
  <c r="I106" i="9"/>
  <c r="H31" i="1"/>
  <c r="G76" i="1"/>
  <c r="J39" i="2"/>
  <c r="BE159" i="22" s="1"/>
  <c r="J12" i="2"/>
  <c r="BE135" i="22" s="1"/>
  <c r="I75" i="9"/>
  <c r="I73" i="9" s="1"/>
  <c r="I7" i="1" s="1"/>
  <c r="I18" i="2"/>
  <c r="BD140" i="22" s="1"/>
  <c r="I131" i="9"/>
  <c r="I127" i="9" s="1"/>
  <c r="K116" i="9"/>
  <c r="K115" i="9" s="1"/>
  <c r="J32" i="1"/>
  <c r="J45" i="9"/>
  <c r="J46" i="9" s="1"/>
  <c r="J21" i="9" s="1"/>
  <c r="K44" i="9"/>
  <c r="L44" i="9" s="1"/>
  <c r="I52" i="9"/>
  <c r="I53" i="9" s="1"/>
  <c r="I28" i="9" s="1"/>
  <c r="E15" i="22"/>
  <c r="G47" i="12"/>
  <c r="D16" i="33" s="1"/>
  <c r="J124" i="9"/>
  <c r="K122" i="9"/>
  <c r="L122" i="9" s="1"/>
  <c r="J33" i="1"/>
  <c r="B85" i="21"/>
  <c r="B80" i="1"/>
  <c r="B22" i="14"/>
  <c r="F84" i="11"/>
  <c r="F30" i="21"/>
  <c r="H49" i="40" s="1"/>
  <c r="F13" i="1"/>
  <c r="BK196" i="22" s="1"/>
  <c r="G11" i="21"/>
  <c r="C85" i="21"/>
  <c r="C22" i="14"/>
  <c r="C80" i="1"/>
  <c r="G33" i="21"/>
  <c r="G5" i="2"/>
  <c r="BB128" i="22" s="1"/>
  <c r="G15" i="1"/>
  <c r="U50" i="22" s="1"/>
  <c r="G101" i="9"/>
  <c r="G87" i="11"/>
  <c r="L73" i="18"/>
  <c r="L68" i="18"/>
  <c r="L58" i="18"/>
  <c r="L63" i="18"/>
  <c r="G21" i="21"/>
  <c r="G22" i="15"/>
  <c r="J38" i="22"/>
  <c r="G64" i="11"/>
  <c r="J36" i="22"/>
  <c r="D85" i="21"/>
  <c r="D22" i="14"/>
  <c r="B80" i="11"/>
  <c r="B16" i="21"/>
  <c r="B17" i="1"/>
  <c r="B9" i="14"/>
  <c r="B10" i="14" s="1"/>
  <c r="E84" i="11"/>
  <c r="E13" i="1"/>
  <c r="E30" i="21"/>
  <c r="G49" i="40" s="1"/>
  <c r="E11" i="21"/>
  <c r="F11" i="21"/>
  <c r="B69" i="11"/>
  <c r="D87" i="11"/>
  <c r="D14" i="21"/>
  <c r="D33" i="21"/>
  <c r="D15" i="1"/>
  <c r="D101" i="9"/>
  <c r="D18" i="12" s="1"/>
  <c r="D19" i="12" s="1"/>
  <c r="D23" i="12" s="1"/>
  <c r="C87" i="11"/>
  <c r="C33" i="21"/>
  <c r="C15" i="1"/>
  <c r="C14" i="21"/>
  <c r="C101" i="9"/>
  <c r="C18" i="12" s="1"/>
  <c r="C19" i="12" s="1"/>
  <c r="C23" i="12" s="1"/>
  <c r="P73" i="18"/>
  <c r="P68" i="18"/>
  <c r="P58" i="18"/>
  <c r="P63" i="18"/>
  <c r="K85" i="9"/>
  <c r="L85" i="9" s="1"/>
  <c r="M85" i="9" s="1"/>
  <c r="N85" i="9" s="1"/>
  <c r="E84" i="21"/>
  <c r="E76" i="1"/>
  <c r="E101" i="18"/>
  <c r="I88" i="11"/>
  <c r="O20" i="9"/>
  <c r="G20" i="9"/>
  <c r="O27" i="9"/>
  <c r="G27" i="9"/>
  <c r="J170" i="9"/>
  <c r="K169" i="9"/>
  <c r="D27" i="9"/>
  <c r="B35" i="21" l="1"/>
  <c r="L52" i="1"/>
  <c r="M52" i="1" s="1"/>
  <c r="N52" i="1" s="1"/>
  <c r="AV104" i="22"/>
  <c r="L61" i="1"/>
  <c r="AV111" i="22"/>
  <c r="B74" i="11"/>
  <c r="B99" i="18"/>
  <c r="G40" i="21"/>
  <c r="O40" i="21" s="1"/>
  <c r="BL201" i="22"/>
  <c r="L51" i="9"/>
  <c r="L52" i="9" s="1"/>
  <c r="M44" i="9"/>
  <c r="L45" i="9"/>
  <c r="K12" i="2"/>
  <c r="BF135" i="22" s="1"/>
  <c r="M74" i="9"/>
  <c r="N74" i="9" s="1"/>
  <c r="L44" i="2"/>
  <c r="L10" i="2"/>
  <c r="M207" i="9"/>
  <c r="L92" i="9"/>
  <c r="M61" i="1"/>
  <c r="L66" i="1"/>
  <c r="L20" i="14" s="1"/>
  <c r="K170" i="9"/>
  <c r="K88" i="11" s="1"/>
  <c r="L169" i="9"/>
  <c r="L124" i="9"/>
  <c r="M122" i="9"/>
  <c r="L33" i="1"/>
  <c r="K32" i="1"/>
  <c r="L116" i="9"/>
  <c r="L115" i="9" s="1"/>
  <c r="M109" i="9"/>
  <c r="N119" i="9"/>
  <c r="N109" i="9" s="1"/>
  <c r="M10" i="2"/>
  <c r="M44" i="2"/>
  <c r="H5" i="1"/>
  <c r="BM190" i="22" s="1"/>
  <c r="K51" i="1"/>
  <c r="AU113" i="33"/>
  <c r="AU102" i="22"/>
  <c r="AK87" i="33"/>
  <c r="X61" i="33"/>
  <c r="AJ76" i="22"/>
  <c r="G28" i="2"/>
  <c r="G46" i="12"/>
  <c r="G18" i="12"/>
  <c r="G19" i="12" s="1"/>
  <c r="G23" i="12" s="1"/>
  <c r="F477" i="39"/>
  <c r="F482" i="39"/>
  <c r="F481" i="39"/>
  <c r="F478" i="39"/>
  <c r="F479" i="39"/>
  <c r="F475" i="39"/>
  <c r="F483" i="39"/>
  <c r="F480" i="39"/>
  <c r="G22" i="14"/>
  <c r="AR130" i="33"/>
  <c r="AR119" i="22"/>
  <c r="I8" i="21"/>
  <c r="AM81" i="33"/>
  <c r="AL70" i="22"/>
  <c r="AR109" i="33"/>
  <c r="M74" i="40"/>
  <c r="M73" i="40" s="1"/>
  <c r="L73" i="40"/>
  <c r="K86" i="40"/>
  <c r="H15" i="14"/>
  <c r="AS98" i="33"/>
  <c r="AS87" i="22"/>
  <c r="F65" i="2"/>
  <c r="F84" i="21"/>
  <c r="F101" i="18"/>
  <c r="F76" i="1"/>
  <c r="Y60" i="33"/>
  <c r="Z60" i="33" s="1"/>
  <c r="AJ85" i="33"/>
  <c r="AI74" i="22"/>
  <c r="G84" i="21"/>
  <c r="AR98" i="22"/>
  <c r="D16" i="22"/>
  <c r="G46" i="21"/>
  <c r="O46" i="21" s="1"/>
  <c r="G83" i="21"/>
  <c r="O83" i="21" s="1"/>
  <c r="G45" i="21"/>
  <c r="O45" i="21" s="1"/>
  <c r="G74" i="21"/>
  <c r="O74" i="21" s="1"/>
  <c r="G54" i="21"/>
  <c r="O54" i="21" s="1"/>
  <c r="G60" i="21"/>
  <c r="O60" i="21" s="1"/>
  <c r="G62" i="21"/>
  <c r="O62" i="21" s="1"/>
  <c r="G82" i="21"/>
  <c r="O82" i="21" s="1"/>
  <c r="G56" i="21"/>
  <c r="O56" i="21" s="1"/>
  <c r="G72" i="21"/>
  <c r="O72" i="21" s="1"/>
  <c r="G77" i="21"/>
  <c r="O77" i="21" s="1"/>
  <c r="G81" i="21"/>
  <c r="O81" i="21" s="1"/>
  <c r="G18" i="14"/>
  <c r="G64" i="21"/>
  <c r="O64" i="21" s="1"/>
  <c r="G76" i="21"/>
  <c r="O76" i="21" s="1"/>
  <c r="G66" i="21"/>
  <c r="O66" i="21" s="1"/>
  <c r="G41" i="21"/>
  <c r="O41" i="21" s="1"/>
  <c r="G43" i="21"/>
  <c r="O43" i="21" s="1"/>
  <c r="G52" i="21"/>
  <c r="O52" i="21" s="1"/>
  <c r="G80" i="1"/>
  <c r="G65" i="21"/>
  <c r="O65" i="21" s="1"/>
  <c r="G77" i="11"/>
  <c r="G69" i="21"/>
  <c r="O69" i="21" s="1"/>
  <c r="G63" i="21"/>
  <c r="O63" i="21" s="1"/>
  <c r="G80" i="21"/>
  <c r="O80" i="21" s="1"/>
  <c r="G53" i="21"/>
  <c r="O53" i="21" s="1"/>
  <c r="G71" i="21"/>
  <c r="O71" i="21" s="1"/>
  <c r="G55" i="21"/>
  <c r="O55" i="21" s="1"/>
  <c r="G75" i="21"/>
  <c r="O75" i="21" s="1"/>
  <c r="G61" i="21"/>
  <c r="O61" i="21" s="1"/>
  <c r="G78" i="21"/>
  <c r="O78" i="21" s="1"/>
  <c r="G59" i="21"/>
  <c r="O59" i="21" s="1"/>
  <c r="G49" i="21"/>
  <c r="O49" i="21" s="1"/>
  <c r="G85" i="21"/>
  <c r="G73" i="21"/>
  <c r="O73" i="21" s="1"/>
  <c r="G51" i="21"/>
  <c r="O51" i="21" s="1"/>
  <c r="G50" i="21"/>
  <c r="O50" i="21" s="1"/>
  <c r="G42" i="21"/>
  <c r="O42" i="21" s="1"/>
  <c r="G44" i="21"/>
  <c r="O44" i="21" s="1"/>
  <c r="G70" i="21"/>
  <c r="O70" i="21" s="1"/>
  <c r="G47" i="21"/>
  <c r="O47" i="21" s="1"/>
  <c r="G100" i="18"/>
  <c r="G67" i="21"/>
  <c r="O67" i="21" s="1"/>
  <c r="G81" i="11"/>
  <c r="G58" i="21"/>
  <c r="O58" i="21" s="1"/>
  <c r="G79" i="21"/>
  <c r="O79" i="21" s="1"/>
  <c r="G48" i="21"/>
  <c r="O48" i="21" s="1"/>
  <c r="I107" i="9"/>
  <c r="I111" i="9"/>
  <c r="J52" i="9"/>
  <c r="J53" i="9" s="1"/>
  <c r="J28" i="9" s="1"/>
  <c r="K124" i="9"/>
  <c r="K18" i="2" s="1"/>
  <c r="BF140" i="22" s="1"/>
  <c r="K33" i="1"/>
  <c r="J75" i="9"/>
  <c r="J73" i="9" s="1"/>
  <c r="J7" i="1" s="1"/>
  <c r="J18" i="2"/>
  <c r="BE140" i="22" s="1"/>
  <c r="J128" i="9"/>
  <c r="I34" i="1"/>
  <c r="K45" i="9"/>
  <c r="K51" i="9"/>
  <c r="I88" i="9"/>
  <c r="I9" i="2"/>
  <c r="BD132" i="22" s="1"/>
  <c r="F101" i="9"/>
  <c r="F18" i="12" s="1"/>
  <c r="F19" i="12" s="1"/>
  <c r="F23" i="12" s="1"/>
  <c r="F15" i="1"/>
  <c r="G16" i="21" s="1"/>
  <c r="F87" i="11"/>
  <c r="F33" i="21"/>
  <c r="G14" i="21"/>
  <c r="D25" i="1"/>
  <c r="F50" i="40" s="1"/>
  <c r="D99" i="18"/>
  <c r="D80" i="11"/>
  <c r="D57" i="11" s="1"/>
  <c r="D74" i="11"/>
  <c r="D54" i="11" s="1"/>
  <c r="D35" i="21"/>
  <c r="D16" i="21"/>
  <c r="D17" i="1"/>
  <c r="D9" i="14"/>
  <c r="D10" i="14" s="1"/>
  <c r="E87" i="11"/>
  <c r="E14" i="21"/>
  <c r="E33" i="21"/>
  <c r="E15" i="1"/>
  <c r="E101" i="9"/>
  <c r="E18" i="12" s="1"/>
  <c r="E19" i="12" s="1"/>
  <c r="E23" i="12" s="1"/>
  <c r="F14" i="21"/>
  <c r="B37" i="21"/>
  <c r="B18" i="21"/>
  <c r="B165" i="9"/>
  <c r="B20" i="1"/>
  <c r="B6" i="15" s="1"/>
  <c r="G36" i="15"/>
  <c r="C40" i="15"/>
  <c r="C69" i="11"/>
  <c r="G68" i="11"/>
  <c r="G23" i="15"/>
  <c r="G25" i="1"/>
  <c r="I50" i="40" s="1"/>
  <c r="P15" i="1"/>
  <c r="G99" i="18"/>
  <c r="G80" i="11"/>
  <c r="G74" i="11"/>
  <c r="G54" i="11" s="1"/>
  <c r="G35" i="21"/>
  <c r="G9" i="14"/>
  <c r="G10" i="14" s="1"/>
  <c r="G17" i="1"/>
  <c r="C25" i="1"/>
  <c r="E50" i="40" s="1"/>
  <c r="C99" i="18"/>
  <c r="C80" i="11"/>
  <c r="C57" i="11" s="1"/>
  <c r="C74" i="11"/>
  <c r="C54" i="11" s="1"/>
  <c r="C16" i="21"/>
  <c r="C35" i="21"/>
  <c r="C17" i="1"/>
  <c r="C9" i="14"/>
  <c r="C10" i="14" s="1"/>
  <c r="D40" i="15"/>
  <c r="D69" i="11"/>
  <c r="G40" i="15"/>
  <c r="G48" i="15" s="1"/>
  <c r="G50" i="15" s="1"/>
  <c r="G51" i="15" s="1"/>
  <c r="H35" i="14" s="1"/>
  <c r="G69" i="11"/>
  <c r="G41" i="15" s="1"/>
  <c r="E22" i="14"/>
  <c r="E85" i="21"/>
  <c r="E80" i="1"/>
  <c r="J88" i="11"/>
  <c r="BL197" i="22" l="1"/>
  <c r="U51" i="22"/>
  <c r="L51" i="1"/>
  <c r="M51" i="1" s="1"/>
  <c r="N51" i="1" s="1"/>
  <c r="AV102" i="22"/>
  <c r="G63" i="2"/>
  <c r="BB181" i="22" s="1"/>
  <c r="BA183" i="22"/>
  <c r="G36" i="2"/>
  <c r="BB156" i="22" s="1"/>
  <c r="BB149" i="22"/>
  <c r="L46" i="9"/>
  <c r="L21" i="9" s="1"/>
  <c r="N44" i="9"/>
  <c r="M51" i="9"/>
  <c r="M52" i="9" s="1"/>
  <c r="M53" i="9" s="1"/>
  <c r="M28" i="9" s="1"/>
  <c r="M45" i="9"/>
  <c r="M46" i="9" s="1"/>
  <c r="M21" i="9" s="1"/>
  <c r="H158" i="9"/>
  <c r="H140" i="9"/>
  <c r="K140" i="9" s="1"/>
  <c r="L39" i="2"/>
  <c r="L12" i="2"/>
  <c r="N207" i="9"/>
  <c r="N92" i="9" s="1"/>
  <c r="M92" i="9"/>
  <c r="N61" i="1"/>
  <c r="N66" i="1" s="1"/>
  <c r="N20" i="14" s="1"/>
  <c r="M66" i="1"/>
  <c r="M20" i="14" s="1"/>
  <c r="M169" i="9"/>
  <c r="L170" i="9"/>
  <c r="M124" i="9"/>
  <c r="N122" i="9"/>
  <c r="M33" i="1"/>
  <c r="L18" i="2"/>
  <c r="L75" i="9"/>
  <c r="L73" i="9" s="1"/>
  <c r="L7" i="1" s="1"/>
  <c r="L32" i="1"/>
  <c r="M116" i="9"/>
  <c r="M115" i="9" s="1"/>
  <c r="N10" i="2"/>
  <c r="N44" i="2"/>
  <c r="H6" i="21"/>
  <c r="AK68" i="22"/>
  <c r="H156" i="9"/>
  <c r="H25" i="2" s="1"/>
  <c r="BC146" i="22" s="1"/>
  <c r="AL79" i="33"/>
  <c r="M86" i="40"/>
  <c r="K46" i="9"/>
  <c r="K21" i="9" s="1"/>
  <c r="N41" i="33"/>
  <c r="AK89" i="33"/>
  <c r="X62" i="33"/>
  <c r="J31" i="22"/>
  <c r="AJ78" i="22"/>
  <c r="O84" i="21"/>
  <c r="H135" i="9"/>
  <c r="H41" i="1" s="1"/>
  <c r="G57" i="11"/>
  <c r="G60" i="2"/>
  <c r="BB178" i="22" s="1"/>
  <c r="J8" i="21"/>
  <c r="AN81" i="33"/>
  <c r="AM70" i="22"/>
  <c r="AQ130" i="33"/>
  <c r="AQ119" i="22"/>
  <c r="F80" i="1"/>
  <c r="F22" i="14"/>
  <c r="F85" i="21"/>
  <c r="O85" i="21" s="1"/>
  <c r="Y61" i="33"/>
  <c r="Z61" i="33" s="1"/>
  <c r="AJ87" i="33"/>
  <c r="AI76" i="22"/>
  <c r="I7" i="2"/>
  <c r="BD130" i="22" s="1"/>
  <c r="I87" i="9"/>
  <c r="I20" i="12" s="1"/>
  <c r="I40" i="2"/>
  <c r="I105" i="9"/>
  <c r="J131" i="9"/>
  <c r="J127" i="9" s="1"/>
  <c r="K75" i="9"/>
  <c r="K73" i="9" s="1"/>
  <c r="K7" i="1" s="1"/>
  <c r="AN70" i="22" s="1"/>
  <c r="K52" i="9"/>
  <c r="F40" i="15"/>
  <c r="F69" i="11"/>
  <c r="F17" i="1"/>
  <c r="F74" i="11"/>
  <c r="F54" i="11" s="1"/>
  <c r="F9" i="14"/>
  <c r="F10" i="14" s="1"/>
  <c r="F25" i="1"/>
  <c r="H50" i="40" s="1"/>
  <c r="F99" i="18"/>
  <c r="F35" i="21"/>
  <c r="C76" i="11"/>
  <c r="C75" i="11"/>
  <c r="C37" i="21"/>
  <c r="C20" i="1"/>
  <c r="C6" i="15" s="1"/>
  <c r="C18" i="21"/>
  <c r="C24" i="14"/>
  <c r="C165" i="9"/>
  <c r="E25" i="1"/>
  <c r="G50" i="40" s="1"/>
  <c r="E80" i="11"/>
  <c r="E57" i="11" s="1"/>
  <c r="E74" i="11"/>
  <c r="E54" i="11" s="1"/>
  <c r="E99" i="18"/>
  <c r="E35" i="21"/>
  <c r="E17" i="1"/>
  <c r="E16" i="21"/>
  <c r="E9" i="14"/>
  <c r="E10" i="14" s="1"/>
  <c r="F80" i="11"/>
  <c r="F57" i="11" s="1"/>
  <c r="F16" i="21"/>
  <c r="D76" i="11"/>
  <c r="D75" i="11"/>
  <c r="D18" i="21"/>
  <c r="D37" i="21"/>
  <c r="D20" i="1"/>
  <c r="D6" i="15" s="1"/>
  <c r="D24" i="14"/>
  <c r="D165" i="9"/>
  <c r="G39" i="12"/>
  <c r="G75" i="11"/>
  <c r="G26" i="15" s="1"/>
  <c r="G25" i="15" s="1"/>
  <c r="G29" i="15" s="1"/>
  <c r="G37" i="21"/>
  <c r="G20" i="1"/>
  <c r="G6" i="15" s="1"/>
  <c r="G165" i="9"/>
  <c r="G24" i="14"/>
  <c r="G76" i="11"/>
  <c r="B11" i="14"/>
  <c r="I16" i="17"/>
  <c r="F45" i="17" s="1"/>
  <c r="B63" i="11"/>
  <c r="B67" i="11" s="1"/>
  <c r="B19" i="21"/>
  <c r="B71" i="11"/>
  <c r="B171" i="9"/>
  <c r="B13" i="12" s="1"/>
  <c r="E40" i="15"/>
  <c r="E69" i="11"/>
  <c r="BK193" i="22" l="1"/>
  <c r="BK197" i="22"/>
  <c r="BL193" i="22"/>
  <c r="I21" i="12"/>
  <c r="BD160" i="22"/>
  <c r="N51" i="9"/>
  <c r="N52" i="9" s="1"/>
  <c r="N53" i="9" s="1"/>
  <c r="N28" i="9" s="1"/>
  <c r="N45" i="9"/>
  <c r="N46" i="9" s="1"/>
  <c r="N21" i="9" s="1"/>
  <c r="K53" i="9"/>
  <c r="K28" i="9" s="1"/>
  <c r="L53" i="9"/>
  <c r="L28" i="9" s="1"/>
  <c r="L140" i="9"/>
  <c r="M140" i="9" s="1"/>
  <c r="N140" i="9" s="1"/>
  <c r="I158" i="9"/>
  <c r="J158" i="9" s="1"/>
  <c r="M39" i="2"/>
  <c r="M12" i="2"/>
  <c r="N12" i="2"/>
  <c r="N39" i="2"/>
  <c r="M170" i="9"/>
  <c r="N169" i="9"/>
  <c r="N170" i="9" s="1"/>
  <c r="N124" i="9"/>
  <c r="N33" i="1"/>
  <c r="M75" i="9"/>
  <c r="M73" i="9" s="1"/>
  <c r="M7" i="1" s="1"/>
  <c r="M8" i="21" s="1"/>
  <c r="M18" i="2"/>
  <c r="N116" i="9"/>
  <c r="N115" i="9" s="1"/>
  <c r="N32" i="1" s="1"/>
  <c r="M32" i="1"/>
  <c r="K8" i="21"/>
  <c r="L8" i="21"/>
  <c r="H68" i="1"/>
  <c r="AS126" i="33" s="1"/>
  <c r="G19" i="15"/>
  <c r="G12" i="15"/>
  <c r="G7" i="15"/>
  <c r="G11" i="15"/>
  <c r="G10" i="15"/>
  <c r="H23" i="2"/>
  <c r="BC144" i="22" s="1"/>
  <c r="AS92" i="22"/>
  <c r="AS103" i="33"/>
  <c r="AK91" i="33"/>
  <c r="N42" i="33"/>
  <c r="N45" i="33"/>
  <c r="AJ80" i="22"/>
  <c r="G64" i="2"/>
  <c r="BB182" i="22" s="1"/>
  <c r="Y62" i="33"/>
  <c r="Z62" i="33" s="1"/>
  <c r="AJ89" i="33"/>
  <c r="M41" i="33"/>
  <c r="AI78" i="22"/>
  <c r="I31" i="22"/>
  <c r="I84" i="9"/>
  <c r="I9" i="1" s="1"/>
  <c r="I10" i="21" s="1"/>
  <c r="I31" i="1"/>
  <c r="J106" i="9"/>
  <c r="I50" i="2"/>
  <c r="BD170" i="22" s="1"/>
  <c r="J34" i="1"/>
  <c r="K128" i="9"/>
  <c r="J88" i="9"/>
  <c r="J9" i="2"/>
  <c r="BE132" i="22" s="1"/>
  <c r="F37" i="21"/>
  <c r="F165" i="9"/>
  <c r="F24" i="14"/>
  <c r="F76" i="11"/>
  <c r="F20" i="1"/>
  <c r="F6" i="15" s="1"/>
  <c r="F75" i="11"/>
  <c r="G18" i="21"/>
  <c r="D11" i="14"/>
  <c r="D63" i="11"/>
  <c r="D19" i="21"/>
  <c r="I18" i="17"/>
  <c r="E75" i="11"/>
  <c r="E76" i="11"/>
  <c r="E18" i="21"/>
  <c r="E165" i="9"/>
  <c r="E37" i="21"/>
  <c r="E20" i="1"/>
  <c r="E6" i="15" s="1"/>
  <c r="E24" i="14"/>
  <c r="F18" i="21"/>
  <c r="C11" i="14"/>
  <c r="C19" i="21"/>
  <c r="C63" i="11"/>
  <c r="I17" i="17"/>
  <c r="G11" i="14"/>
  <c r="G63" i="11"/>
  <c r="J35" i="22"/>
  <c r="I21" i="17"/>
  <c r="F105" i="17" s="1"/>
  <c r="J32" i="22"/>
  <c r="C71" i="11"/>
  <c r="C51" i="11" s="1"/>
  <c r="C171" i="9"/>
  <c r="C13" i="12" s="1"/>
  <c r="D71" i="11"/>
  <c r="D51" i="11" s="1"/>
  <c r="D171" i="9"/>
  <c r="D13" i="12" s="1"/>
  <c r="N45" i="17"/>
  <c r="O45" i="17"/>
  <c r="K45" i="17"/>
  <c r="F34" i="17"/>
  <c r="F35" i="17" s="1"/>
  <c r="F36" i="17" s="1"/>
  <c r="F37" i="17" s="1"/>
  <c r="F38" i="17" s="1"/>
  <c r="F39" i="17" s="1"/>
  <c r="F40" i="17" s="1"/>
  <c r="F41" i="17" s="1"/>
  <c r="F42" i="17" s="1"/>
  <c r="F43" i="17" s="1"/>
  <c r="F44" i="17" s="1"/>
  <c r="L45" i="17"/>
  <c r="M45" i="17"/>
  <c r="G38" i="12"/>
  <c r="G171" i="9"/>
  <c r="G13" i="12" s="1"/>
  <c r="G71" i="11"/>
  <c r="G51" i="11" s="1"/>
  <c r="AS115" i="22" l="1"/>
  <c r="K158" i="9"/>
  <c r="N75" i="9"/>
  <c r="N73" i="9" s="1"/>
  <c r="N7" i="1" s="1"/>
  <c r="N8" i="21" s="1"/>
  <c r="N18" i="2"/>
  <c r="G19" i="21"/>
  <c r="J33" i="22" s="1"/>
  <c r="D67" i="11"/>
  <c r="D48" i="11"/>
  <c r="C67" i="11"/>
  <c r="C48" i="11"/>
  <c r="AT98" i="33"/>
  <c r="AT87" i="22"/>
  <c r="G65" i="2"/>
  <c r="BB183" i="22" s="1"/>
  <c r="J40" i="22"/>
  <c r="N50" i="33"/>
  <c r="G67" i="11"/>
  <c r="G48" i="11"/>
  <c r="M42" i="33"/>
  <c r="AJ91" i="33"/>
  <c r="M45" i="33"/>
  <c r="AI80" i="22"/>
  <c r="O37" i="31"/>
  <c r="J111" i="9"/>
  <c r="J107" i="9"/>
  <c r="I15" i="14"/>
  <c r="K131" i="9"/>
  <c r="K9" i="2" s="1"/>
  <c r="BF132" i="22" s="1"/>
  <c r="F171" i="9"/>
  <c r="F13" i="12" s="1"/>
  <c r="F71" i="11"/>
  <c r="F51" i="11" s="1"/>
  <c r="I20" i="17"/>
  <c r="F93" i="17" s="1"/>
  <c r="I32" i="22"/>
  <c r="F11" i="14"/>
  <c r="I35" i="22"/>
  <c r="F63" i="11"/>
  <c r="E11" i="14"/>
  <c r="I19" i="17"/>
  <c r="E63" i="11"/>
  <c r="E19" i="21"/>
  <c r="F19" i="21"/>
  <c r="M105" i="17"/>
  <c r="L105" i="17"/>
  <c r="K105" i="17"/>
  <c r="N105" i="17"/>
  <c r="O105" i="17"/>
  <c r="F57" i="17"/>
  <c r="G20" i="17"/>
  <c r="E71" i="11"/>
  <c r="E51" i="11" s="1"/>
  <c r="E171" i="9"/>
  <c r="E13" i="12" s="1"/>
  <c r="G21" i="17"/>
  <c r="F69" i="17"/>
  <c r="L158" i="9" l="1"/>
  <c r="M158" i="9" s="1"/>
  <c r="H8" i="1"/>
  <c r="AL82" i="33" s="1"/>
  <c r="H4" i="1"/>
  <c r="N43" i="33"/>
  <c r="E67" i="11"/>
  <c r="E48" i="11"/>
  <c r="F67" i="11"/>
  <c r="F48" i="11"/>
  <c r="I33" i="22"/>
  <c r="M43" i="33"/>
  <c r="I40" i="22"/>
  <c r="M50" i="33"/>
  <c r="J40" i="2"/>
  <c r="J105" i="9"/>
  <c r="J87" i="9"/>
  <c r="J20" i="12" s="1"/>
  <c r="J7" i="2"/>
  <c r="BE130" i="22" s="1"/>
  <c r="K88" i="9"/>
  <c r="K127" i="9"/>
  <c r="L128" i="9" s="1"/>
  <c r="O93" i="17"/>
  <c r="N93" i="17"/>
  <c r="M93" i="17"/>
  <c r="L93" i="17"/>
  <c r="F94" i="17"/>
  <c r="K93" i="17"/>
  <c r="F81" i="17"/>
  <c r="F70" i="17" s="1"/>
  <c r="G22" i="17"/>
  <c r="N69" i="17"/>
  <c r="O69" i="17"/>
  <c r="M69" i="17"/>
  <c r="K69" i="17"/>
  <c r="L69" i="17"/>
  <c r="F46" i="17"/>
  <c r="F58" i="17"/>
  <c r="M57" i="17"/>
  <c r="O57" i="17"/>
  <c r="L57" i="17"/>
  <c r="K57" i="17"/>
  <c r="N57" i="17"/>
  <c r="H8" i="14"/>
  <c r="H9" i="21"/>
  <c r="BM189" i="22" l="1"/>
  <c r="T46" i="22"/>
  <c r="V46" i="22" s="1"/>
  <c r="J21" i="12"/>
  <c r="BE160" i="22"/>
  <c r="N158" i="9"/>
  <c r="H149" i="9"/>
  <c r="J86" i="40" s="1"/>
  <c r="H81" i="9"/>
  <c r="L131" i="9"/>
  <c r="K34" i="1"/>
  <c r="AK71" i="22"/>
  <c r="K29" i="22"/>
  <c r="AL78" i="33"/>
  <c r="AK67" i="22"/>
  <c r="H29" i="21"/>
  <c r="H25" i="21"/>
  <c r="H6" i="1"/>
  <c r="J50" i="2"/>
  <c r="BE170" i="22" s="1"/>
  <c r="H79" i="11"/>
  <c r="J84" i="9"/>
  <c r="J9" i="1" s="1"/>
  <c r="J10" i="21" s="1"/>
  <c r="H5" i="14"/>
  <c r="K106" i="9"/>
  <c r="J31" i="1"/>
  <c r="H24" i="21"/>
  <c r="H27" i="21"/>
  <c r="H28" i="21"/>
  <c r="H32" i="21"/>
  <c r="H5" i="21"/>
  <c r="F95" i="17"/>
  <c r="O94" i="17"/>
  <c r="N94" i="17"/>
  <c r="K94" i="17"/>
  <c r="L94" i="17"/>
  <c r="M94" i="17"/>
  <c r="L58" i="17"/>
  <c r="O58" i="17"/>
  <c r="F59" i="17"/>
  <c r="M58" i="17"/>
  <c r="N58" i="17"/>
  <c r="K58" i="17"/>
  <c r="L46" i="17"/>
  <c r="N46" i="17"/>
  <c r="F47" i="17"/>
  <c r="O46" i="17"/>
  <c r="K46" i="17"/>
  <c r="M46" i="17"/>
  <c r="K81" i="17"/>
  <c r="L81" i="17"/>
  <c r="F82" i="17"/>
  <c r="N81" i="17"/>
  <c r="O81" i="17"/>
  <c r="M81" i="17"/>
  <c r="L70" i="17"/>
  <c r="F71" i="17"/>
  <c r="K70" i="17"/>
  <c r="N70" i="17"/>
  <c r="M70" i="17"/>
  <c r="O70" i="17"/>
  <c r="BM191" i="22" l="1"/>
  <c r="BM195" i="22"/>
  <c r="T47" i="22"/>
  <c r="V47" i="22" s="1"/>
  <c r="I81" i="9"/>
  <c r="J81" i="9" s="1"/>
  <c r="K81" i="9" s="1"/>
  <c r="L81" i="9" s="1"/>
  <c r="M81" i="9" s="1"/>
  <c r="N81" i="9" s="1"/>
  <c r="P81" i="9"/>
  <c r="L88" i="9"/>
  <c r="L9" i="2"/>
  <c r="L127" i="9"/>
  <c r="H26" i="21"/>
  <c r="J48" i="40" s="1"/>
  <c r="J4" i="40"/>
  <c r="J2" i="40"/>
  <c r="AU98" i="33"/>
  <c r="AU87" i="22"/>
  <c r="H147" i="9"/>
  <c r="H24" i="2" s="1"/>
  <c r="J85" i="40"/>
  <c r="K30" i="22"/>
  <c r="H24" i="1"/>
  <c r="AL80" i="33"/>
  <c r="AK69" i="22"/>
  <c r="H7" i="21"/>
  <c r="H10" i="1"/>
  <c r="T48" i="22" s="1"/>
  <c r="V48" i="22" s="1"/>
  <c r="H6" i="14"/>
  <c r="H7" i="14" s="1"/>
  <c r="H73" i="11"/>
  <c r="J15" i="14"/>
  <c r="K107" i="9"/>
  <c r="K111" i="9"/>
  <c r="K7" i="2" s="1"/>
  <c r="BF130" i="22" s="1"/>
  <c r="M95" i="17"/>
  <c r="O95" i="17"/>
  <c r="F96" i="17"/>
  <c r="K95" i="17"/>
  <c r="L95" i="17"/>
  <c r="N95" i="17"/>
  <c r="K71" i="17"/>
  <c r="M71" i="17"/>
  <c r="F72" i="17"/>
  <c r="L71" i="17"/>
  <c r="N71" i="17"/>
  <c r="O71" i="17"/>
  <c r="F83" i="17"/>
  <c r="O82" i="17"/>
  <c r="N82" i="17"/>
  <c r="K82" i="17"/>
  <c r="M82" i="17"/>
  <c r="L82" i="17"/>
  <c r="O59" i="17"/>
  <c r="N59" i="17"/>
  <c r="K59" i="17"/>
  <c r="F60" i="17"/>
  <c r="M59" i="17"/>
  <c r="L59" i="17"/>
  <c r="L47" i="17"/>
  <c r="O47" i="17"/>
  <c r="M47" i="17"/>
  <c r="K47" i="17"/>
  <c r="F48" i="17"/>
  <c r="N47" i="17"/>
  <c r="H198" i="9" l="1"/>
  <c r="H196" i="9" s="1"/>
  <c r="BC145" i="22"/>
  <c r="H17" i="12"/>
  <c r="L34" i="1"/>
  <c r="M128" i="9"/>
  <c r="K40" i="2"/>
  <c r="H22" i="12"/>
  <c r="H30" i="21"/>
  <c r="J49" i="40" s="1"/>
  <c r="H42" i="1"/>
  <c r="AS104" i="33" s="1"/>
  <c r="H11" i="21"/>
  <c r="AL83" i="33"/>
  <c r="AK72" i="22"/>
  <c r="K87" i="9"/>
  <c r="K20" i="12" s="1"/>
  <c r="K105" i="9"/>
  <c r="L106" i="9" s="1"/>
  <c r="O96" i="17"/>
  <c r="K96" i="17"/>
  <c r="M96" i="17"/>
  <c r="N96" i="17"/>
  <c r="L96" i="17"/>
  <c r="F97" i="17"/>
  <c r="K48" i="17"/>
  <c r="F49" i="17"/>
  <c r="O48" i="17"/>
  <c r="L48" i="17"/>
  <c r="N48" i="17"/>
  <c r="M48" i="17"/>
  <c r="O60" i="17"/>
  <c r="L60" i="17"/>
  <c r="F61" i="17"/>
  <c r="M60" i="17"/>
  <c r="K60" i="17"/>
  <c r="N60" i="17"/>
  <c r="K83" i="17"/>
  <c r="M83" i="17"/>
  <c r="N83" i="17"/>
  <c r="L83" i="17"/>
  <c r="F84" i="17"/>
  <c r="O83" i="17"/>
  <c r="O72" i="17"/>
  <c r="M72" i="17"/>
  <c r="K72" i="17"/>
  <c r="F73" i="17"/>
  <c r="L72" i="17"/>
  <c r="N72" i="17"/>
  <c r="BM192" i="22" l="1"/>
  <c r="BM203" i="22"/>
  <c r="K50" i="2"/>
  <c r="BF170" i="22" s="1"/>
  <c r="BF160" i="22"/>
  <c r="H97" i="9"/>
  <c r="J75" i="40" s="1"/>
  <c r="J73" i="40" s="1"/>
  <c r="M131" i="9"/>
  <c r="M88" i="9" s="1"/>
  <c r="L107" i="9"/>
  <c r="L40" i="2" s="1"/>
  <c r="L50" i="2" s="1"/>
  <c r="L111" i="9"/>
  <c r="K21" i="12"/>
  <c r="K31" i="1"/>
  <c r="AS93" i="22"/>
  <c r="H73" i="1"/>
  <c r="H187" i="9"/>
  <c r="H191" i="9" s="1"/>
  <c r="K84" i="9"/>
  <c r="K9" i="1" s="1"/>
  <c r="O97" i="17"/>
  <c r="F98" i="17"/>
  <c r="M97" i="17"/>
  <c r="K97" i="17"/>
  <c r="N97" i="17"/>
  <c r="L97" i="17"/>
  <c r="N73" i="17"/>
  <c r="O73" i="17"/>
  <c r="M73" i="17"/>
  <c r="K73" i="17"/>
  <c r="L73" i="17"/>
  <c r="F74" i="17"/>
  <c r="O84" i="17"/>
  <c r="M84" i="17"/>
  <c r="K84" i="17"/>
  <c r="N84" i="17"/>
  <c r="F85" i="17"/>
  <c r="L84" i="17"/>
  <c r="K61" i="17"/>
  <c r="L61" i="17"/>
  <c r="F62" i="17"/>
  <c r="N61" i="17"/>
  <c r="O61" i="17"/>
  <c r="M61" i="17"/>
  <c r="N49" i="17"/>
  <c r="K49" i="17"/>
  <c r="M49" i="17"/>
  <c r="O49" i="17"/>
  <c r="L49" i="17"/>
  <c r="F50" i="17"/>
  <c r="K15" i="14" l="1"/>
  <c r="AV87" i="22"/>
  <c r="H188" i="9"/>
  <c r="P188" i="9" s="1"/>
  <c r="M127" i="9"/>
  <c r="N128" i="9" s="1"/>
  <c r="L105" i="9"/>
  <c r="L87" i="9"/>
  <c r="L84" i="9" s="1"/>
  <c r="L9" i="1" s="1"/>
  <c r="L7" i="2"/>
  <c r="M9" i="2"/>
  <c r="K10" i="21"/>
  <c r="N98" i="17"/>
  <c r="F99" i="17"/>
  <c r="K98" i="17"/>
  <c r="O98" i="17"/>
  <c r="M98" i="17"/>
  <c r="L98" i="17"/>
  <c r="F63" i="17"/>
  <c r="K62" i="17"/>
  <c r="N62" i="17"/>
  <c r="O62" i="17"/>
  <c r="M62" i="17"/>
  <c r="L62" i="17"/>
  <c r="N85" i="17"/>
  <c r="O85" i="17"/>
  <c r="M85" i="17"/>
  <c r="K85" i="17"/>
  <c r="L85" i="17"/>
  <c r="F86" i="17"/>
  <c r="N50" i="17"/>
  <c r="K50" i="17"/>
  <c r="L50" i="17"/>
  <c r="O50" i="17"/>
  <c r="F51" i="17"/>
  <c r="M50" i="17"/>
  <c r="F75" i="17"/>
  <c r="O74" i="17"/>
  <c r="N74" i="17"/>
  <c r="K74" i="17"/>
  <c r="M74" i="17"/>
  <c r="L74" i="17"/>
  <c r="M34" i="1" l="1"/>
  <c r="N131" i="9"/>
  <c r="N88" i="9" s="1"/>
  <c r="L31" i="1"/>
  <c r="M106" i="9"/>
  <c r="L21" i="12"/>
  <c r="O99" i="17"/>
  <c r="L99" i="17"/>
  <c r="K99" i="17"/>
  <c r="F100" i="17"/>
  <c r="M99" i="17"/>
  <c r="N99" i="17"/>
  <c r="K51" i="17"/>
  <c r="F52" i="17"/>
  <c r="M51" i="17"/>
  <c r="L51" i="17"/>
  <c r="O51" i="17"/>
  <c r="N51" i="17"/>
  <c r="L63" i="17"/>
  <c r="N63" i="17"/>
  <c r="O63" i="17"/>
  <c r="K63" i="17"/>
  <c r="M63" i="17"/>
  <c r="F64" i="17"/>
  <c r="F87" i="17"/>
  <c r="K86" i="17"/>
  <c r="N86" i="17"/>
  <c r="O86" i="17"/>
  <c r="M86" i="17"/>
  <c r="L86" i="17"/>
  <c r="L75" i="17"/>
  <c r="F76" i="17"/>
  <c r="O75" i="17"/>
  <c r="K75" i="17"/>
  <c r="M75" i="17"/>
  <c r="N75" i="17"/>
  <c r="N127" i="9" l="1"/>
  <c r="N34" i="1" s="1"/>
  <c r="M107" i="9"/>
  <c r="M111" i="9"/>
  <c r="M87" i="9" s="1"/>
  <c r="M84" i="9" s="1"/>
  <c r="N9" i="2"/>
  <c r="L20" i="12"/>
  <c r="L10" i="21"/>
  <c r="K100" i="17"/>
  <c r="F101" i="17"/>
  <c r="O100" i="17"/>
  <c r="L100" i="17"/>
  <c r="M100" i="17"/>
  <c r="N100" i="17"/>
  <c r="O52" i="17"/>
  <c r="L52" i="17"/>
  <c r="F53" i="17"/>
  <c r="K52" i="17"/>
  <c r="N52" i="17"/>
  <c r="M52" i="17"/>
  <c r="K87" i="17"/>
  <c r="M87" i="17"/>
  <c r="N87" i="17"/>
  <c r="L87" i="17"/>
  <c r="O87" i="17"/>
  <c r="F88" i="17"/>
  <c r="L76" i="17"/>
  <c r="N76" i="17"/>
  <c r="O76" i="17"/>
  <c r="M76" i="17"/>
  <c r="K76" i="17"/>
  <c r="F77" i="17"/>
  <c r="M64" i="17"/>
  <c r="F65" i="17"/>
  <c r="O64" i="17"/>
  <c r="L64" i="17"/>
  <c r="N64" i="17"/>
  <c r="K64" i="17"/>
  <c r="M105" i="9" l="1"/>
  <c r="N106" i="9" s="1"/>
  <c r="N111" i="9" s="1"/>
  <c r="N87" i="9" s="1"/>
  <c r="N84" i="9" s="1"/>
  <c r="L15" i="14"/>
  <c r="M40" i="2"/>
  <c r="M50" i="2" s="1"/>
  <c r="M7" i="2"/>
  <c r="N101" i="17"/>
  <c r="K101" i="17"/>
  <c r="F102" i="17"/>
  <c r="L101" i="17"/>
  <c r="O101" i="17"/>
  <c r="M101" i="17"/>
  <c r="F66" i="17"/>
  <c r="N65" i="17"/>
  <c r="O65" i="17"/>
  <c r="M65" i="17"/>
  <c r="K65" i="17"/>
  <c r="L65" i="17"/>
  <c r="M88" i="17"/>
  <c r="K88" i="17"/>
  <c r="F89" i="17"/>
  <c r="L88" i="17"/>
  <c r="N88" i="17"/>
  <c r="O88" i="17"/>
  <c r="O53" i="17"/>
  <c r="K53" i="17"/>
  <c r="N53" i="17"/>
  <c r="L53" i="17"/>
  <c r="M53" i="17"/>
  <c r="F54" i="17"/>
  <c r="F78" i="17"/>
  <c r="O77" i="17"/>
  <c r="M77" i="17"/>
  <c r="K77" i="17"/>
  <c r="L77" i="17"/>
  <c r="N77" i="17"/>
  <c r="N107" i="9" l="1"/>
  <c r="N105" i="9" s="1"/>
  <c r="M21" i="12"/>
  <c r="M31" i="1"/>
  <c r="F103" i="17"/>
  <c r="L102" i="17"/>
  <c r="K102" i="17"/>
  <c r="O102" i="17"/>
  <c r="M102" i="17"/>
  <c r="N102" i="17"/>
  <c r="F55" i="17"/>
  <c r="M54" i="17"/>
  <c r="K54" i="17"/>
  <c r="N54" i="17"/>
  <c r="L54" i="17"/>
  <c r="O54" i="17"/>
  <c r="M78" i="17"/>
  <c r="L78" i="17"/>
  <c r="F79" i="17"/>
  <c r="K78" i="17"/>
  <c r="N78" i="17"/>
  <c r="O78" i="17"/>
  <c r="O89" i="17"/>
  <c r="M89" i="17"/>
  <c r="K89" i="17"/>
  <c r="L89" i="17"/>
  <c r="F90" i="17"/>
  <c r="N89" i="17"/>
  <c r="L66" i="17"/>
  <c r="F67" i="17"/>
  <c r="O66" i="17"/>
  <c r="N66" i="17"/>
  <c r="K66" i="17"/>
  <c r="M66" i="17"/>
  <c r="M20" i="12" l="1"/>
  <c r="N103" i="17"/>
  <c r="O103" i="17"/>
  <c r="M103" i="17"/>
  <c r="K103" i="17"/>
  <c r="L103" i="17"/>
  <c r="F104" i="17"/>
  <c r="L90" i="17"/>
  <c r="F91" i="17"/>
  <c r="O90" i="17"/>
  <c r="M90" i="17"/>
  <c r="N90" i="17"/>
  <c r="K90" i="17"/>
  <c r="O79" i="17"/>
  <c r="K79" i="17"/>
  <c r="M79" i="17"/>
  <c r="F80" i="17"/>
  <c r="L79" i="17"/>
  <c r="N79" i="17"/>
  <c r="M67" i="17"/>
  <c r="N67" i="17"/>
  <c r="L67" i="17"/>
  <c r="F68" i="17"/>
  <c r="O67" i="17"/>
  <c r="K67" i="17"/>
  <c r="L55" i="17"/>
  <c r="O55" i="17"/>
  <c r="N55" i="17"/>
  <c r="K55" i="17"/>
  <c r="F56" i="17"/>
  <c r="M55" i="17"/>
  <c r="M9" i="1" l="1"/>
  <c r="M10" i="21" s="1"/>
  <c r="M15" i="14"/>
  <c r="N7" i="2"/>
  <c r="N40" i="2"/>
  <c r="N50" i="2" s="1"/>
  <c r="L104" i="17"/>
  <c r="N104" i="17"/>
  <c r="M104" i="17"/>
  <c r="O104" i="17"/>
  <c r="K104" i="17"/>
  <c r="L68" i="17"/>
  <c r="M68" i="17"/>
  <c r="O68" i="17"/>
  <c r="K68" i="17"/>
  <c r="N68" i="17"/>
  <c r="M56" i="17"/>
  <c r="L56" i="17"/>
  <c r="K56" i="17"/>
  <c r="N56" i="17"/>
  <c r="O56" i="17"/>
  <c r="O80" i="17"/>
  <c r="K80" i="17"/>
  <c r="N80" i="17"/>
  <c r="M80" i="17"/>
  <c r="L80" i="17"/>
  <c r="O91" i="17"/>
  <c r="K91" i="17"/>
  <c r="M91" i="17"/>
  <c r="N91" i="17"/>
  <c r="L91" i="17"/>
  <c r="F92" i="17"/>
  <c r="N21" i="12" l="1"/>
  <c r="N31" i="1"/>
  <c r="K92" i="17"/>
  <c r="N92" i="17"/>
  <c r="L92" i="17"/>
  <c r="M92" i="17"/>
  <c r="O92" i="17"/>
  <c r="N20" i="12" l="1"/>
  <c r="N15" i="14"/>
  <c r="N9" i="1" l="1"/>
  <c r="N10" i="21" s="1"/>
  <c r="I201" i="9"/>
  <c r="I94" i="9" s="1"/>
  <c r="AS105" i="33" l="1"/>
  <c r="AS94" i="22"/>
  <c r="J201" i="9"/>
  <c r="J94" i="9" s="1"/>
  <c r="I44" i="1"/>
  <c r="AT105" i="33" l="1"/>
  <c r="AT94" i="22"/>
  <c r="K201" i="9"/>
  <c r="L201" i="9" s="1"/>
  <c r="J44" i="1"/>
  <c r="H59" i="2"/>
  <c r="BC177" i="22" s="1"/>
  <c r="J72" i="1"/>
  <c r="I64" i="1"/>
  <c r="I72" i="1"/>
  <c r="H64" i="1"/>
  <c r="H72" i="1"/>
  <c r="K72" i="1"/>
  <c r="J64" i="1"/>
  <c r="K64" i="1"/>
  <c r="AV110" i="22" s="1"/>
  <c r="M201" i="9" l="1"/>
  <c r="L94" i="9"/>
  <c r="L44" i="1"/>
  <c r="H30" i="12"/>
  <c r="R43" i="31" s="1"/>
  <c r="J27" i="40"/>
  <c r="H74" i="1"/>
  <c r="AS128" i="33" s="1"/>
  <c r="AS127" i="33"/>
  <c r="AS116" i="22"/>
  <c r="AS121" i="33"/>
  <c r="AS110" i="22"/>
  <c r="AU105" i="33"/>
  <c r="AU94" i="22"/>
  <c r="AT121" i="33"/>
  <c r="AT110" i="22"/>
  <c r="J66" i="1"/>
  <c r="AU121" i="33"/>
  <c r="AU110" i="22"/>
  <c r="K44" i="1"/>
  <c r="AV94" i="22" s="1"/>
  <c r="K94" i="9"/>
  <c r="K66" i="1"/>
  <c r="AV112" i="22" s="1"/>
  <c r="I66" i="1"/>
  <c r="H66" i="1"/>
  <c r="N201" i="9" l="1"/>
  <c r="M94" i="9"/>
  <c r="M44" i="1"/>
  <c r="H21" i="14"/>
  <c r="Q41" i="43"/>
  <c r="P42" i="41"/>
  <c r="J28" i="40"/>
  <c r="J72" i="40" s="1"/>
  <c r="J71" i="40" s="1"/>
  <c r="H11" i="1"/>
  <c r="H13" i="1" s="1"/>
  <c r="AS117" i="22"/>
  <c r="AS123" i="33"/>
  <c r="AS112" i="22"/>
  <c r="AU123" i="33"/>
  <c r="AU112" i="22"/>
  <c r="J20" i="14"/>
  <c r="AT123" i="33"/>
  <c r="AT112" i="22"/>
  <c r="H20" i="14"/>
  <c r="H75" i="1"/>
  <c r="K20" i="14"/>
  <c r="H30" i="2"/>
  <c r="BC151" i="22" s="1"/>
  <c r="H11" i="2"/>
  <c r="BC134" i="22" s="1"/>
  <c r="I20" i="14"/>
  <c r="BM196" i="22" l="1"/>
  <c r="T49" i="22"/>
  <c r="V49" i="22" s="1"/>
  <c r="N94" i="9"/>
  <c r="N44" i="1"/>
  <c r="AK73" i="22"/>
  <c r="AL84" i="33"/>
  <c r="H84" i="11"/>
  <c r="H31" i="21"/>
  <c r="H12" i="21"/>
  <c r="AK74" i="22" l="1"/>
  <c r="AL85" i="33"/>
  <c r="H33" i="21"/>
  <c r="H5" i="2"/>
  <c r="BC128" i="22" s="1"/>
  <c r="H14" i="21"/>
  <c r="H87" i="11"/>
  <c r="H28" i="2" l="1"/>
  <c r="BC149" i="22" s="1"/>
  <c r="AK75" i="22"/>
  <c r="AL86" i="33"/>
  <c r="H15" i="21"/>
  <c r="H34" i="21"/>
  <c r="H15" i="1"/>
  <c r="T50" i="22" s="1"/>
  <c r="V50" i="22" s="1"/>
  <c r="H25" i="1" l="1"/>
  <c r="J50" i="40" s="1"/>
  <c r="J79" i="40" s="1"/>
  <c r="H36" i="2"/>
  <c r="BC156" i="22" s="1"/>
  <c r="AL87" i="33"/>
  <c r="AK76" i="22"/>
  <c r="AN69" i="31"/>
  <c r="H74" i="11"/>
  <c r="H35" i="21"/>
  <c r="H16" i="21"/>
  <c r="H80" i="11"/>
  <c r="H9" i="14"/>
  <c r="H10" i="14" s="1"/>
  <c r="H60" i="2" l="1"/>
  <c r="BC178" i="22" s="1"/>
  <c r="H64" i="2" l="1"/>
  <c r="BC182" i="22" s="1"/>
  <c r="H57" i="1"/>
  <c r="I175" i="9"/>
  <c r="J70" i="40" l="1"/>
  <c r="J77" i="40" s="1"/>
  <c r="J78" i="40" s="1"/>
  <c r="H65" i="2"/>
  <c r="BC183" i="22" s="1"/>
  <c r="AS106" i="22"/>
  <c r="AS117" i="33"/>
  <c r="I63" i="2" l="1"/>
  <c r="BD181" i="22" s="1"/>
  <c r="H209" i="9"/>
  <c r="H215" i="9" l="1"/>
  <c r="H55" i="1"/>
  <c r="I164" i="9"/>
  <c r="H205" i="9" l="1"/>
  <c r="H45" i="1" s="1"/>
  <c r="H213" i="9"/>
  <c r="AS103" i="22"/>
  <c r="AS114" i="33"/>
  <c r="H56" i="1"/>
  <c r="H78" i="1" s="1"/>
  <c r="H210" i="9" l="1"/>
  <c r="H211" i="9" s="1"/>
  <c r="H31" i="12"/>
  <c r="AS105" i="22"/>
  <c r="AS116" i="33"/>
  <c r="H58" i="1"/>
  <c r="H23" i="1"/>
  <c r="AS132" i="33"/>
  <c r="H22" i="1"/>
  <c r="H82" i="11"/>
  <c r="BM199" i="22" l="1"/>
  <c r="BM200" i="22"/>
  <c r="H189" i="9"/>
  <c r="H79" i="1"/>
  <c r="Q42" i="43"/>
  <c r="AS106" i="33"/>
  <c r="AS95" i="22"/>
  <c r="H86" i="11"/>
  <c r="H46" i="1"/>
  <c r="AS118" i="33"/>
  <c r="O48" i="33"/>
  <c r="O46" i="33"/>
  <c r="H23" i="14"/>
  <c r="AS121" i="22"/>
  <c r="AS107" i="22"/>
  <c r="K36" i="22"/>
  <c r="H21" i="21"/>
  <c r="H64" i="11"/>
  <c r="K38" i="22"/>
  <c r="H22" i="15"/>
  <c r="H19" i="14"/>
  <c r="H76" i="1"/>
  <c r="AS107" i="33" l="1"/>
  <c r="H83" i="11"/>
  <c r="H17" i="14"/>
  <c r="AS96" i="22"/>
  <c r="P43" i="41"/>
  <c r="R44" i="31"/>
  <c r="AS119" i="22"/>
  <c r="AS130" i="33"/>
  <c r="H22" i="14"/>
  <c r="T247" i="9" l="1"/>
  <c r="T222" i="9" s="1"/>
  <c r="U247" i="9"/>
  <c r="U222" i="9" s="1"/>
  <c r="V247" i="9"/>
  <c r="V222" i="9" s="1"/>
  <c r="W247" i="9"/>
  <c r="W222" i="9" s="1"/>
  <c r="X247" i="9"/>
  <c r="X222" i="9" s="1"/>
  <c r="Y247" i="9"/>
  <c r="Y222" i="9" s="1"/>
  <c r="Z247" i="9"/>
  <c r="Z222" i="9" s="1"/>
  <c r="S247" i="9"/>
  <c r="S222" i="9" s="1"/>
  <c r="H17" i="9" l="1"/>
  <c r="H18" i="9" s="1"/>
  <c r="H24" i="9"/>
  <c r="H41" i="9"/>
  <c r="H62" i="9" s="1"/>
  <c r="H48" i="9"/>
  <c r="H67" i="9" s="1"/>
  <c r="H19" i="9" l="1"/>
  <c r="H68" i="9"/>
  <c r="P68" i="9" s="1"/>
  <c r="H70" i="9"/>
  <c r="I67" i="9"/>
  <c r="H59" i="9"/>
  <c r="H65" i="9"/>
  <c r="H63" i="9"/>
  <c r="P63" i="9" s="1"/>
  <c r="I62" i="9"/>
  <c r="H39" i="9"/>
  <c r="H26" i="9"/>
  <c r="H25" i="9"/>
  <c r="H58" i="9" l="1"/>
  <c r="H60" i="9"/>
  <c r="I70" i="9"/>
  <c r="J67" i="9"/>
  <c r="I48" i="9"/>
  <c r="I65" i="9"/>
  <c r="I41" i="9"/>
  <c r="J62" i="9"/>
  <c r="I59" i="9"/>
  <c r="I60" i="9" s="1"/>
  <c r="H20" i="9"/>
  <c r="P20" i="9" s="1"/>
  <c r="I19" i="9"/>
  <c r="J19" i="9" s="1"/>
  <c r="K19" i="9" s="1"/>
  <c r="L19" i="9" s="1"/>
  <c r="H27" i="9"/>
  <c r="P27" i="9" s="1"/>
  <c r="I26" i="9"/>
  <c r="I17" i="9" l="1"/>
  <c r="I18" i="9" s="1"/>
  <c r="J17" i="9"/>
  <c r="J65" i="9"/>
  <c r="J41" i="9"/>
  <c r="J59" i="9"/>
  <c r="J60" i="9" s="1"/>
  <c r="K62" i="9"/>
  <c r="K17" i="9" s="1"/>
  <c r="K67" i="9"/>
  <c r="J70" i="9"/>
  <c r="J48" i="9"/>
  <c r="I33" i="9"/>
  <c r="I56" i="9" s="1"/>
  <c r="I39" i="9"/>
  <c r="M19" i="9"/>
  <c r="I24" i="9"/>
  <c r="J26" i="9"/>
  <c r="J18" i="9" l="1"/>
  <c r="I57" i="9"/>
  <c r="I35" i="9"/>
  <c r="I31" i="9" s="1"/>
  <c r="I5" i="1" s="1"/>
  <c r="BN190" i="22" s="1"/>
  <c r="I34" i="9"/>
  <c r="L62" i="9"/>
  <c r="K59" i="9"/>
  <c r="K65" i="9"/>
  <c r="K41" i="9"/>
  <c r="J33" i="9"/>
  <c r="J57" i="9" s="1"/>
  <c r="J39" i="9"/>
  <c r="L67" i="9"/>
  <c r="K70" i="9"/>
  <c r="K48" i="9"/>
  <c r="N19" i="9"/>
  <c r="K18" i="9"/>
  <c r="K26" i="9"/>
  <c r="L26" i="9" s="1"/>
  <c r="M26" i="9" s="1"/>
  <c r="N26" i="9" s="1"/>
  <c r="J24" i="9"/>
  <c r="I25" i="9"/>
  <c r="I8" i="9"/>
  <c r="O60" i="9" l="1"/>
  <c r="K60" i="9"/>
  <c r="J56" i="9"/>
  <c r="J34" i="9"/>
  <c r="J35" i="9"/>
  <c r="J31" i="9" s="1"/>
  <c r="J5" i="1" s="1"/>
  <c r="BO190" i="22" s="1"/>
  <c r="L65" i="9"/>
  <c r="L41" i="9"/>
  <c r="L59" i="9"/>
  <c r="L60" i="9" s="1"/>
  <c r="M62" i="9"/>
  <c r="L17" i="9"/>
  <c r="L24" i="9"/>
  <c r="L48" i="9"/>
  <c r="L70" i="9"/>
  <c r="M67" i="9"/>
  <c r="K33" i="9"/>
  <c r="K57" i="9" s="1"/>
  <c r="K39" i="9"/>
  <c r="I6" i="21"/>
  <c r="AL68" i="22"/>
  <c r="I139" i="9"/>
  <c r="I157" i="9"/>
  <c r="I159" i="9" s="1"/>
  <c r="I156" i="9" s="1"/>
  <c r="AM79" i="33"/>
  <c r="I10" i="9"/>
  <c r="I9" i="9"/>
  <c r="I12" i="9"/>
  <c r="J25" i="9"/>
  <c r="J8" i="9"/>
  <c r="K24" i="9"/>
  <c r="L25" i="9" l="1"/>
  <c r="K56" i="9"/>
  <c r="M41" i="9"/>
  <c r="M59" i="9"/>
  <c r="M60" i="9" s="1"/>
  <c r="N62" i="9"/>
  <c r="M65" i="9"/>
  <c r="M17" i="9"/>
  <c r="J139" i="9"/>
  <c r="J157" i="9"/>
  <c r="J159" i="9" s="1"/>
  <c r="J156" i="9" s="1"/>
  <c r="AM68" i="22"/>
  <c r="AN79" i="33"/>
  <c r="J6" i="21"/>
  <c r="I144" i="9"/>
  <c r="I141" i="9"/>
  <c r="I135" i="9" s="1"/>
  <c r="K35" i="9"/>
  <c r="K31" i="9" s="1"/>
  <c r="K5" i="1" s="1"/>
  <c r="K34" i="9"/>
  <c r="L33" i="9"/>
  <c r="L57" i="9" s="1"/>
  <c r="L39" i="9"/>
  <c r="I25" i="2"/>
  <c r="BD146" i="22" s="1"/>
  <c r="I68" i="1"/>
  <c r="M48" i="9"/>
  <c r="M24" i="9"/>
  <c r="M25" i="9" s="1"/>
  <c r="N67" i="9"/>
  <c r="M70" i="9"/>
  <c r="L8" i="9"/>
  <c r="L18" i="9"/>
  <c r="I6" i="9"/>
  <c r="I4" i="1" s="1"/>
  <c r="BN189" i="22" s="1"/>
  <c r="K25" i="9"/>
  <c r="K8" i="9"/>
  <c r="J10" i="9"/>
  <c r="J12" i="9"/>
  <c r="J9" i="9"/>
  <c r="AN68" i="22" l="1"/>
  <c r="BP190" i="22"/>
  <c r="L9" i="9"/>
  <c r="L56" i="9"/>
  <c r="N24" i="9"/>
  <c r="N25" i="9" s="1"/>
  <c r="N70" i="9"/>
  <c r="N48" i="9"/>
  <c r="K139" i="9"/>
  <c r="K6" i="21"/>
  <c r="K157" i="9"/>
  <c r="K159" i="9" s="1"/>
  <c r="K156" i="9" s="1"/>
  <c r="N65" i="9"/>
  <c r="N41" i="9"/>
  <c r="N59" i="9"/>
  <c r="N60" i="9" s="1"/>
  <c r="N17" i="9"/>
  <c r="J25" i="2"/>
  <c r="BE146" i="22" s="1"/>
  <c r="J68" i="1"/>
  <c r="L10" i="9"/>
  <c r="L12" i="9"/>
  <c r="J144" i="9"/>
  <c r="J141" i="9"/>
  <c r="J135" i="9" s="1"/>
  <c r="AT126" i="33"/>
  <c r="AT115" i="22"/>
  <c r="L34" i="9"/>
  <c r="L35" i="9"/>
  <c r="L31" i="9" s="1"/>
  <c r="L5" i="1" s="1"/>
  <c r="I23" i="2"/>
  <c r="BD144" i="22" s="1"/>
  <c r="I41" i="1"/>
  <c r="M18" i="9"/>
  <c r="M8" i="9"/>
  <c r="M39" i="9"/>
  <c r="M33" i="9"/>
  <c r="M56" i="9" s="1"/>
  <c r="I80" i="9"/>
  <c r="I8" i="1" s="1"/>
  <c r="AM82" i="33" s="1"/>
  <c r="I7" i="9"/>
  <c r="J6" i="9"/>
  <c r="J7" i="9" s="1"/>
  <c r="I32" i="9"/>
  <c r="K9" i="9"/>
  <c r="K12" i="9"/>
  <c r="K10" i="9"/>
  <c r="I79" i="11"/>
  <c r="P39" i="33"/>
  <c r="P40" i="33" s="1"/>
  <c r="AL67" i="22"/>
  <c r="AM78" i="33"/>
  <c r="I6" i="1"/>
  <c r="I148" i="9"/>
  <c r="I5" i="21"/>
  <c r="L30" i="22" s="1"/>
  <c r="I24" i="21"/>
  <c r="I29" i="21"/>
  <c r="I27" i="21"/>
  <c r="I5" i="14"/>
  <c r="I25" i="21"/>
  <c r="L29" i="22"/>
  <c r="BN191" i="22" l="1"/>
  <c r="BN195" i="22"/>
  <c r="L6" i="9"/>
  <c r="L80" i="9" s="1"/>
  <c r="L139" i="9"/>
  <c r="L157" i="9"/>
  <c r="L159" i="9" s="1"/>
  <c r="L156" i="9" s="1"/>
  <c r="L6" i="21"/>
  <c r="J23" i="2"/>
  <c r="BE144" i="22" s="1"/>
  <c r="J41" i="1"/>
  <c r="N8" i="9"/>
  <c r="N18" i="9"/>
  <c r="K25" i="2"/>
  <c r="BF146" i="22" s="1"/>
  <c r="K68" i="1"/>
  <c r="AV115" i="22" s="1"/>
  <c r="M9" i="9"/>
  <c r="M12" i="9"/>
  <c r="M10" i="9"/>
  <c r="M34" i="9"/>
  <c r="M35" i="9"/>
  <c r="M31" i="9" s="1"/>
  <c r="M5" i="1" s="1"/>
  <c r="AT103" i="33"/>
  <c r="AT92" i="22"/>
  <c r="M57" i="9"/>
  <c r="AU115" i="22"/>
  <c r="AU126" i="33"/>
  <c r="N33" i="9"/>
  <c r="N56" i="9" s="1"/>
  <c r="N39" i="9"/>
  <c r="K144" i="9"/>
  <c r="K141" i="9"/>
  <c r="K135" i="9" s="1"/>
  <c r="J80" i="9"/>
  <c r="J8" i="1" s="1"/>
  <c r="AM71" i="22" s="1"/>
  <c r="I9" i="21"/>
  <c r="AL71" i="22"/>
  <c r="K6" i="9"/>
  <c r="I8" i="14"/>
  <c r="I28" i="21"/>
  <c r="J4" i="1"/>
  <c r="J32" i="9"/>
  <c r="K4" i="40"/>
  <c r="AM80" i="33"/>
  <c r="K2" i="40"/>
  <c r="I73" i="11"/>
  <c r="AL69" i="22"/>
  <c r="I10" i="1"/>
  <c r="I24" i="1"/>
  <c r="I26" i="21"/>
  <c r="K48" i="40" s="1"/>
  <c r="K70" i="40" s="1"/>
  <c r="I7" i="21"/>
  <c r="I6" i="14"/>
  <c r="I7" i="14" s="1"/>
  <c r="K85" i="40"/>
  <c r="I152" i="9"/>
  <c r="I147" i="9" s="1"/>
  <c r="M29" i="22" l="1"/>
  <c r="BO189" i="22"/>
  <c r="L32" i="9"/>
  <c r="K23" i="2"/>
  <c r="BF144" i="22" s="1"/>
  <c r="K41" i="1"/>
  <c r="AV92" i="22" s="1"/>
  <c r="N35" i="9"/>
  <c r="N31" i="9" s="1"/>
  <c r="N5" i="1" s="1"/>
  <c r="N34" i="9"/>
  <c r="M6" i="9"/>
  <c r="N57" i="9"/>
  <c r="N9" i="9"/>
  <c r="N10" i="9"/>
  <c r="N12" i="9"/>
  <c r="L25" i="2"/>
  <c r="L68" i="1"/>
  <c r="M139" i="9"/>
  <c r="M157" i="9"/>
  <c r="M159" i="9" s="1"/>
  <c r="M156" i="9" s="1"/>
  <c r="M6" i="21"/>
  <c r="AU92" i="22"/>
  <c r="AU103" i="33"/>
  <c r="L144" i="9"/>
  <c r="L141" i="9"/>
  <c r="L135" i="9" s="1"/>
  <c r="K32" i="9"/>
  <c r="L7" i="9"/>
  <c r="J9" i="21"/>
  <c r="AN78" i="33"/>
  <c r="AN82" i="33"/>
  <c r="J5" i="14"/>
  <c r="J8" i="14"/>
  <c r="J28" i="21"/>
  <c r="J24" i="21"/>
  <c r="J6" i="1"/>
  <c r="J29" i="21"/>
  <c r="J25" i="21"/>
  <c r="Q39" i="33"/>
  <c r="Q40" i="33" s="1"/>
  <c r="J79" i="11"/>
  <c r="K80" i="9"/>
  <c r="K8" i="1" s="1"/>
  <c r="K7" i="9"/>
  <c r="K4" i="1"/>
  <c r="J5" i="21"/>
  <c r="M30" i="22" s="1"/>
  <c r="J148" i="9"/>
  <c r="L85" i="40" s="1"/>
  <c r="AM67" i="22"/>
  <c r="J27" i="21"/>
  <c r="I24" i="2"/>
  <c r="BD145" i="22" s="1"/>
  <c r="I42" i="1"/>
  <c r="AM83" i="33"/>
  <c r="I17" i="12"/>
  <c r="AL72" i="22"/>
  <c r="I30" i="21"/>
  <c r="K49" i="40" s="1"/>
  <c r="I11" i="21"/>
  <c r="AN80" i="33" l="1"/>
  <c r="BO195" i="22"/>
  <c r="BO191" i="22"/>
  <c r="BN192" i="22"/>
  <c r="BN203" i="22"/>
  <c r="AN67" i="22"/>
  <c r="BP189" i="22"/>
  <c r="K8" i="14"/>
  <c r="AN71" i="22"/>
  <c r="R39" i="33"/>
  <c r="T39" i="33" s="1"/>
  <c r="N29" i="22"/>
  <c r="N6" i="9"/>
  <c r="N32" i="9" s="1"/>
  <c r="L41" i="1"/>
  <c r="L23" i="2"/>
  <c r="N139" i="9"/>
  <c r="N6" i="21"/>
  <c r="N157" i="9"/>
  <c r="N159" i="9" s="1"/>
  <c r="N156" i="9" s="1"/>
  <c r="M68" i="1"/>
  <c r="M25" i="2"/>
  <c r="M141" i="9"/>
  <c r="M135" i="9" s="1"/>
  <c r="M144" i="9"/>
  <c r="M7" i="9"/>
  <c r="M32" i="9"/>
  <c r="M80" i="9"/>
  <c r="L4" i="40"/>
  <c r="L4" i="1"/>
  <c r="L5" i="21" s="1"/>
  <c r="J24" i="1"/>
  <c r="L2" i="40"/>
  <c r="J6" i="14"/>
  <c r="J7" i="14" s="1"/>
  <c r="J7" i="21"/>
  <c r="J10" i="1"/>
  <c r="AM72" i="22" s="1"/>
  <c r="K27" i="21"/>
  <c r="J26" i="21"/>
  <c r="L48" i="40" s="1"/>
  <c r="L70" i="40" s="1"/>
  <c r="J73" i="11"/>
  <c r="K148" i="9"/>
  <c r="M85" i="40" s="1"/>
  <c r="O6" i="1"/>
  <c r="AM69" i="22"/>
  <c r="K6" i="1"/>
  <c r="K5" i="21"/>
  <c r="N30" i="22" s="1"/>
  <c r="K24" i="21"/>
  <c r="K25" i="21"/>
  <c r="O4" i="1"/>
  <c r="J152" i="9"/>
  <c r="J147" i="9" s="1"/>
  <c r="J42" i="1" s="1"/>
  <c r="K9" i="21"/>
  <c r="K5" i="14"/>
  <c r="K29" i="21"/>
  <c r="K79" i="11"/>
  <c r="K28" i="21"/>
  <c r="AT104" i="33"/>
  <c r="AT93" i="22"/>
  <c r="I22" i="12"/>
  <c r="I198" i="9"/>
  <c r="I195" i="9" s="1"/>
  <c r="N4" i="1" l="1"/>
  <c r="N24" i="21" s="1"/>
  <c r="BP195" i="22"/>
  <c r="BP191" i="22"/>
  <c r="M2" i="40"/>
  <c r="AN69" i="22"/>
  <c r="R40" i="33"/>
  <c r="S39" i="33"/>
  <c r="S40" i="33" s="1"/>
  <c r="N7" i="9"/>
  <c r="N80" i="9"/>
  <c r="N68" i="1"/>
  <c r="N25" i="2"/>
  <c r="M41" i="1"/>
  <c r="M23" i="2"/>
  <c r="N141" i="9"/>
  <c r="N135" i="9" s="1"/>
  <c r="N144" i="9"/>
  <c r="L6" i="1"/>
  <c r="L24" i="1" s="1"/>
  <c r="L148" i="9"/>
  <c r="M4" i="1"/>
  <c r="L8" i="1"/>
  <c r="L8" i="14" s="1"/>
  <c r="J11" i="21"/>
  <c r="AN83" i="33"/>
  <c r="J30" i="21"/>
  <c r="L49" i="40" s="1"/>
  <c r="J17" i="12"/>
  <c r="L5" i="14"/>
  <c r="L24" i="21"/>
  <c r="L29" i="21"/>
  <c r="J24" i="2"/>
  <c r="BE145" i="22" s="1"/>
  <c r="L27" i="21"/>
  <c r="L25" i="21"/>
  <c r="K7" i="21"/>
  <c r="M4" i="40"/>
  <c r="K152" i="9"/>
  <c r="K147" i="9" s="1"/>
  <c r="K24" i="2" s="1"/>
  <c r="BF145" i="22" s="1"/>
  <c r="K10" i="1"/>
  <c r="K6" i="14"/>
  <c r="K7" i="14" s="1"/>
  <c r="K73" i="11"/>
  <c r="K26" i="21"/>
  <c r="M48" i="40" s="1"/>
  <c r="M70" i="40" s="1"/>
  <c r="K24" i="1"/>
  <c r="M8" i="1"/>
  <c r="I73" i="1"/>
  <c r="I208" i="9"/>
  <c r="I187" i="9"/>
  <c r="I197" i="9"/>
  <c r="AU104" i="33"/>
  <c r="AU93" i="22"/>
  <c r="N29" i="21" l="1"/>
  <c r="N5" i="14"/>
  <c r="N148" i="9"/>
  <c r="N152" i="9" s="1"/>
  <c r="N147" i="9" s="1"/>
  <c r="N25" i="21"/>
  <c r="N27" i="21"/>
  <c r="N6" i="1"/>
  <c r="N24" i="1" s="1"/>
  <c r="BO203" i="22"/>
  <c r="BO192" i="22"/>
  <c r="K17" i="12"/>
  <c r="AN72" i="22"/>
  <c r="N41" i="1"/>
  <c r="N23" i="2"/>
  <c r="M6" i="1"/>
  <c r="M10" i="1" s="1"/>
  <c r="M148" i="9"/>
  <c r="L7" i="21"/>
  <c r="L152" i="9"/>
  <c r="L147" i="9" s="1"/>
  <c r="L28" i="21"/>
  <c r="N8" i="1"/>
  <c r="L9" i="21"/>
  <c r="L10" i="1"/>
  <c r="L11" i="21" s="1"/>
  <c r="L6" i="14"/>
  <c r="L7" i="14" s="1"/>
  <c r="J22" i="12"/>
  <c r="K30" i="21"/>
  <c r="M49" i="40" s="1"/>
  <c r="J198" i="9"/>
  <c r="J195" i="9" s="1"/>
  <c r="J197" i="9" s="1"/>
  <c r="L26" i="21"/>
  <c r="N5" i="21"/>
  <c r="M27" i="21"/>
  <c r="M5" i="14"/>
  <c r="M5" i="21"/>
  <c r="M25" i="21"/>
  <c r="M24" i="21"/>
  <c r="M28" i="21"/>
  <c r="M29" i="21"/>
  <c r="K42" i="1"/>
  <c r="AV93" i="22" s="1"/>
  <c r="K11" i="21"/>
  <c r="M8" i="14"/>
  <c r="M9" i="21"/>
  <c r="I96" i="9"/>
  <c r="I191" i="9"/>
  <c r="I188" i="9"/>
  <c r="K22" i="12"/>
  <c r="K198" i="9"/>
  <c r="K27" i="40"/>
  <c r="AT127" i="33"/>
  <c r="I30" i="12"/>
  <c r="I74" i="1"/>
  <c r="AT116" i="22"/>
  <c r="N26" i="21" l="1"/>
  <c r="N6" i="14"/>
  <c r="N7" i="14" s="1"/>
  <c r="N10" i="1"/>
  <c r="N17" i="12" s="1"/>
  <c r="BP192" i="22"/>
  <c r="BP203" i="22"/>
  <c r="M24" i="1"/>
  <c r="M26" i="21"/>
  <c r="N9" i="21"/>
  <c r="M152" i="9"/>
  <c r="M147" i="9" s="1"/>
  <c r="N8" i="14"/>
  <c r="L42" i="1"/>
  <c r="L24" i="2"/>
  <c r="N42" i="1"/>
  <c r="N28" i="21"/>
  <c r="L30" i="21"/>
  <c r="K195" i="9"/>
  <c r="J73" i="1"/>
  <c r="J208" i="9"/>
  <c r="J187" i="9"/>
  <c r="J188" i="9" s="1"/>
  <c r="L17" i="12"/>
  <c r="M30" i="21"/>
  <c r="N7" i="21"/>
  <c r="M6" i="14"/>
  <c r="M7" i="14" s="1"/>
  <c r="M7" i="21"/>
  <c r="AT117" i="22"/>
  <c r="I75" i="1"/>
  <c r="AT128" i="33"/>
  <c r="I21" i="14"/>
  <c r="I30" i="2"/>
  <c r="BD151" i="22" s="1"/>
  <c r="I11" i="2"/>
  <c r="BD134" i="22" s="1"/>
  <c r="K28" i="40"/>
  <c r="K72" i="40" s="1"/>
  <c r="K71" i="40" s="1"/>
  <c r="K77" i="40" s="1"/>
  <c r="K78" i="40" s="1"/>
  <c r="I91" i="9"/>
  <c r="I11" i="1" s="1"/>
  <c r="Q42" i="41"/>
  <c r="R41" i="43"/>
  <c r="S43" i="31"/>
  <c r="N30" i="21" l="1"/>
  <c r="AU127" i="33"/>
  <c r="M24" i="2"/>
  <c r="N24" i="2"/>
  <c r="M42" i="1"/>
  <c r="L198" i="9"/>
  <c r="L195" i="9" s="1"/>
  <c r="L73" i="1" s="1"/>
  <c r="L74" i="1" s="1"/>
  <c r="L75" i="1" s="1"/>
  <c r="L22" i="12"/>
  <c r="J191" i="9"/>
  <c r="K73" i="1"/>
  <c r="K187" i="9"/>
  <c r="K96" i="9" s="1"/>
  <c r="K197" i="9"/>
  <c r="K208" i="9"/>
  <c r="L27" i="40"/>
  <c r="J96" i="9"/>
  <c r="J91" i="9" s="1"/>
  <c r="J11" i="1" s="1"/>
  <c r="J74" i="1"/>
  <c r="AU117" i="22" s="1"/>
  <c r="M11" i="21"/>
  <c r="N11" i="21"/>
  <c r="AU116" i="22"/>
  <c r="J30" i="12"/>
  <c r="T43" i="31" s="1"/>
  <c r="M17" i="12"/>
  <c r="AL73" i="22"/>
  <c r="AM84" i="33"/>
  <c r="I12" i="21"/>
  <c r="I31" i="21"/>
  <c r="I84" i="11"/>
  <c r="K74" i="1" l="1"/>
  <c r="AV117" i="22" s="1"/>
  <c r="AV116" i="22"/>
  <c r="M27" i="40"/>
  <c r="N22" i="12"/>
  <c r="N198" i="9"/>
  <c r="M22" i="12"/>
  <c r="M198" i="9"/>
  <c r="M195" i="9" s="1"/>
  <c r="L197" i="9"/>
  <c r="L208" i="9"/>
  <c r="L187" i="9"/>
  <c r="K11" i="2"/>
  <c r="BF134" i="22" s="1"/>
  <c r="K30" i="2"/>
  <c r="BF151" i="22" s="1"/>
  <c r="J75" i="1"/>
  <c r="AU128" i="33"/>
  <c r="K188" i="9"/>
  <c r="K191" i="9"/>
  <c r="J21" i="14"/>
  <c r="L28" i="40"/>
  <c r="L72" i="40" s="1"/>
  <c r="L71" i="40" s="1"/>
  <c r="L77" i="40" s="1"/>
  <c r="L78" i="40" s="1"/>
  <c r="J11" i="2"/>
  <c r="BE134" i="22" s="1"/>
  <c r="J30" i="2"/>
  <c r="BE151" i="22" s="1"/>
  <c r="M28" i="40"/>
  <c r="M72" i="40" s="1"/>
  <c r="M71" i="40" s="1"/>
  <c r="M77" i="40" s="1"/>
  <c r="M78" i="40" s="1"/>
  <c r="K91" i="9"/>
  <c r="K11" i="1" s="1"/>
  <c r="AN73" i="22" s="1"/>
  <c r="AN84" i="33"/>
  <c r="AM73" i="22"/>
  <c r="J31" i="21"/>
  <c r="J12" i="21"/>
  <c r="J84" i="11"/>
  <c r="K21" i="14" l="1"/>
  <c r="K75" i="1"/>
  <c r="N195" i="9"/>
  <c r="N208" i="9" s="1"/>
  <c r="M208" i="9"/>
  <c r="M197" i="9"/>
  <c r="M187" i="9"/>
  <c r="M73" i="1"/>
  <c r="M74" i="1" s="1"/>
  <c r="M75" i="1" s="1"/>
  <c r="L188" i="9"/>
  <c r="L96" i="9"/>
  <c r="L91" i="9" s="1"/>
  <c r="L11" i="1" s="1"/>
  <c r="L191" i="9"/>
  <c r="L21" i="14"/>
  <c r="K31" i="21"/>
  <c r="K12" i="21"/>
  <c r="K84" i="11"/>
  <c r="N73" i="1" l="1"/>
  <c r="N74" i="1" s="1"/>
  <c r="N75" i="1" s="1"/>
  <c r="N197" i="9"/>
  <c r="N187" i="9"/>
  <c r="N188" i="9" s="1"/>
  <c r="M188" i="9"/>
  <c r="M96" i="9"/>
  <c r="M91" i="9" s="1"/>
  <c r="M11" i="1" s="1"/>
  <c r="M191" i="9"/>
  <c r="L11" i="2"/>
  <c r="L30" i="2"/>
  <c r="L12" i="21"/>
  <c r="L31" i="21"/>
  <c r="M21" i="14"/>
  <c r="M30" i="2" l="1"/>
  <c r="M11" i="2"/>
  <c r="N96" i="9"/>
  <c r="N91" i="9" s="1"/>
  <c r="N11" i="1" s="1"/>
  <c r="N191" i="9"/>
  <c r="M12" i="21"/>
  <c r="M31" i="21"/>
  <c r="N21" i="14"/>
  <c r="N11" i="2" l="1"/>
  <c r="N30" i="2"/>
  <c r="N31" i="21"/>
  <c r="N12" i="21"/>
  <c r="H101" i="9" l="1"/>
  <c r="I101" i="9" s="1"/>
  <c r="I18" i="12" l="1"/>
  <c r="I19" i="12" s="1"/>
  <c r="I23" i="12" s="1"/>
  <c r="J101" i="9"/>
  <c r="K101" i="9" s="1"/>
  <c r="L101" i="9" s="1"/>
  <c r="H18" i="12"/>
  <c r="H19" i="12" s="1"/>
  <c r="H23" i="12" s="1"/>
  <c r="H46" i="12"/>
  <c r="G44" i="12" s="1"/>
  <c r="G49" i="12" s="1"/>
  <c r="J18" i="12" l="1"/>
  <c r="J19" i="12" s="1"/>
  <c r="J23" i="12" s="1"/>
  <c r="M101" i="9"/>
  <c r="K18" i="12"/>
  <c r="K19" i="12" s="1"/>
  <c r="K23" i="12" s="1"/>
  <c r="O34" i="31"/>
  <c r="N32" i="43"/>
  <c r="M33" i="41"/>
  <c r="N101" i="9" l="1"/>
  <c r="K26" i="12"/>
  <c r="J25" i="12"/>
  <c r="J27" i="12" s="1"/>
  <c r="N25" i="12"/>
  <c r="K25" i="12"/>
  <c r="H25" i="12"/>
  <c r="L25" i="12"/>
  <c r="I25" i="12"/>
  <c r="I27" i="12" s="1"/>
  <c r="M25" i="12"/>
  <c r="O38" i="31"/>
  <c r="N36" i="43"/>
  <c r="M37" i="41"/>
  <c r="L18" i="12"/>
  <c r="L19" i="12" s="1"/>
  <c r="L23" i="12" s="1"/>
  <c r="K27" i="12" l="1"/>
  <c r="H27" i="12"/>
  <c r="L27" i="12"/>
  <c r="M18" i="12"/>
  <c r="M19" i="12" s="1"/>
  <c r="M23" i="12" s="1"/>
  <c r="H29" i="12" l="1"/>
  <c r="R42" i="31" s="1"/>
  <c r="N18" i="12"/>
  <c r="N19" i="12" s="1"/>
  <c r="N23" i="12" s="1"/>
  <c r="N26" i="12" s="1"/>
  <c r="J29" i="12" l="1"/>
  <c r="T42" i="31" s="1"/>
  <c r="I29" i="12"/>
  <c r="M27" i="12"/>
  <c r="P41" i="41"/>
  <c r="Q40" i="43"/>
  <c r="H32" i="12"/>
  <c r="H33" i="12" s="1"/>
  <c r="S42" i="31" l="1"/>
  <c r="Q41" i="41"/>
  <c r="R40" i="43"/>
  <c r="P44" i="41"/>
  <c r="Q43" i="43"/>
  <c r="R45" i="31"/>
  <c r="H217" i="9"/>
  <c r="H32" i="14"/>
  <c r="P46" i="41"/>
  <c r="R47" i="31"/>
  <c r="Q45" i="43"/>
  <c r="N27" i="12"/>
  <c r="C4" i="43" l="1"/>
  <c r="C4" i="41"/>
  <c r="C4" i="31"/>
  <c r="AL88" i="33" l="1"/>
  <c r="AK77" i="22"/>
  <c r="H17" i="1"/>
  <c r="H176" i="9"/>
  <c r="H177" i="9" s="1"/>
  <c r="P177" i="9" s="1"/>
  <c r="H17" i="21"/>
  <c r="H36" i="21"/>
  <c r="AL89" i="33" l="1"/>
  <c r="BM197" i="22"/>
  <c r="BM193" i="22"/>
  <c r="T51" i="22"/>
  <c r="V51" i="22" s="1"/>
  <c r="AD68" i="43"/>
  <c r="H37" i="21"/>
  <c r="AC69" i="41"/>
  <c r="H19" i="1"/>
  <c r="H24" i="14"/>
  <c r="H18" i="21"/>
  <c r="H165" i="9"/>
  <c r="H71" i="11" s="1"/>
  <c r="K31" i="22"/>
  <c r="O41" i="33"/>
  <c r="O27" i="33" s="1"/>
  <c r="H75" i="11"/>
  <c r="H26" i="15" s="1"/>
  <c r="H25" i="15" s="1"/>
  <c r="H29" i="15" s="1"/>
  <c r="H34" i="14" s="1"/>
  <c r="H20" i="1"/>
  <c r="AK78" i="22"/>
  <c r="H171" i="9" l="1"/>
  <c r="H13" i="12" s="1"/>
  <c r="K40" i="22" s="1"/>
  <c r="H6" i="15"/>
  <c r="O45" i="33"/>
  <c r="AL91" i="33"/>
  <c r="K35" i="22"/>
  <c r="AK80" i="22"/>
  <c r="H63" i="11"/>
  <c r="H19" i="21"/>
  <c r="K33" i="22" s="1"/>
  <c r="H11" i="14"/>
  <c r="O42" i="33"/>
  <c r="K32" i="22"/>
  <c r="K27" i="22" s="1"/>
  <c r="I22" i="17"/>
  <c r="F117" i="17" s="1"/>
  <c r="O50" i="33" l="1"/>
  <c r="M117" i="17"/>
  <c r="N117" i="17"/>
  <c r="K117" i="17"/>
  <c r="O117" i="17"/>
  <c r="F106" i="17"/>
  <c r="L117" i="17"/>
  <c r="O43" i="33"/>
  <c r="H10" i="15"/>
  <c r="AD71" i="43"/>
  <c r="AC72" i="41"/>
  <c r="AN72" i="31"/>
  <c r="H11" i="15"/>
  <c r="H12" i="15"/>
  <c r="K106" i="17" l="1"/>
  <c r="O106" i="17"/>
  <c r="L106" i="17"/>
  <c r="F107" i="17"/>
  <c r="N106" i="17"/>
  <c r="M106" i="17"/>
  <c r="H218" i="9"/>
  <c r="AC74" i="41"/>
  <c r="AN74" i="31"/>
  <c r="H33" i="14"/>
  <c r="AD73" i="43"/>
  <c r="M107" i="17" l="1"/>
  <c r="N107" i="17"/>
  <c r="F108" i="17"/>
  <c r="K107" i="17"/>
  <c r="O107" i="17"/>
  <c r="L107" i="17"/>
  <c r="H41" i="14"/>
  <c r="H42" i="14" s="1"/>
  <c r="C5" i="31"/>
  <c r="C5" i="43"/>
  <c r="C5" i="41"/>
  <c r="H36" i="14"/>
  <c r="H46" i="14" l="1"/>
  <c r="C6" i="41"/>
  <c r="H11" i="31"/>
  <c r="H14" i="31" s="1"/>
  <c r="H17" i="31" s="1"/>
  <c r="H19" i="31" s="1"/>
  <c r="G10" i="41"/>
  <c r="G13" i="41" s="1"/>
  <c r="G16" i="41" s="1"/>
  <c r="H43" i="14"/>
  <c r="C6" i="31"/>
  <c r="C6" i="43"/>
  <c r="G10" i="43"/>
  <c r="G13" i="43" s="1"/>
  <c r="G16" i="43" s="1"/>
  <c r="K108" i="17"/>
  <c r="O108" i="17"/>
  <c r="L108" i="17"/>
  <c r="F109" i="17"/>
  <c r="N108" i="17"/>
  <c r="M108" i="17"/>
  <c r="H45" i="14" l="1"/>
  <c r="H48" i="14"/>
  <c r="H49" i="14"/>
  <c r="G19" i="43"/>
  <c r="G18" i="43"/>
  <c r="G18" i="41"/>
  <c r="G19" i="41"/>
  <c r="M109" i="17"/>
  <c r="N109" i="17"/>
  <c r="F110" i="17"/>
  <c r="K109" i="17"/>
  <c r="O109" i="17"/>
  <c r="L109" i="17"/>
  <c r="K110" i="17" l="1"/>
  <c r="O110" i="17"/>
  <c r="L110" i="17"/>
  <c r="F111" i="17"/>
  <c r="M110" i="17"/>
  <c r="N110" i="17"/>
  <c r="M111" i="17" l="1"/>
  <c r="N111" i="17"/>
  <c r="L111" i="17"/>
  <c r="K111" i="17"/>
  <c r="O111" i="17"/>
  <c r="F112" i="17"/>
  <c r="K112" i="17" l="1"/>
  <c r="O112" i="17"/>
  <c r="L112" i="17"/>
  <c r="F113" i="17"/>
  <c r="N112" i="17"/>
  <c r="M112" i="17"/>
  <c r="M113" i="17" l="1"/>
  <c r="N113" i="17"/>
  <c r="F114" i="17"/>
  <c r="K113" i="17"/>
  <c r="O113" i="17"/>
  <c r="L113" i="17"/>
  <c r="K114" i="17" l="1"/>
  <c r="O114" i="17"/>
  <c r="L114" i="17"/>
  <c r="F115" i="17"/>
  <c r="M114" i="17"/>
  <c r="N114" i="17"/>
  <c r="M115" i="17" l="1"/>
  <c r="N115" i="17"/>
  <c r="L115" i="17"/>
  <c r="K115" i="17"/>
  <c r="O115" i="17"/>
  <c r="F116" i="17"/>
  <c r="K116" i="17" l="1"/>
  <c r="O116" i="17"/>
  <c r="L116" i="17"/>
  <c r="N116" i="17"/>
  <c r="M116" i="17"/>
  <c r="H37" i="1"/>
  <c r="I182" i="9"/>
  <c r="I183" i="9" l="1"/>
  <c r="I8" i="2" s="1"/>
  <c r="BD131" i="22" s="1"/>
  <c r="AS88" i="22"/>
  <c r="H39" i="1"/>
  <c r="AS99" i="33"/>
  <c r="I12" i="1" l="1"/>
  <c r="I13" i="21" s="1"/>
  <c r="I181" i="9"/>
  <c r="AS89" i="22"/>
  <c r="AS100" i="33"/>
  <c r="H47" i="1"/>
  <c r="H16" i="14"/>
  <c r="I32" i="21" l="1"/>
  <c r="H48" i="21"/>
  <c r="BM201" i="22"/>
  <c r="I13" i="1"/>
  <c r="BN196" i="22" s="1"/>
  <c r="I37" i="1"/>
  <c r="J182" i="9"/>
  <c r="AS98" i="22"/>
  <c r="AS109" i="33"/>
  <c r="H81" i="11"/>
  <c r="H77" i="11"/>
  <c r="H42" i="21"/>
  <c r="H46" i="21"/>
  <c r="H50" i="21"/>
  <c r="H54" i="21"/>
  <c r="H59" i="21"/>
  <c r="H63" i="21"/>
  <c r="H67" i="21"/>
  <c r="H72" i="21"/>
  <c r="H76" i="21"/>
  <c r="H80" i="21"/>
  <c r="H84" i="21"/>
  <c r="H76" i="11"/>
  <c r="H41" i="21"/>
  <c r="H45" i="21"/>
  <c r="H49" i="21"/>
  <c r="H53" i="21"/>
  <c r="H58" i="21"/>
  <c r="H62" i="21"/>
  <c r="H66" i="21"/>
  <c r="H71" i="21"/>
  <c r="H75" i="21"/>
  <c r="H79" i="21"/>
  <c r="H83" i="21"/>
  <c r="H80" i="1"/>
  <c r="H40" i="21"/>
  <c r="H44" i="21"/>
  <c r="H52" i="21"/>
  <c r="H56" i="21"/>
  <c r="H61" i="21"/>
  <c r="H65" i="21"/>
  <c r="H70" i="21"/>
  <c r="H74" i="21"/>
  <c r="H78" i="21"/>
  <c r="H82" i="21"/>
  <c r="H55" i="21"/>
  <c r="H73" i="21"/>
  <c r="H60" i="21"/>
  <c r="H18" i="14"/>
  <c r="H51" i="21"/>
  <c r="H69" i="21"/>
  <c r="H85" i="21"/>
  <c r="H77" i="21"/>
  <c r="H47" i="21"/>
  <c r="H64" i="21"/>
  <c r="H81" i="21"/>
  <c r="H43" i="21"/>
  <c r="I33" i="21" l="1"/>
  <c r="I14" i="21"/>
  <c r="I5" i="2"/>
  <c r="BD128" i="22" s="1"/>
  <c r="I87" i="11"/>
  <c r="I100" i="9"/>
  <c r="I14" i="1" s="1"/>
  <c r="I15" i="1" s="1"/>
  <c r="AL76" i="22" s="1"/>
  <c r="AL74" i="22"/>
  <c r="AM85" i="33"/>
  <c r="J183" i="9"/>
  <c r="J181" i="9" s="1"/>
  <c r="AT88" i="22"/>
  <c r="I39" i="1"/>
  <c r="AT99" i="33"/>
  <c r="I28" i="2" l="1"/>
  <c r="BD149" i="22" s="1"/>
  <c r="AM87" i="33"/>
  <c r="I34" i="21"/>
  <c r="I9" i="14"/>
  <c r="I10" i="14" s="1"/>
  <c r="I74" i="11"/>
  <c r="I34" i="2"/>
  <c r="BD154" i="22" s="1"/>
  <c r="I176" i="9"/>
  <c r="I16" i="1" s="1"/>
  <c r="I25" i="1"/>
  <c r="K50" i="40" s="1"/>
  <c r="K79" i="40" s="1"/>
  <c r="AL75" i="22"/>
  <c r="I35" i="21"/>
  <c r="I80" i="11"/>
  <c r="I15" i="21"/>
  <c r="AO69" i="31"/>
  <c r="I16" i="21"/>
  <c r="AM86" i="33"/>
  <c r="K182" i="9"/>
  <c r="J37" i="1"/>
  <c r="AT89" i="22"/>
  <c r="AT100" i="33"/>
  <c r="I16" i="14"/>
  <c r="J8" i="2"/>
  <c r="BE131" i="22" s="1"/>
  <c r="J12" i="1"/>
  <c r="I174" i="9" l="1"/>
  <c r="J175" i="9" s="1"/>
  <c r="I36" i="2"/>
  <c r="BD156" i="22" s="1"/>
  <c r="J13" i="1"/>
  <c r="BO196" i="22" s="1"/>
  <c r="J32" i="21"/>
  <c r="J13" i="21"/>
  <c r="AU88" i="22"/>
  <c r="J39" i="1"/>
  <c r="AU99" i="33"/>
  <c r="K183" i="9"/>
  <c r="K181" i="9" s="1"/>
  <c r="AL77" i="22"/>
  <c r="AM88" i="33"/>
  <c r="I17" i="21"/>
  <c r="I36" i="21"/>
  <c r="I17" i="1"/>
  <c r="I57" i="1" l="1"/>
  <c r="AT106" i="22" s="1"/>
  <c r="BN193" i="22"/>
  <c r="BN197" i="22"/>
  <c r="K37" i="1"/>
  <c r="L182" i="9"/>
  <c r="K8" i="2"/>
  <c r="BF131" i="22" s="1"/>
  <c r="K12" i="1"/>
  <c r="AU100" i="33"/>
  <c r="AU89" i="22"/>
  <c r="J16" i="14"/>
  <c r="J33" i="21"/>
  <c r="J5" i="2"/>
  <c r="BE128" i="22" s="1"/>
  <c r="AM74" i="22"/>
  <c r="J87" i="11"/>
  <c r="J100" i="9"/>
  <c r="J14" i="1" s="1"/>
  <c r="AN85" i="33"/>
  <c r="J14" i="21"/>
  <c r="L31" i="22"/>
  <c r="I19" i="1"/>
  <c r="AL78" i="22"/>
  <c r="AM89" i="33"/>
  <c r="I20" i="1"/>
  <c r="P41" i="33"/>
  <c r="I18" i="21"/>
  <c r="I37" i="21"/>
  <c r="I165" i="9"/>
  <c r="I167" i="9" s="1"/>
  <c r="AD69" i="41"/>
  <c r="AE68" i="43"/>
  <c r="AT117" i="33"/>
  <c r="K39" i="1" l="1"/>
  <c r="AV88" i="22"/>
  <c r="I65" i="11"/>
  <c r="I70" i="11" s="1"/>
  <c r="I6" i="12"/>
  <c r="I21" i="1"/>
  <c r="I166" i="9"/>
  <c r="I57" i="2" s="1"/>
  <c r="BD175" i="22" s="1"/>
  <c r="J28" i="2"/>
  <c r="BE149" i="22" s="1"/>
  <c r="J15" i="1"/>
  <c r="AP69" i="31" s="1"/>
  <c r="J15" i="21"/>
  <c r="AM75" i="22"/>
  <c r="AN86" i="33"/>
  <c r="J34" i="21"/>
  <c r="J34" i="2"/>
  <c r="BE154" i="22" s="1"/>
  <c r="L183" i="9"/>
  <c r="K13" i="1"/>
  <c r="K13" i="21"/>
  <c r="K32" i="21"/>
  <c r="I63" i="11"/>
  <c r="P45" i="33"/>
  <c r="AL80" i="22"/>
  <c r="AM91" i="33"/>
  <c r="P42" i="33"/>
  <c r="P43" i="33" s="1"/>
  <c r="L32" i="22"/>
  <c r="L27" i="22" s="1"/>
  <c r="L35" i="22"/>
  <c r="I6" i="15"/>
  <c r="I23" i="17"/>
  <c r="F129" i="17" s="1"/>
  <c r="I19" i="21"/>
  <c r="L33" i="22" s="1"/>
  <c r="I11" i="14"/>
  <c r="I13" i="12"/>
  <c r="AV89" i="22" l="1"/>
  <c r="K16" i="14"/>
  <c r="I71" i="11"/>
  <c r="AN74" i="22"/>
  <c r="BP196" i="22"/>
  <c r="I163" i="9"/>
  <c r="J164" i="9" s="1"/>
  <c r="I59" i="2"/>
  <c r="BD177" i="22" s="1"/>
  <c r="AM92" i="33"/>
  <c r="L39" i="22"/>
  <c r="I12" i="14"/>
  <c r="AL81" i="22"/>
  <c r="I20" i="21"/>
  <c r="P47" i="33"/>
  <c r="L37" i="22"/>
  <c r="P49" i="33"/>
  <c r="I15" i="31"/>
  <c r="I9" i="12"/>
  <c r="I40" i="14"/>
  <c r="I47" i="14" s="1"/>
  <c r="I18" i="31" s="1"/>
  <c r="H14" i="43"/>
  <c r="H17" i="43" s="1"/>
  <c r="H14" i="41"/>
  <c r="H17" i="41" s="1"/>
  <c r="K100" i="9"/>
  <c r="K14" i="1" s="1"/>
  <c r="AN75" i="22" s="1"/>
  <c r="K5" i="2"/>
  <c r="K14" i="21"/>
  <c r="K87" i="11"/>
  <c r="K33" i="21"/>
  <c r="AN87" i="33"/>
  <c r="J16" i="21"/>
  <c r="J176" i="9"/>
  <c r="J9" i="14"/>
  <c r="J10" i="14" s="1"/>
  <c r="J74" i="11"/>
  <c r="J35" i="21"/>
  <c r="J25" i="1"/>
  <c r="L50" i="40" s="1"/>
  <c r="L79" i="40" s="1"/>
  <c r="O15" i="1"/>
  <c r="J80" i="11"/>
  <c r="AM76" i="22"/>
  <c r="L8" i="2"/>
  <c r="L12" i="1"/>
  <c r="L181" i="9"/>
  <c r="J36" i="2"/>
  <c r="BE156" i="22" s="1"/>
  <c r="N129" i="17"/>
  <c r="F118" i="17"/>
  <c r="L129" i="17"/>
  <c r="K129" i="17"/>
  <c r="M129" i="17"/>
  <c r="O129" i="17"/>
  <c r="I11" i="15"/>
  <c r="I10" i="15"/>
  <c r="I12" i="15"/>
  <c r="AE71" i="43"/>
  <c r="AD72" i="41"/>
  <c r="AO72" i="31"/>
  <c r="L40" i="22"/>
  <c r="P50" i="33"/>
  <c r="K28" i="2" l="1"/>
  <c r="BF149" i="22" s="1"/>
  <c r="BF128" i="22"/>
  <c r="I55" i="1"/>
  <c r="AT103" i="22" s="1"/>
  <c r="I60" i="2"/>
  <c r="BD178" i="22" s="1"/>
  <c r="M182" i="9"/>
  <c r="L37" i="1"/>
  <c r="L39" i="1" s="1"/>
  <c r="L16" i="14" s="1"/>
  <c r="L13" i="1"/>
  <c r="L13" i="21"/>
  <c r="L32" i="21"/>
  <c r="J16" i="1"/>
  <c r="J174" i="9"/>
  <c r="K15" i="1"/>
  <c r="AN76" i="22" s="1"/>
  <c r="K34" i="2"/>
  <c r="K15" i="21"/>
  <c r="K34" i="21"/>
  <c r="L118" i="17"/>
  <c r="F119" i="17"/>
  <c r="M118" i="17"/>
  <c r="N118" i="17"/>
  <c r="K118" i="17"/>
  <c r="O118" i="17"/>
  <c r="I33" i="14"/>
  <c r="AE73" i="43"/>
  <c r="I218" i="9"/>
  <c r="R247" i="9" s="1"/>
  <c r="AD74" i="41"/>
  <c r="AO74" i="31"/>
  <c r="K36" i="2" l="1"/>
  <c r="BF156" i="22" s="1"/>
  <c r="BF154" i="22"/>
  <c r="I56" i="1"/>
  <c r="I22" i="1" s="1"/>
  <c r="AT114" i="33"/>
  <c r="I64" i="2"/>
  <c r="BD182" i="22" s="1"/>
  <c r="M183" i="9"/>
  <c r="K176" i="9"/>
  <c r="K16" i="1" s="1"/>
  <c r="K16" i="21"/>
  <c r="K25" i="1"/>
  <c r="M50" i="40" s="1"/>
  <c r="M79" i="40" s="1"/>
  <c r="K74" i="11"/>
  <c r="K35" i="21"/>
  <c r="K80" i="11"/>
  <c r="K9" i="14"/>
  <c r="K10" i="14" s="1"/>
  <c r="K175" i="9"/>
  <c r="J57" i="1"/>
  <c r="L14" i="21"/>
  <c r="L5" i="2"/>
  <c r="L28" i="2" s="1"/>
  <c r="L33" i="21"/>
  <c r="L100" i="9"/>
  <c r="L14" i="1" s="1"/>
  <c r="J17" i="1"/>
  <c r="AN88" i="33"/>
  <c r="J17" i="21"/>
  <c r="AM77" i="22"/>
  <c r="J36" i="21"/>
  <c r="D5" i="31"/>
  <c r="D5" i="43"/>
  <c r="D5" i="41"/>
  <c r="N119" i="17"/>
  <c r="K119" i="17"/>
  <c r="O119" i="17"/>
  <c r="L119" i="17"/>
  <c r="F120" i="17"/>
  <c r="M119" i="17"/>
  <c r="AT105" i="22" l="1"/>
  <c r="BO193" i="22"/>
  <c r="BO197" i="22"/>
  <c r="K36" i="21"/>
  <c r="AN77" i="22"/>
  <c r="I24" i="14"/>
  <c r="I58" i="1"/>
  <c r="I23" i="1"/>
  <c r="P48" i="33" s="1"/>
  <c r="I82" i="11"/>
  <c r="I75" i="11"/>
  <c r="I26" i="15" s="1"/>
  <c r="I25" i="15" s="1"/>
  <c r="AT116" i="33"/>
  <c r="I78" i="1"/>
  <c r="I23" i="14" s="1"/>
  <c r="K17" i="21"/>
  <c r="I65" i="2"/>
  <c r="BD183" i="22" s="1"/>
  <c r="K17" i="1"/>
  <c r="K174" i="9"/>
  <c r="Q41" i="33"/>
  <c r="J20" i="1"/>
  <c r="AM78" i="22"/>
  <c r="J165" i="9"/>
  <c r="J167" i="9" s="1"/>
  <c r="AN89" i="33"/>
  <c r="M31" i="22"/>
  <c r="J37" i="21"/>
  <c r="O17" i="1"/>
  <c r="J19" i="1"/>
  <c r="J18" i="21"/>
  <c r="L15" i="1"/>
  <c r="L34" i="2"/>
  <c r="L36" i="2" s="1"/>
  <c r="L34" i="21"/>
  <c r="L15" i="21"/>
  <c r="AU106" i="22"/>
  <c r="AU117" i="33"/>
  <c r="M8" i="2"/>
  <c r="M12" i="1"/>
  <c r="M181" i="9"/>
  <c r="L120" i="17"/>
  <c r="F121" i="17"/>
  <c r="M120" i="17"/>
  <c r="N120" i="17"/>
  <c r="K120" i="17"/>
  <c r="O120" i="17"/>
  <c r="AN78" i="22" l="1"/>
  <c r="BP197" i="22"/>
  <c r="BP193" i="22"/>
  <c r="AT107" i="22"/>
  <c r="BN200" i="22"/>
  <c r="BN199" i="22"/>
  <c r="I76" i="1"/>
  <c r="AT119" i="22" s="1"/>
  <c r="I189" i="9"/>
  <c r="AT118" i="33"/>
  <c r="I21" i="21"/>
  <c r="L38" i="22"/>
  <c r="AT132" i="33"/>
  <c r="L36" i="22"/>
  <c r="P46" i="33"/>
  <c r="I19" i="14"/>
  <c r="AT121" i="22"/>
  <c r="I64" i="11"/>
  <c r="I22" i="15"/>
  <c r="I29" i="15" s="1"/>
  <c r="I34" i="14" s="1"/>
  <c r="K20" i="1"/>
  <c r="R42" i="33" s="1"/>
  <c r="N31" i="22"/>
  <c r="J63" i="2"/>
  <c r="BE181" i="22" s="1"/>
  <c r="I209" i="9"/>
  <c r="K19" i="1"/>
  <c r="K18" i="21"/>
  <c r="K165" i="9"/>
  <c r="K167" i="9" s="1"/>
  <c r="R41" i="33"/>
  <c r="K37" i="21"/>
  <c r="K57" i="1"/>
  <c r="AV106" i="22" s="1"/>
  <c r="L175" i="9"/>
  <c r="M32" i="21"/>
  <c r="M13" i="1"/>
  <c r="M13" i="21"/>
  <c r="Q45" i="33"/>
  <c r="M32" i="22"/>
  <c r="M27" i="22" s="1"/>
  <c r="J11" i="14"/>
  <c r="M35" i="22"/>
  <c r="AM80" i="22"/>
  <c r="J6" i="15"/>
  <c r="AP72" i="31" s="1"/>
  <c r="I24" i="17"/>
  <c r="F141" i="17" s="1"/>
  <c r="AN91" i="33"/>
  <c r="Q42" i="33"/>
  <c r="Q43" i="33" s="1"/>
  <c r="J63" i="11"/>
  <c r="J19" i="21"/>
  <c r="M33" i="22" s="1"/>
  <c r="M37" i="1"/>
  <c r="M39" i="1" s="1"/>
  <c r="M16" i="14" s="1"/>
  <c r="N182" i="9"/>
  <c r="L9" i="14"/>
  <c r="L10" i="14" s="1"/>
  <c r="L176" i="9"/>
  <c r="L16" i="21"/>
  <c r="L25" i="1"/>
  <c r="L35" i="21"/>
  <c r="N121" i="17"/>
  <c r="K121" i="17"/>
  <c r="O121" i="17"/>
  <c r="L121" i="17"/>
  <c r="F122" i="17"/>
  <c r="M121" i="17"/>
  <c r="AT130" i="33" l="1"/>
  <c r="I22" i="14"/>
  <c r="K63" i="11"/>
  <c r="AN80" i="22"/>
  <c r="K6" i="15"/>
  <c r="K11" i="14"/>
  <c r="R45" i="33"/>
  <c r="I25" i="17"/>
  <c r="F153" i="17" s="1"/>
  <c r="N153" i="17" s="1"/>
  <c r="K19" i="21"/>
  <c r="N33" i="22" s="1"/>
  <c r="N35" i="22"/>
  <c r="N32" i="22"/>
  <c r="N27" i="22" s="1"/>
  <c r="I215" i="9"/>
  <c r="I206" i="9"/>
  <c r="R43" i="33"/>
  <c r="N141" i="17"/>
  <c r="O141" i="17"/>
  <c r="L141" i="17"/>
  <c r="M141" i="17"/>
  <c r="K141" i="17"/>
  <c r="F130" i="17"/>
  <c r="J10" i="15"/>
  <c r="J11" i="15"/>
  <c r="J12" i="15"/>
  <c r="L16" i="1"/>
  <c r="L174" i="9"/>
  <c r="N183" i="9"/>
  <c r="M100" i="9"/>
  <c r="M14" i="1" s="1"/>
  <c r="M14" i="21"/>
  <c r="M5" i="2"/>
  <c r="M28" i="2" s="1"/>
  <c r="M33" i="21"/>
  <c r="L122" i="17"/>
  <c r="F123" i="17"/>
  <c r="M122" i="17"/>
  <c r="N122" i="17"/>
  <c r="K122" i="17"/>
  <c r="O122" i="17"/>
  <c r="J33" i="14" l="1"/>
  <c r="E2" i="17" s="1"/>
  <c r="AP74" i="31"/>
  <c r="O153" i="17"/>
  <c r="F142" i="17"/>
  <c r="L142" i="17" s="1"/>
  <c r="M153" i="17"/>
  <c r="K153" i="17"/>
  <c r="L153" i="17"/>
  <c r="I213" i="9"/>
  <c r="I205" i="9"/>
  <c r="N12" i="1"/>
  <c r="N8" i="2"/>
  <c r="M175" i="9"/>
  <c r="L57" i="1"/>
  <c r="L17" i="21"/>
  <c r="L36" i="21"/>
  <c r="L17" i="1"/>
  <c r="F131" i="17"/>
  <c r="K130" i="17"/>
  <c r="L130" i="17"/>
  <c r="N130" i="17"/>
  <c r="O130" i="17"/>
  <c r="M130" i="17"/>
  <c r="M15" i="1"/>
  <c r="M15" i="21"/>
  <c r="M34" i="2"/>
  <c r="M36" i="2" s="1"/>
  <c r="M34" i="21"/>
  <c r="N181" i="9"/>
  <c r="N37" i="1" s="1"/>
  <c r="N39" i="1" s="1"/>
  <c r="N16" i="14" s="1"/>
  <c r="N123" i="17"/>
  <c r="K123" i="17"/>
  <c r="O123" i="17"/>
  <c r="L123" i="17"/>
  <c r="F124" i="17"/>
  <c r="M123" i="17"/>
  <c r="F143" i="17" l="1"/>
  <c r="M143" i="17" s="1"/>
  <c r="E2" i="9"/>
  <c r="E2" i="21"/>
  <c r="E2" i="12"/>
  <c r="E2" i="15"/>
  <c r="E5" i="31"/>
  <c r="N142" i="17"/>
  <c r="O142" i="17"/>
  <c r="M142" i="17"/>
  <c r="K142" i="17"/>
  <c r="I45" i="1"/>
  <c r="I210" i="9"/>
  <c r="I211" i="9" s="1"/>
  <c r="F132" i="17"/>
  <c r="L131" i="17"/>
  <c r="O131" i="17"/>
  <c r="N131" i="17"/>
  <c r="K131" i="17"/>
  <c r="M131" i="17"/>
  <c r="L165" i="9"/>
  <c r="L167" i="9" s="1"/>
  <c r="L18" i="21"/>
  <c r="L19" i="1"/>
  <c r="L37" i="21"/>
  <c r="L20" i="1"/>
  <c r="M35" i="21"/>
  <c r="M16" i="21"/>
  <c r="M25" i="1"/>
  <c r="M9" i="14"/>
  <c r="M10" i="14" s="1"/>
  <c r="M176" i="9"/>
  <c r="M16" i="1" s="1"/>
  <c r="N13" i="1"/>
  <c r="N13" i="21"/>
  <c r="N32" i="21"/>
  <c r="L124" i="17"/>
  <c r="F125" i="17"/>
  <c r="M124" i="17"/>
  <c r="N124" i="17"/>
  <c r="O124" i="17"/>
  <c r="K124" i="17"/>
  <c r="N143" i="17" l="1"/>
  <c r="F144" i="17"/>
  <c r="N144" i="17" s="1"/>
  <c r="O143" i="17"/>
  <c r="K143" i="17"/>
  <c r="L143" i="17"/>
  <c r="AT106" i="33"/>
  <c r="I46" i="1"/>
  <c r="I86" i="11"/>
  <c r="I31" i="12"/>
  <c r="AT95" i="22"/>
  <c r="K132" i="17"/>
  <c r="L132" i="17"/>
  <c r="M132" i="17"/>
  <c r="N132" i="17"/>
  <c r="F133" i="17"/>
  <c r="O132" i="17"/>
  <c r="N100" i="9"/>
  <c r="N14" i="1" s="1"/>
  <c r="N15" i="1" s="1"/>
  <c r="N33" i="21"/>
  <c r="N5" i="2"/>
  <c r="N28" i="2" s="1"/>
  <c r="N14" i="21"/>
  <c r="M17" i="1"/>
  <c r="M17" i="21"/>
  <c r="M36" i="21"/>
  <c r="L11" i="14"/>
  <c r="L19" i="21"/>
  <c r="M174" i="9"/>
  <c r="N125" i="17"/>
  <c r="K125" i="17"/>
  <c r="L125" i="17"/>
  <c r="F126" i="17"/>
  <c r="M125" i="17"/>
  <c r="O125" i="17"/>
  <c r="L144" i="17" l="1"/>
  <c r="M144" i="17"/>
  <c r="K144" i="17"/>
  <c r="O144" i="17"/>
  <c r="F145" i="17"/>
  <c r="M145" i="17" s="1"/>
  <c r="I32" i="12"/>
  <c r="R42" i="43"/>
  <c r="Q43" i="41"/>
  <c r="S44" i="31"/>
  <c r="AT96" i="22"/>
  <c r="I47" i="1"/>
  <c r="BN201" i="22" s="1"/>
  <c r="AT107" i="33"/>
  <c r="I83" i="11"/>
  <c r="I17" i="14"/>
  <c r="K133" i="17"/>
  <c r="N133" i="17"/>
  <c r="M133" i="17"/>
  <c r="L133" i="17"/>
  <c r="O133" i="17"/>
  <c r="F134" i="17"/>
  <c r="N175" i="9"/>
  <c r="M57" i="1"/>
  <c r="M18" i="21"/>
  <c r="M20" i="1"/>
  <c r="M37" i="21"/>
  <c r="M19" i="1"/>
  <c r="M165" i="9"/>
  <c r="M167" i="9" s="1"/>
  <c r="N35" i="21"/>
  <c r="N25" i="1"/>
  <c r="N9" i="14"/>
  <c r="N10" i="14" s="1"/>
  <c r="N176" i="9"/>
  <c r="N16" i="1" s="1"/>
  <c r="N16" i="21"/>
  <c r="N34" i="2"/>
  <c r="N36" i="2" s="1"/>
  <c r="N34" i="21"/>
  <c r="N15" i="21"/>
  <c r="L126" i="17"/>
  <c r="F127" i="17"/>
  <c r="N126" i="17"/>
  <c r="M126" i="17"/>
  <c r="O126" i="17"/>
  <c r="K126" i="17"/>
  <c r="K145" i="17" l="1"/>
  <c r="F146" i="17"/>
  <c r="O146" i="17" s="1"/>
  <c r="L145" i="17"/>
  <c r="O145" i="17"/>
  <c r="N145" i="17"/>
  <c r="I55" i="21"/>
  <c r="AT98" i="22"/>
  <c r="I43" i="21"/>
  <c r="I69" i="21"/>
  <c r="I42" i="21"/>
  <c r="I63" i="21"/>
  <c r="I84" i="21"/>
  <c r="I53" i="21"/>
  <c r="I75" i="21"/>
  <c r="I82" i="21"/>
  <c r="I70" i="21"/>
  <c r="I52" i="21"/>
  <c r="I64" i="21"/>
  <c r="I85" i="21"/>
  <c r="I65" i="21"/>
  <c r="I67" i="21"/>
  <c r="AT109" i="33"/>
  <c r="I47" i="21"/>
  <c r="I73" i="21"/>
  <c r="I46" i="21"/>
  <c r="I72" i="21"/>
  <c r="I41" i="21"/>
  <c r="I58" i="21"/>
  <c r="I79" i="21"/>
  <c r="I44" i="21"/>
  <c r="I40" i="21"/>
  <c r="I48" i="21"/>
  <c r="I56" i="21"/>
  <c r="I77" i="11"/>
  <c r="I80" i="1"/>
  <c r="I51" i="21"/>
  <c r="I77" i="21"/>
  <c r="I50" i="21"/>
  <c r="I76" i="21"/>
  <c r="I45" i="21"/>
  <c r="I62" i="21"/>
  <c r="I83" i="21"/>
  <c r="I61" i="21"/>
  <c r="I76" i="11"/>
  <c r="I81" i="11"/>
  <c r="I60" i="21"/>
  <c r="I81" i="21"/>
  <c r="I59" i="21"/>
  <c r="I80" i="21"/>
  <c r="I49" i="21"/>
  <c r="I71" i="21"/>
  <c r="I18" i="14"/>
  <c r="I78" i="21"/>
  <c r="I74" i="21"/>
  <c r="I66" i="21"/>
  <c r="I54" i="21"/>
  <c r="S45" i="31"/>
  <c r="Q44" i="41"/>
  <c r="I33" i="12"/>
  <c r="R43" i="43"/>
  <c r="N174" i="9"/>
  <c r="N57" i="1" s="1"/>
  <c r="N17" i="1"/>
  <c r="N36" i="21"/>
  <c r="N17" i="21"/>
  <c r="N134" i="17"/>
  <c r="F135" i="17"/>
  <c r="M134" i="17"/>
  <c r="L134" i="17"/>
  <c r="O134" i="17"/>
  <c r="K134" i="17"/>
  <c r="M11" i="14"/>
  <c r="M19" i="21"/>
  <c r="N127" i="17"/>
  <c r="L127" i="17"/>
  <c r="F128" i="17"/>
  <c r="O127" i="17"/>
  <c r="K127" i="17"/>
  <c r="M127" i="17"/>
  <c r="M146" i="17" l="1"/>
  <c r="L146" i="17"/>
  <c r="K146" i="17"/>
  <c r="F147" i="17"/>
  <c r="N147" i="17" s="1"/>
  <c r="N146" i="17"/>
  <c r="S47" i="31"/>
  <c r="C72" i="12"/>
  <c r="R45" i="43"/>
  <c r="Q46" i="41"/>
  <c r="I217" i="9"/>
  <c r="I32" i="14"/>
  <c r="N20" i="1"/>
  <c r="N19" i="1"/>
  <c r="N165" i="9"/>
  <c r="N167" i="9" s="1"/>
  <c r="N18" i="21"/>
  <c r="N37" i="21"/>
  <c r="N135" i="17"/>
  <c r="K135" i="17"/>
  <c r="L135" i="17"/>
  <c r="M135" i="17"/>
  <c r="O135" i="17"/>
  <c r="F136" i="17"/>
  <c r="L128" i="17"/>
  <c r="N128" i="17"/>
  <c r="K128" i="17"/>
  <c r="M128" i="17"/>
  <c r="O128" i="17"/>
  <c r="O147" i="17" l="1"/>
  <c r="M147" i="17"/>
  <c r="F148" i="17"/>
  <c r="K148" i="17" s="1"/>
  <c r="K147" i="17"/>
  <c r="L147" i="17"/>
  <c r="D4" i="43"/>
  <c r="D4" i="31"/>
  <c r="D4" i="41"/>
  <c r="I41" i="14"/>
  <c r="I42" i="14" s="1"/>
  <c r="I36" i="14"/>
  <c r="R222" i="9"/>
  <c r="R235" i="9"/>
  <c r="N19" i="21"/>
  <c r="N11" i="14"/>
  <c r="K136" i="17"/>
  <c r="N136" i="17"/>
  <c r="L136" i="17"/>
  <c r="M136" i="17"/>
  <c r="F137" i="17"/>
  <c r="O136" i="17"/>
  <c r="N148" i="17" l="1"/>
  <c r="F149" i="17"/>
  <c r="N149" i="17" s="1"/>
  <c r="O148" i="17"/>
  <c r="L148" i="17"/>
  <c r="M148" i="17"/>
  <c r="I43" i="14"/>
  <c r="D7" i="31" s="1"/>
  <c r="I46" i="14"/>
  <c r="H10" i="41"/>
  <c r="H13" i="41" s="1"/>
  <c r="H16" i="41" s="1"/>
  <c r="H18" i="41" s="1"/>
  <c r="H19" i="41" s="1"/>
  <c r="D6" i="31"/>
  <c r="I11" i="31"/>
  <c r="I14" i="31" s="1"/>
  <c r="D6" i="43"/>
  <c r="H10" i="43"/>
  <c r="H13" i="43" s="1"/>
  <c r="H16" i="43" s="1"/>
  <c r="D6" i="41"/>
  <c r="F138" i="17"/>
  <c r="L137" i="17"/>
  <c r="K137" i="17"/>
  <c r="N137" i="17"/>
  <c r="M137" i="17"/>
  <c r="O137" i="17"/>
  <c r="L149" i="17" l="1"/>
  <c r="K149" i="17"/>
  <c r="M149" i="17"/>
  <c r="O149" i="17"/>
  <c r="F150" i="17"/>
  <c r="N150" i="17" s="1"/>
  <c r="I48" i="14"/>
  <c r="I17" i="31"/>
  <c r="L138" i="17"/>
  <c r="O138" i="17"/>
  <c r="F139" i="17"/>
  <c r="K138" i="17"/>
  <c r="N138" i="17"/>
  <c r="M138" i="17"/>
  <c r="M150" i="17" l="1"/>
  <c r="L150" i="17"/>
  <c r="O150" i="17"/>
  <c r="K150" i="17"/>
  <c r="F151" i="17"/>
  <c r="L151" i="17" s="1"/>
  <c r="H18" i="43"/>
  <c r="I19" i="31"/>
  <c r="I49" i="14"/>
  <c r="O139" i="17"/>
  <c r="N139" i="17"/>
  <c r="L139" i="17"/>
  <c r="M139" i="17"/>
  <c r="F140" i="17"/>
  <c r="K139" i="17"/>
  <c r="N151" i="17" l="1"/>
  <c r="M151" i="17"/>
  <c r="O151" i="17"/>
  <c r="F152" i="17"/>
  <c r="L152" i="17" s="1"/>
  <c r="K151" i="17"/>
  <c r="H19" i="43"/>
  <c r="I20" i="31"/>
  <c r="I45" i="14"/>
  <c r="K140" i="17"/>
  <c r="M140" i="17"/>
  <c r="L140" i="17"/>
  <c r="O140" i="17"/>
  <c r="N140" i="17"/>
  <c r="O152" i="17" l="1"/>
  <c r="K152" i="17"/>
  <c r="N152" i="17"/>
  <c r="M152" i="17"/>
  <c r="J65" i="11"/>
  <c r="J70" i="11" s="1"/>
  <c r="J6" i="12"/>
  <c r="J7" i="12" s="1"/>
  <c r="I10" i="12" s="1"/>
  <c r="I31" i="14" s="1"/>
  <c r="J21" i="1"/>
  <c r="Q47" i="33" s="1"/>
  <c r="J166" i="9"/>
  <c r="J163" i="9" s="1"/>
  <c r="K65" i="11"/>
  <c r="K70" i="11" s="1"/>
  <c r="J13" i="12"/>
  <c r="J20" i="21" l="1"/>
  <c r="J15" i="31"/>
  <c r="J12" i="14"/>
  <c r="J40" i="14"/>
  <c r="J47" i="14" s="1"/>
  <c r="J18" i="31" s="1"/>
  <c r="K164" i="9"/>
  <c r="J55" i="1"/>
  <c r="Q50" i="33"/>
  <c r="M40" i="22"/>
  <c r="AN92" i="33"/>
  <c r="K166" i="9"/>
  <c r="K21" i="1"/>
  <c r="AN81" i="22" s="1"/>
  <c r="M39" i="22"/>
  <c r="J9" i="12"/>
  <c r="H10" i="12" s="1"/>
  <c r="J57" i="2"/>
  <c r="BE175" i="22" s="1"/>
  <c r="J71" i="11"/>
  <c r="AM81" i="22"/>
  <c r="M37" i="22"/>
  <c r="Q49" i="33"/>
  <c r="N37" i="22" l="1"/>
  <c r="N39" i="22"/>
  <c r="J59" i="2"/>
  <c r="BE177" i="22" s="1"/>
  <c r="K71" i="11"/>
  <c r="K57" i="2"/>
  <c r="AU103" i="22"/>
  <c r="J56" i="1"/>
  <c r="AU114" i="33"/>
  <c r="L21" i="1"/>
  <c r="L166" i="9"/>
  <c r="K163" i="9"/>
  <c r="G12" i="12"/>
  <c r="H31" i="14"/>
  <c r="R47" i="33"/>
  <c r="R49" i="33"/>
  <c r="K20" i="21"/>
  <c r="K12" i="14"/>
  <c r="K59" i="2" l="1"/>
  <c r="BF175" i="22"/>
  <c r="L57" i="2"/>
  <c r="L59" i="2" s="1"/>
  <c r="L60" i="2" s="1"/>
  <c r="L64" i="2" s="1"/>
  <c r="L20" i="21"/>
  <c r="L12" i="14"/>
  <c r="AU116" i="33"/>
  <c r="AU105" i="22"/>
  <c r="J58" i="1"/>
  <c r="J22" i="1"/>
  <c r="J75" i="11"/>
  <c r="J26" i="15" s="1"/>
  <c r="J25" i="15" s="1"/>
  <c r="J82" i="11"/>
  <c r="J23" i="1"/>
  <c r="J78" i="1"/>
  <c r="J24" i="14"/>
  <c r="M21" i="1"/>
  <c r="M166" i="9"/>
  <c r="J60" i="2"/>
  <c r="BE178" i="22" s="1"/>
  <c r="K55" i="1"/>
  <c r="AV103" i="22" s="1"/>
  <c r="L164" i="9"/>
  <c r="L163" i="9" s="1"/>
  <c r="K60" i="2" l="1"/>
  <c r="BF177" i="22"/>
  <c r="BO199" i="22"/>
  <c r="BO200" i="22"/>
  <c r="L55" i="1"/>
  <c r="M164" i="9"/>
  <c r="M163" i="9" s="1"/>
  <c r="N21" i="1"/>
  <c r="N166" i="9"/>
  <c r="M57" i="2"/>
  <c r="M59" i="2" s="1"/>
  <c r="M60" i="2" s="1"/>
  <c r="M64" i="2" s="1"/>
  <c r="M20" i="21"/>
  <c r="M12" i="14"/>
  <c r="M38" i="22"/>
  <c r="Q46" i="33"/>
  <c r="Q48" i="33"/>
  <c r="J64" i="11"/>
  <c r="M36" i="22"/>
  <c r="J22" i="15"/>
  <c r="J29" i="15" s="1"/>
  <c r="J34" i="14" s="1"/>
  <c r="J21" i="21"/>
  <c r="AU118" i="33"/>
  <c r="AU107" i="22"/>
  <c r="J76" i="1"/>
  <c r="J189" i="9"/>
  <c r="J19" i="14"/>
  <c r="J64" i="2"/>
  <c r="BE182" i="22" s="1"/>
  <c r="K56" i="1"/>
  <c r="AV105" i="22" s="1"/>
  <c r="AU121" i="22"/>
  <c r="AU132" i="33"/>
  <c r="J23" i="14"/>
  <c r="K64" i="2" l="1"/>
  <c r="BF182" i="22" s="1"/>
  <c r="BF178" i="22"/>
  <c r="J65" i="2"/>
  <c r="BE183" i="22" s="1"/>
  <c r="N57" i="2"/>
  <c r="N59" i="2" s="1"/>
  <c r="N60" i="2" s="1"/>
  <c r="N64" i="2" s="1"/>
  <c r="AU130" i="33"/>
  <c r="AU119" i="22"/>
  <c r="J22" i="14"/>
  <c r="N20" i="21"/>
  <c r="N12" i="14"/>
  <c r="K82" i="11"/>
  <c r="K23" i="1"/>
  <c r="K78" i="1"/>
  <c r="K58" i="1"/>
  <c r="K22" i="1"/>
  <c r="K24" i="14"/>
  <c r="K75" i="11"/>
  <c r="N164" i="9"/>
  <c r="N163" i="9" s="1"/>
  <c r="N55" i="1" s="1"/>
  <c r="M55" i="1"/>
  <c r="L56" i="1"/>
  <c r="AV107" i="22" l="1"/>
  <c r="BP200" i="22"/>
  <c r="BP199" i="22"/>
  <c r="K23" i="14"/>
  <c r="AV121" i="22"/>
  <c r="N38" i="22"/>
  <c r="N36" i="22"/>
  <c r="M56" i="1"/>
  <c r="K64" i="11"/>
  <c r="K22" i="15"/>
  <c r="K21" i="21"/>
  <c r="R46" i="33"/>
  <c r="R48" i="33"/>
  <c r="N56" i="1"/>
  <c r="K189" i="9"/>
  <c r="K76" i="1"/>
  <c r="AV119" i="22" s="1"/>
  <c r="K19" i="14"/>
  <c r="L22" i="1"/>
  <c r="L23" i="1"/>
  <c r="L21" i="21" s="1"/>
  <c r="L78" i="1"/>
  <c r="L23" i="14" s="1"/>
  <c r="L58" i="1"/>
  <c r="L24" i="14"/>
  <c r="K63" i="2"/>
  <c r="J209" i="9"/>
  <c r="K65" i="2" l="1"/>
  <c r="BF183" i="22" s="1"/>
  <c r="BF181" i="22"/>
  <c r="J206" i="9"/>
  <c r="J215" i="9"/>
  <c r="N58" i="1"/>
  <c r="N22" i="1"/>
  <c r="N23" i="1"/>
  <c r="N78" i="1"/>
  <c r="N23" i="14" s="1"/>
  <c r="N24" i="14"/>
  <c r="L76" i="1"/>
  <c r="L189" i="9"/>
  <c r="L19" i="14"/>
  <c r="K22" i="14"/>
  <c r="M58" i="1"/>
  <c r="M22" i="1"/>
  <c r="M23" i="1"/>
  <c r="M21" i="21" s="1"/>
  <c r="M78" i="1"/>
  <c r="M23" i="14" s="1"/>
  <c r="M24" i="14"/>
  <c r="K209" i="9" l="1"/>
  <c r="K215" i="9" s="1"/>
  <c r="L63" i="2"/>
  <c r="L65" i="2" s="1"/>
  <c r="M63" i="2" s="1"/>
  <c r="M65" i="2" s="1"/>
  <c r="L22" i="14"/>
  <c r="N76" i="1"/>
  <c r="N189" i="9"/>
  <c r="N19" i="14"/>
  <c r="M76" i="1"/>
  <c r="M189" i="9"/>
  <c r="M19" i="14"/>
  <c r="N21" i="21"/>
  <c r="J205" i="9"/>
  <c r="J213" i="9"/>
  <c r="L209" i="9" l="1"/>
  <c r="L206" i="9" s="1"/>
  <c r="K206" i="9"/>
  <c r="K205" i="9" s="1"/>
  <c r="J45" i="1"/>
  <c r="J210" i="9"/>
  <c r="J211" i="9" s="1"/>
  <c r="N22" i="14"/>
  <c r="N63" i="2"/>
  <c r="N65" i="2" s="1"/>
  <c r="N209" i="9" s="1"/>
  <c r="M209" i="9"/>
  <c r="M22" i="14"/>
  <c r="L215" i="9" l="1"/>
  <c r="K213" i="9"/>
  <c r="N206" i="9"/>
  <c r="N215" i="9"/>
  <c r="M206" i="9"/>
  <c r="M215" i="9"/>
  <c r="K210" i="9"/>
  <c r="K211" i="9" s="1"/>
  <c r="K45" i="1"/>
  <c r="AV95" i="22" s="1"/>
  <c r="L205" i="9"/>
  <c r="L213" i="9"/>
  <c r="AU106" i="33"/>
  <c r="AU95" i="22"/>
  <c r="J46" i="1"/>
  <c r="J86" i="11"/>
  <c r="J31" i="12"/>
  <c r="J32" i="12" l="1"/>
  <c r="T45" i="31" s="1"/>
  <c r="T44" i="31"/>
  <c r="J83" i="11"/>
  <c r="AU107" i="33"/>
  <c r="AU96" i="22"/>
  <c r="J47" i="1"/>
  <c r="J17" i="14"/>
  <c r="L210" i="9"/>
  <c r="L211" i="9" s="1"/>
  <c r="L45" i="1"/>
  <c r="M213" i="9"/>
  <c r="M205" i="9"/>
  <c r="K86" i="11"/>
  <c r="K46" i="1"/>
  <c r="AV96" i="22" s="1"/>
  <c r="N205" i="9"/>
  <c r="N213" i="9"/>
  <c r="J33" i="12" l="1"/>
  <c r="J32" i="14" s="1"/>
  <c r="J55" i="21"/>
  <c r="BO201" i="22"/>
  <c r="K83" i="11"/>
  <c r="K47" i="1"/>
  <c r="BP201" i="22" s="1"/>
  <c r="K17" i="14"/>
  <c r="L46" i="1"/>
  <c r="J80" i="1"/>
  <c r="J40" i="21"/>
  <c r="J44" i="21"/>
  <c r="J48" i="21"/>
  <c r="J52" i="21"/>
  <c r="J56" i="21"/>
  <c r="J76" i="11"/>
  <c r="J81" i="11"/>
  <c r="J41" i="21"/>
  <c r="J45" i="21"/>
  <c r="J49" i="21"/>
  <c r="J53" i="21"/>
  <c r="J58" i="21"/>
  <c r="AU109" i="33"/>
  <c r="J42" i="21"/>
  <c r="J46" i="21"/>
  <c r="J50" i="21"/>
  <c r="J77" i="11"/>
  <c r="AU98" i="22"/>
  <c r="J43" i="21"/>
  <c r="J47" i="21"/>
  <c r="J51" i="21"/>
  <c r="J62" i="21"/>
  <c r="J66" i="21"/>
  <c r="J71" i="21"/>
  <c r="J75" i="21"/>
  <c r="J79" i="21"/>
  <c r="J83" i="21"/>
  <c r="J59" i="21"/>
  <c r="J63" i="21"/>
  <c r="J72" i="21"/>
  <c r="J76" i="21"/>
  <c r="J80" i="21"/>
  <c r="J84" i="21"/>
  <c r="J18" i="14"/>
  <c r="J60" i="21"/>
  <c r="J69" i="21"/>
  <c r="J73" i="21"/>
  <c r="J77" i="21"/>
  <c r="J81" i="21"/>
  <c r="J61" i="21"/>
  <c r="J70" i="21"/>
  <c r="J74" i="21"/>
  <c r="J78" i="21"/>
  <c r="J82" i="21"/>
  <c r="J64" i="21"/>
  <c r="J65" i="21"/>
  <c r="J67" i="21"/>
  <c r="J85" i="21"/>
  <c r="J54" i="21"/>
  <c r="N45" i="1"/>
  <c r="N210" i="9"/>
  <c r="N211" i="9" s="1"/>
  <c r="M210" i="9"/>
  <c r="M211" i="9" s="1"/>
  <c r="M45" i="1"/>
  <c r="T47" i="31" l="1"/>
  <c r="D2" i="15"/>
  <c r="J41" i="14"/>
  <c r="D2" i="17"/>
  <c r="E4" i="31"/>
  <c r="D2" i="12"/>
  <c r="J36" i="14"/>
  <c r="D2" i="21"/>
  <c r="D2" i="9"/>
  <c r="K76" i="11"/>
  <c r="AV98" i="22"/>
  <c r="M46" i="1"/>
  <c r="L47" i="1"/>
  <c r="L55" i="21" s="1"/>
  <c r="L17" i="14"/>
  <c r="K77" i="11"/>
  <c r="K43" i="21"/>
  <c r="K47" i="21"/>
  <c r="K51" i="21"/>
  <c r="K80" i="1"/>
  <c r="K40" i="21"/>
  <c r="K44" i="21"/>
  <c r="K48" i="21"/>
  <c r="K52" i="21"/>
  <c r="K56" i="21"/>
  <c r="K81" i="11"/>
  <c r="K41" i="21"/>
  <c r="K45" i="21"/>
  <c r="K49" i="21"/>
  <c r="K53" i="21"/>
  <c r="K58" i="21"/>
  <c r="K42" i="21"/>
  <c r="K46" i="21"/>
  <c r="K50" i="21"/>
  <c r="K61" i="21"/>
  <c r="K70" i="21"/>
  <c r="K74" i="21"/>
  <c r="K78" i="21"/>
  <c r="K82" i="21"/>
  <c r="K62" i="21"/>
  <c r="K66" i="21"/>
  <c r="K71" i="21"/>
  <c r="K75" i="21"/>
  <c r="K79" i="21"/>
  <c r="K83" i="21"/>
  <c r="K59" i="21"/>
  <c r="K63" i="21"/>
  <c r="K72" i="21"/>
  <c r="K76" i="21"/>
  <c r="K80" i="21"/>
  <c r="K84" i="21"/>
  <c r="K18" i="14"/>
  <c r="K60" i="21"/>
  <c r="K69" i="21"/>
  <c r="K73" i="21"/>
  <c r="K77" i="21"/>
  <c r="K81" i="21"/>
  <c r="K64" i="21"/>
  <c r="K65" i="21"/>
  <c r="K67" i="21"/>
  <c r="K85" i="21"/>
  <c r="K54" i="21"/>
  <c r="N46" i="1"/>
  <c r="K55" i="21"/>
  <c r="J2" i="15" l="1"/>
  <c r="J42" i="14"/>
  <c r="W258" i="9" s="1"/>
  <c r="R262" i="9" s="1"/>
  <c r="J2" i="17"/>
  <c r="J2" i="12"/>
  <c r="C62" i="12" s="1"/>
  <c r="J2" i="21"/>
  <c r="J2" i="9"/>
  <c r="L42" i="21"/>
  <c r="L46" i="21"/>
  <c r="L50" i="21"/>
  <c r="L43" i="21"/>
  <c r="L47" i="21"/>
  <c r="L51" i="21"/>
  <c r="L80" i="1"/>
  <c r="L40" i="21"/>
  <c r="L44" i="21"/>
  <c r="L48" i="21"/>
  <c r="L52" i="21"/>
  <c r="L56" i="21"/>
  <c r="L41" i="21"/>
  <c r="L45" i="21"/>
  <c r="L49" i="21"/>
  <c r="L53" i="21"/>
  <c r="L60" i="21"/>
  <c r="L69" i="21"/>
  <c r="L73" i="21"/>
  <c r="L77" i="21"/>
  <c r="L81" i="21"/>
  <c r="L61" i="21"/>
  <c r="L70" i="21"/>
  <c r="L74" i="21"/>
  <c r="L78" i="21"/>
  <c r="L82" i="21"/>
  <c r="L58" i="21"/>
  <c r="L62" i="21"/>
  <c r="L66" i="21"/>
  <c r="L71" i="21"/>
  <c r="L75" i="21"/>
  <c r="L79" i="21"/>
  <c r="L83" i="21"/>
  <c r="L59" i="21"/>
  <c r="L63" i="21"/>
  <c r="L72" i="21"/>
  <c r="L76" i="21"/>
  <c r="L80" i="21"/>
  <c r="L84" i="21"/>
  <c r="L18" i="14"/>
  <c r="L64" i="21"/>
  <c r="L65" i="21"/>
  <c r="L67" i="21"/>
  <c r="L85" i="21"/>
  <c r="L54" i="21"/>
  <c r="N47" i="1"/>
  <c r="N55" i="21" s="1"/>
  <c r="N17" i="14"/>
  <c r="M47" i="1"/>
  <c r="M55" i="21" s="1"/>
  <c r="M17" i="14"/>
  <c r="W51" i="31" l="1"/>
  <c r="U49" i="43"/>
  <c r="T50" i="41"/>
  <c r="J11" i="31"/>
  <c r="J14" i="31" s="1"/>
  <c r="J46" i="14"/>
  <c r="E6" i="31"/>
  <c r="J43" i="14"/>
  <c r="E7" i="31" s="1"/>
  <c r="M41" i="21"/>
  <c r="M45" i="21"/>
  <c r="M49" i="21"/>
  <c r="M53" i="21"/>
  <c r="M42" i="21"/>
  <c r="M46" i="21"/>
  <c r="M50" i="21"/>
  <c r="M43" i="21"/>
  <c r="M47" i="21"/>
  <c r="M51" i="21"/>
  <c r="M80" i="1"/>
  <c r="M40" i="21"/>
  <c r="M44" i="21"/>
  <c r="M48" i="21"/>
  <c r="M52" i="21"/>
  <c r="M56" i="21"/>
  <c r="M59" i="21"/>
  <c r="M63" i="21"/>
  <c r="M72" i="21"/>
  <c r="M76" i="21"/>
  <c r="M80" i="21"/>
  <c r="M84" i="21"/>
  <c r="M18" i="14"/>
  <c r="M60" i="21"/>
  <c r="M69" i="21"/>
  <c r="M73" i="21"/>
  <c r="M77" i="21"/>
  <c r="M81" i="21"/>
  <c r="M61" i="21"/>
  <c r="M70" i="21"/>
  <c r="M74" i="21"/>
  <c r="M78" i="21"/>
  <c r="M82" i="21"/>
  <c r="M58" i="21"/>
  <c r="M62" i="21"/>
  <c r="M66" i="21"/>
  <c r="M71" i="21"/>
  <c r="M75" i="21"/>
  <c r="M79" i="21"/>
  <c r="M83" i="21"/>
  <c r="M64" i="21"/>
  <c r="M65" i="21"/>
  <c r="M67" i="21"/>
  <c r="M85" i="21"/>
  <c r="M54" i="21"/>
  <c r="N80" i="1"/>
  <c r="N40" i="21"/>
  <c r="N44" i="21"/>
  <c r="N48" i="21"/>
  <c r="N52" i="21"/>
  <c r="N56" i="21"/>
  <c r="N41" i="21"/>
  <c r="N45" i="21"/>
  <c r="N49" i="21"/>
  <c r="N53" i="21"/>
  <c r="N42" i="21"/>
  <c r="N46" i="21"/>
  <c r="N50" i="21"/>
  <c r="N43" i="21"/>
  <c r="N47" i="21"/>
  <c r="N51" i="21"/>
  <c r="N58" i="21"/>
  <c r="N62" i="21"/>
  <c r="N66" i="21"/>
  <c r="N71" i="21"/>
  <c r="N75" i="21"/>
  <c r="N79" i="21"/>
  <c r="N83" i="21"/>
  <c r="N59" i="21"/>
  <c r="N63" i="21"/>
  <c r="N72" i="21"/>
  <c r="N76" i="21"/>
  <c r="N80" i="21"/>
  <c r="N84" i="21"/>
  <c r="N18" i="14"/>
  <c r="N60" i="21"/>
  <c r="N69" i="21"/>
  <c r="N73" i="21"/>
  <c r="N77" i="21"/>
  <c r="N81" i="21"/>
  <c r="N61" i="21"/>
  <c r="N70" i="21"/>
  <c r="N74" i="21"/>
  <c r="N78" i="21"/>
  <c r="N82" i="21"/>
  <c r="N64" i="21"/>
  <c r="N65" i="21"/>
  <c r="N67" i="21"/>
  <c r="N85" i="21"/>
  <c r="N54" i="21"/>
  <c r="J48" i="14" l="1"/>
  <c r="J17" i="31"/>
  <c r="J49" i="14" l="1"/>
  <c r="J19" i="31"/>
  <c r="J45" i="14" l="1"/>
  <c r="J20" i="31"/>
  <c r="H1" i="17" l="1"/>
  <c r="H1" i="12"/>
  <c r="H1" i="9"/>
  <c r="H1" i="21"/>
  <c r="H1"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Hansinee Beddage</author>
  </authors>
  <commentList>
    <comment ref="H43" authorId="0" shapeId="0" xr:uid="{00000000-0006-0000-0100-000001000000}">
      <text>
        <r>
          <rPr>
            <b/>
            <sz val="9"/>
            <color indexed="81"/>
            <rFont val="Tahoma"/>
            <family val="2"/>
          </rPr>
          <t>Hansinee Beddage:</t>
        </r>
        <r>
          <rPr>
            <sz val="9"/>
            <color indexed="81"/>
            <rFont val="Tahoma"/>
            <family val="2"/>
          </rPr>
          <t xml:space="preserve">
Excludes dividend</t>
        </r>
      </text>
    </comment>
    <comment ref="H49" authorId="0" shapeId="0" xr:uid="{00000000-0006-0000-0100-000002000000}">
      <text>
        <r>
          <rPr>
            <b/>
            <sz val="9"/>
            <color indexed="81"/>
            <rFont val="Tahoma"/>
            <family val="2"/>
          </rPr>
          <t>Hansinee Beddage:</t>
        </r>
        <r>
          <rPr>
            <sz val="9"/>
            <color indexed="81"/>
            <rFont val="Tahoma"/>
            <family val="2"/>
          </rPr>
          <t xml:space="preserve">
Excludes dividend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Hansinee Beddage</author>
  </authors>
  <commentList>
    <comment ref="A75" authorId="0" shapeId="0" xr:uid="{00000000-0006-0000-0400-000001000000}">
      <text>
        <r>
          <rPr>
            <b/>
            <sz val="9"/>
            <color indexed="81"/>
            <rFont val="Tahoma"/>
            <family val="2"/>
          </rPr>
          <t>Hansinee Beddage:</t>
        </r>
        <r>
          <rPr>
            <sz val="9"/>
            <color indexed="81"/>
            <rFont val="Tahoma"/>
            <family val="2"/>
          </rPr>
          <t xml:space="preserve">
Can't be put in here. It has to go to Retained earnings right?</t>
        </r>
      </text>
    </comment>
    <comment ref="A121" authorId="0" shapeId="0" xr:uid="{00000000-0006-0000-0400-000002000000}">
      <text>
        <r>
          <rPr>
            <b/>
            <sz val="9"/>
            <color indexed="81"/>
            <rFont val="Tahoma"/>
            <family val="2"/>
          </rPr>
          <t>Hansinee Beddage:</t>
        </r>
        <r>
          <rPr>
            <sz val="9"/>
            <color indexed="81"/>
            <rFont val="Tahoma"/>
            <family val="2"/>
          </rPr>
          <t xml:space="preserve">
Land in Ekala</t>
        </r>
      </text>
    </comment>
    <comment ref="A126" authorId="0" shapeId="0" xr:uid="{00000000-0006-0000-0400-000003000000}">
      <text>
        <r>
          <rPr>
            <b/>
            <sz val="9"/>
            <color indexed="81"/>
            <rFont val="Tahoma"/>
            <family val="2"/>
          </rPr>
          <t>Hansinee Beddage:</t>
        </r>
        <r>
          <rPr>
            <sz val="9"/>
            <color indexed="81"/>
            <rFont val="Tahoma"/>
            <family val="2"/>
          </rPr>
          <t xml:space="preserve">
Computer coftware and goodwill</t>
        </r>
      </text>
    </comment>
    <comment ref="A162" authorId="0" shapeId="0" xr:uid="{00000000-0006-0000-0400-000004000000}">
      <text>
        <r>
          <rPr>
            <b/>
            <sz val="9"/>
            <color indexed="81"/>
            <rFont val="Tahoma"/>
            <family val="2"/>
          </rPr>
          <t>Hansinee Beddage:</t>
        </r>
        <r>
          <rPr>
            <sz val="9"/>
            <color indexed="81"/>
            <rFont val="Tahoma"/>
            <family val="2"/>
          </rPr>
          <t xml:space="preserve">
Revaluation of Ekala land may need to be adjusted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Hansinee Beddage</author>
  </authors>
  <commentList>
    <comment ref="F130" authorId="0" shapeId="0" xr:uid="{00000000-0006-0000-0700-000001000000}">
      <text>
        <r>
          <rPr>
            <b/>
            <sz val="9"/>
            <color indexed="81"/>
            <rFont val="Tahoma"/>
            <family val="2"/>
          </rPr>
          <t>Hansinee Beddage:</t>
        </r>
        <r>
          <rPr>
            <sz val="9"/>
            <color indexed="81"/>
            <rFont val="Tahoma"/>
            <family val="2"/>
          </rPr>
          <t xml:space="preserve">
maintain import demand loans</t>
        </r>
      </text>
    </comment>
  </commentList>
</comments>
</file>

<file path=xl/sharedStrings.xml><?xml version="1.0" encoding="utf-8"?>
<sst xmlns="http://schemas.openxmlformats.org/spreadsheetml/2006/main" count="21317" uniqueCount="3964">
  <si>
    <t>ACL Cables</t>
  </si>
  <si>
    <t>Revenue</t>
  </si>
  <si>
    <t>Cost of Sales</t>
  </si>
  <si>
    <t>Income Statement</t>
  </si>
  <si>
    <t>FY14</t>
  </si>
  <si>
    <t>FY13</t>
  </si>
  <si>
    <t>Gross Profit</t>
  </si>
  <si>
    <t>Other Income</t>
  </si>
  <si>
    <t>Distribution Expenses</t>
  </si>
  <si>
    <t>Administrative Expenses</t>
  </si>
  <si>
    <t>Operating Profit</t>
  </si>
  <si>
    <t>Net Finance Cost</t>
  </si>
  <si>
    <t>Profit Before Tax</t>
  </si>
  <si>
    <t>Tax Expense</t>
  </si>
  <si>
    <t>Profit for the Year</t>
  </si>
  <si>
    <t>EPS</t>
  </si>
  <si>
    <t>Net Profit attributable to equity holders of Company</t>
  </si>
  <si>
    <t>FY12</t>
  </si>
  <si>
    <t>FY11</t>
  </si>
  <si>
    <t>Balance Sheet</t>
  </si>
  <si>
    <t>Assets</t>
  </si>
  <si>
    <t>Non-Current Assets</t>
  </si>
  <si>
    <t>Prepaid Lease Rentals</t>
  </si>
  <si>
    <t>Financial Assets- Available for sale at fair value</t>
  </si>
  <si>
    <t>Current Liabilities</t>
  </si>
  <si>
    <t>Trade and other Receivables</t>
  </si>
  <si>
    <t>Cash and cash equivalents</t>
  </si>
  <si>
    <t>Total Assets</t>
  </si>
  <si>
    <t>Equity and Liabilities</t>
  </si>
  <si>
    <t>Capital and Reserves</t>
  </si>
  <si>
    <t>Stated Capital</t>
  </si>
  <si>
    <t>Capital Reserves</t>
  </si>
  <si>
    <t>General Reserve</t>
  </si>
  <si>
    <t>Available for sales reserves</t>
  </si>
  <si>
    <t>Retained Earnings</t>
  </si>
  <si>
    <t>Total equity attributable to equity holders of the Company</t>
  </si>
  <si>
    <t>Non-controlling interest</t>
  </si>
  <si>
    <t>Total Equity</t>
  </si>
  <si>
    <t>Non-current Liabilities</t>
  </si>
  <si>
    <t>Provision for payment in lieu of employee share issue scheme</t>
  </si>
  <si>
    <t>Defined benefit obligations</t>
  </si>
  <si>
    <t>Deferred income tax liability</t>
  </si>
  <si>
    <t>Borrowings</t>
  </si>
  <si>
    <t>Finance lease obligation</t>
  </si>
  <si>
    <t>Trade and other payables</t>
  </si>
  <si>
    <t>Current income tax liability</t>
  </si>
  <si>
    <t>Dividend payable</t>
  </si>
  <si>
    <t xml:space="preserve">Borrowings </t>
  </si>
  <si>
    <t>Total Liabilities</t>
  </si>
  <si>
    <t>Total Equity and Liabilities</t>
  </si>
  <si>
    <t>Investment Property</t>
  </si>
  <si>
    <t>Current Assets</t>
  </si>
  <si>
    <t>Inventories</t>
  </si>
  <si>
    <t>Cash generated from operations</t>
  </si>
  <si>
    <t>Defined benefit obligations paid</t>
  </si>
  <si>
    <t>Payment in lieu of employee share issue scheme</t>
  </si>
  <si>
    <t xml:space="preserve">Income Tax paid less refund received </t>
  </si>
  <si>
    <t>WHT on dividend paid by subsidiary</t>
  </si>
  <si>
    <t>Net Cash generated from operating actvities</t>
  </si>
  <si>
    <t>Interest Received</t>
  </si>
  <si>
    <t>Cost incurred on Capital WIP</t>
  </si>
  <si>
    <t>Dividend Received</t>
  </si>
  <si>
    <t>Investments in Subsidiary Companies</t>
  </si>
  <si>
    <t>Proceeds on disposal of Capital WIP</t>
  </si>
  <si>
    <t>Short term Borrowings Net of Payments</t>
  </si>
  <si>
    <t>Long term Borrowings Net of Payments</t>
  </si>
  <si>
    <t>Dividend paid by the Company</t>
  </si>
  <si>
    <t>Movement in Cash and Cash Equivalents</t>
  </si>
  <si>
    <t>Bank Overdraft</t>
  </si>
  <si>
    <t>Cash Flow from Operating activities</t>
  </si>
  <si>
    <t>Profit/Loss before tax</t>
  </si>
  <si>
    <t xml:space="preserve">Adjustments for: </t>
  </si>
  <si>
    <t>Depreciation of PPE</t>
  </si>
  <si>
    <t>PPE</t>
  </si>
  <si>
    <t>Dividend Income</t>
  </si>
  <si>
    <t>Change in fair value of Investment property</t>
  </si>
  <si>
    <t>Profit on disposal of PPE</t>
  </si>
  <si>
    <t>Changes in working capital</t>
  </si>
  <si>
    <t>Gratuity Paid</t>
  </si>
  <si>
    <t>Cash Flow from Investing Activities</t>
  </si>
  <si>
    <t>Purchase and construction of PPE</t>
  </si>
  <si>
    <t>Proceeds on disposal of PPE</t>
  </si>
  <si>
    <t>Net Cash Flow from Investing Activities</t>
  </si>
  <si>
    <t>Cash Flow from Financing Activities</t>
  </si>
  <si>
    <t>Lease Installments Paid</t>
  </si>
  <si>
    <t>Cash and cash equivalents at the end of the Year</t>
  </si>
  <si>
    <t>Written off capital WIP</t>
  </si>
  <si>
    <t>Dividend Payable</t>
  </si>
  <si>
    <t>-</t>
  </si>
  <si>
    <t>Interest Expense</t>
  </si>
  <si>
    <t>Interest Income</t>
  </si>
  <si>
    <t>Increase/ decrease in cash and cash equivalents</t>
  </si>
  <si>
    <t>At the beginning of the year</t>
  </si>
  <si>
    <t xml:space="preserve">Amortization of leasehold properties </t>
  </si>
  <si>
    <t>Investment in other companies</t>
  </si>
  <si>
    <t>Profit on disposal of investment</t>
  </si>
  <si>
    <t>Proceeds on disposal of Investments</t>
  </si>
  <si>
    <t>Purchase of own shares by subsidiaries</t>
  </si>
  <si>
    <t>Geographical Segment Turnover</t>
  </si>
  <si>
    <t xml:space="preserve">Local </t>
  </si>
  <si>
    <t>Export</t>
  </si>
  <si>
    <t>Total</t>
  </si>
  <si>
    <t>Intangible Assets</t>
  </si>
  <si>
    <t>Investment in Subsidiaries</t>
  </si>
  <si>
    <t>(LKR Mn)</t>
  </si>
  <si>
    <t>FY15</t>
  </si>
  <si>
    <t>EBIT</t>
  </si>
  <si>
    <t>Month</t>
  </si>
  <si>
    <t>Price</t>
  </si>
  <si>
    <t>Aluminum Monthly Price - US Dollars per Metric Ton</t>
  </si>
  <si>
    <t>Jan</t>
  </si>
  <si>
    <t>Feb</t>
  </si>
  <si>
    <t>Mar</t>
  </si>
  <si>
    <t>Apr</t>
  </si>
  <si>
    <t>May</t>
  </si>
  <si>
    <t>Jun</t>
  </si>
  <si>
    <t>Jul</t>
  </si>
  <si>
    <t>Aug</t>
  </si>
  <si>
    <t>Sep</t>
  </si>
  <si>
    <t>Oct</t>
  </si>
  <si>
    <t>Nov</t>
  </si>
  <si>
    <t>Dec</t>
  </si>
  <si>
    <t>Copper, grade A cathode Monthly Price - US Dollars per Metric Ton</t>
  </si>
  <si>
    <t>Local</t>
  </si>
  <si>
    <t>Date</t>
  </si>
  <si>
    <t>Volume</t>
  </si>
  <si>
    <t>PER</t>
  </si>
  <si>
    <t>ACL</t>
  </si>
  <si>
    <t>ASI</t>
  </si>
  <si>
    <t>Symbol</t>
  </si>
  <si>
    <t>Open</t>
  </si>
  <si>
    <t>High</t>
  </si>
  <si>
    <t>Low</t>
  </si>
  <si>
    <t>Closed</t>
  </si>
  <si>
    <t>% Chg.</t>
  </si>
  <si>
    <t>Change</t>
  </si>
  <si>
    <t>Prev. Closed</t>
  </si>
  <si>
    <t>Turnover</t>
  </si>
  <si>
    <t>ACL.N0000`N</t>
  </si>
  <si>
    <t>1M</t>
  </si>
  <si>
    <t>3M</t>
  </si>
  <si>
    <t>12M</t>
  </si>
  <si>
    <t>KCAB</t>
  </si>
  <si>
    <t>Sierra</t>
  </si>
  <si>
    <t>COGS</t>
  </si>
  <si>
    <t>PAT</t>
  </si>
  <si>
    <t>Competitors</t>
  </si>
  <si>
    <t>Total revenue</t>
  </si>
  <si>
    <t>% of copper cables</t>
  </si>
  <si>
    <t>% of aluminium cables</t>
  </si>
  <si>
    <t>FY16</t>
  </si>
  <si>
    <t>FY17E</t>
  </si>
  <si>
    <t>FY18E</t>
  </si>
  <si>
    <t>FY19E</t>
  </si>
  <si>
    <t>Group</t>
  </si>
  <si>
    <t>APLA</t>
  </si>
  <si>
    <t>Other</t>
  </si>
  <si>
    <t>KCAB trading</t>
  </si>
  <si>
    <t>Consolidated - Group</t>
  </si>
  <si>
    <t>ACL total</t>
  </si>
  <si>
    <t>KCAB total</t>
  </si>
  <si>
    <t>APLA total</t>
  </si>
  <si>
    <t>Total revenue added up</t>
  </si>
  <si>
    <t>SIRA</t>
  </si>
  <si>
    <t>Balance Sheet check</t>
  </si>
  <si>
    <t>Cash Flow Statement</t>
  </si>
  <si>
    <t>Profit from equity investee</t>
  </si>
  <si>
    <t>Amortisation of intangible assets</t>
  </si>
  <si>
    <t>Impairments</t>
  </si>
  <si>
    <t>Loss/ (gain) on revaluation of PPE</t>
  </si>
  <si>
    <t>(Increase)/ decrease in inventories</t>
  </si>
  <si>
    <t>(Increase)/ decrease in Receivable</t>
  </si>
  <si>
    <t>Increase/ (decrease) Trade and Other Payables</t>
  </si>
  <si>
    <t>Purchase of intangible assets</t>
  </si>
  <si>
    <t>Dividend paid by Subsidiary to NCI</t>
  </si>
  <si>
    <t>Dividend income</t>
  </si>
  <si>
    <t>Sundry income</t>
  </si>
  <si>
    <t>PE</t>
  </si>
  <si>
    <t>EV/EBITDA</t>
  </si>
  <si>
    <t>DDM</t>
  </si>
  <si>
    <t>FCFF</t>
  </si>
  <si>
    <t>As a % of revenues</t>
  </si>
  <si>
    <t>Staff cost</t>
  </si>
  <si>
    <t>No of employees</t>
  </si>
  <si>
    <t>Average salary</t>
  </si>
  <si>
    <t>Bad debts</t>
  </si>
  <si>
    <t>Total other income</t>
  </si>
  <si>
    <t>Total admnistration expenses</t>
  </si>
  <si>
    <t>Administrative expenses</t>
  </si>
  <si>
    <t>Distribution expenses</t>
  </si>
  <si>
    <t>Other income</t>
  </si>
  <si>
    <t>Net finance expenses</t>
  </si>
  <si>
    <t>Interest rate on short term investments</t>
  </si>
  <si>
    <t>Finance expenses</t>
  </si>
  <si>
    <t>Interest rate on borrowings</t>
  </si>
  <si>
    <t>Income Statement Drivers</t>
  </si>
  <si>
    <t>Work in Progress</t>
  </si>
  <si>
    <t>Opening balance</t>
  </si>
  <si>
    <t>Capex</t>
  </si>
  <si>
    <t>Disposals</t>
  </si>
  <si>
    <t>Transfer from WIP</t>
  </si>
  <si>
    <t>Depreciation</t>
  </si>
  <si>
    <t>As a % of PPE</t>
  </si>
  <si>
    <t>Closing balance</t>
  </si>
  <si>
    <t>Intangible assets</t>
  </si>
  <si>
    <t>Growth YoY</t>
  </si>
  <si>
    <t>Amortisation</t>
  </si>
  <si>
    <t>As a % of intangible assets</t>
  </si>
  <si>
    <t>Revaluations</t>
  </si>
  <si>
    <t>Raw material</t>
  </si>
  <si>
    <t>WIP</t>
  </si>
  <si>
    <t>Finished Goods</t>
  </si>
  <si>
    <t>Other stocks and in transit</t>
  </si>
  <si>
    <t>Provision for obsolesence</t>
  </si>
  <si>
    <t>Total inventories</t>
  </si>
  <si>
    <t>Total receivables</t>
  </si>
  <si>
    <t>Trade receivables</t>
  </si>
  <si>
    <t>As a % of receivables</t>
  </si>
  <si>
    <t>Other receivables and prepayments</t>
  </si>
  <si>
    <t>Trade payables</t>
  </si>
  <si>
    <t>Accruals and other payables</t>
  </si>
  <si>
    <t>Retained earnings</t>
  </si>
  <si>
    <t>Additions</t>
  </si>
  <si>
    <t>Net income for the year</t>
  </si>
  <si>
    <t>Dividends paid</t>
  </si>
  <si>
    <t>Long term</t>
  </si>
  <si>
    <t>Short term</t>
  </si>
  <si>
    <t>Revaluation of investment property</t>
  </si>
  <si>
    <t>Capex / PPE</t>
  </si>
  <si>
    <t>Capital Work in Progress</t>
  </si>
  <si>
    <t>Last 3 year Average</t>
  </si>
  <si>
    <t>Transfer to PPE</t>
  </si>
  <si>
    <t>Growth in employees YoY</t>
  </si>
  <si>
    <t>As a % of major inventories</t>
  </si>
  <si>
    <t>Months of receivables outstanding</t>
  </si>
  <si>
    <t>As a % of trade receivables</t>
  </si>
  <si>
    <t>As a % of total payables</t>
  </si>
  <si>
    <t>Months of payables outstanding</t>
  </si>
  <si>
    <t>Months of inventory outstanding</t>
  </si>
  <si>
    <t>DPS</t>
  </si>
  <si>
    <t>Bank OD</t>
  </si>
  <si>
    <t>Cables</t>
  </si>
  <si>
    <t>PVC</t>
  </si>
  <si>
    <t>Revenues</t>
  </si>
  <si>
    <t>PBIT</t>
  </si>
  <si>
    <t>Liabilities</t>
  </si>
  <si>
    <t>Unallocated</t>
  </si>
  <si>
    <t>Checks</t>
  </si>
  <si>
    <t>PVC Compound</t>
  </si>
  <si>
    <t>Cash at bank</t>
  </si>
  <si>
    <t>Short term deposits</t>
  </si>
  <si>
    <t>Total borrowings</t>
  </si>
  <si>
    <t>2017E</t>
  </si>
  <si>
    <t>2018E</t>
  </si>
  <si>
    <t>2019E</t>
  </si>
  <si>
    <t>Held to maturity fianancial assets</t>
  </si>
  <si>
    <t>Investments in other assets</t>
  </si>
  <si>
    <t>Long term to total borrowings</t>
  </si>
  <si>
    <t>As a % of Cable revenues</t>
  </si>
  <si>
    <t>Constant</t>
  </si>
  <si>
    <t>Factors affecting revenue</t>
  </si>
  <si>
    <t>Export reve - exchange rate</t>
  </si>
  <si>
    <t>New BOI assignemnts</t>
  </si>
  <si>
    <t>FDI</t>
  </si>
  <si>
    <t>Copper and Aluminium prices</t>
  </si>
  <si>
    <t>Net margins</t>
  </si>
  <si>
    <t>GP margin</t>
  </si>
  <si>
    <t>Cost of material</t>
  </si>
  <si>
    <t>Copper prices $/MT</t>
  </si>
  <si>
    <t>Cost of Aluminium</t>
  </si>
  <si>
    <t>Aluminium prices $/MT</t>
  </si>
  <si>
    <t>Other costs</t>
  </si>
  <si>
    <t>World Bank</t>
  </si>
  <si>
    <t>Exchange rate LKR/USD</t>
  </si>
  <si>
    <t>Cost of Copper</t>
  </si>
  <si>
    <t>Capacity utilisation</t>
  </si>
  <si>
    <t>Capacity of the copper plant (MT)</t>
  </si>
  <si>
    <t>Capacity of the aluminium plant(MT)</t>
  </si>
  <si>
    <t>Copper volume (MT)</t>
  </si>
  <si>
    <t>Aluminium volume (MT)</t>
  </si>
  <si>
    <t>3 year average</t>
  </si>
  <si>
    <t>Cash and cash equivalents on BS</t>
  </si>
  <si>
    <t>Cash at end as of CFS</t>
  </si>
  <si>
    <t>Investment in associate</t>
  </si>
  <si>
    <t>Share of profit</t>
  </si>
  <si>
    <t>Interest Received/ (Paid)</t>
  </si>
  <si>
    <t>Capex / Sales</t>
  </si>
  <si>
    <t>Asset turnover</t>
  </si>
  <si>
    <t>ROE</t>
  </si>
  <si>
    <t>Admin expenses w/o depreciation</t>
  </si>
  <si>
    <t>Tax expense</t>
  </si>
  <si>
    <t>Effective tax rate</t>
  </si>
  <si>
    <t>Non controlling interest</t>
  </si>
  <si>
    <t>Net income attributable to NCI</t>
  </si>
  <si>
    <t>Dividends paid to NCI</t>
  </si>
  <si>
    <t>As a % of total net income</t>
  </si>
  <si>
    <t>As a % of investment</t>
  </si>
  <si>
    <t>Local and export revenue</t>
  </si>
  <si>
    <t>Value</t>
  </si>
  <si>
    <t>Percentage</t>
  </si>
  <si>
    <t>No of shares(Mn) befpre split</t>
  </si>
  <si>
    <t>No of shared (Mn) after split</t>
  </si>
  <si>
    <t>EPS (before share split)</t>
  </si>
  <si>
    <t>EPS (after share split)</t>
  </si>
  <si>
    <t>Segmental analysis</t>
  </si>
  <si>
    <t>Valuation summary</t>
  </si>
  <si>
    <t>Terminal growth rate</t>
  </si>
  <si>
    <t>Cost of equity</t>
  </si>
  <si>
    <t>DCF valuation</t>
  </si>
  <si>
    <t>FY20E</t>
  </si>
  <si>
    <t>Retention rate</t>
  </si>
  <si>
    <t>Risk free rate</t>
  </si>
  <si>
    <t>Beta</t>
  </si>
  <si>
    <t>Market return</t>
  </si>
  <si>
    <t>Discount factor</t>
  </si>
  <si>
    <t>PV</t>
  </si>
  <si>
    <t>Target price</t>
  </si>
  <si>
    <t>Assumptions</t>
  </si>
  <si>
    <t>LKR Mn unless stated otherwise</t>
  </si>
  <si>
    <t>Current price</t>
  </si>
  <si>
    <t>Return</t>
  </si>
  <si>
    <t>Less: WCInv</t>
  </si>
  <si>
    <t>Less: FCInv</t>
  </si>
  <si>
    <t>Terminal value (LKR)</t>
  </si>
  <si>
    <t>Target price (LKR)</t>
  </si>
  <si>
    <t>EBIT (1-t)</t>
  </si>
  <si>
    <t>No of shares</t>
  </si>
  <si>
    <t>Debt</t>
  </si>
  <si>
    <t>Equity value</t>
  </si>
  <si>
    <t>Add: depreciation and amortisation</t>
  </si>
  <si>
    <t>Cost of debt</t>
  </si>
  <si>
    <t>MVE</t>
  </si>
  <si>
    <t>MVD</t>
  </si>
  <si>
    <t>WACC</t>
  </si>
  <si>
    <t>FCFE</t>
  </si>
  <si>
    <t>Free cash flow</t>
  </si>
  <si>
    <t>No of shares (after split)</t>
  </si>
  <si>
    <t>PBV</t>
  </si>
  <si>
    <t>Current share price</t>
  </si>
  <si>
    <t>Balance Sheet Drivers</t>
  </si>
  <si>
    <t>IS and BS Assumptions</t>
  </si>
  <si>
    <t>PPS</t>
  </si>
  <si>
    <t>Comps</t>
  </si>
  <si>
    <t>SIRA.N0000</t>
  </si>
  <si>
    <t>MPS</t>
  </si>
  <si>
    <t>KCAB.N0000</t>
  </si>
  <si>
    <t>NAVPS</t>
  </si>
  <si>
    <t>NAVPS (after split)</t>
  </si>
  <si>
    <t>NAVPS (before split)</t>
  </si>
  <si>
    <t>Peer average</t>
  </si>
  <si>
    <t>Manufacturing sector</t>
  </si>
  <si>
    <t>ACL.N0000</t>
  </si>
  <si>
    <t>ALUF.N0000</t>
  </si>
  <si>
    <t>Cash</t>
  </si>
  <si>
    <t>PBT</t>
  </si>
  <si>
    <t>EBITDA</t>
  </si>
  <si>
    <t>GP</t>
  </si>
  <si>
    <t>NP</t>
  </si>
  <si>
    <t>CA</t>
  </si>
  <si>
    <t>CL</t>
  </si>
  <si>
    <t>OCF</t>
  </si>
  <si>
    <t>Total assets</t>
  </si>
  <si>
    <t>NP - equity</t>
  </si>
  <si>
    <t>D&amp;A</t>
  </si>
  <si>
    <t>Finance cost(income)</t>
  </si>
  <si>
    <t>Non op gains (losses)</t>
  </si>
  <si>
    <t>NAV - controlling</t>
  </si>
  <si>
    <t>EBITDA (operating)</t>
  </si>
  <si>
    <t>EV</t>
  </si>
  <si>
    <t>NAVPS (after share split)</t>
  </si>
  <si>
    <t>No of shares (Mn after split)</t>
  </si>
  <si>
    <t>LKR Mn except per share data</t>
  </si>
  <si>
    <t>Net margin</t>
  </si>
  <si>
    <t>Interest cover</t>
  </si>
  <si>
    <t>Debt to equity</t>
  </si>
  <si>
    <t>Current ratio</t>
  </si>
  <si>
    <t>Dividend yield</t>
  </si>
  <si>
    <t>Dividend payout</t>
  </si>
  <si>
    <t>Revenue growth</t>
  </si>
  <si>
    <t>Total asset growth</t>
  </si>
  <si>
    <t>ROA</t>
  </si>
  <si>
    <t>Less: debt</t>
  </si>
  <si>
    <t>Net income growth</t>
  </si>
  <si>
    <t>Gross profit</t>
  </si>
  <si>
    <t>SG&amp;A</t>
  </si>
  <si>
    <t>Net income</t>
  </si>
  <si>
    <t>Summary financials</t>
  </si>
  <si>
    <t>Gross margin</t>
  </si>
  <si>
    <t>Other non current assets</t>
  </si>
  <si>
    <t>Current assets</t>
  </si>
  <si>
    <t>Total equtiy</t>
  </si>
  <si>
    <t>Non current liabilities</t>
  </si>
  <si>
    <t>Current liabilities</t>
  </si>
  <si>
    <t>EPS (adjusted)</t>
  </si>
  <si>
    <t>DPS (adjusted)</t>
  </si>
  <si>
    <t>Total equity and liabilities</t>
  </si>
  <si>
    <t>MPS (annual average)</t>
  </si>
  <si>
    <t>ACL Cables PLC</t>
  </si>
  <si>
    <t>First Capital Equities</t>
  </si>
  <si>
    <t>Total non-current liabilities</t>
  </si>
  <si>
    <t>Total current liabilties</t>
  </si>
  <si>
    <t>Share of profit of associate</t>
  </si>
  <si>
    <t>2020E</t>
  </si>
  <si>
    <t>Justified PBV</t>
  </si>
  <si>
    <t>Growth rate</t>
  </si>
  <si>
    <t>Peer PBV</t>
  </si>
  <si>
    <t>Peer PER</t>
  </si>
  <si>
    <t>PPS under PE bands</t>
  </si>
  <si>
    <t xml:space="preserve">Debt </t>
  </si>
  <si>
    <t>Depreciation and amortisation</t>
  </si>
  <si>
    <t>Finance expense</t>
  </si>
  <si>
    <t>Sensitivity analysis</t>
  </si>
  <si>
    <t>Profit/ loss on disposal of PPE</t>
  </si>
  <si>
    <t>YoY%</t>
  </si>
  <si>
    <t>Cable revenues</t>
  </si>
  <si>
    <t>Copper cables</t>
  </si>
  <si>
    <t>Aluminium cables</t>
  </si>
  <si>
    <t>Copper revenues</t>
  </si>
  <si>
    <t>Average price</t>
  </si>
  <si>
    <t>Volumes</t>
  </si>
  <si>
    <t>Aluminium revenues</t>
  </si>
  <si>
    <t>Average price LKR Mn per MT</t>
  </si>
  <si>
    <t>Main inventories</t>
  </si>
  <si>
    <t>Total Cu / Al volume (MT)</t>
  </si>
  <si>
    <t xml:space="preserve">Based on 2012 data/ Management </t>
  </si>
  <si>
    <t>FC forecast - depreciate 3.5%</t>
  </si>
  <si>
    <t>CAGR</t>
  </si>
  <si>
    <t>From FC forecast above</t>
  </si>
  <si>
    <t>Growth rates</t>
  </si>
  <si>
    <t>Common size IS</t>
  </si>
  <si>
    <t>Common size BS</t>
  </si>
  <si>
    <t>Total non current assets</t>
  </si>
  <si>
    <t>Total current assets</t>
  </si>
  <si>
    <t>Capacity expansion of 10% in FY17E</t>
  </si>
  <si>
    <t>Buy below price</t>
  </si>
  <si>
    <t>Dividend</t>
  </si>
  <si>
    <t>Fair value</t>
  </si>
  <si>
    <t>Budget/ average</t>
  </si>
  <si>
    <t>Recommendation</t>
  </si>
  <si>
    <t>Recommendation criteria</t>
  </si>
  <si>
    <t>BUY</t>
  </si>
  <si>
    <t>HOLD</t>
  </si>
  <si>
    <t>SELL</t>
  </si>
  <si>
    <t>Last 3 year average</t>
  </si>
  <si>
    <t>KEY DATA</t>
  </si>
  <si>
    <t>Share Price (LKR)</t>
  </si>
  <si>
    <t xml:space="preserve">52w High/Low (LKR) </t>
  </si>
  <si>
    <t>Average Daily Volume (Shares)</t>
  </si>
  <si>
    <t>Average Daily Turnover (LKR)</t>
  </si>
  <si>
    <t>Market Capitalisation (LKR mn)</t>
  </si>
  <si>
    <t xml:space="preserve">Price Performance (%) </t>
  </si>
  <si>
    <t>1 mth</t>
  </si>
  <si>
    <t>3 mths</t>
  </si>
  <si>
    <t>12mths</t>
  </si>
  <si>
    <t>ASPI</t>
  </si>
  <si>
    <t>Major Shareholders as at 31st Mar 2016</t>
  </si>
  <si>
    <t>Estimated Free Float</t>
  </si>
  <si>
    <t>YoY % Growth</t>
  </si>
  <si>
    <t>Valuations</t>
  </si>
  <si>
    <t>PER (x)</t>
  </si>
  <si>
    <t>PBV (x)</t>
  </si>
  <si>
    <t>OHLC Values</t>
  </si>
  <si>
    <t>Security</t>
  </si>
  <si>
    <t>Opening Price</t>
  </si>
  <si>
    <t>High Price</t>
  </si>
  <si>
    <t>Low Price</t>
  </si>
  <si>
    <t>Closing Price</t>
  </si>
  <si>
    <t>Total Turnover</t>
  </si>
  <si>
    <t>58.00</t>
  </si>
  <si>
    <t>57.80</t>
  </si>
  <si>
    <t>6267035.2</t>
  </si>
  <si>
    <t>59.00</t>
  </si>
  <si>
    <t>645820</t>
  </si>
  <si>
    <t>7839538</t>
  </si>
  <si>
    <t>3132852.5</t>
  </si>
  <si>
    <t>58.20</t>
  </si>
  <si>
    <t>58.10</t>
  </si>
  <si>
    <t>283841.6</t>
  </si>
  <si>
    <t>59.90</t>
  </si>
  <si>
    <t>58.50</t>
  </si>
  <si>
    <t>486169.6</t>
  </si>
  <si>
    <t>2456944.5</t>
  </si>
  <si>
    <t>54.20</t>
  </si>
  <si>
    <t>40917.9</t>
  </si>
  <si>
    <t>56.00</t>
  </si>
  <si>
    <t>56000</t>
  </si>
  <si>
    <t>52.70</t>
  </si>
  <si>
    <t>736273</t>
  </si>
  <si>
    <t>113.50</t>
  </si>
  <si>
    <t>113.00</t>
  </si>
  <si>
    <t>10968520.9</t>
  </si>
  <si>
    <t>115.00</t>
  </si>
  <si>
    <t>113.10</t>
  </si>
  <si>
    <t>35039511</t>
  </si>
  <si>
    <t>114.00</t>
  </si>
  <si>
    <t>3293245</t>
  </si>
  <si>
    <t>116.60</t>
  </si>
  <si>
    <t>13319310</t>
  </si>
  <si>
    <t>116.00</t>
  </si>
  <si>
    <t>180462</t>
  </si>
  <si>
    <t>117.50</t>
  </si>
  <si>
    <t>2641894.1</t>
  </si>
  <si>
    <t>810498.9</t>
  </si>
  <si>
    <t>115.10</t>
  </si>
  <si>
    <t>517208.7</t>
  </si>
  <si>
    <t>116.50</t>
  </si>
  <si>
    <t>1784666</t>
  </si>
  <si>
    <t>755336.5</t>
  </si>
  <si>
    <t>118.30</t>
  </si>
  <si>
    <t>117.10</t>
  </si>
  <si>
    <t>1346780.8</t>
  </si>
  <si>
    <t>118.50</t>
  </si>
  <si>
    <t>117.00</t>
  </si>
  <si>
    <t>10846562.5</t>
  </si>
  <si>
    <t>120.00</t>
  </si>
  <si>
    <t>118.00</t>
  </si>
  <si>
    <t>301370</t>
  </si>
  <si>
    <t>119.00</t>
  </si>
  <si>
    <t>151675.2</t>
  </si>
  <si>
    <t>118.60</t>
  </si>
  <si>
    <t>1495873</t>
  </si>
  <si>
    <t>118.20</t>
  </si>
  <si>
    <t>118.10</t>
  </si>
  <si>
    <t>624312.1</t>
  </si>
  <si>
    <t>120.20</t>
  </si>
  <si>
    <t>119.50</t>
  </si>
  <si>
    <t>71116.1</t>
  </si>
  <si>
    <t>121.00</t>
  </si>
  <si>
    <t>1130364</t>
  </si>
  <si>
    <t>472984</t>
  </si>
  <si>
    <t>659546</t>
  </si>
  <si>
    <t>2555045.5</t>
  </si>
  <si>
    <t>121.20</t>
  </si>
  <si>
    <t>1939497.5</t>
  </si>
  <si>
    <t>120.50</t>
  </si>
  <si>
    <t>414927.9</t>
  </si>
  <si>
    <t>122.40</t>
  </si>
  <si>
    <t>2686814.6</t>
  </si>
  <si>
    <t>123.00</t>
  </si>
  <si>
    <t>121.10</t>
  </si>
  <si>
    <t>1839968.6</t>
  </si>
  <si>
    <t>122.80</t>
  </si>
  <si>
    <t>122.00</t>
  </si>
  <si>
    <t>479434.7</t>
  </si>
  <si>
    <t>1956574.5</t>
  </si>
  <si>
    <t>124.40</t>
  </si>
  <si>
    <t>124.00</t>
  </si>
  <si>
    <t>1961034</t>
  </si>
  <si>
    <t>122.70</t>
  </si>
  <si>
    <t>30686704.4</t>
  </si>
  <si>
    <t>124.20</t>
  </si>
  <si>
    <t>7060367.3</t>
  </si>
  <si>
    <t>125.00</t>
  </si>
  <si>
    <t>4360916.8</t>
  </si>
  <si>
    <t>9990271.6</t>
  </si>
  <si>
    <t>78861588.2</t>
  </si>
  <si>
    <t>67178541.6</t>
  </si>
  <si>
    <t>6921023.2</t>
  </si>
  <si>
    <t>112.00</t>
  </si>
  <si>
    <t>111.00</t>
  </si>
  <si>
    <t>813666.4</t>
  </si>
  <si>
    <t>867303</t>
  </si>
  <si>
    <t>112.60</t>
  </si>
  <si>
    <t>112.50</t>
  </si>
  <si>
    <t>59078.5</t>
  </si>
  <si>
    <t>113.60</t>
  </si>
  <si>
    <t>2827989</t>
  </si>
  <si>
    <t>113.90</t>
  </si>
  <si>
    <t>1029424.8</t>
  </si>
  <si>
    <t>109.20</t>
  </si>
  <si>
    <t>5263504.8</t>
  </si>
  <si>
    <t>789529.6</t>
  </si>
  <si>
    <t>112.80</t>
  </si>
  <si>
    <t>175476.7</t>
  </si>
  <si>
    <t>109.10</t>
  </si>
  <si>
    <t>227959.2</t>
  </si>
  <si>
    <t>112.30</t>
  </si>
  <si>
    <t>1318792.4</t>
  </si>
  <si>
    <t>108.50</t>
  </si>
  <si>
    <t>2054249</t>
  </si>
  <si>
    <t>107.00</t>
  </si>
  <si>
    <t>1264707.6</t>
  </si>
  <si>
    <t>727970</t>
  </si>
  <si>
    <t>106.50</t>
  </si>
  <si>
    <t>519065</t>
  </si>
  <si>
    <t>107.40</t>
  </si>
  <si>
    <t>1099725</t>
  </si>
  <si>
    <t>105.20</t>
  </si>
  <si>
    <t>534513.7</t>
  </si>
  <si>
    <t>102.00</t>
  </si>
  <si>
    <t>156802.1</t>
  </si>
  <si>
    <t>107.90</t>
  </si>
  <si>
    <t>395334.4</t>
  </si>
  <si>
    <t>104.00</t>
  </si>
  <si>
    <t>6448494</t>
  </si>
  <si>
    <t>103.00</t>
  </si>
  <si>
    <t>102.80</t>
  </si>
  <si>
    <t>530642</t>
  </si>
  <si>
    <t>102.90</t>
  </si>
  <si>
    <t>1104352</t>
  </si>
  <si>
    <t>100.00</t>
  </si>
  <si>
    <t>2992475</t>
  </si>
  <si>
    <t>101.50</t>
  </si>
  <si>
    <t>899965.4</t>
  </si>
  <si>
    <t>101.00</t>
  </si>
  <si>
    <t>1076279.7</t>
  </si>
  <si>
    <t>30300</t>
  </si>
  <si>
    <t>95.10</t>
  </si>
  <si>
    <t>1952744.7</t>
  </si>
  <si>
    <t>103.50</t>
  </si>
  <si>
    <t>103.5</t>
  </si>
  <si>
    <t>0</t>
  </si>
  <si>
    <t>103700</t>
  </si>
  <si>
    <t>62797.7</t>
  </si>
  <si>
    <t>105.00</t>
  </si>
  <si>
    <t>685165.5</t>
  </si>
  <si>
    <t>99.00</t>
  </si>
  <si>
    <t>1266580.3</t>
  </si>
  <si>
    <t>99.80</t>
  </si>
  <si>
    <t>427687.1</t>
  </si>
  <si>
    <t>98.10</t>
  </si>
  <si>
    <t>95.00</t>
  </si>
  <si>
    <t>456629.3</t>
  </si>
  <si>
    <t>98.20</t>
  </si>
  <si>
    <t>550523</t>
  </si>
  <si>
    <t>4455761.5</t>
  </si>
  <si>
    <t>96.00</t>
  </si>
  <si>
    <t>88.00</t>
  </si>
  <si>
    <t>1305353.7</t>
  </si>
  <si>
    <t>99.20</t>
  </si>
  <si>
    <t>1393491.5</t>
  </si>
  <si>
    <t>101.80</t>
  </si>
  <si>
    <t>323575.8</t>
  </si>
  <si>
    <t>98.00</t>
  </si>
  <si>
    <t>2750055</t>
  </si>
  <si>
    <t>3224955</t>
  </si>
  <si>
    <t>101.60</t>
  </si>
  <si>
    <t>2913083.3</t>
  </si>
  <si>
    <t>9801250</t>
  </si>
  <si>
    <t>29205818.9</t>
  </si>
  <si>
    <t>102.50</t>
  </si>
  <si>
    <t>118835.5</t>
  </si>
  <si>
    <t>1860834.4</t>
  </si>
  <si>
    <t>103.20</t>
  </si>
  <si>
    <t>5715342.4</t>
  </si>
  <si>
    <t>3823593.6</t>
  </si>
  <si>
    <t>5837131.7</t>
  </si>
  <si>
    <t>110.00</t>
  </si>
  <si>
    <t>1815969.7</t>
  </si>
  <si>
    <t>111.90</t>
  </si>
  <si>
    <t>1185760.7</t>
  </si>
  <si>
    <t>109.00</t>
  </si>
  <si>
    <t>1027068.5</t>
  </si>
  <si>
    <t>110.20</t>
  </si>
  <si>
    <t>109.50</t>
  </si>
  <si>
    <t>937318.8</t>
  </si>
  <si>
    <t>110.10</t>
  </si>
  <si>
    <t>591770.7</t>
  </si>
  <si>
    <t>114.80</t>
  </si>
  <si>
    <t>724632.8</t>
  </si>
  <si>
    <t>115.80</t>
  </si>
  <si>
    <t>580165</t>
  </si>
  <si>
    <t>906741.6</t>
  </si>
  <si>
    <t>1281611</t>
  </si>
  <si>
    <t>836608</t>
  </si>
  <si>
    <t>113.80</t>
  </si>
  <si>
    <t>5313639.8</t>
  </si>
  <si>
    <t>1143512.2</t>
  </si>
  <si>
    <t>112.40</t>
  </si>
  <si>
    <t>187347</t>
  </si>
  <si>
    <t>1468392</t>
  </si>
  <si>
    <t>109.90</t>
  </si>
  <si>
    <t>1823557</t>
  </si>
  <si>
    <t>108.10</t>
  </si>
  <si>
    <t>108.00</t>
  </si>
  <si>
    <t>249220</t>
  </si>
  <si>
    <t>626343.1</t>
  </si>
  <si>
    <t>4965749.9</t>
  </si>
  <si>
    <t>2572727.5</t>
  </si>
  <si>
    <t>106.00</t>
  </si>
  <si>
    <t>1646003.9</t>
  </si>
  <si>
    <t>17886891</t>
  </si>
  <si>
    <t>2125538.3</t>
  </si>
  <si>
    <t>111.30</t>
  </si>
  <si>
    <t>4211354.9</t>
  </si>
  <si>
    <t>5506583.1</t>
  </si>
  <si>
    <t>16805645.9</t>
  </si>
  <si>
    <t>115.50</t>
  </si>
  <si>
    <t>111.10</t>
  </si>
  <si>
    <t>3330141.5</t>
  </si>
  <si>
    <t>3286586</t>
  </si>
  <si>
    <t>1279114.2</t>
  </si>
  <si>
    <t>1575710</t>
  </si>
  <si>
    <t>119.60</t>
  </si>
  <si>
    <t>2341659.5</t>
  </si>
  <si>
    <t>4960340</t>
  </si>
  <si>
    <t>120.80</t>
  </si>
  <si>
    <t>1826300.5</t>
  </si>
  <si>
    <t>3101924</t>
  </si>
  <si>
    <t>299087.6</t>
  </si>
  <si>
    <t>987697.5</t>
  </si>
  <si>
    <t>119.40</t>
  </si>
  <si>
    <t>59819.4</t>
  </si>
  <si>
    <t>1277251</t>
  </si>
  <si>
    <t>119.10</t>
  </si>
  <si>
    <t>537193.2</t>
  </si>
  <si>
    <t>15632879</t>
  </si>
  <si>
    <t>116.10</t>
  </si>
  <si>
    <t>1196976.2</t>
  </si>
  <si>
    <t>2359463</t>
  </si>
  <si>
    <t>117.20</t>
  </si>
  <si>
    <t>2736776.4</t>
  </si>
  <si>
    <t>115.90</t>
  </si>
  <si>
    <t>2623810</t>
  </si>
  <si>
    <t>115.20</t>
  </si>
  <si>
    <t>3329893.2</t>
  </si>
  <si>
    <t>7008398.2</t>
  </si>
  <si>
    <t>116.90</t>
  </si>
  <si>
    <t>1361036</t>
  </si>
  <si>
    <t>7719428.5</t>
  </si>
  <si>
    <t>2548030</t>
  </si>
  <si>
    <t>118.90</t>
  </si>
  <si>
    <t>1418557.7</t>
  </si>
  <si>
    <t>117.60</t>
  </si>
  <si>
    <t>604316.6</t>
  </si>
  <si>
    <t>3716699.1</t>
  </si>
  <si>
    <t>2721033.4</t>
  </si>
  <si>
    <t>116.20</t>
  </si>
  <si>
    <t>724419</t>
  </si>
  <si>
    <t>1922185.3</t>
  </si>
  <si>
    <t>117.90</t>
  </si>
  <si>
    <t>2167217.1</t>
  </si>
  <si>
    <t>119.90</t>
  </si>
  <si>
    <t>279024.4</t>
  </si>
  <si>
    <t>12412200</t>
  </si>
  <si>
    <t>10623471.9</t>
  </si>
  <si>
    <t>15722444.8</t>
  </si>
  <si>
    <t>6812920.4</t>
  </si>
  <si>
    <t>2785182.1</t>
  </si>
  <si>
    <t>3729337.7</t>
  </si>
  <si>
    <t>119.30</t>
  </si>
  <si>
    <t>1537889.5</t>
  </si>
  <si>
    <t>1542661.2</t>
  </si>
  <si>
    <t>119.70</t>
  </si>
  <si>
    <t>2065799.5</t>
  </si>
  <si>
    <t>216000</t>
  </si>
  <si>
    <t>1191392</t>
  </si>
  <si>
    <t>954664</t>
  </si>
  <si>
    <t>118.70</t>
  </si>
  <si>
    <t>6112777.7</t>
  </si>
  <si>
    <t>12566083</t>
  </si>
  <si>
    <t>1097180</t>
  </si>
  <si>
    <t>1929141.2</t>
  </si>
  <si>
    <t>2659360</t>
  </si>
  <si>
    <t>120.10</t>
  </si>
  <si>
    <t>5825441.5</t>
  </si>
  <si>
    <t>120.70</t>
  </si>
  <si>
    <t>5094832</t>
  </si>
  <si>
    <t>9130499.7</t>
  </si>
  <si>
    <t>4323106.6</t>
  </si>
  <si>
    <t>120.90</t>
  </si>
  <si>
    <t>3545548.4</t>
  </si>
  <si>
    <t>3515002.5</t>
  </si>
  <si>
    <t>5038363.5</t>
  </si>
  <si>
    <t>10028818.5</t>
  </si>
  <si>
    <t>122.10</t>
  </si>
  <si>
    <t>5211670</t>
  </si>
  <si>
    <t>5158688.5</t>
  </si>
  <si>
    <t>126.70</t>
  </si>
  <si>
    <t>33680374.6</t>
  </si>
  <si>
    <t>128.00</t>
  </si>
  <si>
    <t>7221931.2</t>
  </si>
  <si>
    <t>63132563.2</t>
  </si>
  <si>
    <t>119.80</t>
  </si>
  <si>
    <t>4508508.1</t>
  </si>
  <si>
    <t>5343747.5</t>
  </si>
  <si>
    <t>33939019.1</t>
  </si>
  <si>
    <t>114.90</t>
  </si>
  <si>
    <t>39195271.1</t>
  </si>
  <si>
    <t>24106475.6</t>
  </si>
  <si>
    <t>489947</t>
  </si>
  <si>
    <t>1840985.6</t>
  </si>
  <si>
    <t>1085683.5</t>
  </si>
  <si>
    <t>2388780</t>
  </si>
  <si>
    <t>108.60</t>
  </si>
  <si>
    <t>2883056</t>
  </si>
  <si>
    <t>109.40</t>
  </si>
  <si>
    <t>802534.1</t>
  </si>
  <si>
    <t>2043400.5</t>
  </si>
  <si>
    <t>2812420.7</t>
  </si>
  <si>
    <t>901639.2</t>
  </si>
  <si>
    <t>45336315</t>
  </si>
  <si>
    <t>6370766</t>
  </si>
  <si>
    <t>8460211.6</t>
  </si>
  <si>
    <t>7388843.6</t>
  </si>
  <si>
    <t>6473668.7</t>
  </si>
  <si>
    <t>111.50</t>
  </si>
  <si>
    <t>5855747.8</t>
  </si>
  <si>
    <t>1880973.2</t>
  </si>
  <si>
    <t>3820643.5</t>
  </si>
  <si>
    <t>3834228.7</t>
  </si>
  <si>
    <t>962310.9</t>
  </si>
  <si>
    <t>1645585</t>
  </si>
  <si>
    <t>7544634.7</t>
  </si>
  <si>
    <t>114.50</t>
  </si>
  <si>
    <t>114.20</t>
  </si>
  <si>
    <t>20466177.2</t>
  </si>
  <si>
    <t>7469607</t>
  </si>
  <si>
    <t>19382356.5</t>
  </si>
  <si>
    <t>11439479.6</t>
  </si>
  <si>
    <t>112.90</t>
  </si>
  <si>
    <t>2121419</t>
  </si>
  <si>
    <t>114.10</t>
  </si>
  <si>
    <t>16043038</t>
  </si>
  <si>
    <t>6910392.7</t>
  </si>
  <si>
    <t>118.80</t>
  </si>
  <si>
    <t>6058178</t>
  </si>
  <si>
    <t>121.50</t>
  </si>
  <si>
    <t>11875172.5</t>
  </si>
  <si>
    <t>7798201.8</t>
  </si>
  <si>
    <t>126.00</t>
  </si>
  <si>
    <t>17156997.5</t>
  </si>
  <si>
    <t>66157369.2</t>
  </si>
  <si>
    <t>110.50</t>
  </si>
  <si>
    <t>9692777.3</t>
  </si>
  <si>
    <t>4913332.1</t>
  </si>
  <si>
    <t>7567935.1</t>
  </si>
  <si>
    <t>22109419.1</t>
  </si>
  <si>
    <t>13967446.5</t>
  </si>
  <si>
    <t>6640600.2</t>
  </si>
  <si>
    <t>107.20</t>
  </si>
  <si>
    <t>52663949.2</t>
  </si>
  <si>
    <t>48876144.1</t>
  </si>
  <si>
    <t>104.50</t>
  </si>
  <si>
    <t>33925799.3</t>
  </si>
  <si>
    <t>9143453.1</t>
  </si>
  <si>
    <t>16945785.4</t>
  </si>
  <si>
    <t>97.10</t>
  </si>
  <si>
    <t>24573812.9</t>
  </si>
  <si>
    <t>98.50</t>
  </si>
  <si>
    <t>97.90</t>
  </si>
  <si>
    <t>2237662.4</t>
  </si>
  <si>
    <t>97.00</t>
  </si>
  <si>
    <t>96.20</t>
  </si>
  <si>
    <t>28363137.9</t>
  </si>
  <si>
    <t>14978958.6</t>
  </si>
  <si>
    <t>94.50</t>
  </si>
  <si>
    <t>93.00</t>
  </si>
  <si>
    <t>4958646.2</t>
  </si>
  <si>
    <t>93.30</t>
  </si>
  <si>
    <t>2390081.3</t>
  </si>
  <si>
    <t>94.30</t>
  </si>
  <si>
    <t>93.60</t>
  </si>
  <si>
    <t>1459847.2</t>
  </si>
  <si>
    <t>93.50</t>
  </si>
  <si>
    <t>825404.2</t>
  </si>
  <si>
    <t>93.10</t>
  </si>
  <si>
    <t>788978.9</t>
  </si>
  <si>
    <t>94.90</t>
  </si>
  <si>
    <t>92.50</t>
  </si>
  <si>
    <t>3798809.1</t>
  </si>
  <si>
    <t>93.90</t>
  </si>
  <si>
    <t>21846740.4</t>
  </si>
  <si>
    <t>92.00</t>
  </si>
  <si>
    <t>5674068.5</t>
  </si>
  <si>
    <t>9486</t>
  </si>
  <si>
    <t>92.90</t>
  </si>
  <si>
    <t>90.50</t>
  </si>
  <si>
    <t>2104022.4</t>
  </si>
  <si>
    <t>90.90</t>
  </si>
  <si>
    <t>90.00</t>
  </si>
  <si>
    <t>3259683.5</t>
  </si>
  <si>
    <t>91.00</t>
  </si>
  <si>
    <t>455</t>
  </si>
  <si>
    <t>90.20</t>
  </si>
  <si>
    <t>89.30</t>
  </si>
  <si>
    <t>181033.6</t>
  </si>
  <si>
    <t>3034114</t>
  </si>
  <si>
    <t>91.60</t>
  </si>
  <si>
    <t>12368</t>
  </si>
  <si>
    <t>5496538.4</t>
  </si>
  <si>
    <t>1915326</t>
  </si>
  <si>
    <t>19444811.3</t>
  </si>
  <si>
    <t>92.40</t>
  </si>
  <si>
    <t>2362729.4</t>
  </si>
  <si>
    <t>92.70</t>
  </si>
  <si>
    <t>872475.7</t>
  </si>
  <si>
    <t>1308201.9</t>
  </si>
  <si>
    <t>91.70</t>
  </si>
  <si>
    <t>3271132.7</t>
  </si>
  <si>
    <t>2156992</t>
  </si>
  <si>
    <t>91.50</t>
  </si>
  <si>
    <t>1752146.5</t>
  </si>
  <si>
    <t>91.40</t>
  </si>
  <si>
    <t>109780</t>
  </si>
  <si>
    <t>91.20</t>
  </si>
  <si>
    <t>1602609</t>
  </si>
  <si>
    <t>91.80</t>
  </si>
  <si>
    <t>4185268.3</t>
  </si>
  <si>
    <t>1931838</t>
  </si>
  <si>
    <t>5434257</t>
  </si>
  <si>
    <t>91.30</t>
  </si>
  <si>
    <t>3097298</t>
  </si>
  <si>
    <t>92.10</t>
  </si>
  <si>
    <t>5108174.1</t>
  </si>
  <si>
    <t>1479547.3</t>
  </si>
  <si>
    <t>1710148.9</t>
  </si>
  <si>
    <t>6637684.9</t>
  </si>
  <si>
    <t>94.00</t>
  </si>
  <si>
    <t>5605741.9</t>
  </si>
  <si>
    <t>69022234</t>
  </si>
  <si>
    <t>89.60</t>
  </si>
  <si>
    <t>87.00</t>
  </si>
  <si>
    <t>26183010.8</t>
  </si>
  <si>
    <t>88.90</t>
  </si>
  <si>
    <t>88.50</t>
  </si>
  <si>
    <t>2006935</t>
  </si>
  <si>
    <t>968000</t>
  </si>
  <si>
    <t>89.80</t>
  </si>
  <si>
    <t>86.00</t>
  </si>
  <si>
    <t>3352397.5</t>
  </si>
  <si>
    <t>87.10</t>
  </si>
  <si>
    <t>478502.5</t>
  </si>
  <si>
    <t>86.60</t>
  </si>
  <si>
    <t>6436018.6</t>
  </si>
  <si>
    <t>86.10</t>
  </si>
  <si>
    <t>2210262.9</t>
  </si>
  <si>
    <t>86.50</t>
  </si>
  <si>
    <t>1982966.9</t>
  </si>
  <si>
    <t>713200</t>
  </si>
  <si>
    <t>4396531</t>
  </si>
  <si>
    <t>154934</t>
  </si>
  <si>
    <t>89.50</t>
  </si>
  <si>
    <t>3506374</t>
  </si>
  <si>
    <t>263790</t>
  </si>
  <si>
    <t>88.40</t>
  </si>
  <si>
    <t>3456910.5</t>
  </si>
  <si>
    <t>2557650</t>
  </si>
  <si>
    <t>89.70</t>
  </si>
  <si>
    <t>89700</t>
  </si>
  <si>
    <t>4887090</t>
  </si>
  <si>
    <t>89.00</t>
  </si>
  <si>
    <t>81152740.4</t>
  </si>
  <si>
    <t>27000000</t>
  </si>
  <si>
    <t>85.30</t>
  </si>
  <si>
    <t>62833815.4</t>
  </si>
  <si>
    <t>2497174.1</t>
  </si>
  <si>
    <t>84.00</t>
  </si>
  <si>
    <t>83.10</t>
  </si>
  <si>
    <t>40400891.9</t>
  </si>
  <si>
    <t>80.00</t>
  </si>
  <si>
    <t>52742231.4</t>
  </si>
  <si>
    <t>81.00</t>
  </si>
  <si>
    <t>2423909</t>
  </si>
  <si>
    <t>107847.3</t>
  </si>
  <si>
    <t>78.20</t>
  </si>
  <si>
    <t>78.10</t>
  </si>
  <si>
    <t>483722.9</t>
  </si>
  <si>
    <t>217138</t>
  </si>
  <si>
    <t>79.90</t>
  </si>
  <si>
    <t>799</t>
  </si>
  <si>
    <t>959.9</t>
  </si>
  <si>
    <t>78.00</t>
  </si>
  <si>
    <t>251893</t>
  </si>
  <si>
    <t>17060</t>
  </si>
  <si>
    <t>2282900</t>
  </si>
  <si>
    <t>7800</t>
  </si>
  <si>
    <t>76.50</t>
  </si>
  <si>
    <t>785508</t>
  </si>
  <si>
    <t>75.50</t>
  </si>
  <si>
    <t>75.30</t>
  </si>
  <si>
    <t>144390.2</t>
  </si>
  <si>
    <t>76.00</t>
  </si>
  <si>
    <t>1135000</t>
  </si>
  <si>
    <t>77.00</t>
  </si>
  <si>
    <t>76.80</t>
  </si>
  <si>
    <t>116040</t>
  </si>
  <si>
    <t>99647</t>
  </si>
  <si>
    <t>459562.2</t>
  </si>
  <si>
    <t>76.40</t>
  </si>
  <si>
    <t>75.00</t>
  </si>
  <si>
    <t>37660</t>
  </si>
  <si>
    <t>1836100</t>
  </si>
  <si>
    <t>74.00</t>
  </si>
  <si>
    <t>287398</t>
  </si>
  <si>
    <t>77.90</t>
  </si>
  <si>
    <t>16872</t>
  </si>
  <si>
    <t>75.40</t>
  </si>
  <si>
    <t>1876044.7</t>
  </si>
  <si>
    <t>140400</t>
  </si>
  <si>
    <t>78.30</t>
  </si>
  <si>
    <t>39391.5</t>
  </si>
  <si>
    <t>78.50</t>
  </si>
  <si>
    <t>94980</t>
  </si>
  <si>
    <t>280002</t>
  </si>
  <si>
    <t>77.20</t>
  </si>
  <si>
    <t>665116.7</t>
  </si>
  <si>
    <t>79.00</t>
  </si>
  <si>
    <t>46104.8</t>
  </si>
  <si>
    <t>79000</t>
  </si>
  <si>
    <t>1020280</t>
  </si>
  <si>
    <t>79.50</t>
  </si>
  <si>
    <t>543911.1</t>
  </si>
  <si>
    <t>80.60</t>
  </si>
  <si>
    <t>1938340</t>
  </si>
  <si>
    <t>80.70</t>
  </si>
  <si>
    <t>432569.6</t>
  </si>
  <si>
    <t>82.00</t>
  </si>
  <si>
    <t>6764842</t>
  </si>
  <si>
    <t>80.90</t>
  </si>
  <si>
    <t>80.50</t>
  </si>
  <si>
    <t>1987044</t>
  </si>
  <si>
    <t>691011</t>
  </si>
  <si>
    <t>83.00</t>
  </si>
  <si>
    <t>3612782</t>
  </si>
  <si>
    <t>81.80</t>
  </si>
  <si>
    <t>80.80</t>
  </si>
  <si>
    <t>2665425.7</t>
  </si>
  <si>
    <t>1463363</t>
  </si>
  <si>
    <t>82.50</t>
  </si>
  <si>
    <t>3121038.9</t>
  </si>
  <si>
    <t>1296757.4</t>
  </si>
  <si>
    <t>8552288.4</t>
  </si>
  <si>
    <t>1171617</t>
  </si>
  <si>
    <t>284890</t>
  </si>
  <si>
    <t>1360300.3</t>
  </si>
  <si>
    <t>932193</t>
  </si>
  <si>
    <t>4579700</t>
  </si>
  <si>
    <t>4869525</t>
  </si>
  <si>
    <t>79.40</t>
  </si>
  <si>
    <t>79.20</t>
  </si>
  <si>
    <t>3577978.7</t>
  </si>
  <si>
    <t>876501.6</t>
  </si>
  <si>
    <t>939070.8</t>
  </si>
  <si>
    <t>9153</t>
  </si>
  <si>
    <t>78.60</t>
  </si>
  <si>
    <t>39616.6</t>
  </si>
  <si>
    <t>80.10</t>
  </si>
  <si>
    <t>5266395</t>
  </si>
  <si>
    <t>1059362</t>
  </si>
  <si>
    <t>832000</t>
  </si>
  <si>
    <t>5411289</t>
  </si>
  <si>
    <t>1388368.6</t>
  </si>
  <si>
    <t>77.10</t>
  </si>
  <si>
    <t>84555</t>
  </si>
  <si>
    <t>77.50</t>
  </si>
  <si>
    <t>743205.5</t>
  </si>
  <si>
    <t>80475</t>
  </si>
  <si>
    <t>421225</t>
  </si>
  <si>
    <t>6004756.5</t>
  </si>
  <si>
    <t>827265.9</t>
  </si>
  <si>
    <t>204293.1</t>
  </si>
  <si>
    <t>79.10</t>
  </si>
  <si>
    <t>8386627</t>
  </si>
  <si>
    <t>80.20</t>
  </si>
  <si>
    <t>5617897</t>
  </si>
  <si>
    <t>9335169.6</t>
  </si>
  <si>
    <t>1287615</t>
  </si>
  <si>
    <t>78.90</t>
  </si>
  <si>
    <t>1037638.8</t>
  </si>
  <si>
    <t>153000</t>
  </si>
  <si>
    <t>76.30</t>
  </si>
  <si>
    <t>545325.7</t>
  </si>
  <si>
    <t>39374.5</t>
  </si>
  <si>
    <t>1530</t>
  </si>
  <si>
    <t>15400</t>
  </si>
  <si>
    <t>22950</t>
  </si>
  <si>
    <t>39023</t>
  </si>
  <si>
    <t>58548.1</t>
  </si>
  <si>
    <t>56690.9</t>
  </si>
  <si>
    <t>76.10</t>
  </si>
  <si>
    <t>3626997.5</t>
  </si>
  <si>
    <t>76.20</t>
  </si>
  <si>
    <t>1065562</t>
  </si>
  <si>
    <t>741600</t>
  </si>
  <si>
    <t>2716908.5</t>
  </si>
  <si>
    <t>422500</t>
  </si>
  <si>
    <t>23117</t>
  </si>
  <si>
    <t>13880262</t>
  </si>
  <si>
    <t>77.40</t>
  </si>
  <si>
    <t>116560</t>
  </si>
  <si>
    <t>12762971.5</t>
  </si>
  <si>
    <t>75.10</t>
  </si>
  <si>
    <t>95175.5</t>
  </si>
  <si>
    <t>329328</t>
  </si>
  <si>
    <t>74.50</t>
  </si>
  <si>
    <t>618009.5</t>
  </si>
  <si>
    <t>1681550.2</t>
  </si>
  <si>
    <t>959388</t>
  </si>
  <si>
    <t>6200537.5</t>
  </si>
  <si>
    <t>81.90</t>
  </si>
  <si>
    <t>22620791.8</t>
  </si>
  <si>
    <t>82.30</t>
  </si>
  <si>
    <t>11562029.2</t>
  </si>
  <si>
    <t>4520011.7</t>
  </si>
  <si>
    <t>10836516.5</t>
  </si>
  <si>
    <t>82.70</t>
  </si>
  <si>
    <t>28039787.9</t>
  </si>
  <si>
    <t>33367840.1</t>
  </si>
  <si>
    <t>42801274</t>
  </si>
  <si>
    <t>104843910.4</t>
  </si>
  <si>
    <t>1446851.6</t>
  </si>
  <si>
    <t>75.20</t>
  </si>
  <si>
    <t>6714080.8</t>
  </si>
  <si>
    <t>1153750</t>
  </si>
  <si>
    <t>1689248.8</t>
  </si>
  <si>
    <t>73.20</t>
  </si>
  <si>
    <t>1052600</t>
  </si>
  <si>
    <t>73.30</t>
  </si>
  <si>
    <t>137296.7</t>
  </si>
  <si>
    <t>74.90</t>
  </si>
  <si>
    <t>89231</t>
  </si>
  <si>
    <t>74.60</t>
  </si>
  <si>
    <t>2849915.6</t>
  </si>
  <si>
    <t>74.80</t>
  </si>
  <si>
    <t>49368</t>
  </si>
  <si>
    <t>374500.5</t>
  </si>
  <si>
    <t>73.10</t>
  </si>
  <si>
    <t>363789.5</t>
  </si>
  <si>
    <t>73.00</t>
  </si>
  <si>
    <t>62200</t>
  </si>
  <si>
    <t>25692726</t>
  </si>
  <si>
    <t>803022</t>
  </si>
  <si>
    <t>9083108</t>
  </si>
  <si>
    <t>6581072</t>
  </si>
  <si>
    <t>73.90</t>
  </si>
  <si>
    <t>1772531.9</t>
  </si>
  <si>
    <t>72.00</t>
  </si>
  <si>
    <t>43652.1</t>
  </si>
  <si>
    <t>2409243</t>
  </si>
  <si>
    <t>1526228</t>
  </si>
  <si>
    <t>2017316</t>
  </si>
  <si>
    <t>77.30</t>
  </si>
  <si>
    <t>790165.9</t>
  </si>
  <si>
    <t>5030504</t>
  </si>
  <si>
    <t>75.70</t>
  </si>
  <si>
    <t>5226173.1</t>
  </si>
  <si>
    <t>75.90</t>
  </si>
  <si>
    <t>1987794</t>
  </si>
  <si>
    <t>4662307.3</t>
  </si>
  <si>
    <t>77.60</t>
  </si>
  <si>
    <t>1252053.2</t>
  </si>
  <si>
    <t>1399037.9</t>
  </si>
  <si>
    <t>2615872</t>
  </si>
  <si>
    <t>6461011.7</t>
  </si>
  <si>
    <t>75.60</t>
  </si>
  <si>
    <t>35496509.1</t>
  </si>
  <si>
    <t>76.70</t>
  </si>
  <si>
    <t>499802</t>
  </si>
  <si>
    <t>23816842</t>
  </si>
  <si>
    <t>111248</t>
  </si>
  <si>
    <t>74.40</t>
  </si>
  <si>
    <t>8993757.2</t>
  </si>
  <si>
    <t>73.60</t>
  </si>
  <si>
    <t>825242.5</t>
  </si>
  <si>
    <t>9329776.7</t>
  </si>
  <si>
    <t>20856913.7</t>
  </si>
  <si>
    <t>71.90</t>
  </si>
  <si>
    <t>528043</t>
  </si>
  <si>
    <t>1465632.1</t>
  </si>
  <si>
    <t>71.50</t>
  </si>
  <si>
    <t>71.00</t>
  </si>
  <si>
    <t>2724667</t>
  </si>
  <si>
    <t>71.40</t>
  </si>
  <si>
    <t>70.60</t>
  </si>
  <si>
    <t>118411.6</t>
  </si>
  <si>
    <t>106411</t>
  </si>
  <si>
    <t>91192</t>
  </si>
  <si>
    <t>1227710</t>
  </si>
  <si>
    <t>70.50</t>
  </si>
  <si>
    <t>5367631.5</t>
  </si>
  <si>
    <t>1495549.7</t>
  </si>
  <si>
    <t>42556.2</t>
  </si>
  <si>
    <t>1003.8</t>
  </si>
  <si>
    <t>1093240</t>
  </si>
  <si>
    <t>70.30</t>
  </si>
  <si>
    <t>2084.6</t>
  </si>
  <si>
    <t>10137510.2</t>
  </si>
  <si>
    <t>70.20</t>
  </si>
  <si>
    <t>1687198.8</t>
  </si>
  <si>
    <t>72.60</t>
  </si>
  <si>
    <t>70.90</t>
  </si>
  <si>
    <t>619221.9</t>
  </si>
  <si>
    <t>72.50</t>
  </si>
  <si>
    <t>11237.5</t>
  </si>
  <si>
    <t>70.10</t>
  </si>
  <si>
    <t>2591179</t>
  </si>
  <si>
    <t>72.10</t>
  </si>
  <si>
    <t>220263</t>
  </si>
  <si>
    <t>1383623</t>
  </si>
  <si>
    <t>705229</t>
  </si>
  <si>
    <t>73.70</t>
  </si>
  <si>
    <t>7290803</t>
  </si>
  <si>
    <t>73.40</t>
  </si>
  <si>
    <t>1334047.7</t>
  </si>
  <si>
    <t>1471632.8</t>
  </si>
  <si>
    <t>72.80</t>
  </si>
  <si>
    <t>7563141</t>
  </si>
  <si>
    <t>71.20</t>
  </si>
  <si>
    <t>1641434.6</t>
  </si>
  <si>
    <t>11996427.2</t>
  </si>
  <si>
    <t>71.60</t>
  </si>
  <si>
    <t>70.80</t>
  </si>
  <si>
    <t>204383.2</t>
  </si>
  <si>
    <t>72565.2</t>
  </si>
  <si>
    <t>2424353.3</t>
  </si>
  <si>
    <t>1362605.4</t>
  </si>
  <si>
    <t>705757</t>
  </si>
  <si>
    <t>2233723.8</t>
  </si>
  <si>
    <t>70.70</t>
  </si>
  <si>
    <t>215085</t>
  </si>
  <si>
    <t>70.00</t>
  </si>
  <si>
    <t>4596682</t>
  </si>
  <si>
    <t>8772866</t>
  </si>
  <si>
    <t>69.90</t>
  </si>
  <si>
    <t>319870.9</t>
  </si>
  <si>
    <t>69.00</t>
  </si>
  <si>
    <t>648770</t>
  </si>
  <si>
    <t>6361112.1</t>
  </si>
  <si>
    <t>6547494.1</t>
  </si>
  <si>
    <t>68.50</t>
  </si>
  <si>
    <t>31723034.4</t>
  </si>
  <si>
    <t>67.10</t>
  </si>
  <si>
    <t>26254</t>
  </si>
  <si>
    <t>68.00</t>
  </si>
  <si>
    <t>67.00</t>
  </si>
  <si>
    <t>2310330</t>
  </si>
  <si>
    <t>372600</t>
  </si>
  <si>
    <t>68.90</t>
  </si>
  <si>
    <t>66.60</t>
  </si>
  <si>
    <t>7914745.9</t>
  </si>
  <si>
    <t>67.50</t>
  </si>
  <si>
    <t>66.20</t>
  </si>
  <si>
    <t>244914.9</t>
  </si>
  <si>
    <t>120973.4</t>
  </si>
  <si>
    <t>2343023</t>
  </si>
  <si>
    <t>9782</t>
  </si>
  <si>
    <t>66.00</t>
  </si>
  <si>
    <t>65.80</t>
  </si>
  <si>
    <t>4386624</t>
  </si>
  <si>
    <t>65.50</t>
  </si>
  <si>
    <t>131000</t>
  </si>
  <si>
    <t>65.00</t>
  </si>
  <si>
    <t>218030</t>
  </si>
  <si>
    <t>64.50</t>
  </si>
  <si>
    <t>64.20</t>
  </si>
  <si>
    <t>997962</t>
  </si>
  <si>
    <t>129924</t>
  </si>
  <si>
    <t>9900000</t>
  </si>
  <si>
    <t>1949626.5</t>
  </si>
  <si>
    <t>65.40</t>
  </si>
  <si>
    <t>9981073.6</t>
  </si>
  <si>
    <t>1317564.4</t>
  </si>
  <si>
    <t>64.00</t>
  </si>
  <si>
    <t>3645085</t>
  </si>
  <si>
    <t>13000</t>
  </si>
  <si>
    <t>63.20</t>
  </si>
  <si>
    <t>202019.2</t>
  </si>
  <si>
    <t>842499.2</t>
  </si>
  <si>
    <t>63.30</t>
  </si>
  <si>
    <t>11355.8</t>
  </si>
  <si>
    <t>63.50</t>
  </si>
  <si>
    <t>63.40</t>
  </si>
  <si>
    <t>336690</t>
  </si>
  <si>
    <t>64.40</t>
  </si>
  <si>
    <t>229875.2</t>
  </si>
  <si>
    <t>864320</t>
  </si>
  <si>
    <t>190384.5</t>
  </si>
  <si>
    <t>63.60</t>
  </si>
  <si>
    <t>305275</t>
  </si>
  <si>
    <t>40646.5</t>
  </si>
  <si>
    <t>14297.5</t>
  </si>
  <si>
    <t>63.70</t>
  </si>
  <si>
    <t>165520</t>
  </si>
  <si>
    <t>64.10</t>
  </si>
  <si>
    <t>38391.2</t>
  </si>
  <si>
    <t>130348.6</t>
  </si>
  <si>
    <t>1126556.6</t>
  </si>
  <si>
    <t>64.30</t>
  </si>
  <si>
    <t>6728.6</t>
  </si>
  <si>
    <t>65.70</t>
  </si>
  <si>
    <t>161627.8</t>
  </si>
  <si>
    <t>308740</t>
  </si>
  <si>
    <t>344314.4</t>
  </si>
  <si>
    <t>45795</t>
  </si>
  <si>
    <t>966449.9</t>
  </si>
  <si>
    <t>1025545.4</t>
  </si>
  <si>
    <t>64.90</t>
  </si>
  <si>
    <t>1707985</t>
  </si>
  <si>
    <t>98009.2</t>
  </si>
  <si>
    <t>1329</t>
  </si>
  <si>
    <t>65000</t>
  </si>
  <si>
    <t>64.80</t>
  </si>
  <si>
    <t>139137.6</t>
  </si>
  <si>
    <t>705478</t>
  </si>
  <si>
    <t>63.90</t>
  </si>
  <si>
    <t>167352.1</t>
  </si>
  <si>
    <t>149760</t>
  </si>
  <si>
    <t>63.10</t>
  </si>
  <si>
    <t>248468.4</t>
  </si>
  <si>
    <t>62.60</t>
  </si>
  <si>
    <t>382.1</t>
  </si>
  <si>
    <t>62.10</t>
  </si>
  <si>
    <t>433005</t>
  </si>
  <si>
    <t>243200</t>
  </si>
  <si>
    <t>280936.4</t>
  </si>
  <si>
    <t>121989.4</t>
  </si>
  <si>
    <t>477365.1</t>
  </si>
  <si>
    <t>62.90</t>
  </si>
  <si>
    <t>1867854.3</t>
  </si>
  <si>
    <t>62.00</t>
  </si>
  <si>
    <t>417320</t>
  </si>
  <si>
    <t>177320</t>
  </si>
  <si>
    <t>62000</t>
  </si>
  <si>
    <t>61.50</t>
  </si>
  <si>
    <t>61.00</t>
  </si>
  <si>
    <t>600199.5</t>
  </si>
  <si>
    <t>198400</t>
  </si>
  <si>
    <t>124000</t>
  </si>
  <si>
    <t>60.80</t>
  </si>
  <si>
    <t>39080</t>
  </si>
  <si>
    <t>122000</t>
  </si>
  <si>
    <t>60.70</t>
  </si>
  <si>
    <t>127308</t>
  </si>
  <si>
    <t>60.60</t>
  </si>
  <si>
    <t>134892</t>
  </si>
  <si>
    <t>211792</t>
  </si>
  <si>
    <t>61.10</t>
  </si>
  <si>
    <t>719024</t>
  </si>
  <si>
    <t>33825</t>
  </si>
  <si>
    <t>663400</t>
  </si>
  <si>
    <t>61.60</t>
  </si>
  <si>
    <t>215298</t>
  </si>
  <si>
    <t>61.20</t>
  </si>
  <si>
    <t>511731.4</t>
  </si>
  <si>
    <t>103044</t>
  </si>
  <si>
    <t>62234</t>
  </si>
  <si>
    <t>75711</t>
  </si>
  <si>
    <t>139272</t>
  </si>
  <si>
    <t>60.50</t>
  </si>
  <si>
    <t>3030.5</t>
  </si>
  <si>
    <t>60.20</t>
  </si>
  <si>
    <t>472227.2</t>
  </si>
  <si>
    <t>63.00</t>
  </si>
  <si>
    <t>31130</t>
  </si>
  <si>
    <t>4240484</t>
  </si>
  <si>
    <t>62.50</t>
  </si>
  <si>
    <t>6250</t>
  </si>
  <si>
    <t>137500</t>
  </si>
  <si>
    <t>18750</t>
  </si>
  <si>
    <t>157528</t>
  </si>
  <si>
    <t>60.00</t>
  </si>
  <si>
    <t>2246810.4</t>
  </si>
  <si>
    <t>8235328.6</t>
  </si>
  <si>
    <t>2146090</t>
  </si>
  <si>
    <t>3722919.9</t>
  </si>
  <si>
    <t>6822</t>
  </si>
  <si>
    <t>435263.1</t>
  </si>
  <si>
    <t>336650</t>
  </si>
  <si>
    <t>130000</t>
  </si>
  <si>
    <t>64.70</t>
  </si>
  <si>
    <t>195700</t>
  </si>
  <si>
    <t>65.10</t>
  </si>
  <si>
    <t>654223.5</t>
  </si>
  <si>
    <t>103909.5</t>
  </si>
  <si>
    <t>83145</t>
  </si>
  <si>
    <t>69.50</t>
  </si>
  <si>
    <t>55600</t>
  </si>
  <si>
    <t>776970</t>
  </si>
  <si>
    <t>7000</t>
  </si>
  <si>
    <t>1121800</t>
  </si>
  <si>
    <t>71.30</t>
  </si>
  <si>
    <t>57843.3</t>
  </si>
  <si>
    <t>119062</t>
  </si>
  <si>
    <t>72.30</t>
  </si>
  <si>
    <t>3510197</t>
  </si>
  <si>
    <t>72.90</t>
  </si>
  <si>
    <t>73800</t>
  </si>
  <si>
    <t>3391410</t>
  </si>
  <si>
    <t>20400</t>
  </si>
  <si>
    <t>66.10</t>
  </si>
  <si>
    <t>1474497.3</t>
  </si>
  <si>
    <t>1100200</t>
  </si>
  <si>
    <t>2113623</t>
  </si>
  <si>
    <t>3161703.9</t>
  </si>
  <si>
    <t>66.50</t>
  </si>
  <si>
    <t>224281.5</t>
  </si>
  <si>
    <t>34779.5</t>
  </si>
  <si>
    <t>3521898.2</t>
  </si>
  <si>
    <t>1703656</t>
  </si>
  <si>
    <t>7827134.5</t>
  </si>
  <si>
    <t>143365</t>
  </si>
  <si>
    <t>14071473.5</t>
  </si>
  <si>
    <t>170483.4</t>
  </si>
  <si>
    <t>197.3</t>
  </si>
  <si>
    <t>9450</t>
  </si>
  <si>
    <t>132300</t>
  </si>
  <si>
    <t>130</t>
  </si>
  <si>
    <t>8905</t>
  </si>
  <si>
    <t>6563.7</t>
  </si>
  <si>
    <t>6500</t>
  </si>
  <si>
    <t>6360</t>
  </si>
  <si>
    <t>545675</t>
  </si>
  <si>
    <t>127</t>
  </si>
  <si>
    <t>3763106</t>
  </si>
  <si>
    <t>85793</t>
  </si>
  <si>
    <t>206435</t>
  </si>
  <si>
    <t>129766.5</t>
  </si>
  <si>
    <t>465942</t>
  </si>
  <si>
    <t>357614.5</t>
  </si>
  <si>
    <t>6800</t>
  </si>
  <si>
    <t>168239.4</t>
  </si>
  <si>
    <t>26000</t>
  </si>
  <si>
    <t>6300</t>
  </si>
  <si>
    <t>209231.5</t>
  </si>
  <si>
    <t>66.90</t>
  </si>
  <si>
    <t>9570</t>
  </si>
  <si>
    <t>62.70</t>
  </si>
  <si>
    <t>1319</t>
  </si>
  <si>
    <t>1250325</t>
  </si>
  <si>
    <t>948348.4</t>
  </si>
  <si>
    <t>63.80</t>
  </si>
  <si>
    <t>1277000</t>
  </si>
  <si>
    <t>65.20</t>
  </si>
  <si>
    <t>2717170</t>
  </si>
  <si>
    <t>352417.4</t>
  </si>
  <si>
    <t>279813.8</t>
  </si>
  <si>
    <t>65.60</t>
  </si>
  <si>
    <t>3728868</t>
  </si>
  <si>
    <t>982.5</t>
  </si>
  <si>
    <t>117306.2</t>
  </si>
  <si>
    <t>65.30</t>
  </si>
  <si>
    <t>32650</t>
  </si>
  <si>
    <t>204278.4</t>
  </si>
  <si>
    <t>698819.5</t>
  </si>
  <si>
    <t>747428.1</t>
  </si>
  <si>
    <t>2017252</t>
  </si>
  <si>
    <t>133262</t>
  </si>
  <si>
    <t>66</t>
  </si>
  <si>
    <t>577594</t>
  </si>
  <si>
    <t>103704.3</t>
  </si>
  <si>
    <t>2924</t>
  </si>
  <si>
    <t>63400</t>
  </si>
  <si>
    <t>68920.4</t>
  </si>
  <si>
    <t>235852</t>
  </si>
  <si>
    <t>35840.8</t>
  </si>
  <si>
    <t>103522.3</t>
  </si>
  <si>
    <t>85997.8</t>
  </si>
  <si>
    <t>530178</t>
  </si>
  <si>
    <t>268878.4</t>
  </si>
  <si>
    <t>157285</t>
  </si>
  <si>
    <t>66520</t>
  </si>
  <si>
    <t>842490</t>
  </si>
  <si>
    <t>2102637.5</t>
  </si>
  <si>
    <t>79023.4</t>
  </si>
  <si>
    <t>15894.8</t>
  </si>
  <si>
    <t>34501</t>
  </si>
  <si>
    <t>334.5</t>
  </si>
  <si>
    <t>65993</t>
  </si>
  <si>
    <t>31500</t>
  </si>
  <si>
    <t>474201</t>
  </si>
  <si>
    <t>432641</t>
  </si>
  <si>
    <t>1620551.9</t>
  </si>
  <si>
    <t>68.40</t>
  </si>
  <si>
    <t>69578.1</t>
  </si>
  <si>
    <t>3147</t>
  </si>
  <si>
    <t>510309.9</t>
  </si>
  <si>
    <t>78628.1</t>
  </si>
  <si>
    <t>1948708.9</t>
  </si>
  <si>
    <t>33035.2</t>
  </si>
  <si>
    <t>68595.4</t>
  </si>
  <si>
    <t>248510</t>
  </si>
  <si>
    <t>68.5</t>
  </si>
  <si>
    <t>69</t>
  </si>
  <si>
    <t>86787.8</t>
  </si>
  <si>
    <t>67100</t>
  </si>
  <si>
    <t>67.20</t>
  </si>
  <si>
    <t>302400</t>
  </si>
  <si>
    <t>67.30</t>
  </si>
  <si>
    <t>1524453.4</t>
  </si>
  <si>
    <t>147881.6</t>
  </si>
  <si>
    <t>2004863.8</t>
  </si>
  <si>
    <t>1927519.7</t>
  </si>
  <si>
    <t>786546.2</t>
  </si>
  <si>
    <t>565110.2</t>
  </si>
  <si>
    <t>20700</t>
  </si>
  <si>
    <t>13400</t>
  </si>
  <si>
    <t>317258.5</t>
  </si>
  <si>
    <t>69.70</t>
  </si>
  <si>
    <t>388750</t>
  </si>
  <si>
    <t>64145</t>
  </si>
  <si>
    <t>252247.6</t>
  </si>
  <si>
    <t>4530.5</t>
  </si>
  <si>
    <t>16619.4</t>
  </si>
  <si>
    <t>10125</t>
  </si>
  <si>
    <t>114503</t>
  </si>
  <si>
    <t>17480</t>
  </si>
  <si>
    <t>1330000</t>
  </si>
  <si>
    <t>68.10</t>
  </si>
  <si>
    <t>3700127.4</t>
  </si>
  <si>
    <t>69.10</t>
  </si>
  <si>
    <t>172899</t>
  </si>
  <si>
    <t>77000</t>
  </si>
  <si>
    <t>4009460.2</t>
  </si>
  <si>
    <t>68.60</t>
  </si>
  <si>
    <t>3096656.6</t>
  </si>
  <si>
    <t>13700</t>
  </si>
  <si>
    <t>680476</t>
  </si>
  <si>
    <t>69.80</t>
  </si>
  <si>
    <t>2011683</t>
  </si>
  <si>
    <t>1320914.5</t>
  </si>
  <si>
    <t>73.50</t>
  </si>
  <si>
    <t>943520.5</t>
  </si>
  <si>
    <t>599867</t>
  </si>
  <si>
    <t>238568</t>
  </si>
  <si>
    <t>497</t>
  </si>
  <si>
    <t>71.10</t>
  </si>
  <si>
    <t>210065</t>
  </si>
  <si>
    <t>1428647</t>
  </si>
  <si>
    <t>70.40</t>
  </si>
  <si>
    <t>395122.5</t>
  </si>
  <si>
    <t>1691912.2</t>
  </si>
  <si>
    <t>119331.3</t>
  </si>
  <si>
    <t>1827163.1</t>
  </si>
  <si>
    <t>2746270</t>
  </si>
  <si>
    <t>437227.9</t>
  </si>
  <si>
    <t>75.80</t>
  </si>
  <si>
    <t>299107</t>
  </si>
  <si>
    <t>7681.4</t>
  </si>
  <si>
    <t>331564.8</t>
  </si>
  <si>
    <t>592</t>
  </si>
  <si>
    <t>632400</t>
  </si>
  <si>
    <t>96329</t>
  </si>
  <si>
    <t>115265</t>
  </si>
  <si>
    <t>123200</t>
  </si>
  <si>
    <t>242194</t>
  </si>
  <si>
    <t>76.60</t>
  </si>
  <si>
    <t>10465259</t>
  </si>
  <si>
    <t>1631513.8</t>
  </si>
  <si>
    <t>148502</t>
  </si>
  <si>
    <t>3018509.9</t>
  </si>
  <si>
    <t>438728.8</t>
  </si>
  <si>
    <t>2406723.4</t>
  </si>
  <si>
    <t>12273123.5</t>
  </si>
  <si>
    <t>20413101.4</t>
  </si>
  <si>
    <t>31164500.8</t>
  </si>
  <si>
    <t>2089423.2</t>
  </si>
  <si>
    <t>69.60</t>
  </si>
  <si>
    <t>23856008.5</t>
  </si>
  <si>
    <t>1251691.2</t>
  </si>
  <si>
    <t>68.80</t>
  </si>
  <si>
    <t>1890702.6</t>
  </si>
  <si>
    <t>445118</t>
  </si>
  <si>
    <t>67.60</t>
  </si>
  <si>
    <t>928250</t>
  </si>
  <si>
    <t>67.70</t>
  </si>
  <si>
    <t>1509685</t>
  </si>
  <si>
    <t>1960144</t>
  </si>
  <si>
    <t>50158.6</t>
  </si>
  <si>
    <t>33500</t>
  </si>
  <si>
    <t>429668.3</t>
  </si>
  <si>
    <t>1514155</t>
  </si>
  <si>
    <t>686304.7</t>
  </si>
  <si>
    <t>591880</t>
  </si>
  <si>
    <t>195000</t>
  </si>
  <si>
    <t>1327128</t>
  </si>
  <si>
    <t>53809</t>
  </si>
  <si>
    <t>26090</t>
  </si>
  <si>
    <t>6690</t>
  </si>
  <si>
    <t>204498.5</t>
  </si>
  <si>
    <t>768333.5</t>
  </si>
  <si>
    <t>207672.5</t>
  </si>
  <si>
    <t>1059275</t>
  </si>
  <si>
    <t>67.40</t>
  </si>
  <si>
    <t>340848</t>
  </si>
  <si>
    <t>1425.7</t>
  </si>
  <si>
    <t>69.30</t>
  </si>
  <si>
    <t>322595.6</t>
  </si>
  <si>
    <t>49608</t>
  </si>
  <si>
    <t>219240</t>
  </si>
  <si>
    <t>21800</t>
  </si>
  <si>
    <t>706257</t>
  </si>
  <si>
    <t>725634</t>
  </si>
  <si>
    <t>100730</t>
  </si>
  <si>
    <t>4256020</t>
  </si>
  <si>
    <t>3447266.1</t>
  </si>
  <si>
    <t>1396.5</t>
  </si>
  <si>
    <t>634351</t>
  </si>
  <si>
    <t>228540</t>
  </si>
  <si>
    <t>39915</t>
  </si>
  <si>
    <t>6490</t>
  </si>
  <si>
    <t>64.1</t>
  </si>
  <si>
    <t>188821.5</t>
  </si>
  <si>
    <t>1651069</t>
  </si>
  <si>
    <t>134940</t>
  </si>
  <si>
    <t>201000</t>
  </si>
  <si>
    <t>102790</t>
  </si>
  <si>
    <t>108100</t>
  </si>
  <si>
    <t>1340</t>
  </si>
  <si>
    <t>97920</t>
  </si>
  <si>
    <t>256700</t>
  </si>
  <si>
    <t>6850</t>
  </si>
  <si>
    <t>670</t>
  </si>
  <si>
    <t>6603</t>
  </si>
  <si>
    <t>667874.1</t>
  </si>
  <si>
    <t>6030</t>
  </si>
  <si>
    <t>10150</t>
  </si>
  <si>
    <t>7276</t>
  </si>
  <si>
    <t>6700</t>
  </si>
  <si>
    <t>12143980.2</t>
  </si>
  <si>
    <t>5126727.5</t>
  </si>
  <si>
    <t>784982.9</t>
  </si>
  <si>
    <t>6841098</t>
  </si>
  <si>
    <t>69.40</t>
  </si>
  <si>
    <t>104100</t>
  </si>
  <si>
    <t>58812.9</t>
  </si>
  <si>
    <t>866990</t>
  </si>
  <si>
    <t>4897591</t>
  </si>
  <si>
    <t>379377.4</t>
  </si>
  <si>
    <t>48900</t>
  </si>
  <si>
    <t>117175.4</t>
  </si>
  <si>
    <t>144010.1</t>
  </si>
  <si>
    <t>4607264</t>
  </si>
  <si>
    <t>8353300</t>
  </si>
  <si>
    <t>218320</t>
  </si>
  <si>
    <t>333261.5</t>
  </si>
  <si>
    <t>775500</t>
  </si>
  <si>
    <t>337</t>
  </si>
  <si>
    <t>25532.3</t>
  </si>
  <si>
    <t>77514</t>
  </si>
  <si>
    <t>260000</t>
  </si>
  <si>
    <t>52000</t>
  </si>
  <si>
    <t>13252.4</t>
  </si>
  <si>
    <t>39570</t>
  </si>
  <si>
    <t>169980</t>
  </si>
  <si>
    <t>143038.5</t>
  </si>
  <si>
    <t>336942</t>
  </si>
  <si>
    <t>66000</t>
  </si>
  <si>
    <t>107900</t>
  </si>
  <si>
    <t>429520</t>
  </si>
  <si>
    <t>1305</t>
  </si>
  <si>
    <t>12306600.5</t>
  </si>
  <si>
    <t>32602.3</t>
  </si>
  <si>
    <t>39731</t>
  </si>
  <si>
    <t>1429300.5</t>
  </si>
  <si>
    <t>264204</t>
  </si>
  <si>
    <t>136801</t>
  </si>
  <si>
    <t>3003918.7</t>
  </si>
  <si>
    <t>1043863.8</t>
  </si>
  <si>
    <t>181459.5</t>
  </si>
  <si>
    <t>93069</t>
  </si>
  <si>
    <t>139400</t>
  </si>
  <si>
    <t>67.90</t>
  </si>
  <si>
    <t>64590</t>
  </si>
  <si>
    <t>13980</t>
  </si>
  <si>
    <t>80360.5</t>
  </si>
  <si>
    <t>202836.5</t>
  </si>
  <si>
    <t>158680</t>
  </si>
  <si>
    <t>20396</t>
  </si>
  <si>
    <t>66847.4</t>
  </si>
  <si>
    <t>39660</t>
  </si>
  <si>
    <t>14321.9</t>
  </si>
  <si>
    <t>68</t>
  </si>
  <si>
    <t>202332</t>
  </si>
  <si>
    <t>68.20</t>
  </si>
  <si>
    <t>71914</t>
  </si>
  <si>
    <t>42780</t>
  </si>
  <si>
    <t>187033.7</t>
  </si>
  <si>
    <t>327605</t>
  </si>
  <si>
    <t>68.30</t>
  </si>
  <si>
    <t>446407.3</t>
  </si>
  <si>
    <t>37949</t>
  </si>
  <si>
    <t>233468.2</t>
  </si>
  <si>
    <t>313280.5</t>
  </si>
  <si>
    <t>1672130.5</t>
  </si>
  <si>
    <t>55679.6</t>
  </si>
  <si>
    <t>1089160</t>
  </si>
  <si>
    <t>476719.4</t>
  </si>
  <si>
    <t>73.80</t>
  </si>
  <si>
    <t>1765435.9</t>
  </si>
  <si>
    <t>6435</t>
  </si>
  <si>
    <t>51840</t>
  </si>
  <si>
    <t>515933.5</t>
  </si>
  <si>
    <t>1873550.1</t>
  </si>
  <si>
    <t>109044.6</t>
  </si>
  <si>
    <t>700100</t>
  </si>
  <si>
    <t>15636236.6</t>
  </si>
  <si>
    <t>15699437.5</t>
  </si>
  <si>
    <t>16397914.6</t>
  </si>
  <si>
    <t>384274</t>
  </si>
  <si>
    <t>68.70</t>
  </si>
  <si>
    <t>1675298.5</t>
  </si>
  <si>
    <t>399332</t>
  </si>
  <si>
    <t>977455</t>
  </si>
  <si>
    <t>947718.2</t>
  </si>
  <si>
    <t>4783214</t>
  </si>
  <si>
    <t>5205452.7</t>
  </si>
  <si>
    <t>14914482.3</t>
  </si>
  <si>
    <t>9132215</t>
  </si>
  <si>
    <t>469619</t>
  </si>
  <si>
    <t>1750756.2</t>
  </si>
  <si>
    <t>2041021.8</t>
  </si>
  <si>
    <t>379088.5</t>
  </si>
  <si>
    <t>4940802.9</t>
  </si>
  <si>
    <t>14918323</t>
  </si>
  <si>
    <t>1204016</t>
  </si>
  <si>
    <t>534845</t>
  </si>
  <si>
    <t>3854758</t>
  </si>
  <si>
    <t>4322295.1</t>
  </si>
  <si>
    <t>59.30</t>
  </si>
  <si>
    <t>22592030.6</t>
  </si>
  <si>
    <t>4827551.9</t>
  </si>
  <si>
    <t>55.10</t>
  </si>
  <si>
    <t>1468833.1</t>
  </si>
  <si>
    <t>2374523.5</t>
  </si>
  <si>
    <t>57.60</t>
  </si>
  <si>
    <t>57.50</t>
  </si>
  <si>
    <t>11340941.9</t>
  </si>
  <si>
    <t>692066.6</t>
  </si>
  <si>
    <t>55.30</t>
  </si>
  <si>
    <t>851072.6</t>
  </si>
  <si>
    <t>54.00</t>
  </si>
  <si>
    <t>53.90</t>
  </si>
  <si>
    <t>641831</t>
  </si>
  <si>
    <t>54.10</t>
  </si>
  <si>
    <t>445576</t>
  </si>
  <si>
    <t>640435</t>
  </si>
  <si>
    <t>53.80</t>
  </si>
  <si>
    <t>53.00</t>
  </si>
  <si>
    <t>435049</t>
  </si>
  <si>
    <t>51.80</t>
  </si>
  <si>
    <t>15591.9</t>
  </si>
  <si>
    <t>52.00</t>
  </si>
  <si>
    <t>164808</t>
  </si>
  <si>
    <t>808.5</t>
  </si>
  <si>
    <t>539</t>
  </si>
  <si>
    <t>53.60</t>
  </si>
  <si>
    <t>53600</t>
  </si>
  <si>
    <t>9433475.6</t>
  </si>
  <si>
    <t>7355963</t>
  </si>
  <si>
    <t>53.50</t>
  </si>
  <si>
    <t>51.70</t>
  </si>
  <si>
    <t>1152228.4</t>
  </si>
  <si>
    <t>51.10</t>
  </si>
  <si>
    <t>1035225.9</t>
  </si>
  <si>
    <t>51.00</t>
  </si>
  <si>
    <t>11034722.4</t>
  </si>
  <si>
    <t>51.60</t>
  </si>
  <si>
    <t>50.50</t>
  </si>
  <si>
    <t>2277421.3</t>
  </si>
  <si>
    <t>51.50</t>
  </si>
  <si>
    <t>1212080.1</t>
  </si>
  <si>
    <t>243890</t>
  </si>
  <si>
    <t>147917.6</t>
  </si>
  <si>
    <t>51.40</t>
  </si>
  <si>
    <t>1336.4</t>
  </si>
  <si>
    <t>55.00</t>
  </si>
  <si>
    <t>52.50</t>
  </si>
  <si>
    <t>257203.1</t>
  </si>
  <si>
    <t>53.30</t>
  </si>
  <si>
    <t>16030</t>
  </si>
  <si>
    <t>53.10</t>
  </si>
  <si>
    <t>2124</t>
  </si>
  <si>
    <t>91248.9</t>
  </si>
  <si>
    <t>82447</t>
  </si>
  <si>
    <t>67035</t>
  </si>
  <si>
    <t>54.90</t>
  </si>
  <si>
    <t>769919.7</t>
  </si>
  <si>
    <t>32400</t>
  </si>
  <si>
    <t>54.30</t>
  </si>
  <si>
    <t>27543</t>
  </si>
  <si>
    <t>54.50</t>
  </si>
  <si>
    <t>81750</t>
  </si>
  <si>
    <t>1370700</t>
  </si>
  <si>
    <t>55.80</t>
  </si>
  <si>
    <t>110000.8</t>
  </si>
  <si>
    <t>7808</t>
  </si>
  <si>
    <t>58</t>
  </si>
  <si>
    <t>57.90</t>
  </si>
  <si>
    <t>995.8</t>
  </si>
  <si>
    <t>56.30</t>
  </si>
  <si>
    <t>1126</t>
  </si>
  <si>
    <t>703.3</t>
  </si>
  <si>
    <t>1883017.2</t>
  </si>
  <si>
    <t>10086900</t>
  </si>
  <si>
    <t>115600</t>
  </si>
  <si>
    <t>749868.2</t>
  </si>
  <si>
    <t>1209142</t>
  </si>
  <si>
    <t>52.10</t>
  </si>
  <si>
    <t>409448</t>
  </si>
  <si>
    <t>385000</t>
  </si>
  <si>
    <t>352966</t>
  </si>
  <si>
    <t>1171853.5</t>
  </si>
  <si>
    <t>1758347.5</t>
  </si>
  <si>
    <t>13545</t>
  </si>
  <si>
    <t>108108</t>
  </si>
  <si>
    <t>420272.6</t>
  </si>
  <si>
    <t>69583</t>
  </si>
  <si>
    <t>80750</t>
  </si>
  <si>
    <t>64755</t>
  </si>
  <si>
    <t>6530</t>
  </si>
  <si>
    <t>95855</t>
  </si>
  <si>
    <t>122324</t>
  </si>
  <si>
    <t>56.50</t>
  </si>
  <si>
    <t>395530</t>
  </si>
  <si>
    <t>55.50</t>
  </si>
  <si>
    <t>57120</t>
  </si>
  <si>
    <t>1676811.1</t>
  </si>
  <si>
    <t>55.70</t>
  </si>
  <si>
    <t>223897.3</t>
  </si>
  <si>
    <t>57.20</t>
  </si>
  <si>
    <t>32801.2</t>
  </si>
  <si>
    <t>13850</t>
  </si>
  <si>
    <t>154540</t>
  </si>
  <si>
    <t>57.00</t>
  </si>
  <si>
    <t>56.90</t>
  </si>
  <si>
    <t>505892</t>
  </si>
  <si>
    <t>122490</t>
  </si>
  <si>
    <t>97010</t>
  </si>
  <si>
    <t>56.20</t>
  </si>
  <si>
    <t>21044</t>
  </si>
  <si>
    <t>56.10</t>
  </si>
  <si>
    <t>60236.4</t>
  </si>
  <si>
    <t>127595.2</t>
  </si>
  <si>
    <t>175500</t>
  </si>
  <si>
    <t>58.60</t>
  </si>
  <si>
    <t>17660</t>
  </si>
  <si>
    <t>12390</t>
  </si>
  <si>
    <t>440829.2</t>
  </si>
  <si>
    <t>9011</t>
  </si>
  <si>
    <t>27976</t>
  </si>
  <si>
    <t>59.10</t>
  </si>
  <si>
    <t>149661.5</t>
  </si>
  <si>
    <t>59.20</t>
  </si>
  <si>
    <t>7499.2</t>
  </si>
  <si>
    <t>60.10</t>
  </si>
  <si>
    <t>306410</t>
  </si>
  <si>
    <t>8714.5</t>
  </si>
  <si>
    <t>61.70</t>
  </si>
  <si>
    <t>56149.7</t>
  </si>
  <si>
    <t>96010</t>
  </si>
  <si>
    <t>1586</t>
  </si>
  <si>
    <t>17741.7</t>
  </si>
  <si>
    <t>44245</t>
  </si>
  <si>
    <t>13032</t>
  </si>
  <si>
    <t>316.5</t>
  </si>
  <si>
    <t>318</t>
  </si>
  <si>
    <t>652182</t>
  </si>
  <si>
    <t>337543.5</t>
  </si>
  <si>
    <t>129</t>
  </si>
  <si>
    <t>122060.7</t>
  </si>
  <si>
    <t>313540</t>
  </si>
  <si>
    <t>453497.5</t>
  </si>
  <si>
    <t>67072.5</t>
  </si>
  <si>
    <t>7000.4</t>
  </si>
  <si>
    <t>6400</t>
  </si>
  <si>
    <t>178750</t>
  </si>
  <si>
    <t>95880</t>
  </si>
  <si>
    <t>65142.9</t>
  </si>
  <si>
    <t>62.20</t>
  </si>
  <si>
    <t>24168.1</t>
  </si>
  <si>
    <t>496.8</t>
  </si>
  <si>
    <t>186000</t>
  </si>
  <si>
    <t>13690.8</t>
  </si>
  <si>
    <t>136540</t>
  </si>
  <si>
    <t>81010</t>
  </si>
  <si>
    <t>12485</t>
  </si>
  <si>
    <t>11657530</t>
  </si>
  <si>
    <t>59831</t>
  </si>
  <si>
    <t>33860</t>
  </si>
  <si>
    <t>298760</t>
  </si>
  <si>
    <t>97000</t>
  </si>
  <si>
    <t>292800</t>
  </si>
  <si>
    <t>536760</t>
  </si>
  <si>
    <t>72950</t>
  </si>
  <si>
    <t>1327300</t>
  </si>
  <si>
    <t>1286580</t>
  </si>
  <si>
    <t>197600</t>
  </si>
  <si>
    <t>331160</t>
  </si>
  <si>
    <t>99490</t>
  </si>
  <si>
    <t>67760</t>
  </si>
  <si>
    <t>14090</t>
  </si>
  <si>
    <t>571750</t>
  </si>
  <si>
    <t>301200</t>
  </si>
  <si>
    <t>1383200</t>
  </si>
  <si>
    <t>6900</t>
  </si>
  <si>
    <t>27510</t>
  </si>
  <si>
    <t>411850</t>
  </si>
  <si>
    <t>319140</t>
  </si>
  <si>
    <t>496960</t>
  </si>
  <si>
    <t>308000</t>
  </si>
  <si>
    <t>70000</t>
  </si>
  <si>
    <t>298110</t>
  </si>
  <si>
    <t>14600</t>
  </si>
  <si>
    <t>1400000</t>
  </si>
  <si>
    <t>1050000</t>
  </si>
  <si>
    <t>296300</t>
  </si>
  <si>
    <t>50320</t>
  </si>
  <si>
    <t>35750</t>
  </si>
  <si>
    <t>21690</t>
  </si>
  <si>
    <t>72100</t>
  </si>
  <si>
    <t>7400</t>
  </si>
  <si>
    <t>21630</t>
  </si>
  <si>
    <t>239980</t>
  </si>
  <si>
    <t>199800</t>
  </si>
  <si>
    <t>21600</t>
  </si>
  <si>
    <t>223670</t>
  </si>
  <si>
    <t>112000</t>
  </si>
  <si>
    <t>99260</t>
  </si>
  <si>
    <t>7100</t>
  </si>
  <si>
    <t>302100</t>
  </si>
  <si>
    <t>50400</t>
  </si>
  <si>
    <t>367210</t>
  </si>
  <si>
    <t>903090</t>
  </si>
  <si>
    <t>268100</t>
  </si>
  <si>
    <t>223580</t>
  </si>
  <si>
    <t>119880</t>
  </si>
  <si>
    <t>7498320</t>
  </si>
  <si>
    <t>74620</t>
  </si>
  <si>
    <t>421570</t>
  </si>
  <si>
    <t>600560</t>
  </si>
  <si>
    <t>993200</t>
  </si>
  <si>
    <t>604430</t>
  </si>
  <si>
    <t>1633140</t>
  </si>
  <si>
    <t>907740</t>
  </si>
  <si>
    <t>693990</t>
  </si>
  <si>
    <t>291010</t>
  </si>
  <si>
    <t>724240</t>
  </si>
  <si>
    <t>672000</t>
  </si>
  <si>
    <t>900180</t>
  </si>
  <si>
    <t>126240</t>
  </si>
  <si>
    <t>89300</t>
  </si>
  <si>
    <t>270260</t>
  </si>
  <si>
    <t>234510</t>
  </si>
  <si>
    <t>74.10</t>
  </si>
  <si>
    <t>22230</t>
  </si>
  <si>
    <t>173500</t>
  </si>
  <si>
    <t>277120</t>
  </si>
  <si>
    <t>240000</t>
  </si>
  <si>
    <t>440110</t>
  </si>
  <si>
    <t>71200</t>
  </si>
  <si>
    <t>29900</t>
  </si>
  <si>
    <t>7390</t>
  </si>
  <si>
    <t>1230730</t>
  </si>
  <si>
    <t>2504100</t>
  </si>
  <si>
    <t>332150</t>
  </si>
  <si>
    <t>345930</t>
  </si>
  <si>
    <t>1391170</t>
  </si>
  <si>
    <t>60880</t>
  </si>
  <si>
    <t>2128660</t>
  </si>
  <si>
    <t>152210</t>
  </si>
  <si>
    <t>22800</t>
  </si>
  <si>
    <t>464510</t>
  </si>
  <si>
    <t>350580</t>
  </si>
  <si>
    <t>1477800</t>
  </si>
  <si>
    <t>470700</t>
  </si>
  <si>
    <t>69300</t>
  </si>
  <si>
    <t>3469580</t>
  </si>
  <si>
    <t>1142740</t>
  </si>
  <si>
    <t>79790</t>
  </si>
  <si>
    <t>71450</t>
  </si>
  <si>
    <t>1877270</t>
  </si>
  <si>
    <t>3658870</t>
  </si>
  <si>
    <t>2566990</t>
  </si>
  <si>
    <t>31400</t>
  </si>
  <si>
    <t>542420</t>
  </si>
  <si>
    <t>769300</t>
  </si>
  <si>
    <t>132860</t>
  </si>
  <si>
    <t>77.70</t>
  </si>
  <si>
    <t>459780</t>
  </si>
  <si>
    <t>230840</t>
  </si>
  <si>
    <t>49170</t>
  </si>
  <si>
    <t>963210</t>
  </si>
  <si>
    <t>39250</t>
  </si>
  <si>
    <t>109520</t>
  </si>
  <si>
    <t>55170</t>
  </si>
  <si>
    <t>1272040</t>
  </si>
  <si>
    <t>78.40</t>
  </si>
  <si>
    <t>607440</t>
  </si>
  <si>
    <t>166810</t>
  </si>
  <si>
    <t>1866300</t>
  </si>
  <si>
    <t>303690</t>
  </si>
  <si>
    <t>172840</t>
  </si>
  <si>
    <t>1651400</t>
  </si>
  <si>
    <t>1004960</t>
  </si>
  <si>
    <t>118100</t>
  </si>
  <si>
    <t>85810</t>
  </si>
  <si>
    <t>15600</t>
  </si>
  <si>
    <t>488110</t>
  </si>
  <si>
    <t>62310</t>
  </si>
  <si>
    <t>119960</t>
  </si>
  <si>
    <t>312670</t>
  </si>
  <si>
    <t>120190</t>
  </si>
  <si>
    <t>7610</t>
  </si>
  <si>
    <t>174940</t>
  </si>
  <si>
    <t>53420</t>
  </si>
  <si>
    <t>54000</t>
  </si>
  <si>
    <t>205400</t>
  </si>
  <si>
    <t>15000</t>
  </si>
  <si>
    <t>74990</t>
  </si>
  <si>
    <t>73020</t>
  </si>
  <si>
    <t>397680</t>
  </si>
  <si>
    <t>1800910</t>
  </si>
  <si>
    <t>45730</t>
  </si>
  <si>
    <t>83610</t>
  </si>
  <si>
    <t>609670</t>
  </si>
  <si>
    <t>149040</t>
  </si>
  <si>
    <t>294280</t>
  </si>
  <si>
    <t>78.70</t>
  </si>
  <si>
    <t>140780</t>
  </si>
  <si>
    <t>536930</t>
  </si>
  <si>
    <t>170330</t>
  </si>
  <si>
    <t>16160</t>
  </si>
  <si>
    <t>80.30</t>
  </si>
  <si>
    <t>56730</t>
  </si>
  <si>
    <t>401950</t>
  </si>
  <si>
    <t>176340</t>
  </si>
  <si>
    <t>1684210</t>
  </si>
  <si>
    <t>370900</t>
  </si>
  <si>
    <t>85.90</t>
  </si>
  <si>
    <t>81.30</t>
  </si>
  <si>
    <t>424470</t>
  </si>
  <si>
    <t>85.10</t>
  </si>
  <si>
    <t>2886430</t>
  </si>
  <si>
    <t>85.50</t>
  </si>
  <si>
    <t>85.20</t>
  </si>
  <si>
    <t>579400</t>
  </si>
  <si>
    <t>1184760</t>
  </si>
  <si>
    <t>1046730</t>
  </si>
  <si>
    <t>1533520</t>
  </si>
  <si>
    <t>453740</t>
  </si>
  <si>
    <t>53250</t>
  </si>
  <si>
    <t>87.50</t>
  </si>
  <si>
    <t>877310</t>
  </si>
  <si>
    <t>1188560</t>
  </si>
  <si>
    <t>418000</t>
  </si>
  <si>
    <t>2317040</t>
  </si>
  <si>
    <t>1066880</t>
  </si>
  <si>
    <t>144080</t>
  </si>
  <si>
    <t>90000</t>
  </si>
  <si>
    <t>2061160</t>
  </si>
  <si>
    <t>90.10</t>
  </si>
  <si>
    <t>3798260</t>
  </si>
  <si>
    <t>92.20</t>
  </si>
  <si>
    <t>6359250</t>
  </si>
  <si>
    <t>957160</t>
  </si>
  <si>
    <t>91500</t>
  </si>
  <si>
    <t>1351950</t>
  </si>
  <si>
    <t>1106700</t>
  </si>
  <si>
    <t>2048000</t>
  </si>
  <si>
    <t>2529520</t>
  </si>
  <si>
    <t>2477680</t>
  </si>
  <si>
    <t>847420</t>
  </si>
  <si>
    <t>1719500</t>
  </si>
  <si>
    <t>4725530</t>
  </si>
  <si>
    <t>331250</t>
  </si>
  <si>
    <t>1461010</t>
  </si>
  <si>
    <t>6027070</t>
  </si>
  <si>
    <t>1413310</t>
  </si>
  <si>
    <t>5221650</t>
  </si>
  <si>
    <t>582720</t>
  </si>
  <si>
    <t>1311000</t>
  </si>
  <si>
    <t>94.10</t>
  </si>
  <si>
    <t>103590</t>
  </si>
  <si>
    <t>1824220</t>
  </si>
  <si>
    <t>96.10</t>
  </si>
  <si>
    <t>1895310</t>
  </si>
  <si>
    <t>96.50</t>
  </si>
  <si>
    <t>96.30</t>
  </si>
  <si>
    <t>1314130</t>
  </si>
  <si>
    <t>2904380</t>
  </si>
  <si>
    <t>5259170</t>
  </si>
  <si>
    <t>96.80</t>
  </si>
  <si>
    <t>1408100</t>
  </si>
  <si>
    <t>6757450</t>
  </si>
  <si>
    <t>1510830</t>
  </si>
  <si>
    <t>96.70</t>
  </si>
  <si>
    <t>1616660</t>
  </si>
  <si>
    <t>4292050</t>
  </si>
  <si>
    <t>100.20</t>
  </si>
  <si>
    <t>5955050</t>
  </si>
  <si>
    <t>29791440</t>
  </si>
  <si>
    <t>96.40</t>
  </si>
  <si>
    <t>2112070</t>
  </si>
  <si>
    <t>1944100</t>
  </si>
  <si>
    <t>203250</t>
  </si>
  <si>
    <t>1929550</t>
  </si>
  <si>
    <t>27635300</t>
  </si>
  <si>
    <t>10200800</t>
  </si>
  <si>
    <t>6058870</t>
  </si>
  <si>
    <t>900200</t>
  </si>
  <si>
    <t>2472570</t>
  </si>
  <si>
    <t>2453160</t>
  </si>
  <si>
    <t>1763290</t>
  </si>
  <si>
    <t>91.90</t>
  </si>
  <si>
    <t>8455010</t>
  </si>
  <si>
    <t>34075430</t>
  </si>
  <si>
    <t>88.70</t>
  </si>
  <si>
    <t>690230</t>
  </si>
  <si>
    <t>11780560</t>
  </si>
  <si>
    <t>88.10</t>
  </si>
  <si>
    <t>1302690</t>
  </si>
  <si>
    <t>821680</t>
  </si>
  <si>
    <t>770400</t>
  </si>
  <si>
    <t>8765850</t>
  </si>
  <si>
    <t>7625190</t>
  </si>
  <si>
    <t>5236600</t>
  </si>
  <si>
    <t>5493780</t>
  </si>
  <si>
    <t>5659800</t>
  </si>
  <si>
    <t>1368140</t>
  </si>
  <si>
    <t>945450</t>
  </si>
  <si>
    <t>1266670</t>
  </si>
  <si>
    <t>2532170</t>
  </si>
  <si>
    <t>628030</t>
  </si>
  <si>
    <t>1398920</t>
  </si>
  <si>
    <t>1086470</t>
  </si>
  <si>
    <t>3389480</t>
  </si>
  <si>
    <t>1324480</t>
  </si>
  <si>
    <t>1402370</t>
  </si>
  <si>
    <t>33037350</t>
  </si>
  <si>
    <t>32958960</t>
  </si>
  <si>
    <t>32389400</t>
  </si>
  <si>
    <t>87.90</t>
  </si>
  <si>
    <t>943710</t>
  </si>
  <si>
    <t>5980170</t>
  </si>
  <si>
    <t>792950</t>
  </si>
  <si>
    <t>87.80</t>
  </si>
  <si>
    <t>158280</t>
  </si>
  <si>
    <t>725790</t>
  </si>
  <si>
    <t>89.90</t>
  </si>
  <si>
    <t>1405350</t>
  </si>
  <si>
    <t>87.60</t>
  </si>
  <si>
    <t>1521610</t>
  </si>
  <si>
    <t>1110680</t>
  </si>
  <si>
    <t>1406550</t>
  </si>
  <si>
    <t>870550</t>
  </si>
  <si>
    <t>1512230</t>
  </si>
  <si>
    <t>725400</t>
  </si>
  <si>
    <t>9188200</t>
  </si>
  <si>
    <t>6078100</t>
  </si>
  <si>
    <t>5270360</t>
  </si>
  <si>
    <t>4765170</t>
  </si>
  <si>
    <t>9267050</t>
  </si>
  <si>
    <t>3334830</t>
  </si>
  <si>
    <t>6871070</t>
  </si>
  <si>
    <t>276250</t>
  </si>
  <si>
    <t>2578760</t>
  </si>
  <si>
    <t>2769450</t>
  </si>
  <si>
    <t>1024540</t>
  </si>
  <si>
    <t>10131050</t>
  </si>
  <si>
    <t>88.20</t>
  </si>
  <si>
    <t>986820</t>
  </si>
  <si>
    <t>16886380</t>
  </si>
  <si>
    <t>4663300</t>
  </si>
  <si>
    <t>2474750</t>
  </si>
  <si>
    <t>2387240</t>
  </si>
  <si>
    <t>482940</t>
  </si>
  <si>
    <t>85.00</t>
  </si>
  <si>
    <t>867750</t>
  </si>
  <si>
    <t>816380</t>
  </si>
  <si>
    <t>892600</t>
  </si>
  <si>
    <t>1531440</t>
  </si>
  <si>
    <t>518500</t>
  </si>
  <si>
    <t>6750340</t>
  </si>
  <si>
    <t>83.50</t>
  </si>
  <si>
    <t>1607050</t>
  </si>
  <si>
    <t>41400</t>
  </si>
  <si>
    <t>96400</t>
  </si>
  <si>
    <t>973930</t>
  </si>
  <si>
    <t>195320</t>
  </si>
  <si>
    <t>464800</t>
  </si>
  <si>
    <t>81.10</t>
  </si>
  <si>
    <t>3733680</t>
  </si>
  <si>
    <t>8250</t>
  </si>
  <si>
    <t>1636220</t>
  </si>
  <si>
    <t>691200</t>
  </si>
  <si>
    <t>81.60</t>
  </si>
  <si>
    <t>81.50</t>
  </si>
  <si>
    <t>1182700</t>
  </si>
  <si>
    <t>83.20</t>
  </si>
  <si>
    <t>2311710</t>
  </si>
  <si>
    <t>83200</t>
  </si>
  <si>
    <t>85000</t>
  </si>
  <si>
    <t>594850</t>
  </si>
  <si>
    <t>3238800</t>
  </si>
  <si>
    <t>805530</t>
  </si>
  <si>
    <t>210460</t>
  </si>
  <si>
    <t>929060</t>
  </si>
  <si>
    <t>84.50</t>
  </si>
  <si>
    <t>2787090</t>
  </si>
  <si>
    <t>1224270</t>
  </si>
  <si>
    <t>978720</t>
  </si>
  <si>
    <t>2445230</t>
  </si>
  <si>
    <t>708520</t>
  </si>
  <si>
    <t>2608210</t>
  </si>
  <si>
    <t>1944260</t>
  </si>
  <si>
    <t>6416790</t>
  </si>
  <si>
    <t>447800</t>
  </si>
  <si>
    <t>790240</t>
  </si>
  <si>
    <t>1039230</t>
  </si>
  <si>
    <t>1714940</t>
  </si>
  <si>
    <t>1103450</t>
  </si>
  <si>
    <t>3543470</t>
  </si>
  <si>
    <t>2103880</t>
  </si>
  <si>
    <t>3442090</t>
  </si>
  <si>
    <t>6040120</t>
  </si>
  <si>
    <t>8718680</t>
  </si>
  <si>
    <t>3112210</t>
  </si>
  <si>
    <t>7698000</t>
  </si>
  <si>
    <t>90.40</t>
  </si>
  <si>
    <t>424880</t>
  </si>
  <si>
    <t>454900</t>
  </si>
  <si>
    <t>1817950</t>
  </si>
  <si>
    <t>1525250</t>
  </si>
  <si>
    <t>4218200</t>
  </si>
  <si>
    <t>2867040</t>
  </si>
  <si>
    <t>1402600</t>
  </si>
  <si>
    <t>8862950</t>
  </si>
  <si>
    <t>2125860</t>
  </si>
  <si>
    <t>7239890</t>
  </si>
  <si>
    <t>1208480</t>
  </si>
  <si>
    <t>2477340</t>
  </si>
  <si>
    <t>1552800</t>
  </si>
  <si>
    <t>628560</t>
  </si>
  <si>
    <t>7282720</t>
  </si>
  <si>
    <t>99.10</t>
  </si>
  <si>
    <t>3961850</t>
  </si>
  <si>
    <t>7662970</t>
  </si>
  <si>
    <t>7149750</t>
  </si>
  <si>
    <t>6668100</t>
  </si>
  <si>
    <t>7357200</t>
  </si>
  <si>
    <t>3517480</t>
  </si>
  <si>
    <t>19375600</t>
  </si>
  <si>
    <t>9698980</t>
  </si>
  <si>
    <t>2983390</t>
  </si>
  <si>
    <t>100.90</t>
  </si>
  <si>
    <t>14168470</t>
  </si>
  <si>
    <t>22010010</t>
  </si>
  <si>
    <t>17290450</t>
  </si>
  <si>
    <t>8429250</t>
  </si>
  <si>
    <t>95.50</t>
  </si>
  <si>
    <t>13577470</t>
  </si>
  <si>
    <t>11334190</t>
  </si>
  <si>
    <t>4577440</t>
  </si>
  <si>
    <t>92.60</t>
  </si>
  <si>
    <t>3047930</t>
  </si>
  <si>
    <t>10086730</t>
  </si>
  <si>
    <t>26121280</t>
  </si>
  <si>
    <t>4295230</t>
  </si>
  <si>
    <t>91.10</t>
  </si>
  <si>
    <t>970030</t>
  </si>
  <si>
    <t>90.70</t>
  </si>
  <si>
    <t>1884780</t>
  </si>
  <si>
    <t>647530</t>
  </si>
  <si>
    <t>5093650</t>
  </si>
  <si>
    <t>10929740</t>
  </si>
  <si>
    <t>3811970</t>
  </si>
  <si>
    <t>545900</t>
  </si>
  <si>
    <t>911650</t>
  </si>
  <si>
    <t>1074110</t>
  </si>
  <si>
    <t>1339920</t>
  </si>
  <si>
    <t>728110</t>
  </si>
  <si>
    <t>302720</t>
  </si>
  <si>
    <t>2907610</t>
  </si>
  <si>
    <t>516150</t>
  </si>
  <si>
    <t>4227950</t>
  </si>
  <si>
    <t>1387040</t>
  </si>
  <si>
    <t>9092790</t>
  </si>
  <si>
    <t>9860330</t>
  </si>
  <si>
    <t>3894490</t>
  </si>
  <si>
    <t>41679900</t>
  </si>
  <si>
    <t>30009480</t>
  </si>
  <si>
    <t>3921875</t>
  </si>
  <si>
    <t>3916050</t>
  </si>
  <si>
    <t>24212550</t>
  </si>
  <si>
    <t>92.75</t>
  </si>
  <si>
    <t>36490700</t>
  </si>
  <si>
    <t>3407925</t>
  </si>
  <si>
    <t>1756250</t>
  </si>
  <si>
    <t>4300300</t>
  </si>
  <si>
    <t>3924750</t>
  </si>
  <si>
    <t>90.75</t>
  </si>
  <si>
    <t>4803875</t>
  </si>
  <si>
    <t>34120450</t>
  </si>
  <si>
    <t>6059325</t>
  </si>
  <si>
    <t>10755100</t>
  </si>
  <si>
    <t>87.25</t>
  </si>
  <si>
    <t>11054225</t>
  </si>
  <si>
    <t>1343775</t>
  </si>
  <si>
    <t>1511575</t>
  </si>
  <si>
    <t>452850</t>
  </si>
  <si>
    <t>89.75</t>
  </si>
  <si>
    <t>1590075</t>
  </si>
  <si>
    <t>3249775</t>
  </si>
  <si>
    <t>1926275</t>
  </si>
  <si>
    <t>1652975</t>
  </si>
  <si>
    <t>37073700</t>
  </si>
  <si>
    <t>31707550</t>
  </si>
  <si>
    <t>15006450</t>
  </si>
  <si>
    <t>22786475</t>
  </si>
  <si>
    <t>1842050</t>
  </si>
  <si>
    <t>91.75</t>
  </si>
  <si>
    <t>90.25</t>
  </si>
  <si>
    <t>2681850</t>
  </si>
  <si>
    <t>6659800</t>
  </si>
  <si>
    <t>21722225</t>
  </si>
  <si>
    <t>93454300</t>
  </si>
  <si>
    <t>4489975</t>
  </si>
  <si>
    <t>26434750</t>
  </si>
  <si>
    <t>28804725</t>
  </si>
  <si>
    <t>49300000</t>
  </si>
  <si>
    <t>13268375</t>
  </si>
  <si>
    <t>6769750</t>
  </si>
  <si>
    <t>77.25</t>
  </si>
  <si>
    <t>7787075</t>
  </si>
  <si>
    <t>1603300</t>
  </si>
  <si>
    <t>76.25</t>
  </si>
  <si>
    <t>2503325</t>
  </si>
  <si>
    <t>1553225</t>
  </si>
  <si>
    <t>1096450</t>
  </si>
  <si>
    <t>77.75</t>
  </si>
  <si>
    <t>19844300</t>
  </si>
  <si>
    <t>3775375</t>
  </si>
  <si>
    <t>724400</t>
  </si>
  <si>
    <t>179300</t>
  </si>
  <si>
    <t>382450</t>
  </si>
  <si>
    <t>78.25</t>
  </si>
  <si>
    <t>1719925</t>
  </si>
  <si>
    <t>382975</t>
  </si>
  <si>
    <t>295500</t>
  </si>
  <si>
    <t>2307375</t>
  </si>
  <si>
    <t>20765200</t>
  </si>
  <si>
    <t>895750</t>
  </si>
  <si>
    <t>1528775</t>
  </si>
  <si>
    <t>1448000</t>
  </si>
  <si>
    <t>959150</t>
  </si>
  <si>
    <t>2863725</t>
  </si>
  <si>
    <t>79.75</t>
  </si>
  <si>
    <t>5892375</t>
  </si>
  <si>
    <t>80.75</t>
  </si>
  <si>
    <t>1924125</t>
  </si>
  <si>
    <t>80.25</t>
  </si>
  <si>
    <t>1563225</t>
  </si>
  <si>
    <t>1658725</t>
  </si>
  <si>
    <t>210600</t>
  </si>
  <si>
    <t>81.25</t>
  </si>
  <si>
    <t>679450</t>
  </si>
  <si>
    <t>2845825</t>
  </si>
  <si>
    <t>1272100</t>
  </si>
  <si>
    <t>850650</t>
  </si>
  <si>
    <t>1872525</t>
  </si>
  <si>
    <t>11097925</t>
  </si>
  <si>
    <t>3237450</t>
  </si>
  <si>
    <t>2252375</t>
  </si>
  <si>
    <t>840350</t>
  </si>
  <si>
    <t>82.25</t>
  </si>
  <si>
    <t>8797725</t>
  </si>
  <si>
    <t>340825</t>
  </si>
  <si>
    <t>83.75</t>
  </si>
  <si>
    <t>4676125</t>
  </si>
  <si>
    <t>3659675</t>
  </si>
  <si>
    <t>10442875</t>
  </si>
  <si>
    <t>5871425</t>
  </si>
  <si>
    <t>6729225</t>
  </si>
  <si>
    <t>69000</t>
  </si>
  <si>
    <t>75.75</t>
  </si>
  <si>
    <t>4702150</t>
  </si>
  <si>
    <t>5605181.6</t>
  </si>
  <si>
    <t>59.50</t>
  </si>
  <si>
    <t>377903.1</t>
  </si>
  <si>
    <t>1730870</t>
  </si>
  <si>
    <t>933086</t>
  </si>
  <si>
    <t>58.90</t>
  </si>
  <si>
    <t>2557160.6</t>
  </si>
  <si>
    <t>258402.1</t>
  </si>
  <si>
    <t>748137.6</t>
  </si>
  <si>
    <t>150196.1</t>
  </si>
  <si>
    <t>61592.9</t>
  </si>
  <si>
    <t>1263101.1</t>
  </si>
  <si>
    <t>Share price (LHS)</t>
  </si>
  <si>
    <t>Volume (RHS)</t>
  </si>
  <si>
    <t>R</t>
  </si>
  <si>
    <t>G</t>
  </si>
  <si>
    <t>B</t>
  </si>
  <si>
    <t>Powered by construction boom</t>
  </si>
  <si>
    <t>Growth entwined to construction uptrend</t>
  </si>
  <si>
    <t>CAGR_E</t>
  </si>
  <si>
    <t>CAGR_H</t>
  </si>
  <si>
    <t>P/e 31 March</t>
  </si>
  <si>
    <t>TODAY</t>
  </si>
  <si>
    <t>Link</t>
  </si>
  <si>
    <t>On-Going/</t>
  </si>
  <si>
    <t>Commencement</t>
  </si>
  <si>
    <t>Completion</t>
  </si>
  <si>
    <t xml:space="preserve">Client </t>
  </si>
  <si>
    <t xml:space="preserve">Project Value </t>
  </si>
  <si>
    <t>Complete</t>
  </si>
  <si>
    <t>LKR.Mn</t>
  </si>
  <si>
    <t>Roads &amp; Highways</t>
  </si>
  <si>
    <t>http://www.accessengsl.com/projects/roads-highways/</t>
  </si>
  <si>
    <t>Kandy Road section from Kadawatha to Nittambuwa</t>
  </si>
  <si>
    <t>Road Development Authority</t>
  </si>
  <si>
    <t>http://www.accessengsl.com/project/roads-highways/rehabilitation-improvements-to-colombo-kandy-road-section-from-kadawatha-to-nittambuwa/</t>
  </si>
  <si>
    <t>Rehabilitation &amp; Improvement to A029 Vavuniya - Horowpathana Road</t>
  </si>
  <si>
    <t>http://www.accessengsl.com/project/roads-highways/rehabilitation-improvement-to-a029-vavuniya-horowpathana-road-from-5000-km-to-16000-km-under-adb-funded-northern-road-connectivity-project/</t>
  </si>
  <si>
    <t>Surfacing of Dambokka - Katupitiya Road (B087) and Rambukkana - Katupitiya Road (B384)</t>
  </si>
  <si>
    <t>Xi'an Dagang road Machinery CO., Ltd / Road Development Authority</t>
  </si>
  <si>
    <t>http://www.accessengsl.com/project/roads-highways/supply-laying-and-compaction-of-asphalt-concrete-wearing-course-and-tack-coat-for-dambokka-katupitiya-road-b087-and-rambukkana-katupitiya-road-b384/</t>
  </si>
  <si>
    <t>China Development Bank Funded Improvements to Priority Road Project II Galagedara–Rambukkana Road (0+000-18+500km)</t>
  </si>
  <si>
    <t>Xi’an Dagang Road Machinery Co. Ltd/Road Development Authority</t>
  </si>
  <si>
    <t>http://www.accessengsl.com/project/roads-highways/china-development-bank-funded-improvement-rehabilitation-of-priority-road-project-2-galagedara-rambukkana-road-0-00km-18-5km/</t>
  </si>
  <si>
    <t>Rehabilitation and improvements to Mannar Puttalam Road Project (C3</t>
  </si>
  <si>
    <t>China Harbour Engineering Company / Road Development Authority</t>
  </si>
  <si>
    <t>http://www.accessengsl.com/project/roads-highways/rehabilitation-and-improvements-to-mannar-puttalam-road-project-c3/</t>
  </si>
  <si>
    <t>Rehabilitation and Improvements To Bangadeniya – Andigama - Anamaduwa Road (0+000 to 38+000 km)</t>
  </si>
  <si>
    <t>http://www.accessengsl.com/project/roads-highways/improvement-and-rehabilitation-of-bangadeniya-andigama-anamaduwa-road-project-0000-to-34000/</t>
  </si>
  <si>
    <t>Rehabilitation and improvements to Ibbagamuwa - Kubukgate - Madagalle Road (B159) (0+000 - 34+190 km)</t>
  </si>
  <si>
    <t>http://www.accessengsl.com/project/roads-highways/rehabilitation-and-improvements-to-ibbagamuwa-kubukgate-madagalle-road-b-159-from-0000-to-34190km/</t>
  </si>
  <si>
    <t>Rehabilitation of Nawathkuli-Kerathivu-Mannar Road (A32) (15+895 - 32+340 km)</t>
  </si>
  <si>
    <t>http://www.accessengsl.com/project/roads-highways/road-and-appurtenances-21km-length-for-a32-road-under-rehabilitation-improvement-of-67km-length-of-navatkuli-karaitivu-mannar-road-a-032/</t>
  </si>
  <si>
    <t>Widening and Improvements to Jaffna – Ponnali – Point Pedro Road (28+500 - 31+500 km)</t>
  </si>
  <si>
    <t>http://www.accessengsl.com/project/roads-highways/widening-and-improvement-of-jaffna-ponnali-point-pedro-road-1-5-km-between-28-5-km-to-31-5-km-in-front-of-president-bungalow/</t>
  </si>
  <si>
    <t>Rehabilitation And Improvements To Jaffna-Kankasanthurai Road (AB016), Puttur–Meesalai (AB032) &amp; Jaffna–Palali Road (AB018)</t>
  </si>
  <si>
    <t>China Railway No 5/ Road Development Authority</t>
  </si>
  <si>
    <t>http://www.accessengsl.com/project/roads-highways/rehabilitation-improvement-of-jaffna-kankasanthurai-road-ab016-puttur-meesalai-road-ab032-jaffna-palali-road-ab018/</t>
  </si>
  <si>
    <t>Rehabilitation to Ambepussa – Kurunegala -Trincomalee Road (A06) (157+000 - 167+280 km) &amp; Kantale – Perathuweli Road (B196)</t>
  </si>
  <si>
    <t>http://www.accessengsl.com/project/roads-highways/rehabilitation-and-improvements-on-ambepussa-kurunegala-trincomalee-kantale-perathuweli-roads-a06/</t>
  </si>
  <si>
    <t>Improvement of Padeniya - Anuradhapura Road (60+000 – 80+800 km</t>
  </si>
  <si>
    <t>Keangnam Enterprises Ltd / Road Development Authority</t>
  </si>
  <si>
    <t>http://www.accessengsl.com/project/roads-highways/improvement-of-padeniya-anuradhapura-road-project-50000-km-80800-km/</t>
  </si>
  <si>
    <t>Rehabilitation &amp; Improvements to roads in North Central Province Deyata Kirula -2012 Phase II</t>
  </si>
  <si>
    <t>http://www.accessengsl.com/project/roads-highways/rehabilitation-improvements-to-roads-in-north-central-province-deyata-kirula-2012-phase-ii/</t>
  </si>
  <si>
    <t>Surface Improvements To Internal Roads At Katunayake And Biyagama Export Processing Zones</t>
  </si>
  <si>
    <t>Sri Lanka Land Reclamation &amp; Development Corporation</t>
  </si>
  <si>
    <t>http://www.accessengsl.com/project/roads-highways/surface-improvements-to-internal-roads-at-katunayake-and-biyagama-export-processing-zones/</t>
  </si>
  <si>
    <t>Design And Construction Of Block Panel Retaining Wall For Outer Circular Highway Project</t>
  </si>
  <si>
    <t>China Harbour Engineering Company/ Road Development Authority</t>
  </si>
  <si>
    <t>http://www.accessengsl.com/project/roads-highways/design-and-construction-of-block-panel-retaining-wall-for-outer-circular-highway-project/</t>
  </si>
  <si>
    <t>AFD (French Development Agency) Funded Trincomalee Integrated Infrastructure Road Project</t>
  </si>
  <si>
    <t>http://www.accessengsl.com/project/roads-highways/afd-french-development-agency-funded-trincomalee-integrated-infrastructure-road-project/</t>
  </si>
  <si>
    <t>Access Road to Hambantota International Airport</t>
  </si>
  <si>
    <t>China Harbour Engineering Company / Airport &amp; Aviation Services (Sri Lanka) Ltd</t>
  </si>
  <si>
    <t>http://www.accessengsl.com/project/roads-highways/access-road-to-hambantota-international-airport/</t>
  </si>
  <si>
    <t>Rehabilitation &amp; Improvements To Roads In North Central Province Deyata Kirula -2012</t>
  </si>
  <si>
    <t>http://www.accessengsl.com/project/roads-highways/rehabilitation-improvements-to-roads-in-north-central-province-deyata-kirula-2012/</t>
  </si>
  <si>
    <t>Improvements to six roads in Kilinochchi</t>
  </si>
  <si>
    <t>http://www.accessengsl.com/project/roads-highways/improvements-to-six-roads-in-kilinochchi-area/</t>
  </si>
  <si>
    <t>Improvements to Minuwangoda - Gampaha - Miriswatta Road (0+000 - 4+550 km)</t>
  </si>
  <si>
    <t>http://www.accessengsl.com/project/roads-highways/improvements-to-minuwangoda-gampaha-miriswatta-road-from-0000-to-4550km/</t>
  </si>
  <si>
    <t>Southern Highway Guard Rail Installation Project (35+000 - 66+000 km)</t>
  </si>
  <si>
    <t>Taisei Corporation</t>
  </si>
  <si>
    <t>http://www.accessengsl.com/project/roads-highways/southern-highway-guard-rail-installation-project/</t>
  </si>
  <si>
    <t>Improvements To Badalkumbura - Buttala – Sellakatharagama Road (9+000 to 12+500 km)</t>
  </si>
  <si>
    <t>http://www.accessengsl.com/project/roads-highways/improvements-to-negambo-meerigama-road-10-00-15-00-km/</t>
  </si>
  <si>
    <t>Southern Transport Development Project</t>
  </si>
  <si>
    <t xml:space="preserve">Kumagai Gumi Co. Ltd / Road Development Authority </t>
  </si>
  <si>
    <t>http://www.accessengsl.com/project/roads-highways/southern-transport-development-project/</t>
  </si>
  <si>
    <t>Improvements To Medawachchiya-Mannar-Thalaimannar Road (A 014) (80+000 - 113+830 km)</t>
  </si>
  <si>
    <t>http://www.accessengsl.com/project/roads-highways/medawachchiya-mannar-thalaimannar-road/</t>
  </si>
  <si>
    <t>Bridges &amp; Flyovers</t>
  </si>
  <si>
    <t>http://www.accessengsl.com/projects/bridges-flyovers/</t>
  </si>
  <si>
    <t>Design &amp; Construction of Rajagiriya Flyover</t>
  </si>
  <si>
    <t>Centunion/Road Development Authority</t>
  </si>
  <si>
    <t>http://www.accessengsl.com/project/bridges-flyovers/design-construction-of-rajagiriya-flyover/</t>
  </si>
  <si>
    <t>Design &amp; Construction of Polgahawela Flyover</t>
  </si>
  <si>
    <t>http://www.accessengsl.com/project/bridges-flyovers/design-construction-of-polgahawela-flyover/</t>
  </si>
  <si>
    <t>Design &amp; Construction of Ganemulla Flyover</t>
  </si>
  <si>
    <t>http://www.accessengsl.com/project/bridges-flyovers/design-construction-of-ganemulla-flyover/</t>
  </si>
  <si>
    <t>Construction of 3 Bridges - Major Bridge Construction Projects of The National Road Network</t>
  </si>
  <si>
    <t>Wakachiku Construction Co.Ltd/RDA</t>
  </si>
  <si>
    <t>http://www.accessengsl.com/project/bridges-flyovers/construction-of-3-bridges-major-bridge-construction-projects-of-the-national-road-network/</t>
  </si>
  <si>
    <t>Design &amp; Construction of Polduwa Bridge Across Diyawanna Oya</t>
  </si>
  <si>
    <t>http://www.accessengsl.com/project/bridges-flyovers/construction-of-polduwa-bridge/</t>
  </si>
  <si>
    <t>Construction of Flyover Across Veyangoda Railway Crossing</t>
  </si>
  <si>
    <t>Centunion / Road Development Authority</t>
  </si>
  <si>
    <t>http://www.accessengsl.com/project/bridges-flyovers/veyangoda-railway-crossing-flyover/</t>
  </si>
  <si>
    <t>Asian Development Bank Funded Eastern and North Central Provincial Bridge Project</t>
  </si>
  <si>
    <t>Road Development Department - Eastern Province</t>
  </si>
  <si>
    <t>http://www.accessengsl.com/project/bridges-flyovers/asian-development-bank-funded-eastern-and-north-central-provincial-bridge-project-contract-package-epbp-02/</t>
  </si>
  <si>
    <t>Construction of Sangupiddy Bridge on Mannar - Pooneryn- Kerathivu Road (A32)</t>
  </si>
  <si>
    <t>http://www.accessengsl.com/project/bridges-flyovers/sangupiddy-bridge-on-mannar-pooneryn-karativu-a32-road/</t>
  </si>
  <si>
    <t>Construction of Aruvi Aru Bridge Project on 19th km South-East Coast Road (B-403)</t>
  </si>
  <si>
    <t>http://www.accessengsl.com/project/bridges-flyovers/aruvi-aru-bridge-project/</t>
  </si>
  <si>
    <t>Dehiwala Flyover</t>
  </si>
  <si>
    <t>http://www.accessengsl.com/project/bridges-flyovers/dehiwala-flyover-bridge/</t>
  </si>
  <si>
    <t>Nugegoda Flyover</t>
  </si>
  <si>
    <t>http://www.accessengsl.com/project/bridges-flyovers/nugegoda-flyover/</t>
  </si>
  <si>
    <t>Water &amp; Wastewater</t>
  </si>
  <si>
    <t>http://www.accessengsl.com/projects/water-waste-water/</t>
  </si>
  <si>
    <t>Town East of Colombo District Water Supply Project - Package I</t>
  </si>
  <si>
    <t>NWSDB</t>
  </si>
  <si>
    <t>http://www.accessengsl.com/project/water-waste-water/town-east-of-colombo-district-water-supply-project-package-i-supply-laying-of-hdpedi-pipes-for-distribution-network-in-padukka-seethawaka-ds-area/</t>
  </si>
  <si>
    <t>Rehabilitation of Labugama &amp; Kalatuwawa Water Treatment Plants</t>
  </si>
  <si>
    <t>Fovarosi Vizmuvek ZRT/ Budapest Water Works</t>
  </si>
  <si>
    <t>Euro 13.9 Million</t>
  </si>
  <si>
    <t>http://www.accessengsl.com/project/water-waste-water/rehabilitation-of-labugama-kalatuwawa-water-treatment-plants/</t>
  </si>
  <si>
    <t>Greater Colombo Waste Water Management Project</t>
  </si>
  <si>
    <t>National Water Supply &amp; Drainage Board/ CCB Envico Pty Ltd</t>
  </si>
  <si>
    <t>http://www.accessengsl.com/project/water-waste-water/greater-colombo-waste-water-management-project/</t>
  </si>
  <si>
    <t>Kandana Water Treatment Plant Extension – Kalu Ganga Water Supply Project</t>
  </si>
  <si>
    <t>Salcon Engineering Berhad / National Water Supply and Drainage Board</t>
  </si>
  <si>
    <t>http://www.accessengsl.com/project/water-waste-water/kandana-water-treatment-plant-extension-kalu-ganga-water-supply-project/</t>
  </si>
  <si>
    <t>Construction of 1.6MW Kadurugaldola Mini Hydro Power Project</t>
  </si>
  <si>
    <t>Eco Friendly Power Developers Pvt Ltd</t>
  </si>
  <si>
    <t>http://www.accessengsl.com/project/water-waste-water/construction-of-1-6mw-kadurugaldola-mini-hydro-power-project/</t>
  </si>
  <si>
    <t>Gated Salinity Barrier across Walawe River at Ambalantota</t>
  </si>
  <si>
    <t>National Water Supply &amp; Drainage Board</t>
  </si>
  <si>
    <t>http://www.accessengsl.com/project/water-waste-water/gated-salinity-barrier-across-walawe-river-at-ambalantota/</t>
  </si>
  <si>
    <t>Relocation of Distribution Water Mains Along A6 Main Road (157+000 - 167+280 km)</t>
  </si>
  <si>
    <t>National Water Supply &amp; Drainage Board Ltd</t>
  </si>
  <si>
    <t>http://www.accessengsl.com/project/water-waste-water/relocation-of-distribution-main-along-a6-main-road-from-chain-age-157000km-to-167280km/</t>
  </si>
  <si>
    <t>Supply and laying of 400mm Dia.DI transmission mains from Kantale to Ganthalawa</t>
  </si>
  <si>
    <t>http://www.accessengsl.com/project/water-waste-water/supply-and-laying-of-400mm-dia-di-transmission-main-from-kantale-to-ganthalawa/</t>
  </si>
  <si>
    <t>Water Tower Project - Hambantota Port</t>
  </si>
  <si>
    <t>China Harbour Engineering Company / Sri Lanka Ports Authority</t>
  </si>
  <si>
    <t>http://www.accessengsl.com/project/water-waste-water/hambantota-port-harbour-water-tower-project/</t>
  </si>
  <si>
    <t>Water Tower Project - Mattala Rajapaksa International Airport</t>
  </si>
  <si>
    <t>China Harbour Engineering Company Ltd / Airport and Aviation Services (Sri Lanka) Limited</t>
  </si>
  <si>
    <t>http://www.accessengsl.com/project/water-waste-water/mattala-water-tower-project/</t>
  </si>
  <si>
    <t>Construction of Elevated Water Towers - Batticaloa Water Supply Projec</t>
  </si>
  <si>
    <t>Joint Venture with China Geo-Engineering Corporation/ National Water Supply &amp; Drainage Board</t>
  </si>
  <si>
    <t>http://www.accessengsl.com/project/water-waste-water/batticaloa-water-tower-project/</t>
  </si>
  <si>
    <t>Design, Supply and Installations Of DI Pipes and Other Accessories for Outer Circular Highway Project from Kottawa to Kaduwela</t>
  </si>
  <si>
    <t>China Harbour Engineering Company / Airport and Aviation Services (Sri Lanka) Limited</t>
  </si>
  <si>
    <t>http://www.accessengsl.com/project/water-waste-water/design-coordination-supply-and-installation-of-di-pipes-specials-accessories-dici-valves-manholes-covers-and-surface-boxes-for-outer-circular-highway-project-to-the-city-of-colombo-southern-sect/</t>
  </si>
  <si>
    <t>Batticaloa Water Supply Project</t>
  </si>
  <si>
    <t>http://www.accessengsl.com/project/water-waste-water/batticaloa-water-supply-project/</t>
  </si>
  <si>
    <t>upply and Laying External Water Transmission for Hambantota International Airport Development Project</t>
  </si>
  <si>
    <t>http://www.accessengsl.com/project/water-waste-water/mattala-pipe-laying-project/</t>
  </si>
  <si>
    <t>Laying &amp; Jointing of 900mm DI water Transmission mains along A4 road</t>
  </si>
  <si>
    <t>China Harbour Engineering Company Ltd</t>
  </si>
  <si>
    <t>http://www.accessengsl.com/project/water-waste-water/laying-jointing-of-900mm-di-water-transmission/</t>
  </si>
  <si>
    <t>Hambantota Water Supply Project</t>
  </si>
  <si>
    <t>Joint Venture with China Geo-Engineering Corporation and Salcon / National Water Supply &amp; Drainage Board</t>
  </si>
  <si>
    <t>http://www.accessengsl.com/project/water-waste-water/hambantota-water-supply-project/</t>
  </si>
  <si>
    <t>Buildings</t>
  </si>
  <si>
    <t>http://www.accessengsl.com/projects/buildings/</t>
  </si>
  <si>
    <t>Urban Regeneration Project - City of Colombo, Construction of 608 Housing Units for Government Servants at Borella</t>
  </si>
  <si>
    <t>Urban Development Authority</t>
  </si>
  <si>
    <t>http://www.accessengsl.com/project/buildings/urban-regeneration-project-city-of-colombo-construction-of-608-housing-units-for-government-servants-at-borella/</t>
  </si>
  <si>
    <t>Construction of 941 Housing Units - Relocation of undeserved Settlements Project At Henamulla (Phase II)</t>
  </si>
  <si>
    <t>http://www.accessengsl.com/project/buildings/construction-of-housing-for-relocation-of-underserved-settlement-in-the-city-of-colombo-at-henamulla-phase-ii/</t>
  </si>
  <si>
    <t>Design &amp; Construction of Access Tower II - 28 Storey Office Complex</t>
  </si>
  <si>
    <t>Access Realties (Pvt) Ltd</t>
  </si>
  <si>
    <t>http://www.accessengsl.com/project/buildings/design-construction-of-access-tower-ii-28-storey-office-complex/</t>
  </si>
  <si>
    <t>Subcontract for Temporary Works at Waterfront Integrated Resort</t>
  </si>
  <si>
    <t>Hyundai / Keagnam / Nawaloka JV</t>
  </si>
  <si>
    <t>http://www.accessengsl.com/project/buildings/subcontract-for-temporary-works-at-waterfront-integrated-resort/</t>
  </si>
  <si>
    <t>Construction of Pre-Fabricated Dormitories for Workers of Lak Vijaya Power Station At Norochcholai, Puttalam - Stage 2</t>
  </si>
  <si>
    <t>Ceylon Electricity Board</t>
  </si>
  <si>
    <t>http://www.accessengsl.com/project/buildings/construction-of-pre-fabricated-dormitories-for-workers-of-lak-vijaya-power-station-at-norochcholai-puttalam-stage-2/</t>
  </si>
  <si>
    <t>Civil &amp; Steel Structure Fabrication &amp; Erection Works for Modifying Cement Unloading and Conveying System</t>
  </si>
  <si>
    <t>Ultratech Cement Lanka (Pvt) Ltd</t>
  </si>
  <si>
    <t>http://www.accessengsl.com/project/buildings/civil-steel-structure-fabrication-erection-works-for-modifying-cement-unloading-and-conveying-system-at-ultratech-cement-lanka-pvt-ltd/</t>
  </si>
  <si>
    <t>Nagananda International Institute of Buddhist Studies,Manelwattha,Kelaniya</t>
  </si>
  <si>
    <t>China Harbour Engineering Company</t>
  </si>
  <si>
    <t>http://www.accessengsl.com/project/buildings/construction-of-nagananda-international-institute-of-buddhist-studies-manelwattha-kelaniya/</t>
  </si>
  <si>
    <t>Subcontract for Temporary Works at AVIC Astoria Residential Development Project</t>
  </si>
  <si>
    <t>AVIC International Holding Corporation</t>
  </si>
  <si>
    <t>http://www.accessengsl.com/project/buildings/subcontract-for-temporary-works-at-avic-astoria-residential-development-project/</t>
  </si>
  <si>
    <t>Construction of 1137 Housing units - Relocation Of Undeserved Settlements Project At Henamulla (Phase I)</t>
  </si>
  <si>
    <t>http://www.accessengsl.com/project/buildings/relocation-of-underserved-settlements-project-construction-of-1137-housing-units-at-henamulla/</t>
  </si>
  <si>
    <t>Airport Building Project - Mattala Rajapaksa International Airport</t>
  </si>
  <si>
    <t>http://www.accessengsl.com/project/buildings/mattala-airport-building-project/</t>
  </si>
  <si>
    <t>Aviation</t>
  </si>
  <si>
    <t>http://www.accessengsl.com/projects/aviation/</t>
  </si>
  <si>
    <t>Fuel Hydrant System Within The Apron Area - Mattala Rajapaksa International Airport</t>
  </si>
  <si>
    <t>Telecommunication</t>
  </si>
  <si>
    <t>http://www.accessengsl.com/projects/telecommunication/</t>
  </si>
  <si>
    <t>SRI LANKA TELECOM – OSP CONSTRUCTION PROJECT</t>
  </si>
  <si>
    <t>Sri Lanka Telecom</t>
  </si>
  <si>
    <t>Unit Rate Contract</t>
  </si>
  <si>
    <t>http://www.accessengsl.com/project/telecommunication/sri-lanka-telecom-new-subscriber-connection-project/</t>
  </si>
  <si>
    <t>DIALOG OPTICAL FIBER BACKBONE NETWORK PROJECT - PHASE V</t>
  </si>
  <si>
    <t>Dialog Axiata PLC</t>
  </si>
  <si>
    <t>http://www.accessengsl.com/project/telecommunication/dialog-optical-fiber-backbone-network-project-phase-v/</t>
  </si>
  <si>
    <t>DIALOG OPTICAL FIBER SPROUTS CONNECTIVITY PROJECT</t>
  </si>
  <si>
    <t>http://www.accessengsl.com/project/telecommunication/dialog-optical-fiber-sprouts-connectivity-project/</t>
  </si>
  <si>
    <t>DIALOG OPTICAL FIBER BACKBONE NETWORK PROJECT - PHASE IV</t>
  </si>
  <si>
    <t>http://www.accessengsl.com/project/telecommunication/dialog-optical-fiber-backbone-network-phase-4-project/</t>
  </si>
  <si>
    <t>TELECOMMUNICATION TOWER PROJECT – PHASE II (DOORIYANGAHADENIYA AND GALOLUWA SITES)</t>
  </si>
  <si>
    <t xml:space="preserve">Huawei Technologies Lanka Co. (Pvt) Ltd /Dialog Axiata PLC </t>
  </si>
  <si>
    <t>http://www.accessengsl.com/project/telecommunication/telecommunication-tower-project-phase-ii/</t>
  </si>
  <si>
    <t>DIALOG AERIAL OPTICAL FIBRE CABLE PROJECT – PHASE III</t>
  </si>
  <si>
    <t>http://www.accessengsl.com/project/telecommunication/dialog-aerial-optical-fibre-cable-project-phase-3/</t>
  </si>
  <si>
    <t>COLOMBO METRO OPTICAL FIBER NETWORK PROJECT – PHASE IV</t>
  </si>
  <si>
    <t>Huawei Technologies Co. / Dialog Axiata</t>
  </si>
  <si>
    <t>http://www.accessengsl.com/project/telecommunication/colombo-metro-optical-fibre-network-project-phase-iv/</t>
  </si>
  <si>
    <t>FULL TURN KEY TELECOMMUNICATION TOWER PROJECT (11 SITES)</t>
  </si>
  <si>
    <t>http://www.accessengsl.com/project/telecommunication/telecom-tower-project/</t>
  </si>
  <si>
    <t>DIALOG AERIAL OPTICAL FIBER NETWORK PROJECT -PHASE 2A, 2B &amp; 2C</t>
  </si>
  <si>
    <t>http://www.accessengsl.com/project/telecommunication/dialog-aerial-optical-fiber-network-project/</t>
  </si>
  <si>
    <t>ISLAND WIDE OPTICAL FIBRE BACKBONE NETWORK PROJECT</t>
  </si>
  <si>
    <t>http://www.accessengsl.com/project/telecommunication/island-wide-optical-fibre-backbone-network-project-2/</t>
  </si>
  <si>
    <t>IMPLEMENTATION OF OPTICAL FIBER NETWORK IN GREATER COLOMBO AREA</t>
  </si>
  <si>
    <t>http://www.accessengsl.com/project/telecommunication/implementation-of-fibre-optic-network-for-dialog-telecom-ltd/</t>
  </si>
  <si>
    <t>CONSTRUCTION TOWER FOUNDATIONS FOR CELLTEL LANKA PVT LTD (50 SITES)</t>
  </si>
  <si>
    <t>CELLTEL LANKA PVT LTD</t>
  </si>
  <si>
    <t>http://www.accessengsl.com/project/telecommunication/construction-of-tower-foundations-for-celltel-gsm-phase-vii-expansion-project/</t>
  </si>
  <si>
    <t>Harbours &amp; Marine Work</t>
  </si>
  <si>
    <t>http://www.accessengsl.com/projects/harbours-marine-work/</t>
  </si>
  <si>
    <t>Design and Construction of Jetty at Kapprathota</t>
  </si>
  <si>
    <t>Ministry of Fisheries &amp; Aquatic Resources</t>
  </si>
  <si>
    <t>http://www.accessengsl.com/project/harbours-marine-work/design-and-construction-of-jetty-at-kapprathota/</t>
  </si>
  <si>
    <t>Rehabilitation of Container Yard at Port of Colombo ( P &amp; Q Lanes)</t>
  </si>
  <si>
    <t>Sri Lanka Ports Authority</t>
  </si>
  <si>
    <t>http://www.accessengsl.com/project/harbours-marine-work/rehabilitation-of-container-yard-at-port-of-colombo-p-q-lanes/</t>
  </si>
  <si>
    <t>Asphalt Paving Works for Colombo port Expansion Project - East Container Terminal - Phase I</t>
  </si>
  <si>
    <t>Sri Lanka Ports Authority / Hyundai Engineering &amp; Construction Co. Ltd</t>
  </si>
  <si>
    <t>http://www.accessengsl.com/project/harbours-marine-work/asphalt-paving-works-for-colombo-port-expansion-project-east-container-terminal-phase-i/</t>
  </si>
  <si>
    <t>Urgent renovation works at Unity Container Terminal (UCT),New North Pier, in Port of Colombo</t>
  </si>
  <si>
    <t>http://www.accessengsl.com/project/harbours-marine-work/urgent-renovation-works-at-unity-container-terminal-uctnew-north-pier-in-port-of-colombo/</t>
  </si>
  <si>
    <t>Mega Port – Phase III, Port of Colombo</t>
  </si>
  <si>
    <t>AHTNA Government Services Corporation – USA</t>
  </si>
  <si>
    <t>US $ 1,250,000</t>
  </si>
  <si>
    <t>http://www.accessengsl.com/project/harbours-marine-work/mega-port-phase-iii/</t>
  </si>
  <si>
    <t>Galle Harbour Yacht Marina</t>
  </si>
  <si>
    <t>http://www.accessengsl.com/project/harbours-marine-work/galle-harbour-yacht-marina/</t>
  </si>
  <si>
    <t>Mega Port – Phase II- Port of Colombo</t>
  </si>
  <si>
    <t>Ahtna Government Services Corporation – USA</t>
  </si>
  <si>
    <t>US$ 687,987</t>
  </si>
  <si>
    <t>http://www.accessengsl.com/project/harbours-marine-work/mega-port-phase-ii-installation-of-system-for-the-detection-of-the-goods-being-transported-out-of-the-port/</t>
  </si>
  <si>
    <t>Construction and Design of Major Works at Hikkaduwa, Mirrissa and Puranawella Fish Harbours</t>
  </si>
  <si>
    <t>United States Agency for International Development / CH2MHILL/ Ceylon Fishery Harbours Corporation</t>
  </si>
  <si>
    <t>http://www.accessengsl.com/project/harbours-marine-work/construction-and-design-of-major-works-at-hikkaduwa-mirrissa-and-puranawella-fish-harbours/</t>
  </si>
  <si>
    <t>Construction of Pier at Nicholson Naval Base at Trincomalle</t>
  </si>
  <si>
    <t>Sri Lanka Navy</t>
  </si>
  <si>
    <t>http://www.accessengsl.com/project/harbours-marine-work/construction-of-pier-at-nicholson-naval-base-at-trincomalle/</t>
  </si>
  <si>
    <t>Construction of Break Water, Quay Wall and Dredging for Kudawella Fishery Harbour</t>
  </si>
  <si>
    <t>China Harbour Engineering Corporation / Ceylon Fishery Harbours Corporation</t>
  </si>
  <si>
    <t>www.accessengsl.com/project/harbours-marine-work/construction-of-break-water-quay-wall-and-dredging-for-kudawella-fishery-harbour/</t>
  </si>
  <si>
    <t>Irrigation &amp; Land Drainage</t>
  </si>
  <si>
    <t>http://www.accessengsl.com/projects/irrigation-land-drainage/</t>
  </si>
  <si>
    <t>Rehabilitation of Downstream &amp; Upstream Dam Embankments of Iranamadu</t>
  </si>
  <si>
    <t>The Cheif Secretary / Nothern Provincial Council</t>
  </si>
  <si>
    <t>http://www.accessengsl.com/project/irrigation-land-drainage/rehabilitation-of-downstream-upstream-dam-embankments-of-iranamadu/</t>
  </si>
  <si>
    <t>Rehabilitation of Spillway, Supplying &amp; Installation of New Radial Gates and Automation of Spill &amp; Sluice Gates of Iranamadu Reservoir</t>
  </si>
  <si>
    <t>The Cheif Secretary, Nothern Provincial Council</t>
  </si>
  <si>
    <t>http://www.accessengsl.com/project/irrigation-land-drainage/rehabilitation-of-spillway-supplying-installation-of-new-radial-gates-and-automation-of-spill-sluice-gates-of-iranamadu-reservoir/</t>
  </si>
  <si>
    <t>Climate Resilience Improvement Project</t>
  </si>
  <si>
    <t>Irrigation Department</t>
  </si>
  <si>
    <t>http://www.accessengsl.com/project/irrigation-land-drainage/climate-resilience-improvement-project/</t>
  </si>
  <si>
    <t>Construction of Canal Bank Protection Works of St.Sebastian South Canal</t>
  </si>
  <si>
    <t>SLR&amp;DC / Colombo Metro Project</t>
  </si>
  <si>
    <t>http://www.accessengsl.com/project/irrigation-land-drainage/construction-of-canal-bank-protection-works-of-st-sebastian-south-canal/</t>
  </si>
  <si>
    <t>Deduruoya Reservior Project</t>
  </si>
  <si>
    <t>http://www.accessengsl.com/project/irrigation-land-drainage/construction-of-close-conduits-on-53-65m-length-4-nos-of-overcrossings-in-right-bank-transbasin-canal-under-deduruoya-reservior-project/</t>
  </si>
  <si>
    <t>Raising of Unnichchai Tank Bund</t>
  </si>
  <si>
    <t>National Water Supply and Drainage Boar</t>
  </si>
  <si>
    <t>http://www.accessengsl.com/project/irrigation-land-drainage/raising-of-unnichchai-tank/</t>
  </si>
  <si>
    <t>Construction of Weerayadi Anicut</t>
  </si>
  <si>
    <t>http://www.accessengsl.com/project/irrigation-land-drainage/construction-of-weerayadi-anicut/</t>
  </si>
  <si>
    <t>Dredging &amp; Reclamation</t>
  </si>
  <si>
    <t>http://www.accessengsl.com/projects/dredgin-reclamation/</t>
  </si>
  <si>
    <t>Thotagamuwa Molapu Estuary De-silting Project</t>
  </si>
  <si>
    <t>Mega Dredge (Pvt) Ltd / Department of Irrigation</t>
  </si>
  <si>
    <t>http://www.accessengsl.com/project/dredgin-reclamation/thotagamuwa-molapu-estuary-de-silting-project/</t>
  </si>
  <si>
    <t>Desilting of CEB Intake in Rawan Oya, Polgolla Dam, Kandy</t>
  </si>
  <si>
    <t>Ceylon Electricity Board/ Mahaweli Authority</t>
  </si>
  <si>
    <t>http://www.accessengsl.com/project/dredgin-reclamation/desilting-of-ceb-intake-in-rawan-oya-polgolla-dam-kandy/</t>
  </si>
  <si>
    <t>Dredging of Dutch Canal Near Colombo - Katunayaka Expressway Project</t>
  </si>
  <si>
    <t>http://www.accessengsl.com/project/dredgin-reclamation/dredging-of-dutch-canal-on-colombo-%E2%80%90-katunayaka-expressway-project-2/</t>
  </si>
  <si>
    <t>Lunawa Lagoon Dredging Improvements of Sea Outfalls Coastal Project</t>
  </si>
  <si>
    <t>http://www.accessengsl.com/project/dredgin-reclamation/lunawa-lagoon-dredging-improvements-of-sea-outfalls-coastal-project/</t>
  </si>
  <si>
    <t>Environment &amp; Waste Management</t>
  </si>
  <si>
    <t>http://www.accessengsl.com/projects/environment-waste-management/</t>
  </si>
  <si>
    <t>Installation of Incinerator at Bandaranyaka International Airport</t>
  </si>
  <si>
    <t>Air Port &amp; Aviations Services (Sri Lanka) Ltd</t>
  </si>
  <si>
    <t>http://www.accessengsl.com/project/environment-waste-management/construction-of-civil-works-and-installation-of-incinerator/</t>
  </si>
  <si>
    <t>Greater Colombo Flood Control Project</t>
  </si>
  <si>
    <t>Sri Lanka Land Reclamation &amp; Development Co / China Geo - Engineering Corporation</t>
  </si>
  <si>
    <t>http://www.accessengsl.com/project/environment-waste-management/greater-colombo-flood-control/</t>
  </si>
  <si>
    <t>Piling</t>
  </si>
  <si>
    <t>http://www.accessengsl.com/projects/piling/</t>
  </si>
  <si>
    <t>PILING WORKS FOR EXTENSION OF SOUTHERN EXPRESSWAY PROJECT SECTION 3 [FROM WETIYA TO ANDARAWEWA]</t>
  </si>
  <si>
    <t>China State Construction Engineering Corporation Ltd./RDA</t>
  </si>
  <si>
    <t>http://www.accessengsl.com/project/piling/piling-works-for-extension-of-southern-expressway-project-section-3-from-wetiya-to-andarawewa/</t>
  </si>
  <si>
    <t>PILING WORKS FOR PROPOSED OFFICE BUILDING AT NO.286 , R.A.DE MEL MAWATHA, COLOMBO 03</t>
  </si>
  <si>
    <t>http://www.accessengsl.com/project/piling/piling-works-for-proposed-office-building-at-no-286-r-a-de-mel-mawatha-colombo-03/</t>
  </si>
  <si>
    <t>PILING WORKS FOR ITC COLOMBO ONE - HOTEL AND LUXURY APARTMENT AT GALLE FACE - COLOMBO 01</t>
  </si>
  <si>
    <t>http://www.accessengsl.com/project/piling/piling-works-for-itc-colombo-one-hotel-and-luxury-apartment-at-galle-face-colombo-01/</t>
  </si>
  <si>
    <t>Construction of Diaphram Wall, Anchoring and Excavation for the basement Car Parks - ITC Colombo One Development</t>
  </si>
  <si>
    <t>http://www.accessengsl.com/project/piling/itc-colombo-one-development-construction-of-diaphragm-wall-anchoring-and-excavation-for-the-basement-car-parks/</t>
  </si>
  <si>
    <t>PILING WORKS FOR CEYLON TEA SERVICES PLC AT NO 111, NEGOMBO ROAD, PELIYAGODA.</t>
  </si>
  <si>
    <t>Ceylon Tea Services PLC</t>
  </si>
  <si>
    <t>http://www.accessengsl.com/project/piling/piling-works-for-ceylon-tea-services-plc-at-no-111-negombo-road-peliyagoda/</t>
  </si>
  <si>
    <t>PILE DRIVING WORK IN BRIDGE NO 05,07 - MAJOR BRIDGES CONSTRUCTION PROJECT OF NATIONAL ROAD NETWORK - PACKAGE 01</t>
  </si>
  <si>
    <t>RDA/ Wakachiku Construction Co.Ltd</t>
  </si>
  <si>
    <t>http://www.accessengsl.com/project/piling/pile-drivins-work-in-bridge-no-05-07-major-bridges-construction-project-of-national-road-network-package-01/</t>
  </si>
  <si>
    <t>PILING WORKS FOR PROPOSED OFFICE BUILDING AT NO 15, LAURIES LANE, COLOMBO 04.</t>
  </si>
  <si>
    <t>Lanka Construction Consortium</t>
  </si>
  <si>
    <t>http://www.accessengsl.com/project/piling/piling-works-for-proposed-office-building-at-no-15-lauries-lane-colombo-04/</t>
  </si>
  <si>
    <t>PILING WORKS FOR PROPOSED APPARTMENT PROJECT AT NO 67A, ADDUL GAFOOR MAWATHA, COLOMBO 03</t>
  </si>
  <si>
    <t>Complete Investments (Pvt) Ltd</t>
  </si>
  <si>
    <t>http://www.accessengsl.com/project/piling/piling-works-for-proposed-appartment-project-at-no-67a-addul-gafoor-mawatha-colombo-03/</t>
  </si>
  <si>
    <t>Pilling Work for Proposed Apartment Building Complex At No-73, Gregory's Road, Colombo 07</t>
  </si>
  <si>
    <t>Blue Ocean Properties (Pvt) Ltd</t>
  </si>
  <si>
    <t>http://www.accessengsl.com/project/piling/pilling-work-for-proposed-apartment-building-complex-at-no-73-gregorys-road-colombo-07/</t>
  </si>
  <si>
    <t>PILING WORKS FOR PROPOSED "URBAN HOMES" AT KOSWATTA</t>
  </si>
  <si>
    <t>Fairway Urban Homes (Pvt) Ltd</t>
  </si>
  <si>
    <t>http://www.accessengsl.com/project/piling/piling-works-for-proposed-urban-homes-at-koswatta/</t>
  </si>
  <si>
    <t>PILING WORKS FOR CONSTRUCTION OF PROPOSED DIVISIONAL SECRETARIAT COMPLEX AT JA-ELA</t>
  </si>
  <si>
    <t>Ministry of Home Affairs</t>
  </si>
  <si>
    <t>http://www.accessengsl.com/project/piling/piling-works-for-construction-of-proposed-divisional-secretariat-complex-at-ja-ela/</t>
  </si>
  <si>
    <t>Piling Works for Proposed Apartment Building Complex at No 08, Jayasinghe Road, Colombo 05</t>
  </si>
  <si>
    <t>Link Engineering (Pvt)Ltd</t>
  </si>
  <si>
    <t>http://www.accessengsl.com/project/piling/piling-works-for-proposed-apartment-building-complex-at-no-08-jayasinghe-road-colombo-05/</t>
  </si>
  <si>
    <t>PILING WORKS FOR PROPOSED APARTMENT BUILDING COMPLEX AT NO 502 HAVELOCK ROAD, COLOMBO 06</t>
  </si>
  <si>
    <t>Blue Ocean Legend (Pvt) Ltd</t>
  </si>
  <si>
    <t>http://www.accessengsl.com/project/piling/piling-works-for-proposed-apartment-building-complex-at-no-502-havelock-road-colombo-06/</t>
  </si>
  <si>
    <t>PILING WORKS FOR CONSTRUCTION OF PROPOSED DIVISIONAL SECRETARIAT COMPLEX AT WATTALA</t>
  </si>
  <si>
    <t>http://www.accessengsl.com/project/piling/piling-works-for-construction-of-proposed-divisional-secretariat-complex-at-wattala/</t>
  </si>
  <si>
    <t>Piling Works For Proposed Prime Homes Apartment “Prime 194” at Nugegoda</t>
  </si>
  <si>
    <t>Prime Homes (Pvt) Ltd</t>
  </si>
  <si>
    <t>http://www.accessengsl.com/project/piling/piling-works-for-proposed-prime-homes-apartment-prime-194-at-nugegoda/</t>
  </si>
  <si>
    <t>Piling Works for The Apartment Complex At Alliwatta, Mattakkuliya</t>
  </si>
  <si>
    <t xml:space="preserve">Nimavin Developer (Pvt) Ltd </t>
  </si>
  <si>
    <t>http://www.accessengsl.com/project/piling/piling-works-for-the-apartment-complex-at-alliwatta-mattakkuliya/</t>
  </si>
  <si>
    <t>Piling Works for 30m Mono Pole (Relocation) at Peliyagoda Junction</t>
  </si>
  <si>
    <t>Dialog Axiata PLC/Saw Engineering (Pvt) Ltd</t>
  </si>
  <si>
    <t>http://www.accessengsl.com/project/piling/piling-works-for-30m-mono-pole-relocation-at-peliyagoda-junction/</t>
  </si>
  <si>
    <t>Supply, Installation &amp; Testing of Piling Works - Badulla, Haliela &amp; Ella Integrated Water Supply Project</t>
  </si>
  <si>
    <t>NWSDB / ICC</t>
  </si>
  <si>
    <t>http://www.accessengsl.com/project/piling/supply-installation-testing-of-piling-works-badulla-haliela-ella-integrated-water-supply-project/</t>
  </si>
  <si>
    <t>Piling Works for Proposed Prime Homes Appartment “Prime Libra” At Koswatta</t>
  </si>
  <si>
    <t>Prime Homes Pvt Ltd</t>
  </si>
  <si>
    <t>http://www.accessengsl.com/project/piling/piling-works-for-proposed-prime-homes-appartment-prime-libra-at-koswatta/</t>
  </si>
  <si>
    <t>Piling Works for Relocation &amp; Development of Institute of Technology, University of Moratuwa</t>
  </si>
  <si>
    <t>University of Moratuwa / ICC</t>
  </si>
  <si>
    <t>http://www.accessengsl.com/project/piling/piling-works-for-relocation-development-of-the-institute-of-technology-university-of-moratuwa-itum-diyagama-homagama/</t>
  </si>
  <si>
    <t>Piling Works for Proposed Fairway Apartment Complex Project at Galle</t>
  </si>
  <si>
    <t>Fairway Holdings (Pvt) Ltd / MAGA Engineering</t>
  </si>
  <si>
    <t>http://www.accessengsl.com/project/piling/piling-works-for-proposed-apartment-complex-project-at-galle/</t>
  </si>
  <si>
    <t>Piling Works for Fairway Appartments at Rajagiriya</t>
  </si>
  <si>
    <t>Fairway Holdings(Pvt) Ltd</t>
  </si>
  <si>
    <t>http://www.accessengsl.com/project/piling/piling-works-for-fairway-appartments-at-rajagiriya/</t>
  </si>
  <si>
    <t>Piling works for Damro Showroom Building at Moratuwa</t>
  </si>
  <si>
    <t>D.R. Industries Pvt ltd</t>
  </si>
  <si>
    <t>http://www.accessengsl.com/project/piling/piling-works-for-damro-showroom-building-at-moratuwa/</t>
  </si>
  <si>
    <t>Piling Works for The Construction of Keels Super Market Building, Wattala</t>
  </si>
  <si>
    <t>Jaykay Marketing Service (Pvt) Limited</t>
  </si>
  <si>
    <t>http://www.accessengsl.com/project/piling/piling-works-for-proposed-keels-super-market-building-wattala/</t>
  </si>
  <si>
    <t>Piling Works of Proposed Officer’s Married Quarter Building for Kothalawala Defense University</t>
  </si>
  <si>
    <t>General Sir John Kothalawala Defense University</t>
  </si>
  <si>
    <t>http://www.accessengsl.com/project/piling/piling-works-of-proposed-six-storied-officers-married-quarter-building-block-1-2-for-general-sir-john-kothalawala-defense-university/</t>
  </si>
  <si>
    <t>Piling Works for The Construction of Senior Officers’ Married Quarters in Welisara Naval Base</t>
  </si>
  <si>
    <t>The Commander of Navy</t>
  </si>
  <si>
    <t>http://www.accessengsl.com/project/piling/piling-work-for-proposed-senior-officers-married-quarters-in-welisara-naval-base/</t>
  </si>
  <si>
    <t>Piling Works for Alfred House Gardens Apartment Building</t>
  </si>
  <si>
    <t>Link Engineering (Pvt) Ltd</t>
  </si>
  <si>
    <t>http://www.accessengsl.com/project/piling/concrete-bored-piling-work-for-proposed-apartment-building-complex-at-45-alfred-housed-gardens-colombo-03/</t>
  </si>
  <si>
    <t>Piling Works for The Construction of Housing - Relocation of undeserved settlements Project– Henamulla Modara</t>
  </si>
  <si>
    <t xml:space="preserve">Urban Development Authority / MTD Walkers </t>
  </si>
  <si>
    <t>http://www.accessengsl.com/project/piling/piling-works-for-construction-of-housing-for-relocation-of-under-served-settlements-in-the-city-of-colombo-henamulla-modara/</t>
  </si>
  <si>
    <t>Piling Works for The Construction of Modifying Cement Unloading and Transport System Project for Ultratech Cement (Pvt) LTD</t>
  </si>
  <si>
    <t>Ultratech Cement Lanka (Pvt) Limited</t>
  </si>
  <si>
    <t>http://www.accessengsl.com/project/piling/civil-piling-work-for-proposed-modifying-cement-unloading-transport-system-for-ultratech-cement/</t>
  </si>
  <si>
    <t>Piling Works of The Construction of Six Storied Cadet Officer Accommodation Building for Kothalawala Defense University</t>
  </si>
  <si>
    <t>http://www.accessengsl.com/project/piling/piling-works-of-proposed-six-storied-cadet-officer-accommodation-building-for-general-sir-john-kothalawala-defense-university/</t>
  </si>
  <si>
    <t>Piling Works for The Construction of City Hotel &amp; DAMRO Showroom, Colombo 03</t>
  </si>
  <si>
    <t>D R Hotels (Pvt) Ltd.</t>
  </si>
  <si>
    <t>http://www.accessengsl.com/project/piling/piling-works-for-proposed-city-hotel-damro-showroom/</t>
  </si>
  <si>
    <t>Piling Works for The Construction Of Raththanapitiya Bridge – Stage I &amp; II</t>
  </si>
  <si>
    <t>Keangnam Enterprises/ Road Development Authority</t>
  </si>
  <si>
    <t>http://www.accessengsl.com/project/piling/piling-works-for-raththanapitiya-bridge-stage-i-ii/</t>
  </si>
  <si>
    <t>Piling works construction of 1777 housing units at Colombage Mawatha, Nawala</t>
  </si>
  <si>
    <t>Urban Development Authority / Venkateshware Global Construction</t>
  </si>
  <si>
    <t>http://www.accessengsl.com/project/piling/piling-works-construction-of-1777-housing-units-at-colombage-mawatha-nawala/</t>
  </si>
  <si>
    <t>Piling Works for the Construction of 941 Housing Units- Relocation of underserved settlements Project At Henamulla (Phase II)</t>
  </si>
  <si>
    <t>http://www.accessengsl.com/project/piling/piling-works-construction-of-housing-for-relocation-of-under-served-settlements-in-the-city-of-colombo-henamulla-phase-ii/</t>
  </si>
  <si>
    <t>Piling Works for Shangri-La Hotel Development Project, Colombo</t>
  </si>
  <si>
    <t>Shangri-La Hotel Development (Pvt)Ltd</t>
  </si>
  <si>
    <t>http://www.accessengsl.com/project/piling/piling-works-for-shangri-la-hotel-development-pvtltd/</t>
  </si>
  <si>
    <t>Pilling Works for The Outer Circular Highway Northern Section I</t>
  </si>
  <si>
    <t>Taisei Corporation / Road Development Authority</t>
  </si>
  <si>
    <t>http://www.accessengsl.com/project/piling/outer-circular-highway-northern-section-1-piling-works/</t>
  </si>
  <si>
    <t>Piling Works for the Construction of G +11 Housing Blocks (4 Nos) With Total Of 546 Dwelling Units</t>
  </si>
  <si>
    <t>Thudawe Brothers</t>
  </si>
  <si>
    <t>http://www.accessengsl.com/project/piling/proposed-g-11-housing-blocks-4-nos-with-total-of-546-dwelling-units-piling-works/</t>
  </si>
  <si>
    <t>Pilling works for Proposed Medical Faculty Building Complex at Sir John Kotelawala Defense University</t>
  </si>
  <si>
    <t>http://www.accessengsl.com/project/piling/kothalawala-defence-university/</t>
  </si>
  <si>
    <t>Piling Works for the construction of 500 Housing Units at Dematagoda, under the relocation of underserved settlement project</t>
  </si>
  <si>
    <t>http://www.accessengsl.com/project/piling/construction-of-500-housing-units-at-dematagoda/</t>
  </si>
  <si>
    <t>Piling Works for The Construction of Sangupiddy Bridge Project</t>
  </si>
  <si>
    <t>http://www.accessengsl.com/project/piling/piling-site-sangupiddy-bridge-project/</t>
  </si>
  <si>
    <t>Piling Works for Construction of Ralkuli Bridge under AFD Funded Trincomalee Integrated Bridge Project</t>
  </si>
  <si>
    <t>http://www.accessengsl.com/project/piling/ralkuli-bridge-in-afd-project/</t>
  </si>
  <si>
    <t>Piling works for the Construction of Aruvi Aru Bridge, Mannar</t>
  </si>
  <si>
    <t>http://www.accessengsl.com/project/piling/piling-site-aruvi-aru-bridge-project/</t>
  </si>
  <si>
    <t>Piling works for the Construction of Dehiwala and Nugegoda Flyover</t>
  </si>
  <si>
    <t>http://www.accessengsl.com/project/piling/pilling-site-nugegoda-flyover/</t>
  </si>
  <si>
    <t>Piling Works for the Structures of Southern Transport Development Project</t>
  </si>
  <si>
    <t>China Harbor Engineering Company</t>
  </si>
  <si>
    <t>http://www.accessengsl.com/project/piling/kalu-ganga-pilling-site/</t>
  </si>
  <si>
    <t>Piling Works ForThe Construction Of Hirana Bridge</t>
  </si>
  <si>
    <t>R.R. Construction/ Road Development Authority</t>
  </si>
  <si>
    <t>http://www.accessengsl.com/project/piling/hirana-pilling-site/</t>
  </si>
  <si>
    <t>https://en.wikipedia.org/wiki/Divisional_Secretariats_of_Sri_Lanka</t>
  </si>
  <si>
    <t>DPS before share split</t>
  </si>
  <si>
    <t>DPS adjusted for share split</t>
  </si>
  <si>
    <t>DPS adjusted for sahre split (LKR)</t>
  </si>
  <si>
    <t>http://www.lankabusinessonline.com/colombo-suburban-railway-electrification-project-to-cost-usd300mn/</t>
  </si>
  <si>
    <t>Colombo suburban railway electrification project to cost USD300mn</t>
  </si>
  <si>
    <t>Megapolis Plan to be institutionalized through Parliament: Mawilmada</t>
  </si>
  <si>
    <t>http://www.lankabusinessonline.com/megapolis-plan-to-be-institutionalized-through-parliament-mawilmada/</t>
  </si>
  <si>
    <t>http://www.lankabusinessonline.com/sri-lanka-to-build-elevated-highway-network-in-colombo/</t>
  </si>
  <si>
    <t>Sri Lanka to build elevated highway network in Colombo</t>
  </si>
  <si>
    <t>http://www.lankabusinessonline.com/cabinet-approves-concessionary-taxes-for-commercial-land/</t>
  </si>
  <si>
    <t>Cabinet approves concessionary taxes for commercial land</t>
  </si>
  <si>
    <t>http://www.lankabusinessonline.com/pm-to-use-singapore-expertise-for-beira-lake-development/</t>
  </si>
  <si>
    <t>PM to use Singapore expertise for Beira Lake development</t>
  </si>
  <si>
    <t>http://www.lankabusinessonline.com/korea-mulls-mega-infrastructure-projects-in-sri-lanka/</t>
  </si>
  <si>
    <t>Korea mulls mega infrastructure projects in Sri Lanka</t>
  </si>
  <si>
    <t>Sri Lanka recall mid income housing projects in Kandy, Galle, and Homagama</t>
  </si>
  <si>
    <t>http://www.lankabusinessonline.com/sri-lanka-approves-development-of-middle-income-housing-and-infrastructure/</t>
  </si>
  <si>
    <t>http://www.lankabusinessonline.com/sri-lanka-approves-funds-for-reservoirs-and-southern-roads/</t>
  </si>
  <si>
    <t>Sri Lanka approves funds for reservoirs and Southern roads</t>
  </si>
  <si>
    <t>Korean firm wants to revive KKS cement with USD450mn investment</t>
  </si>
  <si>
    <t>http://www.lankabusinessonline.com/korean-firm-wants-to-revive-kks-cement-with-usd450mn-investment/</t>
  </si>
  <si>
    <t>http://www.lankabusinessonline.com/world-bank-provides-usd55mn-to-develop-jaffna/</t>
  </si>
  <si>
    <t>World Bank provides USD55mn to develop Jaffna</t>
  </si>
  <si>
    <t>http://www.lankabusinessonline.com/sri-lanka-to-sing-mou-with-singapores-surbana-jurong-to-develop-trinco/</t>
  </si>
  <si>
    <t>Sri Lanka to sign MoU with Singapore’s Surbana Jurong to develop Trinco</t>
  </si>
  <si>
    <t>Sri Lanka signs MOU with Siemens to develop Megapolis smart cities</t>
  </si>
  <si>
    <t>http://www.lankabusinessonline.com/sri-lanka-signs-mou-with-siemens-to-develop-megapolis-smart-cities/</t>
  </si>
  <si>
    <t>http://www.lankabusinessonline.com/sri-lanka-to-call-open-tenders-to-purchase-locomotives-power-sets/</t>
  </si>
  <si>
    <t>Sri Lanka to call open tenders to purchase locomotives, power sets</t>
  </si>
  <si>
    <t>U. G. Madanayake</t>
  </si>
  <si>
    <t>Suren Madanayake</t>
  </si>
  <si>
    <t>Employees Provident Fund</t>
  </si>
  <si>
    <t>Deutsche Bank AG -National Equity Fund</t>
  </si>
  <si>
    <t>132 Kv OH</t>
  </si>
  <si>
    <t>220 Kv OH</t>
  </si>
  <si>
    <t>132 Kv UG</t>
  </si>
  <si>
    <t>33 Kv OH</t>
  </si>
  <si>
    <t>33 Kv UG</t>
  </si>
  <si>
    <t>11 Kv OH</t>
  </si>
  <si>
    <t>11 Kv UG</t>
  </si>
  <si>
    <t>Low voltage total</t>
  </si>
  <si>
    <t>1 phase</t>
  </si>
  <si>
    <t>Recent power outages and CEB Engineer’s responsibility - See more at: http://www.ft.lk/article/536884/Recent-power-outages-and-CEB-Engineer-s-responsibility#sthash.pQPPmvuJ.dpuf</t>
  </si>
  <si>
    <t>http://www.ft.lk/article/536884/Recent-power-outages-and-CEB-Engineer-s-responsibility</t>
  </si>
  <si>
    <t>Acquisitions</t>
  </si>
  <si>
    <t>RESUS</t>
  </si>
  <si>
    <t>Year</t>
  </si>
  <si>
    <t>1994/95 ACL Plastics PLC 6,090</t>
  </si>
  <si>
    <t>1995/96 Lanka Olex Cables (Private) Limited and Kelani Cables PLC 26,035</t>
  </si>
  <si>
    <t>1997/98 Ceylon Bulbs and Electricals Limited 459</t>
  </si>
  <si>
    <t>2004/05 ACL Kelani Magnet Wire (Private) Limited 917</t>
  </si>
  <si>
    <t>2006/07 Ceylon Bulbs and Electricals Limited 5,441</t>
  </si>
  <si>
    <t>2007/08 Ceylon Bulbs and Electricals Limited 2</t>
  </si>
  <si>
    <t>1994/95</t>
  </si>
  <si>
    <t>LKR (Mn) Cost per MT</t>
  </si>
  <si>
    <t>Held to maturity</t>
  </si>
  <si>
    <t>Average</t>
  </si>
  <si>
    <t>Held to maturity at end</t>
  </si>
  <si>
    <t>Transfers</t>
  </si>
  <si>
    <t>Excess cash transferred</t>
  </si>
  <si>
    <t>Based on WC investment</t>
  </si>
  <si>
    <t>Debt / Equity</t>
  </si>
  <si>
    <t>Net additions per year</t>
  </si>
  <si>
    <t>WCInv</t>
  </si>
  <si>
    <t>Net additions / WCInv</t>
  </si>
  <si>
    <t>Net additions</t>
  </si>
  <si>
    <t>Based on cash avaialbility</t>
  </si>
  <si>
    <t>Finance income on deposits</t>
  </si>
  <si>
    <t>Finance income on HTM</t>
  </si>
  <si>
    <t>Interest rate on HTM</t>
  </si>
  <si>
    <t>LKR cost per MT YoY - Cu</t>
  </si>
  <si>
    <t>LKR cost per MT YoY - Al</t>
  </si>
  <si>
    <t>Cash + HTM</t>
  </si>
  <si>
    <t>Cash check - BS Vs CFS</t>
  </si>
  <si>
    <t>Cash per share</t>
  </si>
  <si>
    <t>1 month</t>
  </si>
  <si>
    <t>3 motnh</t>
  </si>
  <si>
    <t>1 year</t>
  </si>
  <si>
    <t>today</t>
  </si>
  <si>
    <t>Distribution cost</t>
  </si>
  <si>
    <t>As a % of sales</t>
  </si>
  <si>
    <t>Net finance cost</t>
  </si>
  <si>
    <t>EPS (before subdiv)</t>
  </si>
  <si>
    <t>EPS (after subdiv)</t>
  </si>
  <si>
    <t>EPS annualised</t>
  </si>
  <si>
    <t>NAV</t>
  </si>
  <si>
    <t>Segmental</t>
  </si>
  <si>
    <t xml:space="preserve">PVC </t>
  </si>
  <si>
    <t>Net revenue</t>
  </si>
  <si>
    <t>PAT margin</t>
  </si>
  <si>
    <t>1QFY17</t>
  </si>
  <si>
    <t>1QFY16</t>
  </si>
  <si>
    <t>LKR (Mn)</t>
  </si>
  <si>
    <t>Operating profit</t>
  </si>
  <si>
    <t>Net profit</t>
  </si>
  <si>
    <t>YoY</t>
  </si>
  <si>
    <t>4QFY16</t>
  </si>
  <si>
    <t>QoQ</t>
  </si>
  <si>
    <t>YoY %</t>
  </si>
  <si>
    <t>QoQ%</t>
  </si>
  <si>
    <t>2016 Mar</t>
  </si>
  <si>
    <t>2016 Jun</t>
  </si>
  <si>
    <t>2015 Jun</t>
  </si>
  <si>
    <t>2QFY16</t>
  </si>
  <si>
    <t>3QFY16</t>
  </si>
  <si>
    <t>2015 Sep</t>
  </si>
  <si>
    <t>2015 Dec</t>
  </si>
  <si>
    <t>Operating margin</t>
  </si>
  <si>
    <t>Profit for equity</t>
  </si>
  <si>
    <t>Borrowings-repayments</t>
  </si>
  <si>
    <t>Cost of sales</t>
  </si>
  <si>
    <t>Profit before tax</t>
  </si>
  <si>
    <t>Tax</t>
  </si>
  <si>
    <t>Non current assets</t>
  </si>
  <si>
    <t>Trade and other receivables</t>
  </si>
  <si>
    <t>Other current assets</t>
  </si>
  <si>
    <t>Equity and liabilities</t>
  </si>
  <si>
    <t>Growth/profits plugged to construction boost</t>
  </si>
  <si>
    <t>Harnessed to construction upturn</t>
  </si>
  <si>
    <t>Profits galvanized by construction uptrend</t>
  </si>
  <si>
    <t>Capital and reserves</t>
  </si>
  <si>
    <t>Stated capital</t>
  </si>
  <si>
    <t>Other reserves</t>
  </si>
  <si>
    <t>Non current Liabilities</t>
  </si>
  <si>
    <t>Other current liabilities</t>
  </si>
  <si>
    <t>Total equity - equityholders</t>
  </si>
  <si>
    <t>Categorization</t>
  </si>
  <si>
    <t>Company Category</t>
  </si>
  <si>
    <t>Strong Buy</t>
  </si>
  <si>
    <t>Buy</t>
  </si>
  <si>
    <t>Hold</t>
  </si>
  <si>
    <t>Sell</t>
  </si>
  <si>
    <t>Grade A</t>
  </si>
  <si>
    <t>S&amp;P SL20 Companies</t>
  </si>
  <si>
    <t>T.Bill + 10% &amp; Above</t>
  </si>
  <si>
    <t>T.Bill + 5% &amp; Above</t>
  </si>
  <si>
    <t>T.Bill + 1% &amp; Above</t>
  </si>
  <si>
    <t>Below T.Bill + 1%</t>
  </si>
  <si>
    <t>T.Bill rate equivalent</t>
  </si>
  <si>
    <t>Grade B</t>
  </si>
  <si>
    <t>Rest of the Companies</t>
  </si>
  <si>
    <t>T.Bill + 13% &amp; Above</t>
  </si>
  <si>
    <t>T.Bill + 8% &amp; Above</t>
  </si>
  <si>
    <t>T.Bill + 3% &amp; Above</t>
  </si>
  <si>
    <t>Below T.Bill + 3%</t>
  </si>
  <si>
    <t>T.Bill</t>
  </si>
  <si>
    <t>Grade C</t>
  </si>
  <si>
    <t>Companies less than LKR 1Bn Market Cap</t>
  </si>
  <si>
    <t>T.Bill + 16% &amp; Above</t>
  </si>
  <si>
    <t>T.Bill + 11% &amp; Above</t>
  </si>
  <si>
    <t>T.Bill + 6% &amp; Above</t>
  </si>
  <si>
    <t>Below T.Bill + 6%</t>
  </si>
  <si>
    <t>Bank FD</t>
  </si>
  <si>
    <t>T.Bill + 1%</t>
  </si>
  <si>
    <t>Finance Company FD</t>
  </si>
  <si>
    <t>T.Bill + 3%</t>
  </si>
  <si>
    <t>Commercia Paper Rate</t>
  </si>
  <si>
    <t>T.Bill + 5%</t>
  </si>
  <si>
    <t xml:space="preserve">T Bill </t>
  </si>
  <si>
    <t>Equity Market</t>
  </si>
  <si>
    <t>T.Bill + 8%</t>
  </si>
  <si>
    <t>PER based target price</t>
  </si>
  <si>
    <t>Average target price</t>
  </si>
  <si>
    <t>Capital gain</t>
  </si>
  <si>
    <t>Dividend yield %</t>
  </si>
  <si>
    <t>Capital gain %</t>
  </si>
  <si>
    <t>Total return</t>
  </si>
  <si>
    <t>DCF based valauiton</t>
  </si>
  <si>
    <t>COE</t>
  </si>
  <si>
    <t></t>
  </si>
  <si>
    <t>No. of Shares</t>
  </si>
  <si>
    <t>Firm value</t>
  </si>
  <si>
    <t>Add: cash</t>
  </si>
  <si>
    <t>PV of FCFE</t>
  </si>
  <si>
    <t>PV of termianl value</t>
  </si>
  <si>
    <t>Value of Equity per share</t>
  </si>
  <si>
    <t>Average 1Q</t>
  </si>
  <si>
    <t>Average 4Q</t>
  </si>
  <si>
    <t>Average 6 months</t>
  </si>
  <si>
    <t>Debt - B/S</t>
  </si>
  <si>
    <t>Copper</t>
  </si>
  <si>
    <t>Aluminium</t>
  </si>
  <si>
    <t>Fair value (Round off)</t>
  </si>
  <si>
    <t>Tax rate</t>
  </si>
  <si>
    <t>NPV</t>
  </si>
  <si>
    <t>Total value of Equity</t>
  </si>
  <si>
    <t>Weighted average fair value</t>
  </si>
  <si>
    <t>AWPLR</t>
  </si>
  <si>
    <t>ERP of 7%</t>
  </si>
  <si>
    <t>Check conditional formatting</t>
  </si>
  <si>
    <r>
      <t>R</t>
    </r>
    <r>
      <rPr>
        <vertAlign val="subscript"/>
        <sz val="10.5"/>
        <color rgb="FF002060"/>
        <rFont val="Calibri"/>
        <family val="2"/>
        <scheme val="minor"/>
      </rPr>
      <t>f</t>
    </r>
  </si>
  <si>
    <r>
      <t>R</t>
    </r>
    <r>
      <rPr>
        <vertAlign val="subscript"/>
        <sz val="10.5"/>
        <color rgb="FF002060"/>
        <rFont val="Calibri"/>
        <family val="2"/>
        <scheme val="minor"/>
      </rPr>
      <t>m</t>
    </r>
  </si>
  <si>
    <r>
      <t>R</t>
    </r>
    <r>
      <rPr>
        <vertAlign val="subscript"/>
        <sz val="10.5"/>
        <color rgb="FF002060"/>
        <rFont val="Calibri"/>
        <family val="2"/>
        <scheme val="minor"/>
      </rPr>
      <t>m</t>
    </r>
    <r>
      <rPr>
        <sz val="10.5"/>
        <color rgb="FF002060"/>
        <rFont val="Calibri"/>
        <family val="2"/>
        <scheme val="minor"/>
      </rPr>
      <t xml:space="preserve"> - R</t>
    </r>
    <r>
      <rPr>
        <vertAlign val="subscript"/>
        <sz val="10.5"/>
        <color rgb="FF002060"/>
        <rFont val="Calibri"/>
        <family val="2"/>
        <scheme val="minor"/>
      </rPr>
      <t>f</t>
    </r>
  </si>
  <si>
    <r>
      <t>K</t>
    </r>
    <r>
      <rPr>
        <b/>
        <vertAlign val="subscript"/>
        <sz val="10.5"/>
        <color theme="0"/>
        <rFont val="Arial Narrow"/>
        <family val="2"/>
      </rPr>
      <t>e</t>
    </r>
    <r>
      <rPr>
        <b/>
        <sz val="10.5"/>
        <color theme="0"/>
        <rFont val="Arial Narrow"/>
        <family val="2"/>
      </rPr>
      <t>=R</t>
    </r>
    <r>
      <rPr>
        <b/>
        <vertAlign val="subscript"/>
        <sz val="10.5"/>
        <color theme="0"/>
        <rFont val="Arial Narrow"/>
        <family val="2"/>
      </rPr>
      <t>f</t>
    </r>
    <r>
      <rPr>
        <b/>
        <sz val="10.5"/>
        <color theme="0"/>
        <rFont val="Arial Narrow"/>
        <family val="2"/>
      </rPr>
      <t>+</t>
    </r>
    <r>
      <rPr>
        <b/>
        <sz val="10.5"/>
        <color theme="0"/>
        <rFont val="Symbol"/>
        <family val="1"/>
        <charset val="2"/>
      </rPr>
      <t></t>
    </r>
    <r>
      <rPr>
        <b/>
        <sz val="10.5"/>
        <color theme="0"/>
        <rFont val="Arial Narrow"/>
        <family val="2"/>
      </rPr>
      <t xml:space="preserve"> (R</t>
    </r>
    <r>
      <rPr>
        <b/>
        <vertAlign val="subscript"/>
        <sz val="10.5"/>
        <color theme="0"/>
        <rFont val="Arial Narrow"/>
        <family val="2"/>
      </rPr>
      <t>m</t>
    </r>
    <r>
      <rPr>
        <b/>
        <sz val="10.5"/>
        <color theme="0"/>
        <rFont val="Arial Narrow"/>
        <family val="2"/>
      </rPr>
      <t>-R</t>
    </r>
    <r>
      <rPr>
        <b/>
        <vertAlign val="subscript"/>
        <sz val="10.5"/>
        <color theme="0"/>
        <rFont val="Arial Narrow"/>
        <family val="2"/>
      </rPr>
      <t>f</t>
    </r>
    <r>
      <rPr>
        <b/>
        <sz val="10.5"/>
        <color theme="0"/>
        <rFont val="Arial Narrow"/>
        <family val="2"/>
      </rPr>
      <t>)</t>
    </r>
  </si>
  <si>
    <r>
      <t>K</t>
    </r>
    <r>
      <rPr>
        <vertAlign val="subscript"/>
        <sz val="10.5"/>
        <color rgb="FF002060"/>
        <rFont val="Calibri"/>
        <family val="2"/>
        <scheme val="minor"/>
      </rPr>
      <t>e</t>
    </r>
  </si>
  <si>
    <r>
      <t>K</t>
    </r>
    <r>
      <rPr>
        <vertAlign val="subscript"/>
        <sz val="10.5"/>
        <color rgb="FF002060"/>
        <rFont val="Calibri"/>
        <family val="2"/>
        <scheme val="minor"/>
      </rPr>
      <t>d</t>
    </r>
  </si>
  <si>
    <t>D/ E</t>
  </si>
  <si>
    <t>No of shares (Mn)</t>
  </si>
  <si>
    <t>Expected PER</t>
  </si>
  <si>
    <t>Expected ACL price</t>
  </si>
  <si>
    <t>Terminal Growth rate (%)</t>
  </si>
  <si>
    <t>Earnings (LKR Mn)</t>
  </si>
  <si>
    <t>Dividend yield (%)</t>
  </si>
  <si>
    <t>Payout ratio</t>
  </si>
  <si>
    <t>Issued Share Capital (Shares Mn)</t>
  </si>
  <si>
    <t>Revenue (LKR Mn)</t>
  </si>
  <si>
    <r>
      <rPr>
        <vertAlign val="superscript"/>
        <sz val="8.5"/>
        <color rgb="FF002060"/>
        <rFont val="Calibri"/>
        <family val="2"/>
      </rPr>
      <t xml:space="preserve">1 </t>
    </r>
    <r>
      <rPr>
        <sz val="8.5"/>
        <color rgb="FF002060"/>
        <rFont val="Calibri"/>
        <family val="2"/>
      </rPr>
      <t>Attributable to equityholders</t>
    </r>
  </si>
  <si>
    <r>
      <t>Net Profit (LKR Mn)</t>
    </r>
    <r>
      <rPr>
        <b/>
        <vertAlign val="superscript"/>
        <sz val="9"/>
        <color rgb="FF002060"/>
        <rFont val="Calibri"/>
        <family val="2"/>
        <scheme val="minor"/>
      </rPr>
      <t>1</t>
    </r>
  </si>
  <si>
    <r>
      <t>EPS</t>
    </r>
    <r>
      <rPr>
        <vertAlign val="superscript"/>
        <sz val="9"/>
        <color rgb="FF002060"/>
        <rFont val="Calibri"/>
        <family val="2"/>
        <scheme val="minor"/>
      </rPr>
      <t>2</t>
    </r>
  </si>
  <si>
    <r>
      <t>NAVPS (adusted)</t>
    </r>
    <r>
      <rPr>
        <vertAlign val="superscript"/>
        <sz val="9"/>
        <color rgb="FF002060"/>
        <rFont val="Calibri"/>
        <family val="2"/>
        <scheme val="minor"/>
      </rPr>
      <t>2</t>
    </r>
  </si>
  <si>
    <r>
      <t>DPS (adjusted)</t>
    </r>
    <r>
      <rPr>
        <vertAlign val="superscript"/>
        <sz val="9"/>
        <color rgb="FF002060"/>
        <rFont val="Calibri"/>
        <family val="2"/>
        <scheme val="minor"/>
      </rPr>
      <t>2</t>
    </r>
  </si>
  <si>
    <t>Equityholders</t>
  </si>
  <si>
    <t>Non controlling</t>
  </si>
  <si>
    <t>NAVPS (adjusted)</t>
  </si>
  <si>
    <r>
      <rPr>
        <vertAlign val="superscript"/>
        <sz val="8.5"/>
        <color rgb="FF002060"/>
        <rFont val="Calibri"/>
        <family val="2"/>
      </rPr>
      <t>2</t>
    </r>
    <r>
      <rPr>
        <sz val="8.5"/>
        <color rgb="FF002060"/>
        <rFont val="Calibri"/>
        <family val="2"/>
      </rPr>
      <t xml:space="preserve"> Adjusted for the share split</t>
    </r>
  </si>
  <si>
    <t>Factories</t>
  </si>
  <si>
    <t>Piliyandala - largest</t>
  </si>
  <si>
    <t>Horana</t>
  </si>
  <si>
    <t>Rathmalana</t>
  </si>
  <si>
    <t>Ja Ela</t>
  </si>
  <si>
    <t>Ekala</t>
  </si>
  <si>
    <t>Porter's five forces</t>
  </si>
  <si>
    <t>Threat of new entrants</t>
  </si>
  <si>
    <t>LOW</t>
  </si>
  <si>
    <t>Existing players have EOS</t>
  </si>
  <si>
    <t>Existing players have high brand equity and customer loyalty</t>
  </si>
  <si>
    <t>Technology has to be imported</t>
  </si>
  <si>
    <t>Existing players have established distribution</t>
  </si>
  <si>
    <t>Expected retailiation is high</t>
  </si>
  <si>
    <t>Threat of substitutes</t>
  </si>
  <si>
    <t>Differenciated based on quality and safety</t>
  </si>
  <si>
    <t>MODERATE</t>
  </si>
  <si>
    <t>No substitutes for cables</t>
  </si>
  <si>
    <t>Buyer switching cost - low</t>
  </si>
  <si>
    <t>Bargaining power of buyers</t>
  </si>
  <si>
    <t>HIGH</t>
  </si>
  <si>
    <t>Existing players have incumbent advantage</t>
  </si>
  <si>
    <t>Bargaining power of suppliers</t>
  </si>
  <si>
    <t>90 LME registered suppliers, many from region</t>
  </si>
  <si>
    <t>Supplier product is not differenciated - all LME registered</t>
  </si>
  <si>
    <t>No switching cost for the cable industry</t>
  </si>
  <si>
    <t>No substitute for copper*disadvantageous</t>
  </si>
  <si>
    <t>Suppliers are unlikely to forward integrate</t>
  </si>
  <si>
    <t>Few large buyers in Sri Lanka</t>
  </si>
  <si>
    <t>Purchase large volumes</t>
  </si>
  <si>
    <t>Buyer dependency is high*</t>
  </si>
  <si>
    <t>Buyer is unlikely to backward integrate*</t>
  </si>
  <si>
    <t>Buyer swiching cost is low</t>
  </si>
  <si>
    <t>Buyer's product is highly affected by the quality of cables*</t>
  </si>
  <si>
    <t>Can import easily as well</t>
  </si>
  <si>
    <t>Substitute has no price - performnace tradeoff</t>
  </si>
  <si>
    <t>Rivalry</t>
  </si>
  <si>
    <t>Competitors are roughly equal in size</t>
  </si>
  <si>
    <t>Same product by all</t>
  </si>
  <si>
    <t>Leadership aspirations/ commited</t>
  </si>
  <si>
    <t>High fixed costs in the industry</t>
  </si>
  <si>
    <t>http://www.investsrilanka.com/news/story/4107/BOI-plans-strong-investor-push-for-2016</t>
  </si>
  <si>
    <t>BOI plans strong investor push for 2016</t>
  </si>
  <si>
    <t>http://www.lamudi.lk/research/whitepaper-2015/</t>
  </si>
  <si>
    <t>Lamudi research</t>
  </si>
  <si>
    <t>http://www.sundaytimes.lk/080629/FinancialTimes/ft340.html</t>
  </si>
  <si>
    <t>Sri Lanka’s ACL Cables wins Asia Pacific Quality Award</t>
  </si>
  <si>
    <t>Date check</t>
  </si>
  <si>
    <t>ASPI (RHS)</t>
  </si>
  <si>
    <t>S&amp;P SL20 (RHS)</t>
  </si>
  <si>
    <t>ACL (LHS)</t>
  </si>
  <si>
    <t>Industry revenue pie</t>
  </si>
  <si>
    <t>Individual companies</t>
  </si>
  <si>
    <t>2 phase</t>
  </si>
  <si>
    <t>3 phase</t>
  </si>
  <si>
    <t>Increase Km</t>
  </si>
  <si>
    <t>Increase %</t>
  </si>
  <si>
    <t>http://www.ft.lk/article/503671/Tourism-Ministry-targets-4-m-tourists-by-2020</t>
  </si>
  <si>
    <t>Tourism Ministry targets 4 m tourists by 2020</t>
  </si>
  <si>
    <t>CEB lines</t>
  </si>
  <si>
    <t>No of rooms</t>
  </si>
  <si>
    <t>Hotel room stock</t>
  </si>
  <si>
    <t>Total distribution line length (Km)</t>
  </si>
  <si>
    <t>2016E</t>
  </si>
  <si>
    <t>(f)   Repurchase Rate and Reverse Repurchase Rate were renamed as Standing Deposit Facility Rate (SDFR) and Standing Lending Facilty Rate(SLFR) respectively, with effect from 02 January 2014.</t>
  </si>
  <si>
    <t>(e) 12 month Treasury bills were first introduced in 1989.</t>
  </si>
  <si>
    <t>(d) The Weighted Average Prime Lending Rate is estimated by the Central Bank weekly based on commercial banks' lending rates offered to their prime customers during the week. These monthly figures are average values of estimated weekly rates.(commenced in 1986).</t>
  </si>
  <si>
    <t>(c) The Average Weighted deposit rate is calculated by Central Bank monthly based on the weighted average of all outstanding interest bearing deposits of commercial banks and the corresponding interest rates.</t>
  </si>
  <si>
    <t>(b) Yield rates prevailing at the end of the period.</t>
  </si>
  <si>
    <t xml:space="preserve">(a) This is the rate at which the Central Bank grants advances to Commercial Banks for their temporary liquidity purposes. With effect from 4 January 1991, the rate was increased to 17 per cent from 15 per cent.  As at end of 1999 this rate was 16 per cent. With effect from 2 October 2000, the rate was increased to 18 per cent and further increased to 25 per cent with effect from 21 November 2000. With effect from 2 July 2001, this rate was brought down to 23 per cent and further reduced to 18 per cent with effect from 27 December 2001. On 15 August 2003, the rate was reduced to 15 per cent. </t>
  </si>
  <si>
    <t>5.44-24.00</t>
  </si>
  <si>
    <t>5.00-32.00</t>
  </si>
  <si>
    <t>4.75-24.00</t>
  </si>
  <si>
    <t>5.90-24.00</t>
  </si>
  <si>
    <t>3.25-22.00</t>
  </si>
  <si>
    <t>0.50-8.00</t>
  </si>
  <si>
    <t>4.15-14.00</t>
  </si>
  <si>
    <t>3.95-12.00</t>
  </si>
  <si>
    <t>3.90-9.75</t>
  </si>
  <si>
    <t>3.50-7.00</t>
  </si>
  <si>
    <t>6.00-6.50</t>
  </si>
  <si>
    <t>December</t>
  </si>
  <si>
    <t>6.00-24.00</t>
  </si>
  <si>
    <t>0.75-8.00</t>
  </si>
  <si>
    <t>3.50-8.75</t>
  </si>
  <si>
    <t>5.95-6.00</t>
  </si>
  <si>
    <t>November</t>
  </si>
  <si>
    <t>5.00-33.00</t>
  </si>
  <si>
    <t>3.75-22.00</t>
  </si>
  <si>
    <t>0.75-8.50</t>
  </si>
  <si>
    <t>2.50-8.75</t>
  </si>
  <si>
    <t>October</t>
  </si>
  <si>
    <t>5.50-24.00</t>
  </si>
  <si>
    <t>5.67-33.00</t>
  </si>
  <si>
    <t>0.75-9.50</t>
  </si>
  <si>
    <t>4.30-14.00</t>
  </si>
  <si>
    <t>4.15-12.00</t>
  </si>
  <si>
    <t>4.30-9.75</t>
  </si>
  <si>
    <t>4.00-7.75</t>
  </si>
  <si>
    <t>5.60-5.80</t>
  </si>
  <si>
    <t>September</t>
  </si>
  <si>
    <t>6.50-24.00</t>
  </si>
  <si>
    <t>7.00-24.00</t>
  </si>
  <si>
    <t>4.20-9.50</t>
  </si>
  <si>
    <t>August</t>
  </si>
  <si>
    <t>6.95-24.00</t>
  </si>
  <si>
    <t>7.00-23.00</t>
  </si>
  <si>
    <t>4.85-14.00</t>
  </si>
  <si>
    <t>4.55-13.00</t>
  </si>
  <si>
    <t>4.50-10.25</t>
  </si>
  <si>
    <t>4.45-9.50</t>
  </si>
  <si>
    <t>6.65-6.80</t>
  </si>
  <si>
    <t>July</t>
  </si>
  <si>
    <t>6.75-24.00</t>
  </si>
  <si>
    <t>7.25-24.00</t>
  </si>
  <si>
    <t>4.25-22.00</t>
  </si>
  <si>
    <t>1.25-8.00</t>
  </si>
  <si>
    <t>5.20-14.00</t>
  </si>
  <si>
    <t>4.75-14.50</t>
  </si>
  <si>
    <t>4.70-10.52</t>
  </si>
  <si>
    <t>4.55-9.50</t>
  </si>
  <si>
    <t>6.95-7.00</t>
  </si>
  <si>
    <t>June</t>
  </si>
  <si>
    <t>7.10-24.00</t>
  </si>
  <si>
    <t>4.75-33.00</t>
  </si>
  <si>
    <t>5.00-24.00</t>
  </si>
  <si>
    <t>0.75-9.00</t>
  </si>
  <si>
    <t>6.10-14.00</t>
  </si>
  <si>
    <t>5.45-14.50</t>
  </si>
  <si>
    <t>5.00-11.72</t>
  </si>
  <si>
    <t>5.00-9.50</t>
  </si>
  <si>
    <t>6.10-15.00</t>
  </si>
  <si>
    <t>5.00-11.74</t>
  </si>
  <si>
    <t>5.00-11.00</t>
  </si>
  <si>
    <t>6.90-6.95</t>
  </si>
  <si>
    <t>April</t>
  </si>
  <si>
    <t>7.50-24.00</t>
  </si>
  <si>
    <t>7.25-23.00</t>
  </si>
  <si>
    <t>5.50-14.75</t>
  </si>
  <si>
    <t>5.00-12.15</t>
  </si>
  <si>
    <t>6.90-7.00</t>
  </si>
  <si>
    <t>March</t>
  </si>
  <si>
    <t>7.75-24.00</t>
  </si>
  <si>
    <t>7.60-23.00</t>
  </si>
  <si>
    <t>5.60-15.50</t>
  </si>
  <si>
    <t>5.00-12.37</t>
  </si>
  <si>
    <t>5.00-15.00</t>
  </si>
  <si>
    <t>February</t>
  </si>
  <si>
    <t>5.00-25.00</t>
  </si>
  <si>
    <t>8.00-23.00</t>
  </si>
  <si>
    <t>5.60-15.60</t>
  </si>
  <si>
    <t>7.40-7.50</t>
  </si>
  <si>
    <t>January</t>
  </si>
  <si>
    <t>5.00-26.00</t>
  </si>
  <si>
    <t>8.50-23.00</t>
  </si>
  <si>
    <t>4.50-22.00</t>
  </si>
  <si>
    <t>0.75-9.14</t>
  </si>
  <si>
    <t>5.25-15.00</t>
  </si>
  <si>
    <t>6.00-16.00</t>
  </si>
  <si>
    <t>6.20-12.25</t>
  </si>
  <si>
    <t>5.70-15.00</t>
  </si>
  <si>
    <t>7.50-7.75</t>
  </si>
  <si>
    <t>4.50-33.00</t>
  </si>
  <si>
    <t>9.75-23.00</t>
  </si>
  <si>
    <t>6.60-12.75</t>
  </si>
  <si>
    <t>5.90-15.00</t>
  </si>
  <si>
    <t>7.75-7.82</t>
  </si>
  <si>
    <t>7.00-32.00</t>
  </si>
  <si>
    <t>4.57-26.00</t>
  </si>
  <si>
    <t>9.98-23.00</t>
  </si>
  <si>
    <t>6.90-13.00</t>
  </si>
  <si>
    <t>7.75-7.95</t>
  </si>
  <si>
    <t>9.98-25.00</t>
  </si>
  <si>
    <t>4.75-22.00</t>
  </si>
  <si>
    <t>7.00-14.00</t>
  </si>
  <si>
    <t>8.40-8.45</t>
  </si>
  <si>
    <t>7.00-14.50</t>
  </si>
  <si>
    <t>8.65-8.75</t>
  </si>
  <si>
    <t>4.50-26.00</t>
  </si>
  <si>
    <t>0.75-11.00</t>
  </si>
  <si>
    <t>5.00-16.00</t>
  </si>
  <si>
    <t>8.75-8.80</t>
  </si>
  <si>
    <t>5.00-15.75</t>
  </si>
  <si>
    <t>8.50-9.00</t>
  </si>
  <si>
    <t>9.00-32.00</t>
  </si>
  <si>
    <t>0.75-10.50</t>
  </si>
  <si>
    <t>7.50-16.00</t>
  </si>
  <si>
    <t>4.00-15.50</t>
  </si>
  <si>
    <t>4.50-28.00</t>
  </si>
  <si>
    <t>5.00-16.25</t>
  </si>
  <si>
    <t>5.00-16.50</t>
  </si>
  <si>
    <t>9.45-9.50</t>
  </si>
  <si>
    <t>4.50-29.00</t>
  </si>
  <si>
    <t>9.40-9.45</t>
  </si>
  <si>
    <t>5.00-22.00</t>
  </si>
  <si>
    <t>5.00-17.00</t>
  </si>
  <si>
    <t>5.00-17.50</t>
  </si>
  <si>
    <t>9.60-9.65</t>
  </si>
  <si>
    <t>9.50-25.00</t>
  </si>
  <si>
    <t>4.70-22.00</t>
  </si>
  <si>
    <t>9.50-9.85</t>
  </si>
  <si>
    <t>4.75-32.00</t>
  </si>
  <si>
    <t>5.00-16.13</t>
  </si>
  <si>
    <t>10.10-10.60</t>
  </si>
  <si>
    <t>4.75-30.00</t>
  </si>
  <si>
    <t>10.40-10.60</t>
  </si>
  <si>
    <t>6.00-32.00</t>
  </si>
  <si>
    <t>5.00-15.60</t>
  </si>
  <si>
    <t>5.00-15.40</t>
  </si>
  <si>
    <t>10.50-10.60</t>
  </si>
  <si>
    <t>5.25-15.50</t>
  </si>
  <si>
    <t>5.00-15.25</t>
  </si>
  <si>
    <t>5.00-15.50</t>
  </si>
  <si>
    <t>10.55-10.60</t>
  </si>
  <si>
    <t>4.70-30.00</t>
  </si>
  <si>
    <t>4.50-25.00</t>
  </si>
  <si>
    <t>10.45-10.50</t>
  </si>
  <si>
    <t>9.50-22.00</t>
  </si>
  <si>
    <t>4.50-15.10</t>
  </si>
  <si>
    <t>5.00-14.60</t>
  </si>
  <si>
    <t>4.00-15.38</t>
  </si>
  <si>
    <t>10.00-10.50</t>
  </si>
  <si>
    <t>4.74-30.00</t>
  </si>
  <si>
    <t>4.49-21.00</t>
  </si>
  <si>
    <t>5.74-15.00</t>
  </si>
  <si>
    <t>6.00-14.13</t>
  </si>
  <si>
    <t>5.00-14.80</t>
  </si>
  <si>
    <t>9.90-9.95</t>
  </si>
  <si>
    <t>9.50-21.00</t>
  </si>
  <si>
    <t>4.49-20.36</t>
  </si>
  <si>
    <t>5.25-14.00</t>
  </si>
  <si>
    <t>5.74-14.50</t>
  </si>
  <si>
    <t>6.00-14.00</t>
  </si>
  <si>
    <t>5.00-14.00</t>
  </si>
  <si>
    <t>9.25-10.00</t>
  </si>
  <si>
    <t>6.00-30.00</t>
  </si>
  <si>
    <t>4.49-20.00</t>
  </si>
  <si>
    <t>5.25-13.00</t>
  </si>
  <si>
    <t>5.74-14.25</t>
  </si>
  <si>
    <t>6.00-13.00</t>
  </si>
  <si>
    <t>5.00-14.38</t>
  </si>
  <si>
    <t>9.00-9.40</t>
  </si>
  <si>
    <t>4.00-20.00</t>
  </si>
  <si>
    <t>5.25-12.50</t>
  </si>
  <si>
    <t>5.74-13.25</t>
  </si>
  <si>
    <t>6.00-13.50</t>
  </si>
  <si>
    <t>5.00-13.75</t>
  </si>
  <si>
    <t>9.50-9.70</t>
  </si>
  <si>
    <t>6.00-35.00</t>
  </si>
  <si>
    <t>5.15-21.00</t>
  </si>
  <si>
    <t>4.51-20.00</t>
  </si>
  <si>
    <t>1.00-8.50</t>
  </si>
  <si>
    <t>5.55-12.50</t>
  </si>
  <si>
    <t>3.25-12.75</t>
  </si>
  <si>
    <t>4.75-13.75</t>
  </si>
  <si>
    <t>8.30-9.25</t>
  </si>
  <si>
    <t>5.00-29.90</t>
  </si>
  <si>
    <t>5.15-24.00</t>
  </si>
  <si>
    <t>4.55-20.00</t>
  </si>
  <si>
    <t>5.25-11.00</t>
  </si>
  <si>
    <t>5.55-11.00</t>
  </si>
  <si>
    <t>5.50-11.00</t>
  </si>
  <si>
    <t>4.75-11.25</t>
  </si>
  <si>
    <t>8.75-9.10</t>
  </si>
  <si>
    <t>5.00-29.00</t>
  </si>
  <si>
    <t>4.48-20.00</t>
  </si>
  <si>
    <t>5.50-10.50</t>
  </si>
  <si>
    <t>8.00-9.00</t>
  </si>
  <si>
    <t>5.00-30.00</t>
  </si>
  <si>
    <t>4.50-27.00</t>
  </si>
  <si>
    <t>5.15-24.72</t>
  </si>
  <si>
    <t>5.00-11.75</t>
  </si>
  <si>
    <t>5.05-10.25</t>
  </si>
  <si>
    <t>5.00-9.35</t>
  </si>
  <si>
    <t>4.75-10.00</t>
  </si>
  <si>
    <t>8.00-8.05</t>
  </si>
  <si>
    <t>5.15-24.75</t>
  </si>
  <si>
    <t>5.00-14.40</t>
  </si>
  <si>
    <t>5.05-11.75</t>
  </si>
  <si>
    <t>5.00-9.00</t>
  </si>
  <si>
    <t>4.75-8.50</t>
  </si>
  <si>
    <t>8.00-8.10</t>
  </si>
  <si>
    <t>4.75-35.00</t>
  </si>
  <si>
    <t>5.21-20.00</t>
  </si>
  <si>
    <t>5.00-14.75</t>
  </si>
  <si>
    <t>5.05-10.00</t>
  </si>
  <si>
    <t>5.00-9.25</t>
  </si>
  <si>
    <t>7.90-8.00</t>
  </si>
  <si>
    <t>7.00-35.00</t>
  </si>
  <si>
    <t>7.00-30.00</t>
  </si>
  <si>
    <t>8.00-27.00</t>
  </si>
  <si>
    <t>8.14-24.72</t>
  </si>
  <si>
    <t>1.50-8.00</t>
  </si>
  <si>
    <t>5.05-10.50</t>
  </si>
  <si>
    <t>5.00-8.75</t>
  </si>
  <si>
    <t>4.75-8.85</t>
  </si>
  <si>
    <t>7.25-8.15</t>
  </si>
  <si>
    <t>8.04-25.00</t>
  </si>
  <si>
    <t>1.50-8.50</t>
  </si>
  <si>
    <t>5.05-10.65</t>
  </si>
  <si>
    <t>7.90-8.15</t>
  </si>
  <si>
    <t>8.00-26.00</t>
  </si>
  <si>
    <t>7.25-7.93</t>
  </si>
  <si>
    <t>8.00-28.00</t>
  </si>
  <si>
    <t>5.00-18.50</t>
  </si>
  <si>
    <t>4.75-9.00</t>
  </si>
  <si>
    <t>7.50-7.90</t>
  </si>
  <si>
    <t>8.06-25.00</t>
  </si>
  <si>
    <t>5.24-20.00</t>
  </si>
  <si>
    <t>5.05-11.00</t>
  </si>
  <si>
    <t>7.25-7.90</t>
  </si>
  <si>
    <t>5.26-20.00</t>
  </si>
  <si>
    <t>1.50-9.50</t>
  </si>
  <si>
    <t>5.00-13.00</t>
  </si>
  <si>
    <t>4.75-9.25</t>
  </si>
  <si>
    <t>7.50-7.95</t>
  </si>
  <si>
    <t>8.37-25.00</t>
  </si>
  <si>
    <t>5.05-17.00</t>
  </si>
  <si>
    <t>4.75-12.50</t>
  </si>
  <si>
    <t>7.05-7.96</t>
  </si>
  <si>
    <t>6.0-35.00</t>
  </si>
  <si>
    <t>8.20-25.00</t>
  </si>
  <si>
    <t>5.25-20.00</t>
  </si>
  <si>
    <t>5.00-19.00</t>
  </si>
  <si>
    <t>5.00-9.75</t>
  </si>
  <si>
    <t>7.75-8.35</t>
  </si>
  <si>
    <t>6.00-36.00</t>
  </si>
  <si>
    <t>5.00-20.00</t>
  </si>
  <si>
    <t>5.25-17.00</t>
  </si>
  <si>
    <t>5.00-10.00</t>
  </si>
  <si>
    <t>7.00-8.35</t>
  </si>
  <si>
    <t>8.75-25.00</t>
  </si>
  <si>
    <t>7.50-8.45</t>
  </si>
  <si>
    <t>8.60-28.00</t>
  </si>
  <si>
    <t>8.80-25.00</t>
  </si>
  <si>
    <t>5.00-23.00</t>
  </si>
  <si>
    <t>5.00-20.25</t>
  </si>
  <si>
    <t>5.50-17.00</t>
  </si>
  <si>
    <t>7.00-9.00</t>
  </si>
  <si>
    <t xml:space="preserve">  -</t>
  </si>
  <si>
    <t>9.25-25.00</t>
  </si>
  <si>
    <t>6.75-20.25</t>
  </si>
  <si>
    <t>6.50-17.00</t>
  </si>
  <si>
    <t>6.00-10.00</t>
  </si>
  <si>
    <t>4.50-9.00</t>
  </si>
  <si>
    <t>7.00-9.02</t>
  </si>
  <si>
    <t>8.50-28.00</t>
  </si>
  <si>
    <t>6.75-21.00</t>
  </si>
  <si>
    <t>6.50-22.00</t>
  </si>
  <si>
    <t>5.00-9.10</t>
  </si>
  <si>
    <t>9.25-29.00</t>
  </si>
  <si>
    <t>6.50-19.00</t>
  </si>
  <si>
    <t>8.00-9.25</t>
  </si>
  <si>
    <t>9.15-28.00</t>
  </si>
  <si>
    <t>7.40-9.25</t>
  </si>
  <si>
    <t>9.05-25.00</t>
  </si>
  <si>
    <t>6.00-11.8</t>
  </si>
  <si>
    <t>5.50-10.00</t>
  </si>
  <si>
    <t>6.00-13.25</t>
  </si>
  <si>
    <t>8.50-9.25</t>
  </si>
  <si>
    <t>6.00-29.00</t>
  </si>
  <si>
    <t>9.80-25.00</t>
  </si>
  <si>
    <t>1.50-10.00</t>
  </si>
  <si>
    <t>7.00-21.00</t>
  </si>
  <si>
    <t>6.00-40.80</t>
  </si>
  <si>
    <t>9.15-30.00</t>
  </si>
  <si>
    <t>9.50-30.00</t>
  </si>
  <si>
    <t>7.00-19.00</t>
  </si>
  <si>
    <t>6.00-17.00</t>
  </si>
  <si>
    <t>9.00-9.38</t>
  </si>
  <si>
    <t>4.58-24.00</t>
  </si>
  <si>
    <t>1.50-10.50</t>
  </si>
  <si>
    <t>7.25-19.00</t>
  </si>
  <si>
    <t>6.00-18.00</t>
  </si>
  <si>
    <t>3.00-19.00</t>
  </si>
  <si>
    <t>8.00-9.05</t>
  </si>
  <si>
    <t>9.75-30.00</t>
  </si>
  <si>
    <t>1.50-12.50</t>
  </si>
  <si>
    <t>8.40-9.50</t>
  </si>
  <si>
    <t>10.00-30.00</t>
  </si>
  <si>
    <t>4.58-26.00</t>
  </si>
  <si>
    <t>7.75-19.00</t>
  </si>
  <si>
    <t>5.50-18.25</t>
  </si>
  <si>
    <t>8.00-9.50</t>
  </si>
  <si>
    <t>10.00-26.00</t>
  </si>
  <si>
    <t>10.00-29.00</t>
  </si>
  <si>
    <t>4.28-26.50</t>
  </si>
  <si>
    <t>10.00-19.00</t>
  </si>
  <si>
    <t>8.00-19.00</t>
  </si>
  <si>
    <t>9.25-18.25</t>
  </si>
  <si>
    <t>5.50-19.00</t>
  </si>
  <si>
    <t>7.50-10.00</t>
  </si>
  <si>
    <t>10.00-27.33</t>
  </si>
  <si>
    <t>4.28-27.00</t>
  </si>
  <si>
    <t>1.50-13.00</t>
  </si>
  <si>
    <t>10.50-19.00</t>
  </si>
  <si>
    <t>10.00-18.25</t>
  </si>
  <si>
    <t>8.00-10.50</t>
  </si>
  <si>
    <t>1.50-13.50</t>
  </si>
  <si>
    <t>11.00-19.00</t>
  </si>
  <si>
    <t>10.50-18.25</t>
  </si>
  <si>
    <t>9.00-10.20</t>
  </si>
  <si>
    <t>6.00-26.50</t>
  </si>
  <si>
    <t>11.00-18.50</t>
  </si>
  <si>
    <t>8.25-10.50</t>
  </si>
  <si>
    <t>6.00-33.00</t>
  </si>
  <si>
    <t>1.50-15.00</t>
  </si>
  <si>
    <t>12.75-20.50</t>
  </si>
  <si>
    <t>8.00-19.50</t>
  </si>
  <si>
    <t>12.00-19.50</t>
  </si>
  <si>
    <t>7.50-19.50</t>
  </si>
  <si>
    <t>10.00-11.00</t>
  </si>
  <si>
    <t>6.00-38.00</t>
  </si>
  <si>
    <t>10.00-30.33</t>
  </si>
  <si>
    <t>3.00-16.50</t>
  </si>
  <si>
    <t>13.00-20.50</t>
  </si>
  <si>
    <t>8.50-19.50</t>
  </si>
  <si>
    <t>9.00-11.25</t>
  </si>
  <si>
    <t>9.00-19.50</t>
  </si>
  <si>
    <t>10.50-13.25</t>
  </si>
  <si>
    <t>13.00-21.50</t>
  </si>
  <si>
    <t>8.50-20.50</t>
  </si>
  <si>
    <t>9.00-19.00</t>
  </si>
  <si>
    <t>12.50-13.61</t>
  </si>
  <si>
    <t>6.00-40.00</t>
  </si>
  <si>
    <t>9.00-20.00</t>
  </si>
  <si>
    <t>13.00-18.00</t>
  </si>
  <si>
    <t>6.00-39.00</t>
  </si>
  <si>
    <t>13.00-23.00</t>
  </si>
  <si>
    <t>8.50-20.25</t>
  </si>
  <si>
    <t>13.00-19.00</t>
  </si>
  <si>
    <t>9.50-20.00</t>
  </si>
  <si>
    <t>13.25-20.00</t>
  </si>
  <si>
    <t>8.50-19.75</t>
  </si>
  <si>
    <t>10.25-20.00</t>
  </si>
  <si>
    <t>14.50-17.00</t>
  </si>
  <si>
    <t>10.75-20.00</t>
  </si>
  <si>
    <t>9.50-19.75</t>
  </si>
  <si>
    <t>13.75-19.63</t>
  </si>
  <si>
    <t>7.50-26.50</t>
  </si>
  <si>
    <t>13.00-20.00</t>
  </si>
  <si>
    <t>9.00-18.50</t>
  </si>
  <si>
    <t>18.00-20.50</t>
  </si>
  <si>
    <t>10.00-18.50</t>
  </si>
  <si>
    <t>15.75-17.00</t>
  </si>
  <si>
    <t>8.92-19.50</t>
  </si>
  <si>
    <t>8.50-20.00</t>
  </si>
  <si>
    <t>6.50-18.50</t>
  </si>
  <si>
    <t>5.60-18.75</t>
  </si>
  <si>
    <t>12.00-13.63</t>
  </si>
  <si>
    <t>7.50-25.50</t>
  </si>
  <si>
    <t>8.92-20.00</t>
  </si>
  <si>
    <t>8.50-19.00</t>
  </si>
  <si>
    <t>5.60-19.00</t>
  </si>
  <si>
    <t>8.50-18.50</t>
  </si>
  <si>
    <t>12.38-13.50</t>
  </si>
  <si>
    <t>10.00-28.33</t>
  </si>
  <si>
    <t>7.10-25.50</t>
  </si>
  <si>
    <t>13.00-19.50</t>
  </si>
  <si>
    <t>8.50-19.25</t>
  </si>
  <si>
    <t>13.25-14.75</t>
  </si>
  <si>
    <t>6.00-37.58</t>
  </si>
  <si>
    <t>12.50-13.75</t>
  </si>
  <si>
    <t>16.00-20.50</t>
  </si>
  <si>
    <t>15.00-16.00</t>
  </si>
  <si>
    <t>6.00-38.43</t>
  </si>
  <si>
    <t>13.25-14.50</t>
  </si>
  <si>
    <t>6.00-37.43</t>
  </si>
  <si>
    <t>12.00-30.00</t>
  </si>
  <si>
    <t>6.50-19.25</t>
  </si>
  <si>
    <t>16.00-40.00</t>
  </si>
  <si>
    <t>6.00-36.23</t>
  </si>
  <si>
    <t>7.10-23.50</t>
  </si>
  <si>
    <t>12.70-20.00</t>
  </si>
  <si>
    <t>8.00-18.75</t>
  </si>
  <si>
    <t>6.50-18.00</t>
  </si>
  <si>
    <t>7.50-19.00</t>
  </si>
  <si>
    <t>12.50-14.00</t>
  </si>
  <si>
    <t>6.00-38.23</t>
  </si>
  <si>
    <t>7.10-24.50</t>
  </si>
  <si>
    <t>3.00-15.00</t>
  </si>
  <si>
    <t>12.00-20.00</t>
  </si>
  <si>
    <t>6.00-20.00</t>
  </si>
  <si>
    <t>7.50-20.00</t>
  </si>
  <si>
    <t>12.25-13.00</t>
  </si>
  <si>
    <t>6.00-37.90</t>
  </si>
  <si>
    <t>8.00-17.00</t>
  </si>
  <si>
    <t>6.00-19.00</t>
  </si>
  <si>
    <t>18.00-26.00</t>
  </si>
  <si>
    <t>6.00-37.20</t>
  </si>
  <si>
    <t>7.86-29.00</t>
  </si>
  <si>
    <t>12.00-17.50</t>
  </si>
  <si>
    <t>8.00-16.50</t>
  </si>
  <si>
    <t>7.50-17.75</t>
  </si>
  <si>
    <t>14.00-16.63</t>
  </si>
  <si>
    <t>6.00-36.80</t>
  </si>
  <si>
    <t>7.50-18.00</t>
  </si>
  <si>
    <t>13.00-14.50</t>
  </si>
  <si>
    <t>6.00-36.70</t>
  </si>
  <si>
    <t>7.10-22.50</t>
  </si>
  <si>
    <t>6.75-17.00</t>
  </si>
  <si>
    <t>13.25-19.00</t>
  </si>
  <si>
    <t>10.00-36.45</t>
  </si>
  <si>
    <t>8.50-35.00</t>
  </si>
  <si>
    <t>11.25-28.00</t>
  </si>
  <si>
    <t>12.00-28.00</t>
  </si>
  <si>
    <t>3.00-13.00</t>
  </si>
  <si>
    <t>12.00-17.00</t>
  </si>
  <si>
    <t>5.50-16.75</t>
  </si>
  <si>
    <t>6.00-16.50</t>
  </si>
  <si>
    <t>5.75-16.00</t>
  </si>
  <si>
    <t>6.00-37.15</t>
  </si>
  <si>
    <t>7.85-27.00</t>
  </si>
  <si>
    <t>10.00-28.15</t>
  </si>
  <si>
    <t>6.00-15.50</t>
  </si>
  <si>
    <t>5.75-16.50</t>
  </si>
  <si>
    <t>12.25-13.75</t>
  </si>
  <si>
    <t>6.00-36.40</t>
  </si>
  <si>
    <t>7.85-28.35</t>
  </si>
  <si>
    <t>10.00-27.35</t>
  </si>
  <si>
    <t>7.10-28.35</t>
  </si>
  <si>
    <t>3.00-12.00</t>
  </si>
  <si>
    <t>9.00-17.00</t>
  </si>
  <si>
    <t>14.00-18.00</t>
  </si>
  <si>
    <t>6.00-34.00</t>
  </si>
  <si>
    <t>10.00-27.00</t>
  </si>
  <si>
    <t>8.36-27.00</t>
  </si>
  <si>
    <t>7.10-22.00</t>
  </si>
  <si>
    <t>9.00-15.50</t>
  </si>
  <si>
    <t>5.50-18.00</t>
  </si>
  <si>
    <t>6.00-15.00</t>
  </si>
  <si>
    <t>5.75-15.00</t>
  </si>
  <si>
    <t>14.00-16.50</t>
  </si>
  <si>
    <t>3.00-11.50</t>
  </si>
  <si>
    <t>5.50-15.00</t>
  </si>
  <si>
    <t>6.00-14.25</t>
  </si>
  <si>
    <t>5.75-15.25</t>
  </si>
  <si>
    <t>12.00-13.00</t>
  </si>
  <si>
    <t>7.86-27.00</t>
  </si>
  <si>
    <t>7.10-20.50</t>
  </si>
  <si>
    <t>3.00-10.50</t>
  </si>
  <si>
    <t>9.00-14.25</t>
  </si>
  <si>
    <t>5.50-14.00</t>
  </si>
  <si>
    <t>6.00-13.75</t>
  </si>
  <si>
    <t>5.75-14.00</t>
  </si>
  <si>
    <t>12.75-15.13</t>
  </si>
  <si>
    <t>10.00-20.50</t>
  </si>
  <si>
    <t>11.00-12.00</t>
  </si>
  <si>
    <t>8.36-26.00</t>
  </si>
  <si>
    <t>10.00-20.00</t>
  </si>
  <si>
    <t>8.75-14.00</t>
  </si>
  <si>
    <t>5.50-13.75</t>
  </si>
  <si>
    <t>12.40-13.88</t>
  </si>
  <si>
    <t>10.00-25.00</t>
  </si>
  <si>
    <t>3.00-9.50</t>
  </si>
  <si>
    <t>8.75-13.75</t>
  </si>
  <si>
    <t>5.50-13.50</t>
  </si>
  <si>
    <t>5.00-13.50</t>
  </si>
  <si>
    <t>12.00-16.75</t>
  </si>
  <si>
    <t>8.50-25.00</t>
  </si>
  <si>
    <t>9.75-20.00</t>
  </si>
  <si>
    <t>8.75-12.75</t>
  </si>
  <si>
    <t>5.50-12.50</t>
  </si>
  <si>
    <t>5.50-12.25</t>
  </si>
  <si>
    <t>5.00-12.00</t>
  </si>
  <si>
    <t>11.00-11.40</t>
  </si>
  <si>
    <t>8.27-25.00</t>
  </si>
  <si>
    <t>9.00-31.00</t>
  </si>
  <si>
    <t>11.00-11.50</t>
  </si>
  <si>
    <t>10.00-11.25</t>
  </si>
  <si>
    <t>10.50-10.85</t>
  </si>
  <si>
    <t>10.25-25.00</t>
  </si>
  <si>
    <t>8.15-25.00</t>
  </si>
  <si>
    <t>8.29-12.75</t>
  </si>
  <si>
    <t>9.88-10.13</t>
  </si>
  <si>
    <t>8.05-25.00</t>
  </si>
  <si>
    <t>8.31-12.00</t>
  </si>
  <si>
    <t>5.50-12.00</t>
  </si>
  <si>
    <t>5.50-11.50</t>
  </si>
  <si>
    <t>5.00-13.25</t>
  </si>
  <si>
    <t>10.25-10.63</t>
  </si>
  <si>
    <t>7.00-33.00</t>
  </si>
  <si>
    <t>9.00-25.00</t>
  </si>
  <si>
    <t>3.00-10.25</t>
  </si>
  <si>
    <t>8.50-12.00</t>
  </si>
  <si>
    <t>5.50-11.25</t>
  </si>
  <si>
    <t>9.85-10.00</t>
  </si>
  <si>
    <t>7.00-31.00</t>
  </si>
  <si>
    <t>9.88-10.00</t>
  </si>
  <si>
    <t>10.00-22.50</t>
  </si>
  <si>
    <t>9.00-23.00</t>
  </si>
  <si>
    <t>8.50-11.50</t>
  </si>
  <si>
    <t>10.50-10.98</t>
  </si>
  <si>
    <t>9.00-22.50</t>
  </si>
  <si>
    <t>10.35-10.52</t>
  </si>
  <si>
    <t>8.00-22.50</t>
  </si>
  <si>
    <t>8.46-11.50</t>
  </si>
  <si>
    <t>5.50-11.10</t>
  </si>
  <si>
    <t>5.00-11.25</t>
  </si>
  <si>
    <t>9.90-10.50</t>
  </si>
  <si>
    <t>8.00-22.00</t>
  </si>
  <si>
    <t>9.00-22.00</t>
  </si>
  <si>
    <t>7.44-11.50</t>
  </si>
  <si>
    <t>10.06-10.20</t>
  </si>
  <si>
    <t>3.00-9.00</t>
  </si>
  <si>
    <t>7.00-10.50</t>
  </si>
  <si>
    <t>9.25-9.75</t>
  </si>
  <si>
    <t>9.00-21.50</t>
  </si>
  <si>
    <t>3.00-8.00</t>
  </si>
  <si>
    <t>7.00-10.25</t>
  </si>
  <si>
    <t>5.50-9.50</t>
  </si>
  <si>
    <t>9.50-9.94</t>
  </si>
  <si>
    <t>5.50-9.75</t>
  </si>
  <si>
    <t>8.50-9.50</t>
  </si>
  <si>
    <t>4.50-9.50</t>
  </si>
  <si>
    <t>4.00-9.25</t>
  </si>
  <si>
    <t>9.00-21.00</t>
  </si>
  <si>
    <t>7.00-20.25</t>
  </si>
  <si>
    <t>6.59-10.25</t>
  </si>
  <si>
    <t>5.65-9.75</t>
  </si>
  <si>
    <t>8.00-8.50</t>
  </si>
  <si>
    <t>7.55-8.00</t>
  </si>
  <si>
    <t>6.00-26.00</t>
  </si>
  <si>
    <t>3.00-7.50</t>
  </si>
  <si>
    <t>6.80-10.25</t>
  </si>
  <si>
    <t>7.75-8.63</t>
  </si>
  <si>
    <t>7.00-20.75</t>
  </si>
  <si>
    <t>7.25-20.75</t>
  </si>
  <si>
    <t>3.00-7.75</t>
  </si>
  <si>
    <t>9.50-10.63</t>
  </si>
  <si>
    <t>6.00-25.00</t>
  </si>
  <si>
    <t>9.50-20.25</t>
  </si>
  <si>
    <t>2.50-7.50</t>
  </si>
  <si>
    <t>6.25-9.63</t>
  </si>
  <si>
    <t>4.50-8.75</t>
  </si>
  <si>
    <t>4.00-9.00</t>
  </si>
  <si>
    <t>8.75-10.13</t>
  </si>
  <si>
    <t>6.48-9.00</t>
  </si>
  <si>
    <t>5.50-9.00</t>
  </si>
  <si>
    <t>4.50-8.50</t>
  </si>
  <si>
    <t>3.50-9.00</t>
  </si>
  <si>
    <t>8.13-8.88</t>
  </si>
  <si>
    <t>7.00-20.00</t>
  </si>
  <si>
    <t>6.25-9.00</t>
  </si>
  <si>
    <t>5.50-9.09</t>
  </si>
  <si>
    <t>4.50-8.59</t>
  </si>
  <si>
    <t>7.62-8.63</t>
  </si>
  <si>
    <t>8.75-20.00</t>
  </si>
  <si>
    <t>6.72-9.00</t>
  </si>
  <si>
    <t>4.50-8.00</t>
  </si>
  <si>
    <t>7.50-8.40</t>
  </si>
  <si>
    <t>6.48-8.50</t>
  </si>
  <si>
    <t>4.50-7.85</t>
  </si>
  <si>
    <t>3.50-7.77</t>
  </si>
  <si>
    <t>7.40-7.63</t>
  </si>
  <si>
    <t>5.64-8.50</t>
  </si>
  <si>
    <t>5.00-8.25</t>
  </si>
  <si>
    <t>4.00-7.77</t>
  </si>
  <si>
    <t>7.625-8.13</t>
  </si>
  <si>
    <t>5.41-8.50</t>
  </si>
  <si>
    <t>5.00-8.00</t>
  </si>
  <si>
    <t>4.50-7.61</t>
  </si>
  <si>
    <t>4.00-7.53</t>
  </si>
  <si>
    <t>7.75-8.25</t>
  </si>
  <si>
    <t>8.00-20.00</t>
  </si>
  <si>
    <t>7.38-7.63</t>
  </si>
  <si>
    <t>2.10-7.50</t>
  </si>
  <si>
    <t>5.41-7.50</t>
  </si>
  <si>
    <t>5.00-7.61</t>
  </si>
  <si>
    <t>7.45-7.75</t>
  </si>
  <si>
    <t>7.00-29.00</t>
  </si>
  <si>
    <t>2.10-7.85</t>
  </si>
  <si>
    <t>5.00-7.75</t>
  </si>
  <si>
    <t>4.00-7.50</t>
  </si>
  <si>
    <t>7.38-7.69</t>
  </si>
  <si>
    <t>7.25-8.00</t>
  </si>
  <si>
    <t>2.10-7.25</t>
  </si>
  <si>
    <t>5.00-7.25</t>
  </si>
  <si>
    <t>4.00-7.13</t>
  </si>
  <si>
    <t>7.38-8.25</t>
  </si>
  <si>
    <t>7.38-8.50</t>
  </si>
  <si>
    <t>7.90-30.00</t>
  </si>
  <si>
    <t>8.50-29.00</t>
  </si>
  <si>
    <t>2.10-7.00</t>
  </si>
  <si>
    <t>5.64-8.00</t>
  </si>
  <si>
    <t>7.30-7.63</t>
  </si>
  <si>
    <t>8.00-30.00</t>
  </si>
  <si>
    <t>8.50-23.50</t>
  </si>
  <si>
    <t>8.25-21.00</t>
  </si>
  <si>
    <t>2.30-8.25</t>
  </si>
  <si>
    <t>5.00-7.50</t>
  </si>
  <si>
    <t>7.70-8.13</t>
  </si>
  <si>
    <t>8.75-29.00</t>
  </si>
  <si>
    <t>8.75-23.50</t>
  </si>
  <si>
    <t>5.84-9.00</t>
  </si>
  <si>
    <t>5.50-8.25</t>
  </si>
  <si>
    <t>7.63-8.00</t>
  </si>
  <si>
    <t>8.70-30.00</t>
  </si>
  <si>
    <t>9.00-30.00</t>
  </si>
  <si>
    <t>9.75-25.00</t>
  </si>
  <si>
    <t>8.75-23.00</t>
  </si>
  <si>
    <t>6.56-9.00</t>
  </si>
  <si>
    <t>6.00-9.50</t>
  </si>
  <si>
    <t>5.10-9.00</t>
  </si>
  <si>
    <t>5.10-8.50</t>
  </si>
  <si>
    <t>8.25-8.88</t>
  </si>
  <si>
    <t>5.60-9.00</t>
  </si>
  <si>
    <t>5.60-8.50</t>
  </si>
  <si>
    <t>8.38-9.00</t>
  </si>
  <si>
    <t>3.00-10.00</t>
  </si>
  <si>
    <t>6.96-9.50</t>
  </si>
  <si>
    <t>5.60-10.00</t>
  </si>
  <si>
    <t>5.75-9.50</t>
  </si>
  <si>
    <t>9.70-30.00</t>
  </si>
  <si>
    <t>10.75-30.00</t>
  </si>
  <si>
    <t>9.25-23.00</t>
  </si>
  <si>
    <t>6.96-10.50</t>
  </si>
  <si>
    <t>7.00-10.00</t>
  </si>
  <si>
    <t>9.25-10.38</t>
  </si>
  <si>
    <t>10.25-30.00</t>
  </si>
  <si>
    <t>9.50-23.00</t>
  </si>
  <si>
    <t>6.96-10.00</t>
  </si>
  <si>
    <t>9.85-30.00</t>
  </si>
  <si>
    <t>11.25-30.00</t>
  </si>
  <si>
    <t>3.00-11.00</t>
  </si>
  <si>
    <t>7.44-10.00</t>
  </si>
  <si>
    <t>7.00-11.00</t>
  </si>
  <si>
    <t>6.00-10.50</t>
  </si>
  <si>
    <t>9.25-10.25</t>
  </si>
  <si>
    <t xml:space="preserve">                                                                            </t>
  </si>
  <si>
    <t>Others</t>
  </si>
  <si>
    <t>Immovable Property</t>
  </si>
  <si>
    <t>SLF Rate     (f)</t>
  </si>
  <si>
    <t>SDF Rate     (f)</t>
  </si>
  <si>
    <t>12-Month    (e)</t>
  </si>
  <si>
    <t>3-Month</t>
  </si>
  <si>
    <t>Unsecured</t>
  </si>
  <si>
    <t>Secured by</t>
  </si>
  <si>
    <t>Stock in Trade</t>
  </si>
  <si>
    <t>24 Months</t>
  </si>
  <si>
    <t>12 Months</t>
  </si>
  <si>
    <t>6 Months</t>
  </si>
  <si>
    <t>3 Months</t>
  </si>
  <si>
    <t>Loans and Overdrafts</t>
  </si>
  <si>
    <t>Bills Purchased and Discounted</t>
  </si>
  <si>
    <t>Savings Deposits</t>
  </si>
  <si>
    <t>Fixed Deposits</t>
  </si>
  <si>
    <t>Inter-Bank Call Loans</t>
  </si>
  <si>
    <t>Over night</t>
  </si>
  <si>
    <t>Primary Market (b) Yield Rates</t>
  </si>
  <si>
    <t>Weighted Average Prime Lending Rate (AWPR) (d)</t>
  </si>
  <si>
    <t>Commercial Bank's Rates on Advances</t>
  </si>
  <si>
    <t>Weighted Average Deposit Rate (AWDR)         (c)</t>
  </si>
  <si>
    <t>Commercial Bank's Rates on Deposits</t>
  </si>
  <si>
    <t>Government Treasury Bills</t>
  </si>
  <si>
    <t>Bank Rate (a)</t>
  </si>
  <si>
    <t>End of Period</t>
  </si>
  <si>
    <t>Money Rates</t>
  </si>
  <si>
    <t>4.04 Interest Rates - Monthly (2003-2014)</t>
  </si>
  <si>
    <t>Blue Orchid Residencies</t>
  </si>
  <si>
    <t>Units</t>
  </si>
  <si>
    <t>Sizes</t>
  </si>
  <si>
    <t>905-1810</t>
  </si>
  <si>
    <t>695-776</t>
  </si>
  <si>
    <t>Richmond Hill</t>
  </si>
  <si>
    <t>Reliance Residencies</t>
  </si>
  <si>
    <t>Greater Colombo Housing Approval</t>
  </si>
  <si>
    <t>Apartment units</t>
  </si>
  <si>
    <t>http://riunit.lk/wp-content/uploads/2015/03/Article-on-LB.pdf</t>
  </si>
  <si>
    <t>Source: FT.lk</t>
  </si>
  <si>
    <t>BOI http://www.investsrilanka.com/news/story/4130/BOI-SIGNS-37-NEW-INVESTMENT-AGREEMENTS-DURING-APRIL-MAY-2016</t>
  </si>
  <si>
    <t>BOI projects</t>
  </si>
  <si>
    <t>Total investments - BOI approvals</t>
  </si>
  <si>
    <t xml:space="preserve">                                                                                                                                                   </t>
  </si>
  <si>
    <t>Revenue btreakdown</t>
  </si>
  <si>
    <t>Segment wise</t>
  </si>
  <si>
    <t>Geographical</t>
  </si>
  <si>
    <t>Customer wise</t>
  </si>
  <si>
    <t>CEB</t>
  </si>
  <si>
    <t>Institutional</t>
  </si>
  <si>
    <t>Retail</t>
  </si>
  <si>
    <t>2018-19E</t>
  </si>
  <si>
    <t>Tourist arrivals</t>
  </si>
  <si>
    <t>4QFY15</t>
  </si>
  <si>
    <t>3QFY15</t>
  </si>
  <si>
    <t>2QFY15</t>
  </si>
  <si>
    <t>1QFY15</t>
  </si>
  <si>
    <t>4QFY14</t>
  </si>
  <si>
    <t>3QFY14</t>
  </si>
  <si>
    <t>2QFY14</t>
  </si>
  <si>
    <t>1QFY14</t>
  </si>
  <si>
    <t>4QFY13</t>
  </si>
  <si>
    <t>3QFY13</t>
  </si>
  <si>
    <t>2QFY13</t>
  </si>
  <si>
    <t>1QFY13</t>
  </si>
  <si>
    <t>1QFY12</t>
  </si>
  <si>
    <t>2QFY12</t>
  </si>
  <si>
    <t>3QFY12</t>
  </si>
  <si>
    <t>4QFY12</t>
  </si>
  <si>
    <t>GDP and growth</t>
  </si>
  <si>
    <t>CBSL monthly bulletin</t>
  </si>
  <si>
    <t>Per capita income</t>
  </si>
  <si>
    <t>Mkt prices LKR bn</t>
  </si>
  <si>
    <t>%</t>
  </si>
  <si>
    <t>USD</t>
  </si>
  <si>
    <t>GDP (LHS)</t>
  </si>
  <si>
    <t>Real GDP growth (RHS)</t>
  </si>
  <si>
    <t>Sweden Kroner</t>
  </si>
  <si>
    <t>SEK</t>
  </si>
  <si>
    <t>Norwegian Kroner</t>
  </si>
  <si>
    <t>NOK</t>
  </si>
  <si>
    <t>New Zealand Dollar</t>
  </si>
  <si>
    <t>NZD</t>
  </si>
  <si>
    <t>Hong Kong Dollar</t>
  </si>
  <si>
    <t>HKD</t>
  </si>
  <si>
    <t>Denmark Kroner</t>
  </si>
  <si>
    <t>DKK</t>
  </si>
  <si>
    <t>Singapore Dollar</t>
  </si>
  <si>
    <t>SGD</t>
  </si>
  <si>
    <t>Canadian Dollar</t>
  </si>
  <si>
    <t>CAD</t>
  </si>
  <si>
    <t>Australian Dollar</t>
  </si>
  <si>
    <t>AUD</t>
  </si>
  <si>
    <t>Swiss Franc</t>
  </si>
  <si>
    <t>CHF</t>
  </si>
  <si>
    <t>EU Euro</t>
  </si>
  <si>
    <t>EURO</t>
  </si>
  <si>
    <t>Japan Yen</t>
  </si>
  <si>
    <t>JPY</t>
  </si>
  <si>
    <t>Indian Rupee (Official)</t>
  </si>
  <si>
    <t>INR</t>
  </si>
  <si>
    <t>Pound Sterling</t>
  </si>
  <si>
    <t>GBP</t>
  </si>
  <si>
    <t>US Dollar</t>
  </si>
  <si>
    <t>Special Drawing Rights</t>
  </si>
  <si>
    <t>SDR</t>
  </si>
  <si>
    <t xml:space="preserve">Acronyms </t>
  </si>
  <si>
    <t xml:space="preserve">     </t>
  </si>
  <si>
    <t>announcing these rates and allowed the market forces of supply and demand  to determine the market rate.</t>
  </si>
  <si>
    <t>telegraphic transfers by commercial banks were announced by the Central Bank. With effect from 23 January 2001, the Central Bank refrained from</t>
  </si>
  <si>
    <t>Form mid-night of 15 November 1977, the Sri Lanka rupee was allowed to float. However, the daily buying and selling rates of major currencies for</t>
  </si>
  <si>
    <t xml:space="preserve">Note: </t>
  </si>
  <si>
    <t xml:space="preserve">                    Central Bank of Sri Lanka</t>
  </si>
  <si>
    <t>Annual Averages</t>
  </si>
  <si>
    <t xml:space="preserve"> -</t>
  </si>
  <si>
    <t>(Sri Lanka Rupees per Unit of Foreign Currency)</t>
  </si>
  <si>
    <t>Monthly Average Exchange Rates</t>
  </si>
  <si>
    <t>Copper prices (USD)</t>
  </si>
  <si>
    <t>Aluminum prices (USD)</t>
  </si>
  <si>
    <t>Copper prices change YoY</t>
  </si>
  <si>
    <t>Gross margin (LHS)</t>
  </si>
  <si>
    <t>Copper prices (RHS)</t>
  </si>
  <si>
    <t>Aluminum prices (RHS)</t>
  </si>
  <si>
    <t>Extra finance expense</t>
  </si>
  <si>
    <t>Interest rate</t>
  </si>
  <si>
    <t>Same borrowings as of FY16</t>
  </si>
  <si>
    <t>Finance expense for same borr</t>
  </si>
  <si>
    <t>Finance expense now</t>
  </si>
  <si>
    <t>Adjusted net income</t>
  </si>
  <si>
    <t>Adjusted margin</t>
  </si>
  <si>
    <t>Net margin forecasted</t>
  </si>
  <si>
    <t>Net income forecasted</t>
  </si>
  <si>
    <t>Gross margins</t>
  </si>
  <si>
    <t>Copper prices (LHS)</t>
  </si>
  <si>
    <t>Crude oil (RHS)</t>
  </si>
  <si>
    <t>Aluminium prices (LHS)</t>
  </si>
  <si>
    <t>Note: FY17 interim dividend paid in Aug 2016</t>
  </si>
  <si>
    <t>Cash only per share</t>
  </si>
  <si>
    <t>Investments in AFS</t>
  </si>
  <si>
    <t>Net margin (equity)</t>
  </si>
  <si>
    <t>Trade receivables (LHS)</t>
  </si>
  <si>
    <t>Share price LKR (LHS)</t>
  </si>
  <si>
    <t>LKR Bn</t>
  </si>
  <si>
    <t>Receivable days (RHS)</t>
  </si>
  <si>
    <t>Borrowings (LHS)</t>
  </si>
  <si>
    <t>Finance expenses (RHS)</t>
  </si>
  <si>
    <r>
      <t>R</t>
    </r>
    <r>
      <rPr>
        <vertAlign val="subscript"/>
        <sz val="11"/>
        <color rgb="FF002060"/>
        <rFont val="Calibri"/>
        <family val="2"/>
        <scheme val="minor"/>
      </rPr>
      <t>f</t>
    </r>
  </si>
  <si>
    <r>
      <t>R</t>
    </r>
    <r>
      <rPr>
        <vertAlign val="subscript"/>
        <sz val="11"/>
        <color rgb="FF002060"/>
        <rFont val="Calibri"/>
        <family val="2"/>
        <scheme val="minor"/>
      </rPr>
      <t>m</t>
    </r>
  </si>
  <si>
    <r>
      <t>R</t>
    </r>
    <r>
      <rPr>
        <vertAlign val="subscript"/>
        <sz val="11"/>
        <color rgb="FF002060"/>
        <rFont val="Calibri"/>
        <family val="2"/>
        <scheme val="minor"/>
      </rPr>
      <t>m</t>
    </r>
    <r>
      <rPr>
        <sz val="11"/>
        <color rgb="FF002060"/>
        <rFont val="Calibri"/>
        <family val="2"/>
        <scheme val="minor"/>
      </rPr>
      <t xml:space="preserve"> - R</t>
    </r>
    <r>
      <rPr>
        <vertAlign val="subscript"/>
        <sz val="11"/>
        <color rgb="FF002060"/>
        <rFont val="Calibri"/>
        <family val="2"/>
        <scheme val="minor"/>
      </rPr>
      <t>f</t>
    </r>
  </si>
  <si>
    <r>
      <t>K</t>
    </r>
    <r>
      <rPr>
        <b/>
        <vertAlign val="subscript"/>
        <sz val="11"/>
        <color theme="0"/>
        <rFont val="Arial Narrow"/>
        <family val="2"/>
      </rPr>
      <t>e</t>
    </r>
    <r>
      <rPr>
        <b/>
        <sz val="11"/>
        <color theme="0"/>
        <rFont val="Arial Narrow"/>
        <family val="2"/>
      </rPr>
      <t>=R</t>
    </r>
    <r>
      <rPr>
        <b/>
        <vertAlign val="subscript"/>
        <sz val="11"/>
        <color theme="0"/>
        <rFont val="Arial Narrow"/>
        <family val="2"/>
      </rPr>
      <t>f</t>
    </r>
    <r>
      <rPr>
        <b/>
        <sz val="11"/>
        <color theme="0"/>
        <rFont val="Arial Narrow"/>
        <family val="2"/>
      </rPr>
      <t>+</t>
    </r>
    <r>
      <rPr>
        <b/>
        <sz val="11"/>
        <color theme="0"/>
        <rFont val="Symbol"/>
        <family val="1"/>
        <charset val="2"/>
      </rPr>
      <t></t>
    </r>
    <r>
      <rPr>
        <b/>
        <sz val="11"/>
        <color theme="0"/>
        <rFont val="Arial Narrow"/>
        <family val="2"/>
      </rPr>
      <t xml:space="preserve"> (R</t>
    </r>
    <r>
      <rPr>
        <b/>
        <vertAlign val="subscript"/>
        <sz val="11"/>
        <color theme="0"/>
        <rFont val="Arial Narrow"/>
        <family val="2"/>
      </rPr>
      <t>m</t>
    </r>
    <r>
      <rPr>
        <b/>
        <sz val="11"/>
        <color theme="0"/>
        <rFont val="Arial Narrow"/>
        <family val="2"/>
      </rPr>
      <t>-R</t>
    </r>
    <r>
      <rPr>
        <b/>
        <vertAlign val="subscript"/>
        <sz val="11"/>
        <color theme="0"/>
        <rFont val="Arial Narrow"/>
        <family val="2"/>
      </rPr>
      <t>f</t>
    </r>
    <r>
      <rPr>
        <b/>
        <sz val="11"/>
        <color theme="0"/>
        <rFont val="Arial Narrow"/>
        <family val="2"/>
      </rPr>
      <t>)</t>
    </r>
  </si>
  <si>
    <r>
      <t>K</t>
    </r>
    <r>
      <rPr>
        <vertAlign val="subscript"/>
        <sz val="11"/>
        <color rgb="FF002060"/>
        <rFont val="Calibri"/>
        <family val="2"/>
        <scheme val="minor"/>
      </rPr>
      <t>e</t>
    </r>
  </si>
  <si>
    <r>
      <t>K</t>
    </r>
    <r>
      <rPr>
        <vertAlign val="subscript"/>
        <sz val="11"/>
        <color rgb="FF002060"/>
        <rFont val="Calibri"/>
        <family val="2"/>
        <scheme val="minor"/>
      </rPr>
      <t>d</t>
    </r>
  </si>
  <si>
    <t>Cap gain</t>
  </si>
  <si>
    <t>Div yield</t>
  </si>
  <si>
    <t>Annualised total return</t>
  </si>
  <si>
    <t>S. BUY</t>
  </si>
  <si>
    <t>Add: cash and HTM</t>
  </si>
  <si>
    <t>Total return (annualised)</t>
  </si>
  <si>
    <t>Add: cash and cash equivalents</t>
  </si>
  <si>
    <t>DCF based valuation</t>
  </si>
  <si>
    <t>Terminal Growth rate</t>
  </si>
  <si>
    <t>Growth</t>
  </si>
  <si>
    <t>Net Profit</t>
  </si>
  <si>
    <t>GP Margin</t>
  </si>
  <si>
    <t>EBIT Margin</t>
  </si>
  <si>
    <t>NP Margin</t>
  </si>
  <si>
    <t>Gearing</t>
  </si>
  <si>
    <t>Debt/Equity</t>
  </si>
  <si>
    <t>Debt/Debt+Equity</t>
  </si>
  <si>
    <t>P/e 31st Mar</t>
  </si>
  <si>
    <t>Margins</t>
  </si>
  <si>
    <t>Debt/Total assets</t>
  </si>
  <si>
    <t>Selling price increase</t>
  </si>
  <si>
    <t>DCF</t>
  </si>
  <si>
    <t>Total price</t>
  </si>
  <si>
    <t>DCF Valaution</t>
  </si>
  <si>
    <t>PER valuation</t>
  </si>
  <si>
    <t>3QFY17</t>
  </si>
  <si>
    <t>2QFY17</t>
  </si>
  <si>
    <t>2016 Sep</t>
  </si>
  <si>
    <t>2016 Dec</t>
  </si>
  <si>
    <t>Copper prices USD/mt</t>
  </si>
  <si>
    <t>Inv</t>
  </si>
  <si>
    <t>Recevables</t>
  </si>
  <si>
    <t>payables</t>
  </si>
  <si>
    <t>rev</t>
  </si>
  <si>
    <t>inv days</t>
  </si>
  <si>
    <t>rec days</t>
  </si>
  <si>
    <t>pay days</t>
  </si>
  <si>
    <t>Average volume</t>
  </si>
  <si>
    <t>Average T/O</t>
  </si>
  <si>
    <t>Major Shareholders as at 31st Dec 2016</t>
  </si>
  <si>
    <t>Employees Trust Fund Board</t>
  </si>
  <si>
    <t>Dividend (FY18E)</t>
  </si>
  <si>
    <t>1. Annualised over 13 months</t>
  </si>
  <si>
    <r>
      <t>Total return (annualised)</t>
    </r>
    <r>
      <rPr>
        <b/>
        <vertAlign val="superscript"/>
        <sz val="11"/>
        <color theme="0"/>
        <rFont val="Calibri"/>
        <family val="2"/>
        <scheme val="minor"/>
      </rPr>
      <t>1</t>
    </r>
  </si>
  <si>
    <t>Rf</t>
  </si>
  <si>
    <t>FY21E</t>
  </si>
  <si>
    <t>FY22E</t>
  </si>
  <si>
    <t>FY23E</t>
  </si>
  <si>
    <t>Revenue FY17 is harcoded here. Update figures when annual report is out</t>
  </si>
  <si>
    <t>FY17</t>
  </si>
  <si>
    <t>Less: Share of Profit for NCI</t>
  </si>
  <si>
    <t>Prepaid Lease Rentals and other</t>
  </si>
  <si>
    <t>NAVPS - with NCI</t>
  </si>
  <si>
    <t>FY19E fair value</t>
  </si>
  <si>
    <t>Major Shareholders as at 30th Sep 2017</t>
  </si>
  <si>
    <t>NAVPS (adusted)</t>
  </si>
  <si>
    <t>1. Attributable to equityholders</t>
  </si>
  <si>
    <t>2QFY18</t>
  </si>
  <si>
    <t>2017 Mar</t>
  </si>
  <si>
    <t>2017 Jun</t>
  </si>
  <si>
    <t>2017 Sep</t>
  </si>
  <si>
    <t>4QFY17</t>
  </si>
  <si>
    <t>1QFY18</t>
  </si>
  <si>
    <t>Deutsche Bank -National Equity Fund</t>
  </si>
  <si>
    <t>Estimated volume growth FY19E</t>
  </si>
  <si>
    <t>Copper price FY19E USD/MT</t>
  </si>
  <si>
    <t>Goldman Sachs</t>
  </si>
  <si>
    <t>Used in FC Research forecast for ACL</t>
  </si>
  <si>
    <t xml:space="preserve">Analyst: Hansinee Beddage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</si>
</sst>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1" formatCode="_(* #,##0_);_(* \(#,##0\);_(* &quot;-&quot;_);_(@_)"/>
    <numFmt numFmtId="43" formatCode="_(* #,##0.00_);_(* \(#,##0.00\);_(* &quot;-&quot;??_);_(@_)"/>
    <numFmt numFmtId="164" formatCode="0.00_);\(0.00\)"/>
    <numFmt numFmtId="165" formatCode="0.000"/>
    <numFmt numFmtId="166" formatCode="_(* #,##0_);_(* \(#,##0\);_(* &quot;-&quot;??_);_(@_)"/>
    <numFmt numFmtId="167" formatCode="0.0%"/>
    <numFmt numFmtId="168" formatCode="* #,##0.00\ ;* \-#,##0.00\ ;* \-#\ ;@\ "/>
    <numFmt numFmtId="169" formatCode="_(* #,##0.0_);_(* \(#,##0.0\);_(* &quot;-&quot;?_);_(@_)"/>
    <numFmt numFmtId="170" formatCode="0.0"/>
    <numFmt numFmtId="171" formatCode="_(* #,##0.0_);_(* \(#,##0.0\);_(* &quot;-&quot;??_);_(@_)"/>
    <numFmt numFmtId="172" formatCode="0_);\(0\)"/>
    <numFmt numFmtId="173" formatCode="[$-409]mmm\-yy;@"/>
    <numFmt numFmtId="174" formatCode="_(* #,##0.0_);_(* \(#,##0.0\);_(* &quot;-&quot;_);_(@_)"/>
    <numFmt numFmtId="175" formatCode="0.0\x"/>
    <numFmt numFmtId="176" formatCode="_(* #,##0.00_);_(* \(#,##0.00\);_(* &quot;-&quot;_);_(@_)"/>
    <numFmt numFmtId="177" formatCode="0.000000000000000%"/>
    <numFmt numFmtId="178" formatCode="_(* #,##0.000_);_(* \(#,##0.000\);_(* &quot;-&quot;_);_(@_)"/>
    <numFmt numFmtId="179" formatCode="_(* #,##0.0000_);_(* \(#,##0.0000\);_(* &quot;-&quot;_);_(@_)"/>
    <numFmt numFmtId="180" formatCode="[$-409]d\-mmm\-yy;@"/>
    <numFmt numFmtId="181" formatCode="[$-409]d/mmm/yy;@"/>
    <numFmt numFmtId="182" formatCode="_(* #,##0.0000_);_(* \(#,##0.0000\);_(* &quot;-&quot;??_);_(@_)"/>
    <numFmt numFmtId="183" formatCode="#,##0.0"/>
    <numFmt numFmtId="184" formatCode="[$-409]dd\-mmm\-yy;@"/>
    <numFmt numFmtId="185" formatCode="0.00;[Red]0.00"/>
    <numFmt numFmtId="186" formatCode="0.0000"/>
    <numFmt numFmtId="187" formatCode="0\x"/>
    <numFmt numFmtId="188" formatCode="#,##0.000"/>
    <numFmt numFmtId="189" formatCode="0.0000%"/>
  </numFmts>
  <fonts count="93">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b/>
      <sz val="11"/>
      <color theme="1"/>
      <name val="Calibri"/>
      <family val="2"/>
      <scheme val="minor"/>
    </font>
    <font>
      <sz val="11"/>
      <color rgb="FFFF0000"/>
      <name val="Calibri"/>
      <family val="2"/>
      <scheme val="minor"/>
    </font>
    <font>
      <b/>
      <sz val="11"/>
      <color rgb="FF333333"/>
      <name val="Calibri"/>
      <family val="2"/>
      <scheme val="minor"/>
    </font>
    <font>
      <sz val="11"/>
      <color rgb="FF333333"/>
      <name val="Calibri"/>
      <family val="2"/>
      <scheme val="minor"/>
    </font>
    <font>
      <sz val="11"/>
      <color rgb="FF002060"/>
      <name val="Calibri"/>
      <family val="2"/>
      <scheme val="minor"/>
    </font>
    <font>
      <sz val="11"/>
      <color rgb="FF000000"/>
      <name val="Liberation Sans1"/>
      <family val="2"/>
      <charset val="1"/>
    </font>
    <font>
      <sz val="9"/>
      <color theme="1"/>
      <name val="Arial"/>
      <family val="2"/>
    </font>
    <font>
      <sz val="9"/>
      <color rgb="FFFF0000"/>
      <name val="Arial"/>
      <family val="2"/>
    </font>
    <font>
      <b/>
      <sz val="10"/>
      <color theme="1"/>
      <name val="Arial"/>
      <family val="2"/>
    </font>
    <font>
      <b/>
      <sz val="10"/>
      <color rgb="FFFF0000"/>
      <name val="Arial"/>
      <family val="2"/>
    </font>
    <font>
      <i/>
      <sz val="11"/>
      <name val="Calibri"/>
      <family val="2"/>
      <scheme val="minor"/>
    </font>
    <font>
      <i/>
      <sz val="11"/>
      <color theme="1"/>
      <name val="Calibri"/>
      <family val="2"/>
      <scheme val="minor"/>
    </font>
    <font>
      <sz val="9"/>
      <color indexed="81"/>
      <name val="Tahoma"/>
      <family val="2"/>
    </font>
    <font>
      <b/>
      <sz val="9"/>
      <color indexed="81"/>
      <name val="Tahoma"/>
      <family val="2"/>
    </font>
    <font>
      <sz val="10"/>
      <color theme="1"/>
      <name val="Arial Narrow"/>
      <family val="2"/>
    </font>
    <font>
      <sz val="10"/>
      <color rgb="FFFF0000"/>
      <name val="Arial Narrow"/>
      <family val="2"/>
    </font>
    <font>
      <sz val="10"/>
      <name val="Arial"/>
      <family val="2"/>
    </font>
    <font>
      <sz val="11"/>
      <color theme="0" tint="-0.14999847407452621"/>
      <name val="Calibri"/>
      <family val="2"/>
      <scheme val="minor"/>
    </font>
    <font>
      <sz val="11"/>
      <color theme="0" tint="-0.249977111117893"/>
      <name val="Calibri"/>
      <family val="2"/>
      <scheme val="minor"/>
    </font>
    <font>
      <b/>
      <sz val="20"/>
      <color theme="0"/>
      <name val="Calibri"/>
      <family val="2"/>
      <scheme val="minor"/>
    </font>
    <font>
      <b/>
      <sz val="12"/>
      <color rgb="FFFFFF00"/>
      <name val="Arial Narrow"/>
      <family val="2"/>
    </font>
    <font>
      <sz val="12"/>
      <color theme="1"/>
      <name val="Calibri"/>
      <family val="2"/>
      <scheme val="minor"/>
    </font>
    <font>
      <sz val="11"/>
      <color theme="1"/>
      <name val="Calibri"/>
      <family val="2"/>
    </font>
    <font>
      <b/>
      <sz val="13"/>
      <name val="Arial"/>
      <family val="2"/>
    </font>
    <font>
      <b/>
      <sz val="11"/>
      <name val="Calibri"/>
      <family val="2"/>
      <scheme val="minor"/>
    </font>
    <font>
      <sz val="11"/>
      <color rgb="FF000000"/>
      <name val="Calibri"/>
      <family val="2"/>
    </font>
    <font>
      <b/>
      <sz val="11"/>
      <color rgb="FF002060"/>
      <name val="Calibri"/>
      <family val="2"/>
      <scheme val="minor"/>
    </font>
    <font>
      <b/>
      <i/>
      <sz val="11"/>
      <color rgb="FFFFFFFF"/>
      <name val="Calibri"/>
      <family val="2"/>
      <scheme val="minor"/>
    </font>
    <font>
      <b/>
      <i/>
      <sz val="11"/>
      <color theme="0"/>
      <name val="Calibri"/>
      <family val="2"/>
      <scheme val="minor"/>
    </font>
    <font>
      <u/>
      <sz val="11"/>
      <color theme="10"/>
      <name val="Calibri"/>
      <family val="2"/>
      <scheme val="minor"/>
    </font>
    <font>
      <b/>
      <sz val="18"/>
      <color theme="1"/>
      <name val="Calibri"/>
      <family val="2"/>
      <scheme val="minor"/>
    </font>
    <font>
      <sz val="7.5"/>
      <color theme="1"/>
      <name val="Calibri"/>
      <family val="2"/>
      <scheme val="minor"/>
    </font>
    <font>
      <b/>
      <sz val="7.5"/>
      <color theme="1"/>
      <name val="Calibri"/>
      <family val="2"/>
      <scheme val="minor"/>
    </font>
    <font>
      <b/>
      <sz val="12"/>
      <color rgb="FFCF0000"/>
      <name val="Arial"/>
      <family val="2"/>
    </font>
    <font>
      <b/>
      <sz val="12.5"/>
      <color rgb="FFCF0000"/>
      <name val="Arial"/>
      <family val="2"/>
    </font>
    <font>
      <i/>
      <sz val="11"/>
      <color theme="4" tint="-0.249977111117893"/>
      <name val="Calibri"/>
      <family val="2"/>
      <scheme val="minor"/>
    </font>
    <font>
      <sz val="11"/>
      <color theme="4" tint="-0.249977111117893"/>
      <name val="Calibri"/>
      <family val="2"/>
      <scheme val="minor"/>
    </font>
    <font>
      <b/>
      <sz val="11"/>
      <color theme="4"/>
      <name val="Arial"/>
      <family val="2"/>
    </font>
    <font>
      <sz val="10"/>
      <color rgb="FF002060"/>
      <name val="Calibri"/>
      <family val="2"/>
      <scheme val="minor"/>
    </font>
    <font>
      <b/>
      <sz val="14"/>
      <color rgb="FF002060"/>
      <name val="Calibri"/>
      <family val="2"/>
      <scheme val="minor"/>
    </font>
    <font>
      <b/>
      <sz val="10"/>
      <color theme="0"/>
      <name val="Calibri"/>
      <family val="2"/>
      <scheme val="minor"/>
    </font>
    <font>
      <sz val="11"/>
      <color rgb="FF333333"/>
      <name val="Arial"/>
      <family val="2"/>
    </font>
    <font>
      <b/>
      <i/>
      <sz val="10.5"/>
      <color theme="0"/>
      <name val="Calibri"/>
      <family val="2"/>
      <scheme val="minor"/>
    </font>
    <font>
      <sz val="10.5"/>
      <color theme="1"/>
      <name val="Calibri"/>
      <family val="2"/>
    </font>
    <font>
      <sz val="10.5"/>
      <color rgb="FF002060"/>
      <name val="Calibri"/>
      <family val="2"/>
    </font>
    <font>
      <b/>
      <sz val="10.5"/>
      <color rgb="FFFFFFFF"/>
      <name val="Calibri"/>
      <family val="2"/>
      <scheme val="minor"/>
    </font>
    <font>
      <b/>
      <sz val="10.5"/>
      <color rgb="FF2F75B5"/>
      <name val="Calibri"/>
      <family val="2"/>
      <scheme val="minor"/>
    </font>
    <font>
      <sz val="10.5"/>
      <color theme="1"/>
      <name val="Calibri"/>
      <family val="2"/>
      <scheme val="minor"/>
    </font>
    <font>
      <b/>
      <sz val="10.5"/>
      <color rgb="FF002060"/>
      <name val="Calibri"/>
      <family val="2"/>
      <scheme val="minor"/>
    </font>
    <font>
      <b/>
      <i/>
      <sz val="10.5"/>
      <color rgb="FFFFFFFF"/>
      <name val="Calibri"/>
      <family val="2"/>
      <scheme val="minor"/>
    </font>
    <font>
      <sz val="10.5"/>
      <color rgb="FF002060"/>
      <name val="Calibri"/>
      <family val="2"/>
      <scheme val="minor"/>
    </font>
    <font>
      <i/>
      <sz val="10.5"/>
      <color rgb="FF002060"/>
      <name val="Calibri"/>
      <family val="2"/>
      <scheme val="minor"/>
    </font>
    <font>
      <b/>
      <i/>
      <u/>
      <sz val="10.5"/>
      <color rgb="FF002060"/>
      <name val="Calibri"/>
      <family val="2"/>
      <scheme val="minor"/>
    </font>
    <font>
      <b/>
      <sz val="10.5"/>
      <color theme="0"/>
      <name val="Calibri"/>
      <family val="2"/>
      <scheme val="minor"/>
    </font>
    <font>
      <vertAlign val="subscript"/>
      <sz val="10.5"/>
      <color rgb="FF002060"/>
      <name val="Calibri"/>
      <family val="2"/>
      <scheme val="minor"/>
    </font>
    <font>
      <sz val="10.5"/>
      <color rgb="FF002060"/>
      <name val="Symbol"/>
      <family val="1"/>
      <charset val="2"/>
    </font>
    <font>
      <b/>
      <sz val="10.5"/>
      <color theme="0"/>
      <name val="Arial Narrow"/>
      <family val="2"/>
    </font>
    <font>
      <b/>
      <vertAlign val="subscript"/>
      <sz val="10.5"/>
      <color theme="0"/>
      <name val="Arial Narrow"/>
      <family val="2"/>
    </font>
    <font>
      <b/>
      <sz val="10.5"/>
      <color theme="0"/>
      <name val="Symbol"/>
      <family val="1"/>
      <charset val="2"/>
    </font>
    <font>
      <i/>
      <sz val="10.5"/>
      <color theme="1"/>
      <name val="Calibri"/>
      <family val="2"/>
      <scheme val="minor"/>
    </font>
    <font>
      <sz val="10.5"/>
      <color rgb="FFFFC000"/>
      <name val="Calibri"/>
      <family val="2"/>
      <scheme val="minor"/>
    </font>
    <font>
      <sz val="8.5"/>
      <color rgb="FF002060"/>
      <name val="Calibri"/>
      <family val="2"/>
    </font>
    <font>
      <vertAlign val="superscript"/>
      <sz val="8.5"/>
      <color rgb="FF002060"/>
      <name val="Calibri"/>
      <family val="2"/>
    </font>
    <font>
      <b/>
      <vertAlign val="superscript"/>
      <sz val="9"/>
      <color rgb="FF002060"/>
      <name val="Calibri"/>
      <family val="2"/>
      <scheme val="minor"/>
    </font>
    <font>
      <vertAlign val="superscript"/>
      <sz val="9"/>
      <color rgb="FF002060"/>
      <name val="Calibri"/>
      <family val="2"/>
      <scheme val="minor"/>
    </font>
    <font>
      <b/>
      <sz val="12"/>
      <color rgb="FF000000"/>
      <name val="Arial"/>
      <family val="2"/>
    </font>
    <font>
      <sz val="9"/>
      <name val="Arial"/>
      <family val="2"/>
    </font>
    <font>
      <b/>
      <sz val="9"/>
      <name val="Arial"/>
      <family val="2"/>
    </font>
    <font>
      <sz val="10"/>
      <name val="Times New Roman"/>
      <family val="1"/>
    </font>
    <font>
      <b/>
      <sz val="11"/>
      <name val="Arial"/>
      <family val="2"/>
    </font>
    <font>
      <b/>
      <sz val="12"/>
      <name val="Arial"/>
      <family val="2"/>
    </font>
    <font>
      <b/>
      <sz val="10"/>
      <name val="Times New Roman"/>
      <family val="1"/>
    </font>
    <font>
      <b/>
      <sz val="18"/>
      <name val="Times New Roman"/>
      <family val="1"/>
    </font>
    <font>
      <sz val="12"/>
      <color theme="1"/>
      <name val="Calibri"/>
      <family val="2"/>
    </font>
    <font>
      <i/>
      <sz val="11"/>
      <color rgb="FF002060"/>
      <name val="Calibri"/>
      <family val="2"/>
      <scheme val="minor"/>
    </font>
    <font>
      <vertAlign val="subscript"/>
      <sz val="11"/>
      <color rgb="FF002060"/>
      <name val="Calibri"/>
      <family val="2"/>
      <scheme val="minor"/>
    </font>
    <font>
      <sz val="11"/>
      <color rgb="FF002060"/>
      <name val="Symbol"/>
      <family val="1"/>
      <charset val="2"/>
    </font>
    <font>
      <b/>
      <sz val="11"/>
      <color theme="0"/>
      <name val="Arial Narrow"/>
      <family val="2"/>
    </font>
    <font>
      <b/>
      <vertAlign val="subscript"/>
      <sz val="11"/>
      <color theme="0"/>
      <name val="Arial Narrow"/>
      <family val="2"/>
    </font>
    <font>
      <b/>
      <sz val="11"/>
      <color theme="0"/>
      <name val="Symbol"/>
      <family val="1"/>
      <charset val="2"/>
    </font>
    <font>
      <sz val="11"/>
      <color rgb="FFFFC000"/>
      <name val="Calibri"/>
      <family val="2"/>
      <scheme val="minor"/>
    </font>
    <font>
      <b/>
      <i/>
      <sz val="11"/>
      <color rgb="FF002060"/>
      <name val="Calibri"/>
      <family val="2"/>
      <scheme val="minor"/>
    </font>
    <font>
      <b/>
      <vertAlign val="superscript"/>
      <sz val="11"/>
      <color theme="0"/>
      <name val="Calibri"/>
      <family val="2"/>
      <scheme val="minor"/>
    </font>
    <font>
      <i/>
      <sz val="9"/>
      <color rgb="FF002060"/>
      <name val="Calibri"/>
      <family val="2"/>
      <scheme val="minor"/>
    </font>
    <font>
      <b/>
      <sz val="10"/>
      <color rgb="FFFFFFFF"/>
      <name val="Calibri"/>
      <family val="2"/>
      <scheme val="minor"/>
    </font>
    <font>
      <b/>
      <i/>
      <sz val="8"/>
      <color theme="0"/>
      <name val="Calibri"/>
      <family val="2"/>
      <scheme val="minor"/>
    </font>
    <font>
      <sz val="9"/>
      <color theme="1"/>
      <name val="Calibri"/>
      <family val="2"/>
    </font>
    <font>
      <b/>
      <i/>
      <sz val="9"/>
      <color theme="0"/>
      <name val="Calibri"/>
      <family val="2"/>
      <scheme val="minor"/>
    </font>
  </fonts>
  <fills count="35">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rgb="FFFFFFFF"/>
        <bgColor indexed="64"/>
      </patternFill>
    </fill>
    <fill>
      <patternFill patternType="solid">
        <fgColor rgb="FFE5ECF9"/>
        <bgColor indexed="64"/>
      </patternFill>
    </fill>
    <fill>
      <patternFill patternType="solid">
        <fgColor rgb="FFEFEFEF"/>
        <bgColor indexed="64"/>
      </patternFill>
    </fill>
    <fill>
      <patternFill patternType="solid">
        <fgColor rgb="FFFFC000"/>
        <bgColor indexed="64"/>
      </patternFill>
    </fill>
    <fill>
      <patternFill patternType="solid">
        <fgColor theme="0" tint="-0.14999847407452621"/>
        <bgColor indexed="64"/>
      </patternFill>
    </fill>
    <fill>
      <patternFill patternType="solid">
        <fgColor theme="7"/>
        <bgColor indexed="64"/>
      </patternFill>
    </fill>
    <fill>
      <patternFill patternType="solid">
        <fgColor theme="4"/>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rgb="FF002060"/>
        <bgColor rgb="FF000000"/>
      </patternFill>
    </fill>
    <fill>
      <patternFill patternType="solid">
        <fgColor rgb="FFFFFFFF"/>
        <bgColor rgb="FF000000"/>
      </patternFill>
    </fill>
    <fill>
      <patternFill patternType="solid">
        <fgColor rgb="FFFFE699"/>
        <bgColor rgb="FFDCE6F1"/>
      </patternFill>
    </fill>
    <fill>
      <patternFill patternType="solid">
        <fgColor rgb="FFFFE699"/>
        <bgColor rgb="FF000000"/>
      </patternFill>
    </fill>
    <fill>
      <patternFill patternType="solid">
        <fgColor rgb="FFFFC000"/>
        <bgColor rgb="FF000000"/>
      </patternFill>
    </fill>
    <fill>
      <patternFill patternType="solid">
        <fgColor rgb="FFFFC000"/>
        <bgColor rgb="FFDCE6F1"/>
      </patternFill>
    </fill>
    <fill>
      <patternFill patternType="solid">
        <fgColor rgb="FFFFFFFF"/>
        <bgColor rgb="FFDCE6F1"/>
      </patternFill>
    </fill>
    <fill>
      <patternFill patternType="solid">
        <fgColor theme="9" tint="0.39997558519241921"/>
        <bgColor indexed="64"/>
      </patternFill>
    </fill>
    <fill>
      <patternFill patternType="solid">
        <fgColor rgb="FFFFD966"/>
        <bgColor indexed="64"/>
      </patternFill>
    </fill>
    <fill>
      <patternFill patternType="solid">
        <fgColor theme="0" tint="-0.34998626667073579"/>
        <bgColor indexed="64"/>
      </patternFill>
    </fill>
    <fill>
      <patternFill patternType="solid">
        <fgColor rgb="FFFF000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2"/>
        <bgColor indexed="64"/>
      </patternFill>
    </fill>
    <fill>
      <patternFill patternType="solid">
        <fgColor theme="0"/>
        <bgColor rgb="FFDCE6F1"/>
      </patternFill>
    </fill>
    <fill>
      <patternFill patternType="solid">
        <fgColor theme="0"/>
        <bgColor rgb="FF000000"/>
      </patternFill>
    </fill>
    <fill>
      <patternFill patternType="solid">
        <fgColor rgb="FFFFE699"/>
        <bgColor indexed="64"/>
      </patternFill>
    </fill>
    <fill>
      <patternFill patternType="solid">
        <fgColor rgb="FFFFD966"/>
        <bgColor rgb="FF000000"/>
      </patternFill>
    </fill>
    <fill>
      <patternFill patternType="solid">
        <fgColor theme="4" tint="0.79998168889431442"/>
        <bgColor indexed="64"/>
      </patternFill>
    </fill>
    <fill>
      <patternFill patternType="solid">
        <fgColor indexed="9"/>
        <bgColor indexed="64"/>
      </patternFill>
    </fill>
    <fill>
      <patternFill patternType="solid">
        <fgColor rgb="FFFFE285"/>
        <bgColor rgb="FFDCE6F1"/>
      </patternFill>
    </fill>
  </fills>
  <borders count="88">
    <border>
      <left/>
      <right/>
      <top/>
      <bottom/>
      <diagonal/>
    </border>
    <border>
      <left/>
      <right/>
      <top/>
      <bottom style="thin">
        <color indexed="64"/>
      </bottom>
      <diagonal/>
    </border>
    <border>
      <left/>
      <right/>
      <top style="thin">
        <color indexed="64"/>
      </top>
      <bottom/>
      <diagonal/>
    </border>
    <border>
      <left/>
      <right/>
      <top style="thin">
        <color indexed="64"/>
      </top>
      <bottom style="double">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rgb="FFFFC000"/>
      </right>
      <top/>
      <bottom style="thin">
        <color theme="7"/>
      </bottom>
      <diagonal/>
    </border>
    <border>
      <left style="thin">
        <color rgb="FFFFC000"/>
      </left>
      <right style="thin">
        <color rgb="FFFFC000"/>
      </right>
      <top/>
      <bottom style="thin">
        <color theme="7"/>
      </bottom>
      <diagonal/>
    </border>
    <border>
      <left style="thin">
        <color rgb="FFFFC000"/>
      </left>
      <right style="medium">
        <color indexed="64"/>
      </right>
      <top/>
      <bottom style="thin">
        <color theme="7"/>
      </bottom>
      <diagonal/>
    </border>
    <border>
      <left/>
      <right style="thin">
        <color rgb="FFFFC000"/>
      </right>
      <top style="thin">
        <color theme="7"/>
      </top>
      <bottom style="thin">
        <color theme="7"/>
      </bottom>
      <diagonal/>
    </border>
    <border>
      <left style="thin">
        <color rgb="FFFFC000"/>
      </left>
      <right style="thin">
        <color rgb="FFFFC000"/>
      </right>
      <top style="thin">
        <color theme="7"/>
      </top>
      <bottom style="thin">
        <color theme="7"/>
      </bottom>
      <diagonal/>
    </border>
    <border>
      <left style="thin">
        <color rgb="FFFFC000"/>
      </left>
      <right style="medium">
        <color indexed="64"/>
      </right>
      <top style="thin">
        <color theme="7"/>
      </top>
      <bottom style="thin">
        <color theme="7"/>
      </bottom>
      <diagonal/>
    </border>
    <border>
      <left style="medium">
        <color indexed="64"/>
      </left>
      <right style="thin">
        <color theme="0"/>
      </right>
      <top style="thin">
        <color theme="0"/>
      </top>
      <bottom style="medium">
        <color indexed="64"/>
      </bottom>
      <diagonal/>
    </border>
    <border>
      <left style="thin">
        <color theme="0"/>
      </left>
      <right style="thin">
        <color theme="0"/>
      </right>
      <top style="thin">
        <color theme="0"/>
      </top>
      <bottom style="medium">
        <color indexed="64"/>
      </bottom>
      <diagonal/>
    </border>
    <border>
      <left/>
      <right style="thin">
        <color rgb="FFFFC000"/>
      </right>
      <top style="thin">
        <color theme="7"/>
      </top>
      <bottom style="medium">
        <color indexed="64"/>
      </bottom>
      <diagonal/>
    </border>
    <border>
      <left style="thin">
        <color rgb="FFFFC000"/>
      </left>
      <right style="thin">
        <color rgb="FFFFC000"/>
      </right>
      <top style="thin">
        <color theme="7"/>
      </top>
      <bottom style="medium">
        <color indexed="64"/>
      </bottom>
      <diagonal/>
    </border>
    <border>
      <left style="thin">
        <color rgb="FFFFC000"/>
      </left>
      <right style="medium">
        <color indexed="64"/>
      </right>
      <top style="thin">
        <color theme="7"/>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right>
      <top style="thin">
        <color theme="0"/>
      </top>
      <bottom style="thin">
        <color theme="0"/>
      </bottom>
      <diagonal/>
    </border>
    <border>
      <left style="thin">
        <color rgb="FFFFC000"/>
      </left>
      <right style="thin">
        <color indexed="64"/>
      </right>
      <top/>
      <bottom style="thin">
        <color theme="7"/>
      </bottom>
      <diagonal/>
    </border>
    <border>
      <left style="thin">
        <color rgb="FFFFC000"/>
      </left>
      <right style="thin">
        <color indexed="64"/>
      </right>
      <top style="thin">
        <color theme="7"/>
      </top>
      <bottom style="thin">
        <color theme="7"/>
      </bottom>
      <diagonal/>
    </border>
    <border>
      <left style="thin">
        <color indexed="64"/>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right style="thin">
        <color rgb="FFFFC000"/>
      </right>
      <top style="thin">
        <color theme="7"/>
      </top>
      <bottom style="thin">
        <color indexed="64"/>
      </bottom>
      <diagonal/>
    </border>
    <border>
      <left style="thin">
        <color rgb="FFFFC000"/>
      </left>
      <right style="thin">
        <color rgb="FFFFC000"/>
      </right>
      <top style="thin">
        <color theme="7"/>
      </top>
      <bottom style="thin">
        <color indexed="64"/>
      </bottom>
      <diagonal/>
    </border>
    <border>
      <left style="thin">
        <color rgb="FFFFC000"/>
      </left>
      <right style="thin">
        <color indexed="64"/>
      </right>
      <top style="thin">
        <color theme="7"/>
      </top>
      <bottom style="thin">
        <color indexed="64"/>
      </bottom>
      <diagonal/>
    </border>
    <border>
      <left/>
      <right/>
      <top/>
      <bottom style="thin">
        <color rgb="FF002060"/>
      </bottom>
      <diagonal/>
    </border>
    <border>
      <left/>
      <right/>
      <top style="thin">
        <color rgb="FFFFC000"/>
      </top>
      <bottom/>
      <diagonal/>
    </border>
    <border>
      <left style="thin">
        <color theme="4" tint="0.39997558519241921"/>
      </left>
      <right/>
      <top/>
      <bottom/>
      <diagonal/>
    </border>
    <border>
      <left/>
      <right style="thin">
        <color theme="4" tint="0.39997558519241921"/>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top/>
      <bottom style="thin">
        <color rgb="FFFFC000"/>
      </bottom>
      <diagonal/>
    </border>
    <border>
      <left style="thin">
        <color rgb="FFFFC000"/>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8"/>
      </left>
      <right style="thin">
        <color indexed="64"/>
      </right>
      <top style="thin">
        <color indexed="8"/>
      </top>
      <bottom/>
      <diagonal/>
    </border>
    <border>
      <left style="thin">
        <color indexed="8"/>
      </left>
      <right style="thin">
        <color indexed="8"/>
      </right>
      <top style="thin">
        <color indexed="8"/>
      </top>
      <bottom/>
      <diagonal/>
    </border>
    <border>
      <left/>
      <right style="thin">
        <color indexed="8"/>
      </right>
      <top/>
      <bottom style="thin">
        <color indexed="64"/>
      </bottom>
      <diagonal/>
    </border>
    <border>
      <left style="thin">
        <color indexed="8"/>
      </left>
      <right style="thin">
        <color indexed="64"/>
      </right>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bottom/>
      <diagonal/>
    </border>
    <border>
      <left style="thin">
        <color indexed="8"/>
      </left>
      <right style="thin">
        <color indexed="64"/>
      </right>
      <top/>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8"/>
      </left>
      <right style="thin">
        <color indexed="8"/>
      </right>
      <top/>
      <bottom/>
      <diagonal/>
    </border>
    <border>
      <left/>
      <right style="thin">
        <color indexed="8"/>
      </right>
      <top/>
      <bottom style="thin">
        <color indexed="8"/>
      </bottom>
      <diagonal/>
    </border>
    <border>
      <left style="thin">
        <color indexed="8"/>
      </left>
      <right/>
      <top/>
      <bottom style="thin">
        <color indexed="8"/>
      </bottom>
      <diagonal/>
    </border>
    <border>
      <left/>
      <right/>
      <top style="thin">
        <color indexed="8"/>
      </top>
      <bottom style="thin">
        <color indexed="8"/>
      </bottom>
      <diagonal/>
    </border>
    <border>
      <left/>
      <right style="thin">
        <color indexed="8"/>
      </right>
      <top style="thin">
        <color indexed="8"/>
      </top>
      <bottom/>
      <diagonal/>
    </border>
    <border>
      <left style="thin">
        <color indexed="8"/>
      </left>
      <right/>
      <top style="thin">
        <color indexed="8"/>
      </top>
      <bottom/>
      <diagonal/>
    </border>
    <border>
      <left style="thin">
        <color indexed="64"/>
      </left>
      <right/>
      <top style="thin">
        <color indexed="8"/>
      </top>
      <bottom/>
      <diagonal/>
    </border>
    <border>
      <left/>
      <right style="thin">
        <color indexed="64"/>
      </right>
      <top style="thin">
        <color indexed="64"/>
      </top>
      <bottom style="thin">
        <color indexed="8"/>
      </bottom>
      <diagonal/>
    </border>
    <border>
      <left/>
      <right/>
      <top style="thin">
        <color indexed="64"/>
      </top>
      <bottom style="thin">
        <color indexed="8"/>
      </bottom>
      <diagonal/>
    </border>
    <border>
      <left style="thin">
        <color indexed="64"/>
      </left>
      <right/>
      <top style="thin">
        <color indexed="64"/>
      </top>
      <bottom style="thin">
        <color indexed="8"/>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s>
  <cellStyleXfs count="13">
    <xf numFmtId="0" fontId="0" fillId="0" borderId="0"/>
    <xf numFmtId="43" fontId="1" fillId="0" borderId="0" applyFont="0" applyFill="0" applyBorder="0" applyAlignment="0" applyProtection="0"/>
    <xf numFmtId="9" fontId="1" fillId="0" borderId="0" applyFont="0" applyFill="0" applyBorder="0" applyAlignment="0" applyProtection="0"/>
    <xf numFmtId="0" fontId="10" fillId="0" borderId="0">
      <alignment vertical="center"/>
    </xf>
    <xf numFmtId="9" fontId="10" fillId="0" borderId="0" applyBorder="0" applyProtection="0">
      <alignment vertical="center"/>
    </xf>
    <xf numFmtId="168" fontId="10" fillId="0" borderId="0" applyBorder="0" applyProtection="0">
      <alignment vertical="center"/>
    </xf>
    <xf numFmtId="43"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34" fillId="0" borderId="0" applyNumberFormat="0" applyFill="0" applyBorder="0" applyAlignment="0" applyProtection="0"/>
    <xf numFmtId="0" fontId="21" fillId="0" borderId="0"/>
    <xf numFmtId="43" fontId="1" fillId="0" borderId="0" applyFont="0" applyFill="0" applyBorder="0" applyAlignment="0" applyProtection="0"/>
  </cellStyleXfs>
  <cellXfs count="740">
    <xf numFmtId="0" fontId="0" fillId="0" borderId="0" xfId="0"/>
    <xf numFmtId="0" fontId="4" fillId="0" borderId="0" xfId="0" applyFont="1"/>
    <xf numFmtId="0" fontId="3" fillId="2" borderId="0" xfId="0" applyFont="1" applyFill="1"/>
    <xf numFmtId="0" fontId="2" fillId="2" borderId="0" xfId="0" applyFont="1" applyFill="1"/>
    <xf numFmtId="0" fontId="5" fillId="0" borderId="0" xfId="0" applyFont="1"/>
    <xf numFmtId="165" fontId="0" fillId="0" borderId="0" xfId="0" applyNumberFormat="1"/>
    <xf numFmtId="0" fontId="2" fillId="2" borderId="0" xfId="0" applyFont="1" applyFill="1" applyAlignment="1">
      <alignment horizontal="center"/>
    </xf>
    <xf numFmtId="43" fontId="0" fillId="0" borderId="0" xfId="0" applyNumberFormat="1"/>
    <xf numFmtId="164" fontId="0" fillId="0" borderId="0" xfId="0" applyNumberFormat="1"/>
    <xf numFmtId="0" fontId="0" fillId="2" borderId="0" xfId="0" applyFill="1" applyAlignment="1">
      <alignment horizontal="center"/>
    </xf>
    <xf numFmtId="2" fontId="0" fillId="0" borderId="0" xfId="0" applyNumberFormat="1"/>
    <xf numFmtId="2" fontId="0" fillId="0" borderId="3" xfId="0" applyNumberFormat="1" applyBorder="1"/>
    <xf numFmtId="0" fontId="6" fillId="0" borderId="0" xfId="0" applyFont="1"/>
    <xf numFmtId="0" fontId="0" fillId="0" borderId="3" xfId="0" applyBorder="1"/>
    <xf numFmtId="0" fontId="4" fillId="0" borderId="0" xfId="0" applyFont="1" applyAlignment="1">
      <alignment horizontal="left" vertical="center" wrapText="1"/>
    </xf>
    <xf numFmtId="3" fontId="0" fillId="0" borderId="0" xfId="0" applyNumberFormat="1"/>
    <xf numFmtId="166" fontId="0" fillId="0" borderId="0" xfId="1" applyNumberFormat="1" applyFont="1"/>
    <xf numFmtId="9" fontId="0" fillId="0" borderId="0" xfId="2" applyFont="1"/>
    <xf numFmtId="17" fontId="8" fillId="6" borderId="6" xfId="0" applyNumberFormat="1" applyFont="1" applyFill="1" applyBorder="1" applyAlignment="1">
      <alignment horizontal="right" vertical="center" wrapText="1"/>
    </xf>
    <xf numFmtId="17" fontId="8" fillId="4" borderId="6" xfId="0" applyNumberFormat="1" applyFont="1" applyFill="1" applyBorder="1" applyAlignment="1">
      <alignment horizontal="right" vertical="center" wrapText="1"/>
    </xf>
    <xf numFmtId="0" fontId="7" fillId="5" borderId="6" xfId="0" applyFont="1" applyFill="1" applyBorder="1" applyAlignment="1">
      <alignment horizontal="center" vertical="center" wrapText="1"/>
    </xf>
    <xf numFmtId="3" fontId="8" fillId="6" borderId="6" xfId="0" applyNumberFormat="1" applyFont="1" applyFill="1" applyBorder="1" applyAlignment="1">
      <alignment horizontal="right" vertical="center" wrapText="1"/>
    </xf>
    <xf numFmtId="3" fontId="8" fillId="4" borderId="6" xfId="0" applyNumberFormat="1" applyFont="1" applyFill="1" applyBorder="1" applyAlignment="1">
      <alignment horizontal="right" vertical="center" wrapText="1"/>
    </xf>
    <xf numFmtId="14" fontId="0" fillId="0" borderId="0" xfId="0" applyNumberFormat="1"/>
    <xf numFmtId="0" fontId="9" fillId="0" borderId="0" xfId="0" applyFont="1"/>
    <xf numFmtId="166" fontId="9" fillId="0" borderId="0" xfId="1" applyNumberFormat="1" applyFont="1"/>
    <xf numFmtId="9" fontId="4" fillId="0" borderId="0" xfId="2" applyFont="1" applyFill="1"/>
    <xf numFmtId="43" fontId="0" fillId="0" borderId="0" xfId="1" applyFont="1"/>
    <xf numFmtId="166" fontId="0" fillId="0" borderId="0" xfId="0" applyNumberFormat="1"/>
    <xf numFmtId="0" fontId="11" fillId="0" borderId="0" xfId="0" applyFont="1"/>
    <xf numFmtId="15" fontId="11" fillId="0" borderId="0" xfId="0" applyNumberFormat="1" applyFont="1"/>
    <xf numFmtId="168" fontId="12" fillId="0" borderId="0" xfId="5" applyFont="1">
      <alignment vertical="center"/>
    </xf>
    <xf numFmtId="14" fontId="11" fillId="0" borderId="0" xfId="0" applyNumberFormat="1" applyFont="1"/>
    <xf numFmtId="43" fontId="12" fillId="0" borderId="0" xfId="1" applyFont="1"/>
    <xf numFmtId="166" fontId="11" fillId="0" borderId="0" xfId="1" applyNumberFormat="1" applyFont="1"/>
    <xf numFmtId="43" fontId="11" fillId="0" borderId="0" xfId="1" applyFont="1"/>
    <xf numFmtId="0" fontId="13" fillId="0" borderId="0" xfId="0" applyFont="1"/>
    <xf numFmtId="43" fontId="14" fillId="0" borderId="0" xfId="1" applyFont="1" applyAlignment="1"/>
    <xf numFmtId="43" fontId="13" fillId="0" borderId="0" xfId="1" applyFont="1" applyAlignment="1"/>
    <xf numFmtId="166" fontId="13" fillId="0" borderId="0" xfId="1" applyNumberFormat="1" applyFont="1" applyAlignment="1"/>
    <xf numFmtId="168" fontId="14" fillId="0" borderId="0" xfId="5" applyFont="1">
      <alignment vertical="center"/>
    </xf>
    <xf numFmtId="43" fontId="11" fillId="0" borderId="0" xfId="1" applyFont="1" applyAlignment="1"/>
    <xf numFmtId="9" fontId="11" fillId="0" borderId="0" xfId="2" applyFont="1"/>
    <xf numFmtId="169" fontId="0" fillId="0" borderId="0" xfId="0" applyNumberFormat="1"/>
    <xf numFmtId="0" fontId="0" fillId="0" borderId="0" xfId="0" applyAlignment="1">
      <alignment horizontal="right"/>
    </xf>
    <xf numFmtId="0" fontId="0" fillId="0" borderId="0" xfId="0" applyAlignment="1">
      <alignment horizontal="left"/>
    </xf>
    <xf numFmtId="0" fontId="5" fillId="0" borderId="0" xfId="0" applyFont="1" applyAlignment="1">
      <alignment horizontal="left"/>
    </xf>
    <xf numFmtId="0" fontId="15" fillId="0" borderId="0" xfId="0" applyFont="1" applyAlignment="1">
      <alignment horizontal="left" indent="1"/>
    </xf>
    <xf numFmtId="0" fontId="16" fillId="0" borderId="0" xfId="0" applyFont="1"/>
    <xf numFmtId="0" fontId="16" fillId="0" borderId="0" xfId="0" applyFont="1" applyAlignment="1">
      <alignment horizontal="left" indent="1"/>
    </xf>
    <xf numFmtId="1" fontId="0" fillId="0" borderId="0" xfId="0" applyNumberFormat="1"/>
    <xf numFmtId="1" fontId="16" fillId="0" borderId="0" xfId="0" applyNumberFormat="1" applyFont="1"/>
    <xf numFmtId="9" fontId="16" fillId="0" borderId="0" xfId="2" applyFont="1"/>
    <xf numFmtId="3" fontId="16" fillId="0" borderId="0" xfId="0" applyNumberFormat="1" applyFont="1"/>
    <xf numFmtId="2" fontId="16" fillId="0" borderId="0" xfId="0" applyNumberFormat="1" applyFont="1"/>
    <xf numFmtId="170" fontId="0" fillId="0" borderId="0" xfId="0" applyNumberFormat="1"/>
    <xf numFmtId="170" fontId="16" fillId="0" borderId="0" xfId="0" applyNumberFormat="1" applyFont="1"/>
    <xf numFmtId="0" fontId="0" fillId="8" borderId="0" xfId="0" applyFill="1"/>
    <xf numFmtId="0" fontId="16" fillId="8" borderId="0" xfId="0" applyFont="1" applyFill="1"/>
    <xf numFmtId="3" fontId="0" fillId="8" borderId="0" xfId="0" applyNumberFormat="1" applyFill="1"/>
    <xf numFmtId="9" fontId="16" fillId="8" borderId="0" xfId="2" applyFont="1" applyFill="1"/>
    <xf numFmtId="2" fontId="16" fillId="8" borderId="0" xfId="0" applyNumberFormat="1" applyFont="1" applyFill="1"/>
    <xf numFmtId="170" fontId="16" fillId="8" borderId="0" xfId="0" applyNumberFormat="1" applyFont="1" applyFill="1"/>
    <xf numFmtId="1" fontId="0" fillId="8" borderId="0" xfId="0" applyNumberFormat="1" applyFill="1"/>
    <xf numFmtId="37" fontId="16" fillId="8" borderId="0" xfId="0" applyNumberFormat="1" applyFont="1" applyFill="1"/>
    <xf numFmtId="3" fontId="16" fillId="8" borderId="0" xfId="0" applyNumberFormat="1" applyFont="1" applyFill="1"/>
    <xf numFmtId="171" fontId="0" fillId="0" borderId="0" xfId="1" applyNumberFormat="1" applyFont="1"/>
    <xf numFmtId="43" fontId="4" fillId="0" borderId="0" xfId="1" applyFont="1" applyFill="1"/>
    <xf numFmtId="166" fontId="3" fillId="2" borderId="0" xfId="1" applyNumberFormat="1" applyFont="1" applyFill="1"/>
    <xf numFmtId="166" fontId="2" fillId="2" borderId="0" xfId="1" applyNumberFormat="1" applyFont="1" applyFill="1" applyAlignment="1">
      <alignment horizontal="center"/>
    </xf>
    <xf numFmtId="166" fontId="0" fillId="0" borderId="3" xfId="1" applyNumberFormat="1" applyFont="1" applyBorder="1"/>
    <xf numFmtId="172" fontId="0" fillId="0" borderId="0" xfId="0" applyNumberFormat="1"/>
    <xf numFmtId="166" fontId="6" fillId="0" borderId="0" xfId="1" applyNumberFormat="1" applyFont="1"/>
    <xf numFmtId="166" fontId="16" fillId="0" borderId="0" xfId="1" applyNumberFormat="1" applyFont="1"/>
    <xf numFmtId="171" fontId="16" fillId="0" borderId="0" xfId="1" applyNumberFormat="1" applyFont="1"/>
    <xf numFmtId="0" fontId="19" fillId="0" borderId="0" xfId="0" applyFont="1"/>
    <xf numFmtId="17" fontId="19" fillId="0" borderId="0" xfId="0" applyNumberFormat="1" applyFont="1"/>
    <xf numFmtId="4" fontId="19" fillId="0" borderId="0" xfId="0" applyNumberFormat="1" applyFont="1"/>
    <xf numFmtId="43" fontId="20" fillId="0" borderId="0" xfId="0" applyNumberFormat="1" applyFont="1"/>
    <xf numFmtId="43" fontId="19" fillId="0" borderId="0" xfId="0" applyNumberFormat="1" applyFont="1"/>
    <xf numFmtId="173" fontId="0" fillId="0" borderId="0" xfId="0" applyNumberFormat="1"/>
    <xf numFmtId="2" fontId="19" fillId="9" borderId="0" xfId="0" applyNumberFormat="1" applyFont="1" applyFill="1"/>
    <xf numFmtId="9" fontId="19" fillId="0" borderId="0" xfId="2" applyFont="1"/>
    <xf numFmtId="0" fontId="19" fillId="0" borderId="0" xfId="0" applyFont="1" applyAlignment="1">
      <alignment horizontal="right"/>
    </xf>
    <xf numFmtId="43" fontId="19" fillId="0" borderId="0" xfId="6" applyFont="1"/>
    <xf numFmtId="4" fontId="19" fillId="0" borderId="0" xfId="6" applyNumberFormat="1" applyFont="1"/>
    <xf numFmtId="2" fontId="19" fillId="10" borderId="0" xfId="0" applyNumberFormat="1" applyFont="1" applyFill="1"/>
    <xf numFmtId="0" fontId="19" fillId="0" borderId="0" xfId="2" applyNumberFormat="1" applyFont="1"/>
    <xf numFmtId="2" fontId="19" fillId="0" borderId="0" xfId="0" applyNumberFormat="1" applyFont="1"/>
    <xf numFmtId="2" fontId="20" fillId="0" borderId="0" xfId="0" applyNumberFormat="1" applyFont="1"/>
    <xf numFmtId="4" fontId="20" fillId="0" borderId="0" xfId="0" applyNumberFormat="1" applyFont="1"/>
    <xf numFmtId="0" fontId="3" fillId="3" borderId="0" xfId="0" applyFont="1" applyFill="1"/>
    <xf numFmtId="0" fontId="2" fillId="2" borderId="0" xfId="0" applyFont="1" applyFill="1" applyAlignment="1">
      <alignment horizontal="right"/>
    </xf>
    <xf numFmtId="43" fontId="0" fillId="8" borderId="0" xfId="0" applyNumberFormat="1" applyFill="1"/>
    <xf numFmtId="166" fontId="0" fillId="8" borderId="0" xfId="1" applyNumberFormat="1" applyFont="1" applyFill="1"/>
    <xf numFmtId="166" fontId="0" fillId="8" borderId="1" xfId="1" applyNumberFormat="1" applyFont="1" applyFill="1" applyBorder="1"/>
    <xf numFmtId="166" fontId="0" fillId="8" borderId="5" xfId="1" applyNumberFormat="1" applyFont="1" applyFill="1" applyBorder="1"/>
    <xf numFmtId="166" fontId="0" fillId="8" borderId="4" xfId="1" applyNumberFormat="1" applyFont="1" applyFill="1" applyBorder="1"/>
    <xf numFmtId="166" fontId="5" fillId="8" borderId="0" xfId="1" applyNumberFormat="1" applyFont="1" applyFill="1"/>
    <xf numFmtId="41" fontId="0" fillId="0" borderId="0" xfId="0" applyNumberFormat="1"/>
    <xf numFmtId="41" fontId="5" fillId="0" borderId="2" xfId="0" applyNumberFormat="1" applyFont="1" applyBorder="1"/>
    <xf numFmtId="41" fontId="0" fillId="0" borderId="5" xfId="0" applyNumberFormat="1" applyBorder="1"/>
    <xf numFmtId="41" fontId="0" fillId="0" borderId="4" xfId="0" applyNumberFormat="1" applyBorder="1"/>
    <xf numFmtId="41" fontId="0" fillId="0" borderId="2" xfId="0" applyNumberFormat="1" applyBorder="1"/>
    <xf numFmtId="41" fontId="5" fillId="0" borderId="0" xfId="0" applyNumberFormat="1" applyFont="1"/>
    <xf numFmtId="41" fontId="4" fillId="0" borderId="0" xfId="1" applyNumberFormat="1" applyFont="1" applyFill="1"/>
    <xf numFmtId="41" fontId="0" fillId="8" borderId="0" xfId="1" applyNumberFormat="1" applyFont="1" applyFill="1"/>
    <xf numFmtId="41" fontId="0" fillId="8" borderId="0" xfId="0" applyNumberFormat="1" applyFill="1"/>
    <xf numFmtId="41" fontId="4" fillId="0" borderId="1" xfId="1" applyNumberFormat="1" applyFont="1" applyFill="1" applyBorder="1"/>
    <xf numFmtId="41" fontId="0" fillId="8" borderId="1" xfId="0" applyNumberFormat="1" applyFill="1" applyBorder="1"/>
    <xf numFmtId="41" fontId="4" fillId="8" borderId="0" xfId="1" applyNumberFormat="1" applyFont="1" applyFill="1"/>
    <xf numFmtId="41" fontId="16" fillId="8" borderId="0" xfId="0" applyNumberFormat="1" applyFont="1" applyFill="1"/>
    <xf numFmtId="41" fontId="4" fillId="0" borderId="2" xfId="1" applyNumberFormat="1" applyFont="1" applyFill="1" applyBorder="1"/>
    <xf numFmtId="41" fontId="4" fillId="0" borderId="3" xfId="1" applyNumberFormat="1" applyFont="1" applyFill="1" applyBorder="1"/>
    <xf numFmtId="41" fontId="4" fillId="8" borderId="3" xfId="1" applyNumberFormat="1" applyFont="1" applyFill="1" applyBorder="1"/>
    <xf numFmtId="41" fontId="0" fillId="0" borderId="0" xfId="1" applyNumberFormat="1" applyFont="1"/>
    <xf numFmtId="41" fontId="0" fillId="0" borderId="0" xfId="1" applyNumberFormat="1" applyFont="1" applyBorder="1"/>
    <xf numFmtId="41" fontId="0" fillId="0" borderId="5" xfId="1" applyNumberFormat="1" applyFont="1" applyBorder="1"/>
    <xf numFmtId="41" fontId="0" fillId="8" borderId="5" xfId="1" applyNumberFormat="1" applyFont="1" applyFill="1" applyBorder="1"/>
    <xf numFmtId="41" fontId="0" fillId="0" borderId="1" xfId="1" applyNumberFormat="1" applyFont="1" applyBorder="1"/>
    <xf numFmtId="41" fontId="0" fillId="0" borderId="4" xfId="1" applyNumberFormat="1" applyFont="1" applyBorder="1"/>
    <xf numFmtId="41" fontId="0" fillId="8" borderId="4" xfId="1" applyNumberFormat="1" applyFont="1" applyFill="1" applyBorder="1"/>
    <xf numFmtId="41" fontId="16" fillId="8" borderId="0" xfId="2" applyNumberFormat="1" applyFont="1" applyFill="1"/>
    <xf numFmtId="166" fontId="0" fillId="8" borderId="0" xfId="0" applyNumberFormat="1" applyFill="1"/>
    <xf numFmtId="9" fontId="0" fillId="8" borderId="0" xfId="2" applyFont="1" applyFill="1"/>
    <xf numFmtId="1" fontId="16" fillId="8" borderId="0" xfId="0" applyNumberFormat="1" applyFont="1" applyFill="1"/>
    <xf numFmtId="9" fontId="16" fillId="8" borderId="0" xfId="0" applyNumberFormat="1" applyFont="1" applyFill="1"/>
    <xf numFmtId="2" fontId="0" fillId="8" borderId="0" xfId="0" applyNumberFormat="1" applyFill="1"/>
    <xf numFmtId="9" fontId="0" fillId="8" borderId="0" xfId="0" applyNumberFormat="1" applyFill="1"/>
    <xf numFmtId="0" fontId="4" fillId="11" borderId="0" xfId="0" applyFont="1" applyFill="1"/>
    <xf numFmtId="171" fontId="16" fillId="8" borderId="0" xfId="0" applyNumberFormat="1" applyFont="1" applyFill="1"/>
    <xf numFmtId="175" fontId="0" fillId="0" borderId="0" xfId="0" applyNumberFormat="1"/>
    <xf numFmtId="10" fontId="16" fillId="8" borderId="0" xfId="0" applyNumberFormat="1" applyFont="1" applyFill="1"/>
    <xf numFmtId="166" fontId="0" fillId="8" borderId="0" xfId="1" applyNumberFormat="1" applyFont="1" applyFill="1" applyAlignment="1">
      <alignment horizontal="right"/>
    </xf>
    <xf numFmtId="166" fontId="3" fillId="0" borderId="0" xfId="1" applyNumberFormat="1" applyFont="1"/>
    <xf numFmtId="0" fontId="0" fillId="0" borderId="0" xfId="0" applyAlignment="1">
      <alignment horizontal="left" indent="1"/>
    </xf>
    <xf numFmtId="3" fontId="0" fillId="0" borderId="3" xfId="0" applyNumberFormat="1" applyBorder="1"/>
    <xf numFmtId="9" fontId="0" fillId="0" borderId="0" xfId="0" applyNumberFormat="1"/>
    <xf numFmtId="165" fontId="0" fillId="8" borderId="0" xfId="0" applyNumberFormat="1" applyFill="1"/>
    <xf numFmtId="9" fontId="4" fillId="0" borderId="0" xfId="1" applyNumberFormat="1" applyFont="1" applyFill="1"/>
    <xf numFmtId="177" fontId="0" fillId="0" borderId="0" xfId="0" applyNumberFormat="1"/>
    <xf numFmtId="176" fontId="0" fillId="8" borderId="0" xfId="0" applyNumberFormat="1" applyFill="1"/>
    <xf numFmtId="178" fontId="0" fillId="8" borderId="0" xfId="0" applyNumberFormat="1" applyFill="1"/>
    <xf numFmtId="41" fontId="15" fillId="0" borderId="0" xfId="1" applyNumberFormat="1" applyFont="1" applyFill="1"/>
    <xf numFmtId="174" fontId="0" fillId="0" borderId="0" xfId="0" applyNumberFormat="1"/>
    <xf numFmtId="176" fontId="0" fillId="0" borderId="0" xfId="0" applyNumberFormat="1"/>
    <xf numFmtId="41" fontId="0" fillId="0" borderId="3" xfId="0" applyNumberFormat="1" applyBorder="1"/>
    <xf numFmtId="41" fontId="0" fillId="8" borderId="3" xfId="0" applyNumberFormat="1" applyFill="1" applyBorder="1"/>
    <xf numFmtId="0" fontId="0" fillId="12" borderId="0" xfId="0" applyFill="1" applyAlignment="1">
      <alignment horizontal="right"/>
    </xf>
    <xf numFmtId="2" fontId="5" fillId="12" borderId="0" xfId="0" applyNumberFormat="1" applyFont="1" applyFill="1" applyAlignment="1">
      <alignment horizontal="right"/>
    </xf>
    <xf numFmtId="176" fontId="16" fillId="0" borderId="0" xfId="0" applyNumberFormat="1" applyFont="1"/>
    <xf numFmtId="0" fontId="22" fillId="0" borderId="0" xfId="0" applyFont="1"/>
    <xf numFmtId="0" fontId="23" fillId="0" borderId="0" xfId="0" applyFont="1"/>
    <xf numFmtId="179" fontId="0" fillId="0" borderId="0" xfId="0" applyNumberFormat="1"/>
    <xf numFmtId="10" fontId="0" fillId="0" borderId="0" xfId="2" applyNumberFormat="1" applyFont="1"/>
    <xf numFmtId="41" fontId="16" fillId="0" borderId="0" xfId="0" applyNumberFormat="1" applyFont="1"/>
    <xf numFmtId="0" fontId="0" fillId="11" borderId="0" xfId="0" applyFill="1"/>
    <xf numFmtId="0" fontId="19" fillId="11" borderId="0" xfId="0" applyFont="1" applyFill="1"/>
    <xf numFmtId="173" fontId="0" fillId="11" borderId="0" xfId="0" applyNumberFormat="1" applyFill="1"/>
    <xf numFmtId="43" fontId="19" fillId="0" borderId="0" xfId="6" applyFont="1" applyFill="1"/>
    <xf numFmtId="4" fontId="25" fillId="2" borderId="0" xfId="0" applyNumberFormat="1" applyFont="1" applyFill="1"/>
    <xf numFmtId="10" fontId="16" fillId="0" borderId="0" xfId="2" applyNumberFormat="1" applyFont="1"/>
    <xf numFmtId="43" fontId="16" fillId="0" borderId="0" xfId="0" applyNumberFormat="1" applyFont="1"/>
    <xf numFmtId="176" fontId="16" fillId="8" borderId="0" xfId="0" applyNumberFormat="1" applyFont="1" applyFill="1"/>
    <xf numFmtId="0" fontId="0" fillId="7" borderId="0" xfId="0" applyFill="1"/>
    <xf numFmtId="166" fontId="16" fillId="8" borderId="0" xfId="1" applyNumberFormat="1" applyFont="1" applyFill="1"/>
    <xf numFmtId="9" fontId="1" fillId="0" borderId="0" xfId="2" applyFont="1"/>
    <xf numFmtId="9" fontId="1" fillId="8" borderId="0" xfId="2" applyFont="1" applyFill="1"/>
    <xf numFmtId="43" fontId="0" fillId="8" borderId="0" xfId="1" applyFont="1" applyFill="1"/>
    <xf numFmtId="41" fontId="4" fillId="0" borderId="0" xfId="0" applyNumberFormat="1" applyFont="1"/>
    <xf numFmtId="9" fontId="4" fillId="8" borderId="0" xfId="2" applyFont="1" applyFill="1"/>
    <xf numFmtId="9" fontId="0" fillId="0" borderId="0" xfId="2" applyFont="1" applyAlignment="1">
      <alignment horizontal="right"/>
    </xf>
    <xf numFmtId="9" fontId="4" fillId="0" borderId="0" xfId="2" applyFont="1" applyFill="1" applyAlignment="1">
      <alignment horizontal="right"/>
    </xf>
    <xf numFmtId="0" fontId="0" fillId="13" borderId="0" xfId="0" applyFill="1"/>
    <xf numFmtId="9" fontId="4" fillId="13" borderId="0" xfId="2" applyFont="1" applyFill="1"/>
    <xf numFmtId="9" fontId="15" fillId="0" borderId="0" xfId="2" applyFont="1" applyFill="1"/>
    <xf numFmtId="9" fontId="0" fillId="0" borderId="0" xfId="2" applyFont="1" applyBorder="1"/>
    <xf numFmtId="9" fontId="0" fillId="0" borderId="5" xfId="2" applyFont="1" applyBorder="1"/>
    <xf numFmtId="9" fontId="0" fillId="8" borderId="5" xfId="2" applyFont="1" applyFill="1" applyBorder="1"/>
    <xf numFmtId="9" fontId="0" fillId="0" borderId="1" xfId="2" applyFont="1" applyBorder="1"/>
    <xf numFmtId="9" fontId="0" fillId="0" borderId="4" xfId="2" applyFont="1" applyBorder="1"/>
    <xf numFmtId="9" fontId="0" fillId="8" borderId="4" xfId="2" applyFont="1" applyFill="1" applyBorder="1"/>
    <xf numFmtId="9" fontId="0" fillId="8" borderId="1" xfId="2" applyFont="1" applyFill="1" applyBorder="1"/>
    <xf numFmtId="9" fontId="4" fillId="13" borderId="0" xfId="2" applyFont="1" applyFill="1" applyAlignment="1">
      <alignment horizontal="right"/>
    </xf>
    <xf numFmtId="176" fontId="0" fillId="0" borderId="0" xfId="1" applyNumberFormat="1" applyFont="1"/>
    <xf numFmtId="41" fontId="4" fillId="0" borderId="0" xfId="1" applyNumberFormat="1" applyFont="1" applyFill="1" applyBorder="1"/>
    <xf numFmtId="41" fontId="4" fillId="8" borderId="0" xfId="1" applyNumberFormat="1" applyFont="1" applyFill="1" applyBorder="1"/>
    <xf numFmtId="176" fontId="5" fillId="0" borderId="0" xfId="0" applyNumberFormat="1" applyFont="1"/>
    <xf numFmtId="41" fontId="2" fillId="2" borderId="0" xfId="0" applyNumberFormat="1" applyFont="1" applyFill="1" applyAlignment="1">
      <alignment horizontal="center"/>
    </xf>
    <xf numFmtId="9" fontId="16" fillId="0" borderId="0" xfId="0" applyNumberFormat="1" applyFont="1"/>
    <xf numFmtId="0" fontId="27" fillId="0" borderId="0" xfId="0" applyFont="1"/>
    <xf numFmtId="0" fontId="21" fillId="0" borderId="0" xfId="9"/>
    <xf numFmtId="0" fontId="21" fillId="21" borderId="0" xfId="9" applyFill="1"/>
    <xf numFmtId="0" fontId="1" fillId="0" borderId="0" xfId="0" applyFont="1"/>
    <xf numFmtId="14" fontId="1" fillId="0" borderId="0" xfId="0" applyNumberFormat="1" applyFont="1"/>
    <xf numFmtId="0" fontId="29" fillId="0" borderId="0" xfId="9" applyFont="1"/>
    <xf numFmtId="0" fontId="4" fillId="0" borderId="0" xfId="9" applyFont="1"/>
    <xf numFmtId="14" fontId="4" fillId="0" borderId="0" xfId="9" applyNumberFormat="1" applyFont="1"/>
    <xf numFmtId="0" fontId="4" fillId="21" borderId="0" xfId="9" applyFont="1" applyFill="1"/>
    <xf numFmtId="14" fontId="4" fillId="21" borderId="0" xfId="9" applyNumberFormat="1" applyFont="1" applyFill="1"/>
    <xf numFmtId="0" fontId="0" fillId="21" borderId="0" xfId="0" applyFill="1"/>
    <xf numFmtId="0" fontId="0" fillId="23" borderId="0" xfId="0" applyFill="1"/>
    <xf numFmtId="9" fontId="0" fillId="23" borderId="0" xfId="2" applyFont="1" applyFill="1"/>
    <xf numFmtId="41" fontId="0" fillId="8" borderId="0" xfId="1" applyNumberFormat="1" applyFont="1" applyFill="1" applyBorder="1"/>
    <xf numFmtId="9" fontId="0" fillId="8" borderId="0" xfId="2" applyFont="1" applyFill="1" applyBorder="1"/>
    <xf numFmtId="41" fontId="16" fillId="8" borderId="0" xfId="2" applyNumberFormat="1" applyFont="1" applyFill="1" applyBorder="1"/>
    <xf numFmtId="16" fontId="32" fillId="14" borderId="0" xfId="0" quotePrefix="1" applyNumberFormat="1" applyFont="1" applyFill="1" applyAlignment="1">
      <alignment horizontal="left"/>
    </xf>
    <xf numFmtId="166" fontId="33" fillId="14" borderId="0" xfId="6" applyNumberFormat="1" applyFont="1" applyFill="1" applyBorder="1" applyAlignment="1">
      <alignment horizontal="right"/>
    </xf>
    <xf numFmtId="166" fontId="9" fillId="18" borderId="0" xfId="6" applyNumberFormat="1" applyFont="1" applyFill="1" applyBorder="1" applyAlignment="1"/>
    <xf numFmtId="0" fontId="4" fillId="11" borderId="0" xfId="9" applyFont="1" applyFill="1"/>
    <xf numFmtId="14" fontId="4" fillId="11" borderId="0" xfId="9" applyNumberFormat="1" applyFont="1" applyFill="1"/>
    <xf numFmtId="0" fontId="21" fillId="11" borderId="0" xfId="9" applyFill="1"/>
    <xf numFmtId="0" fontId="5" fillId="0" borderId="7" xfId="0" applyFont="1" applyBorder="1"/>
    <xf numFmtId="0" fontId="5" fillId="0" borderId="8" xfId="0" applyFont="1" applyBorder="1"/>
    <xf numFmtId="0" fontId="5" fillId="0" borderId="9" xfId="0" applyFont="1" applyBorder="1" applyAlignment="1">
      <alignment horizontal="center"/>
    </xf>
    <xf numFmtId="0" fontId="5" fillId="0" borderId="10" xfId="0" applyFont="1" applyBorder="1"/>
    <xf numFmtId="0" fontId="5" fillId="0" borderId="11" xfId="0" applyFont="1" applyBorder="1"/>
    <xf numFmtId="0" fontId="5" fillId="0" borderId="12" xfId="0" applyFont="1" applyBorder="1" applyAlignment="1">
      <alignment horizontal="center"/>
    </xf>
    <xf numFmtId="0" fontId="26" fillId="0" borderId="0" xfId="0" applyFont="1" applyAlignment="1">
      <alignment vertical="center"/>
    </xf>
    <xf numFmtId="0" fontId="34" fillId="0" borderId="0" xfId="10"/>
    <xf numFmtId="0" fontId="26" fillId="24" borderId="0" xfId="0" applyFont="1" applyFill="1" applyAlignment="1">
      <alignment vertical="center"/>
    </xf>
    <xf numFmtId="180" fontId="26" fillId="24" borderId="0" xfId="0" applyNumberFormat="1" applyFont="1" applyFill="1"/>
    <xf numFmtId="171" fontId="26" fillId="24" borderId="0" xfId="1" applyNumberFormat="1" applyFont="1" applyFill="1" applyAlignment="1">
      <alignment vertical="center"/>
    </xf>
    <xf numFmtId="0" fontId="26" fillId="25" borderId="0" xfId="0" applyFont="1" applyFill="1" applyAlignment="1">
      <alignment vertical="center"/>
    </xf>
    <xf numFmtId="180" fontId="26" fillId="25" borderId="0" xfId="0" applyNumberFormat="1" applyFont="1" applyFill="1"/>
    <xf numFmtId="171" fontId="26" fillId="25" borderId="0" xfId="1" applyNumberFormat="1" applyFont="1" applyFill="1" applyAlignment="1">
      <alignment vertical="center"/>
    </xf>
    <xf numFmtId="180" fontId="26" fillId="0" borderId="0" xfId="0" applyNumberFormat="1" applyFont="1"/>
    <xf numFmtId="171" fontId="26" fillId="0" borderId="0" xfId="1" applyNumberFormat="1" applyFont="1" applyFill="1" applyAlignment="1">
      <alignment vertical="center"/>
    </xf>
    <xf numFmtId="171" fontId="26" fillId="7" borderId="0" xfId="1" applyNumberFormat="1" applyFont="1" applyFill="1" applyAlignment="1">
      <alignment vertical="center"/>
    </xf>
    <xf numFmtId="0" fontId="34" fillId="0" borderId="0" xfId="10" applyFill="1"/>
    <xf numFmtId="0" fontId="35" fillId="0" borderId="0" xfId="0" applyFont="1" applyAlignment="1">
      <alignment vertical="center"/>
    </xf>
    <xf numFmtId="15" fontId="36" fillId="0" borderId="0" xfId="0" applyNumberFormat="1" applyFont="1"/>
    <xf numFmtId="0" fontId="37" fillId="0" borderId="0" xfId="0" applyFont="1"/>
    <xf numFmtId="0" fontId="36" fillId="0" borderId="0" xfId="0" applyFont="1"/>
    <xf numFmtId="0" fontId="38" fillId="0" borderId="0" xfId="0" applyFont="1" applyAlignment="1">
      <alignment horizontal="left" vertical="center"/>
    </xf>
    <xf numFmtId="0" fontId="39" fillId="0" borderId="0" xfId="0" applyFont="1" applyAlignment="1">
      <alignment horizontal="left" vertical="center"/>
    </xf>
    <xf numFmtId="10" fontId="40" fillId="0" borderId="0" xfId="0" applyNumberFormat="1" applyFont="1"/>
    <xf numFmtId="176" fontId="41" fillId="0" borderId="0" xfId="1" applyNumberFormat="1" applyFont="1" applyFill="1"/>
    <xf numFmtId="9" fontId="40" fillId="8" borderId="0" xfId="2" applyFont="1" applyFill="1"/>
    <xf numFmtId="9" fontId="40" fillId="8" borderId="0" xfId="0" applyNumberFormat="1" applyFont="1" applyFill="1"/>
    <xf numFmtId="3" fontId="40" fillId="8" borderId="0" xfId="0" applyNumberFormat="1" applyFont="1" applyFill="1"/>
    <xf numFmtId="9" fontId="41" fillId="8" borderId="0" xfId="0" applyNumberFormat="1" applyFont="1" applyFill="1"/>
    <xf numFmtId="0" fontId="41" fillId="8" borderId="0" xfId="0" applyFont="1" applyFill="1"/>
    <xf numFmtId="41" fontId="41" fillId="8" borderId="0" xfId="0" applyNumberFormat="1" applyFont="1" applyFill="1"/>
    <xf numFmtId="166" fontId="0" fillId="0" borderId="0" xfId="1" applyNumberFormat="1" applyFont="1" applyBorder="1"/>
    <xf numFmtId="166" fontId="16" fillId="0" borderId="0" xfId="1" applyNumberFormat="1" applyFont="1" applyBorder="1"/>
    <xf numFmtId="166" fontId="16" fillId="0" borderId="0" xfId="0" applyNumberFormat="1" applyFont="1"/>
    <xf numFmtId="0" fontId="42" fillId="0" borderId="0" xfId="0" applyFont="1"/>
    <xf numFmtId="0" fontId="16" fillId="26" borderId="0" xfId="0" applyFont="1" applyFill="1" applyAlignment="1">
      <alignment horizontal="left" indent="1"/>
    </xf>
    <xf numFmtId="0" fontId="16" fillId="26" borderId="0" xfId="0" applyFont="1" applyFill="1"/>
    <xf numFmtId="9" fontId="16" fillId="26" borderId="0" xfId="2" applyFont="1" applyFill="1"/>
    <xf numFmtId="41" fontId="16" fillId="0" borderId="0" xfId="2" applyNumberFormat="1" applyFont="1"/>
    <xf numFmtId="41" fontId="6" fillId="8" borderId="0" xfId="0" applyNumberFormat="1" applyFont="1" applyFill="1"/>
    <xf numFmtId="41" fontId="40" fillId="8" borderId="0" xfId="0" applyNumberFormat="1" applyFont="1" applyFill="1"/>
    <xf numFmtId="43" fontId="4" fillId="0" borderId="0" xfId="0" applyNumberFormat="1" applyFont="1"/>
    <xf numFmtId="43" fontId="6" fillId="0" borderId="0" xfId="0" applyNumberFormat="1" applyFont="1"/>
    <xf numFmtId="166" fontId="6" fillId="0" borderId="0" xfId="0" applyNumberFormat="1" applyFont="1"/>
    <xf numFmtId="14" fontId="21" fillId="0" borderId="0" xfId="9" applyNumberFormat="1"/>
    <xf numFmtId="4" fontId="0" fillId="0" borderId="0" xfId="0" applyNumberFormat="1"/>
    <xf numFmtId="0" fontId="0" fillId="27" borderId="0" xfId="0" applyFill="1" applyAlignment="1">
      <alignment horizontal="right"/>
    </xf>
    <xf numFmtId="10" fontId="0" fillId="8" borderId="0" xfId="2" applyNumberFormat="1" applyFont="1" applyFill="1"/>
    <xf numFmtId="3" fontId="0" fillId="11" borderId="0" xfId="0" applyNumberFormat="1" applyFill="1"/>
    <xf numFmtId="167" fontId="0" fillId="0" borderId="0" xfId="2" applyNumberFormat="1" applyFont="1"/>
    <xf numFmtId="4" fontId="0" fillId="8" borderId="0" xfId="0" applyNumberFormat="1" applyFill="1"/>
    <xf numFmtId="4" fontId="0" fillId="11" borderId="0" xfId="0" applyNumberFormat="1" applyFill="1"/>
    <xf numFmtId="4" fontId="0" fillId="11" borderId="13" xfId="0" applyNumberFormat="1" applyFill="1" applyBorder="1"/>
    <xf numFmtId="0" fontId="9" fillId="28" borderId="0" xfId="0" quotePrefix="1" applyFont="1" applyFill="1"/>
    <xf numFmtId="166" fontId="9" fillId="29" borderId="0" xfId="6" applyNumberFormat="1" applyFont="1" applyFill="1" applyBorder="1" applyAlignment="1"/>
    <xf numFmtId="0" fontId="0" fillId="0" borderId="0" xfId="0" applyAlignment="1">
      <alignment vertical="center"/>
    </xf>
    <xf numFmtId="181" fontId="44" fillId="7" borderId="0" xfId="0" applyNumberFormat="1" applyFont="1" applyFill="1" applyAlignment="1">
      <alignment horizontal="left"/>
    </xf>
    <xf numFmtId="0" fontId="44" fillId="7" borderId="0" xfId="0" applyFont="1" applyFill="1" applyAlignment="1">
      <alignment vertical="center"/>
    </xf>
    <xf numFmtId="10" fontId="44" fillId="7" borderId="0" xfId="2" applyNumberFormat="1" applyFont="1" applyFill="1"/>
    <xf numFmtId="0" fontId="45" fillId="2" borderId="7" xfId="0" applyFont="1" applyFill="1" applyBorder="1" applyAlignment="1">
      <alignment vertical="center"/>
    </xf>
    <xf numFmtId="0" fontId="45" fillId="2" borderId="8" xfId="0" applyFont="1" applyFill="1" applyBorder="1" applyAlignment="1">
      <alignment vertical="center"/>
    </xf>
    <xf numFmtId="0" fontId="45" fillId="2" borderId="8" xfId="0" applyFont="1" applyFill="1" applyBorder="1" applyAlignment="1">
      <alignment horizontal="center" vertical="center"/>
    </xf>
    <xf numFmtId="0" fontId="45" fillId="2" borderId="9" xfId="0" applyFont="1" applyFill="1" applyBorder="1" applyAlignment="1">
      <alignment horizontal="center" vertical="center"/>
    </xf>
    <xf numFmtId="0" fontId="43" fillId="7" borderId="14" xfId="0" applyFont="1" applyFill="1" applyBorder="1" applyAlignment="1">
      <alignment vertical="center"/>
    </xf>
    <xf numFmtId="0" fontId="43" fillId="7" borderId="15" xfId="0" applyFont="1" applyFill="1" applyBorder="1" applyAlignment="1">
      <alignment vertical="center"/>
    </xf>
    <xf numFmtId="0" fontId="43" fillId="3" borderId="16" xfId="0" applyFont="1" applyFill="1" applyBorder="1" applyAlignment="1">
      <alignment vertical="center"/>
    </xf>
    <xf numFmtId="0" fontId="43" fillId="3" borderId="17" xfId="0" applyFont="1" applyFill="1" applyBorder="1" applyAlignment="1">
      <alignment vertical="center"/>
    </xf>
    <xf numFmtId="0" fontId="43" fillId="3" borderId="18" xfId="0" applyFont="1" applyFill="1" applyBorder="1" applyAlignment="1">
      <alignment vertical="center"/>
    </xf>
    <xf numFmtId="0" fontId="43" fillId="3" borderId="19" xfId="0" applyFont="1" applyFill="1" applyBorder="1" applyAlignment="1">
      <alignment vertical="center"/>
    </xf>
    <xf numFmtId="0" fontId="43" fillId="3" borderId="20" xfId="0" applyFont="1" applyFill="1" applyBorder="1" applyAlignment="1">
      <alignment vertical="center"/>
    </xf>
    <xf numFmtId="0" fontId="43" fillId="3" borderId="21" xfId="0" applyFont="1" applyFill="1" applyBorder="1" applyAlignment="1">
      <alignment vertical="center"/>
    </xf>
    <xf numFmtId="0" fontId="43" fillId="7" borderId="22" xfId="0" applyFont="1" applyFill="1" applyBorder="1" applyAlignment="1">
      <alignment vertical="center"/>
    </xf>
    <xf numFmtId="0" fontId="43" fillId="7" borderId="23" xfId="0" applyFont="1" applyFill="1" applyBorder="1" applyAlignment="1">
      <alignment vertical="center" wrapText="1"/>
    </xf>
    <xf numFmtId="0" fontId="43" fillId="3" borderId="24" xfId="0" applyFont="1" applyFill="1" applyBorder="1" applyAlignment="1">
      <alignment vertical="center"/>
    </xf>
    <xf numFmtId="0" fontId="43" fillId="3" borderId="25" xfId="0" applyFont="1" applyFill="1" applyBorder="1" applyAlignment="1">
      <alignment vertical="center"/>
    </xf>
    <xf numFmtId="0" fontId="43" fillId="3" borderId="26" xfId="0" applyFont="1" applyFill="1" applyBorder="1" applyAlignment="1">
      <alignment vertical="center"/>
    </xf>
    <xf numFmtId="0" fontId="9" fillId="7" borderId="0" xfId="0" applyFont="1" applyFill="1" applyAlignment="1">
      <alignment horizontal="center" vertical="center"/>
    </xf>
    <xf numFmtId="176" fontId="9" fillId="2" borderId="0" xfId="0" applyNumberFormat="1" applyFont="1" applyFill="1"/>
    <xf numFmtId="10" fontId="2" fillId="2" borderId="0" xfId="0" applyNumberFormat="1" applyFont="1" applyFill="1"/>
    <xf numFmtId="2" fontId="9" fillId="0" borderId="0" xfId="0" applyNumberFormat="1" applyFont="1"/>
    <xf numFmtId="2" fontId="9" fillId="30" borderId="0" xfId="0" applyNumberFormat="1" applyFont="1" applyFill="1"/>
    <xf numFmtId="2" fontId="9" fillId="7" borderId="0" xfId="0" applyNumberFormat="1" applyFont="1" applyFill="1"/>
    <xf numFmtId="41" fontId="0" fillId="0" borderId="0" xfId="2" applyNumberFormat="1" applyFont="1"/>
    <xf numFmtId="167" fontId="0" fillId="11" borderId="0" xfId="2" applyNumberFormat="1" applyFont="1" applyFill="1"/>
    <xf numFmtId="4" fontId="46" fillId="0" borderId="0" xfId="0" applyNumberFormat="1" applyFont="1"/>
    <xf numFmtId="4" fontId="46" fillId="6" borderId="6" xfId="0" applyNumberFormat="1" applyFont="1" applyFill="1" applyBorder="1" applyAlignment="1">
      <alignment horizontal="right" vertical="center" wrapText="1"/>
    </xf>
    <xf numFmtId="12" fontId="0" fillId="0" borderId="0" xfId="2" applyNumberFormat="1" applyFont="1"/>
    <xf numFmtId="177" fontId="16" fillId="0" borderId="0" xfId="0" applyNumberFormat="1" applyFont="1"/>
    <xf numFmtId="166" fontId="47" fillId="14" borderId="0" xfId="6" applyNumberFormat="1" applyFont="1" applyFill="1" applyBorder="1" applyAlignment="1">
      <alignment horizontal="right"/>
    </xf>
    <xf numFmtId="0" fontId="48" fillId="0" borderId="0" xfId="0" applyFont="1" applyAlignment="1">
      <alignment horizontal="right"/>
    </xf>
    <xf numFmtId="0" fontId="48" fillId="7" borderId="0" xfId="0" applyFont="1" applyFill="1"/>
    <xf numFmtId="0" fontId="48" fillId="22" borderId="0" xfId="0" applyFont="1" applyFill="1"/>
    <xf numFmtId="169" fontId="49" fillId="17" borderId="0" xfId="8" applyNumberFormat="1" applyFont="1" applyFill="1" applyBorder="1"/>
    <xf numFmtId="0" fontId="48" fillId="2" borderId="0" xfId="0" applyFont="1" applyFill="1"/>
    <xf numFmtId="0" fontId="48" fillId="0" borderId="0" xfId="0" applyFont="1"/>
    <xf numFmtId="0" fontId="50" fillId="14" borderId="0" xfId="0" applyFont="1" applyFill="1" applyAlignment="1">
      <alignment horizontal="left" vertical="center"/>
    </xf>
    <xf numFmtId="0" fontId="52" fillId="0" borderId="0" xfId="0" applyFont="1"/>
    <xf numFmtId="0" fontId="53" fillId="15" borderId="0" xfId="0" applyFont="1" applyFill="1" applyAlignment="1">
      <alignment vertical="center"/>
    </xf>
    <xf numFmtId="4" fontId="53" fillId="15" borderId="0" xfId="6" applyNumberFormat="1" applyFont="1" applyFill="1" applyBorder="1" applyAlignment="1">
      <alignment vertical="center"/>
    </xf>
    <xf numFmtId="0" fontId="53" fillId="15" borderId="0" xfId="0" applyFont="1" applyFill="1" applyAlignment="1">
      <alignment horizontal="left" vertical="center"/>
    </xf>
    <xf numFmtId="166" fontId="50" fillId="14" borderId="0" xfId="6" applyNumberFormat="1" applyFont="1" applyFill="1" applyBorder="1" applyAlignment="1">
      <alignment horizontal="right" vertical="center"/>
    </xf>
    <xf numFmtId="0" fontId="50" fillId="14" borderId="0" xfId="0" applyFont="1" applyFill="1" applyAlignment="1">
      <alignment horizontal="right" vertical="center"/>
    </xf>
    <xf numFmtId="9" fontId="53" fillId="15" borderId="0" xfId="7" applyFont="1" applyFill="1" applyBorder="1"/>
    <xf numFmtId="164" fontId="53" fillId="15" borderId="0" xfId="0" applyNumberFormat="1" applyFont="1" applyFill="1" applyAlignment="1">
      <alignment horizontal="left" vertical="center"/>
    </xf>
    <xf numFmtId="16" fontId="54" fillId="14" borderId="0" xfId="0" quotePrefix="1" applyNumberFormat="1" applyFont="1" applyFill="1" applyAlignment="1">
      <alignment horizontal="left"/>
    </xf>
    <xf numFmtId="0" fontId="55" fillId="16" borderId="0" xfId="0" quotePrefix="1" applyFont="1" applyFill="1"/>
    <xf numFmtId="166" fontId="55" fillId="17" borderId="0" xfId="6" applyNumberFormat="1" applyFont="1" applyFill="1" applyBorder="1" applyAlignment="1">
      <alignment horizontal="right"/>
    </xf>
    <xf numFmtId="166" fontId="55" fillId="18" borderId="0" xfId="6" applyNumberFormat="1" applyFont="1" applyFill="1" applyBorder="1" applyAlignment="1">
      <alignment horizontal="right"/>
    </xf>
    <xf numFmtId="167" fontId="56" fillId="15" borderId="0" xfId="8" applyNumberFormat="1" applyFont="1" applyFill="1" applyBorder="1"/>
    <xf numFmtId="9" fontId="56" fillId="15" borderId="0" xfId="2" applyFont="1" applyFill="1" applyBorder="1" applyAlignment="1">
      <alignment horizontal="right"/>
    </xf>
    <xf numFmtId="9" fontId="56" fillId="16" borderId="0" xfId="2" applyFont="1" applyFill="1" applyBorder="1" applyAlignment="1">
      <alignment horizontal="right"/>
    </xf>
    <xf numFmtId="167" fontId="53" fillId="17" borderId="0" xfId="8" applyNumberFormat="1" applyFont="1" applyFill="1" applyBorder="1"/>
    <xf numFmtId="166" fontId="53" fillId="17" borderId="0" xfId="6" applyNumberFormat="1" applyFont="1" applyFill="1" applyBorder="1" applyAlignment="1">
      <alignment horizontal="right"/>
    </xf>
    <xf numFmtId="166" fontId="53" fillId="18" borderId="0" xfId="6" applyNumberFormat="1" applyFont="1" applyFill="1" applyBorder="1" applyAlignment="1">
      <alignment horizontal="right"/>
    </xf>
    <xf numFmtId="167" fontId="55" fillId="17" borderId="0" xfId="8" applyNumberFormat="1" applyFont="1" applyFill="1" applyBorder="1"/>
    <xf numFmtId="43" fontId="55" fillId="17" borderId="0" xfId="6" applyFont="1" applyFill="1" applyBorder="1" applyAlignment="1">
      <alignment horizontal="right"/>
    </xf>
    <xf numFmtId="43" fontId="55" fillId="18" borderId="0" xfId="6" applyFont="1" applyFill="1" applyBorder="1" applyAlignment="1">
      <alignment horizontal="right"/>
    </xf>
    <xf numFmtId="9" fontId="56" fillId="15" borderId="0" xfId="8" applyFont="1" applyFill="1" applyBorder="1" applyAlignment="1">
      <alignment horizontal="right"/>
    </xf>
    <xf numFmtId="167" fontId="57" fillId="15" borderId="0" xfId="8" applyNumberFormat="1" applyFont="1" applyFill="1" applyBorder="1"/>
    <xf numFmtId="9" fontId="56" fillId="17" borderId="0" xfId="8" applyFont="1" applyFill="1" applyBorder="1" applyAlignment="1">
      <alignment horizontal="right"/>
    </xf>
    <xf numFmtId="0" fontId="53" fillId="16" borderId="0" xfId="0" applyFont="1" applyFill="1"/>
    <xf numFmtId="171" fontId="53" fillId="16" borderId="0" xfId="0" applyNumberFormat="1" applyFont="1" applyFill="1" applyAlignment="1">
      <alignment horizontal="right"/>
    </xf>
    <xf numFmtId="171" fontId="53" fillId="19" borderId="0" xfId="0" applyNumberFormat="1" applyFont="1" applyFill="1" applyAlignment="1">
      <alignment horizontal="right"/>
    </xf>
    <xf numFmtId="167" fontId="53" fillId="16" borderId="0" xfId="7" applyNumberFormat="1" applyFont="1" applyFill="1" applyBorder="1" applyAlignment="1">
      <alignment horizontal="right"/>
    </xf>
    <xf numFmtId="167" fontId="53" fillId="19" borderId="0" xfId="7" applyNumberFormat="1" applyFont="1" applyFill="1" applyBorder="1" applyAlignment="1">
      <alignment horizontal="right"/>
    </xf>
    <xf numFmtId="167" fontId="55" fillId="15" borderId="0" xfId="8" applyNumberFormat="1" applyFont="1" applyFill="1" applyBorder="1"/>
    <xf numFmtId="169" fontId="55" fillId="20" borderId="0" xfId="0" applyNumberFormat="1" applyFont="1" applyFill="1" applyAlignment="1">
      <alignment horizontal="right"/>
    </xf>
    <xf numFmtId="169" fontId="55" fillId="17" borderId="0" xfId="8" applyNumberFormat="1" applyFont="1" applyFill="1" applyBorder="1" applyAlignment="1">
      <alignment horizontal="right"/>
    </xf>
    <xf numFmtId="0" fontId="55" fillId="20" borderId="0" xfId="0" applyFont="1" applyFill="1"/>
    <xf numFmtId="0" fontId="55" fillId="15" borderId="0" xfId="0" applyFont="1" applyFill="1"/>
    <xf numFmtId="9" fontId="55" fillId="15" borderId="0" xfId="7" applyFont="1" applyFill="1" applyBorder="1" applyAlignment="1">
      <alignment horizontal="right"/>
    </xf>
    <xf numFmtId="9" fontId="55" fillId="17" borderId="0" xfId="7" applyFont="1" applyFill="1" applyBorder="1" applyAlignment="1">
      <alignment horizontal="right"/>
    </xf>
    <xf numFmtId="166" fontId="55" fillId="17" borderId="0" xfId="6" applyNumberFormat="1" applyFont="1" applyFill="1" applyBorder="1" applyAlignment="1"/>
    <xf numFmtId="9" fontId="55" fillId="31" borderId="0" xfId="2" applyFont="1" applyFill="1" applyBorder="1" applyAlignment="1">
      <alignment horizontal="right"/>
    </xf>
    <xf numFmtId="166" fontId="55" fillId="29" borderId="0" xfId="6" applyNumberFormat="1" applyFont="1" applyFill="1" applyBorder="1" applyAlignment="1"/>
    <xf numFmtId="166" fontId="55" fillId="29" borderId="0" xfId="6" applyNumberFormat="1" applyFont="1" applyFill="1" applyBorder="1" applyAlignment="1">
      <alignment horizontal="right"/>
    </xf>
    <xf numFmtId="9" fontId="55" fillId="29" borderId="0" xfId="2" applyFont="1" applyFill="1" applyBorder="1" applyAlignment="1">
      <alignment horizontal="right"/>
    </xf>
    <xf numFmtId="0" fontId="55" fillId="28" borderId="0" xfId="0" applyFont="1" applyFill="1"/>
    <xf numFmtId="9" fontId="48" fillId="3" borderId="0" xfId="2" applyFont="1" applyFill="1"/>
    <xf numFmtId="0" fontId="48" fillId="3" borderId="0" xfId="0" applyFont="1" applyFill="1"/>
    <xf numFmtId="0" fontId="55" fillId="28" borderId="0" xfId="0" quotePrefix="1" applyFont="1" applyFill="1"/>
    <xf numFmtId="0" fontId="56" fillId="30" borderId="0" xfId="0" quotePrefix="1" applyFont="1" applyFill="1" applyAlignment="1">
      <alignment horizontal="left" indent="1"/>
    </xf>
    <xf numFmtId="9" fontId="56" fillId="30" borderId="0" xfId="2" applyFont="1" applyFill="1" applyBorder="1" applyAlignment="1"/>
    <xf numFmtId="0" fontId="56" fillId="16" borderId="0" xfId="0" quotePrefix="1" applyFont="1" applyFill="1" applyAlignment="1">
      <alignment horizontal="left" indent="1"/>
    </xf>
    <xf numFmtId="9" fontId="56" fillId="17" borderId="0" xfId="2" applyFont="1" applyFill="1" applyBorder="1" applyAlignment="1"/>
    <xf numFmtId="0" fontId="56" fillId="3" borderId="0" xfId="0" quotePrefix="1" applyFont="1" applyFill="1" applyAlignment="1">
      <alignment horizontal="left" indent="1"/>
    </xf>
    <xf numFmtId="9" fontId="56" fillId="3" borderId="0" xfId="2" applyFont="1" applyFill="1" applyBorder="1" applyAlignment="1"/>
    <xf numFmtId="166" fontId="55" fillId="18" borderId="0" xfId="6" applyNumberFormat="1" applyFont="1" applyFill="1" applyBorder="1" applyAlignment="1"/>
    <xf numFmtId="166" fontId="55" fillId="29" borderId="2" xfId="6" applyNumberFormat="1" applyFont="1" applyFill="1" applyBorder="1" applyAlignment="1"/>
    <xf numFmtId="166" fontId="55" fillId="17" borderId="2" xfId="6" applyNumberFormat="1" applyFont="1" applyFill="1" applyBorder="1" applyAlignment="1"/>
    <xf numFmtId="43" fontId="55" fillId="29" borderId="0" xfId="6" applyFont="1" applyFill="1" applyBorder="1" applyAlignment="1"/>
    <xf numFmtId="43" fontId="55" fillId="18" borderId="0" xfId="6" applyFont="1" applyFill="1" applyBorder="1" applyAlignment="1"/>
    <xf numFmtId="0" fontId="58" fillId="2" borderId="0" xfId="0" applyFont="1" applyFill="1"/>
    <xf numFmtId="0" fontId="55" fillId="7" borderId="0" xfId="0" applyFont="1" applyFill="1"/>
    <xf numFmtId="1" fontId="55" fillId="7" borderId="0" xfId="0" applyNumberFormat="1" applyFont="1" applyFill="1"/>
    <xf numFmtId="0" fontId="55" fillId="3" borderId="0" xfId="0" applyFont="1" applyFill="1"/>
    <xf numFmtId="1" fontId="55" fillId="3" borderId="0" xfId="0" applyNumberFormat="1" applyFont="1" applyFill="1"/>
    <xf numFmtId="9" fontId="55" fillId="7" borderId="0" xfId="2" applyFont="1" applyFill="1"/>
    <xf numFmtId="9" fontId="58" fillId="2" borderId="0" xfId="0" applyNumberFormat="1" applyFont="1" applyFill="1"/>
    <xf numFmtId="0" fontId="61" fillId="2" borderId="0" xfId="0" applyFont="1" applyFill="1"/>
    <xf numFmtId="0" fontId="58" fillId="2" borderId="37" xfId="0" applyFont="1" applyFill="1" applyBorder="1" applyAlignment="1">
      <alignment horizontal="left"/>
    </xf>
    <xf numFmtId="0" fontId="47" fillId="2" borderId="37" xfId="0" applyFont="1" applyFill="1" applyBorder="1" applyAlignment="1">
      <alignment horizontal="center"/>
    </xf>
    <xf numFmtId="0" fontId="58" fillId="2" borderId="0" xfId="0" applyFont="1" applyFill="1" applyAlignment="1">
      <alignment vertical="center"/>
    </xf>
    <xf numFmtId="1" fontId="58" fillId="2" borderId="0" xfId="0" applyNumberFormat="1" applyFont="1" applyFill="1" applyAlignment="1">
      <alignment vertical="center"/>
    </xf>
    <xf numFmtId="1" fontId="55" fillId="0" borderId="0" xfId="0" applyNumberFormat="1" applyFont="1"/>
    <xf numFmtId="1" fontId="55" fillId="30" borderId="0" xfId="0" applyNumberFormat="1" applyFont="1" applyFill="1"/>
    <xf numFmtId="0" fontId="31" fillId="28" borderId="0" xfId="0" quotePrefix="1" applyFont="1" applyFill="1"/>
    <xf numFmtId="166" fontId="9" fillId="29" borderId="2" xfId="6" applyNumberFormat="1" applyFont="1" applyFill="1" applyBorder="1" applyAlignment="1"/>
    <xf numFmtId="166" fontId="9" fillId="17" borderId="2" xfId="6" applyNumberFormat="1" applyFont="1" applyFill="1" applyBorder="1" applyAlignment="1"/>
    <xf numFmtId="166" fontId="9" fillId="29" borderId="3" xfId="6" applyNumberFormat="1" applyFont="1" applyFill="1" applyBorder="1" applyAlignment="1"/>
    <xf numFmtId="166" fontId="9" fillId="17" borderId="3" xfId="6" applyNumberFormat="1" applyFont="1" applyFill="1" applyBorder="1" applyAlignment="1"/>
    <xf numFmtId="0" fontId="31" fillId="28" borderId="0" xfId="0" applyFont="1" applyFill="1"/>
    <xf numFmtId="170" fontId="55" fillId="7" borderId="0" xfId="0" applyNumberFormat="1" applyFont="1" applyFill="1"/>
    <xf numFmtId="0" fontId="60" fillId="7" borderId="0" xfId="0" applyFont="1" applyFill="1"/>
    <xf numFmtId="0" fontId="55" fillId="7" borderId="0" xfId="0" applyFont="1" applyFill="1" applyAlignment="1">
      <alignment horizontal="left"/>
    </xf>
    <xf numFmtId="9" fontId="55" fillId="7" borderId="0" xfId="0" applyNumberFormat="1" applyFont="1" applyFill="1"/>
    <xf numFmtId="9" fontId="55" fillId="7" borderId="0" xfId="0" applyNumberFormat="1" applyFont="1" applyFill="1" applyAlignment="1">
      <alignment horizontal="right"/>
    </xf>
    <xf numFmtId="0" fontId="55" fillId="7" borderId="0" xfId="0" applyFont="1" applyFill="1" applyAlignment="1">
      <alignment vertical="center"/>
    </xf>
    <xf numFmtId="3" fontId="55" fillId="7" borderId="0" xfId="0" applyNumberFormat="1" applyFont="1" applyFill="1" applyAlignment="1">
      <alignment vertical="center"/>
    </xf>
    <xf numFmtId="9" fontId="53" fillId="7" borderId="0" xfId="0" applyNumberFormat="1" applyFont="1" applyFill="1"/>
    <xf numFmtId="176" fontId="65" fillId="7" borderId="0" xfId="0" applyNumberFormat="1" applyFont="1" applyFill="1"/>
    <xf numFmtId="0" fontId="64" fillId="0" borderId="0" xfId="0" applyFont="1" applyAlignment="1">
      <alignment horizontal="left" wrapText="1"/>
    </xf>
    <xf numFmtId="0" fontId="58" fillId="2" borderId="0" xfId="0" applyFont="1" applyFill="1" applyAlignment="1">
      <alignment horizontal="right"/>
    </xf>
    <xf numFmtId="0" fontId="58" fillId="2" borderId="0" xfId="0" applyFont="1" applyFill="1" applyAlignment="1">
      <alignment horizontal="right" vertical="center"/>
    </xf>
    <xf numFmtId="175" fontId="55" fillId="7" borderId="0" xfId="0" applyNumberFormat="1" applyFont="1" applyFill="1"/>
    <xf numFmtId="0" fontId="47" fillId="2" borderId="37" xfId="0" applyFont="1" applyFill="1" applyBorder="1" applyAlignment="1">
      <alignment horizontal="right"/>
    </xf>
    <xf numFmtId="1" fontId="55" fillId="26" borderId="41" xfId="0" applyNumberFormat="1" applyFont="1" applyFill="1" applyBorder="1"/>
    <xf numFmtId="1" fontId="55" fillId="32" borderId="0" xfId="0" applyNumberFormat="1" applyFont="1" applyFill="1"/>
    <xf numFmtId="1" fontId="55" fillId="32" borderId="40" xfId="0" applyNumberFormat="1" applyFont="1" applyFill="1" applyBorder="1"/>
    <xf numFmtId="1" fontId="55" fillId="32" borderId="39" xfId="0" applyNumberFormat="1" applyFont="1" applyFill="1" applyBorder="1"/>
    <xf numFmtId="1" fontId="55" fillId="32" borderId="38" xfId="0" applyNumberFormat="1" applyFont="1" applyFill="1" applyBorder="1"/>
    <xf numFmtId="1" fontId="55" fillId="32" borderId="43" xfId="0" applyNumberFormat="1" applyFont="1" applyFill="1" applyBorder="1"/>
    <xf numFmtId="182" fontId="48" fillId="0" borderId="0" xfId="0" applyNumberFormat="1" applyFont="1"/>
    <xf numFmtId="0" fontId="49" fillId="0" borderId="0" xfId="0" applyFont="1"/>
    <xf numFmtId="0" fontId="66" fillId="0" borderId="0" xfId="0" applyFont="1"/>
    <xf numFmtId="166" fontId="55" fillId="29" borderId="4" xfId="6" applyNumberFormat="1" applyFont="1" applyFill="1" applyBorder="1" applyAlignment="1"/>
    <xf numFmtId="166" fontId="55" fillId="17" borderId="4" xfId="6" applyNumberFormat="1" applyFont="1" applyFill="1" applyBorder="1" applyAlignment="1"/>
    <xf numFmtId="167" fontId="0" fillId="0" borderId="0" xfId="0" applyNumberFormat="1"/>
    <xf numFmtId="0" fontId="70" fillId="0" borderId="0" xfId="0" applyFont="1"/>
    <xf numFmtId="184" fontId="0" fillId="0" borderId="0" xfId="0" applyNumberFormat="1"/>
    <xf numFmtId="184" fontId="0" fillId="11" borderId="0" xfId="0" applyNumberFormat="1" applyFill="1"/>
    <xf numFmtId="3" fontId="46" fillId="0" borderId="0" xfId="0" applyNumberFormat="1" applyFont="1"/>
    <xf numFmtId="0" fontId="71" fillId="3" borderId="0" xfId="9" applyFont="1" applyFill="1"/>
    <xf numFmtId="0" fontId="71" fillId="3" borderId="0" xfId="9" applyFont="1" applyFill="1" applyAlignment="1">
      <alignment horizontal="left" vertical="center"/>
    </xf>
    <xf numFmtId="0" fontId="73" fillId="3" borderId="0" xfId="9" applyFont="1" applyFill="1" applyAlignment="1">
      <alignment horizontal="left" vertical="center"/>
    </xf>
    <xf numFmtId="0" fontId="71" fillId="3" borderId="0" xfId="9" applyFont="1" applyFill="1" applyAlignment="1">
      <alignment horizontal="left" vertical="center" wrapText="1"/>
    </xf>
    <xf numFmtId="2" fontId="71" fillId="3" borderId="0" xfId="9" applyNumberFormat="1" applyFont="1" applyFill="1" applyAlignment="1">
      <alignment horizontal="center"/>
    </xf>
    <xf numFmtId="2" fontId="71" fillId="3" borderId="0" xfId="9" applyNumberFormat="1" applyFont="1" applyFill="1" applyAlignment="1">
      <alignment horizontal="center" wrapText="1"/>
    </xf>
    <xf numFmtId="2" fontId="71" fillId="3" borderId="0" xfId="9" applyNumberFormat="1" applyFont="1" applyFill="1" applyAlignment="1">
      <alignment horizontal="right" wrapText="1"/>
    </xf>
    <xf numFmtId="0" fontId="71" fillId="3" borderId="0" xfId="9" applyFont="1" applyFill="1" applyAlignment="1">
      <alignment horizontal="left" wrapText="1"/>
    </xf>
    <xf numFmtId="185" fontId="71" fillId="3" borderId="44" xfId="9" applyNumberFormat="1" applyFont="1" applyFill="1" applyBorder="1" applyAlignment="1">
      <alignment horizontal="center" vertical="center" wrapText="1"/>
    </xf>
    <xf numFmtId="2" fontId="71" fillId="3" borderId="44" xfId="9" applyNumberFormat="1" applyFont="1" applyFill="1" applyBorder="1" applyAlignment="1">
      <alignment horizontal="center" vertical="center" wrapText="1"/>
    </xf>
    <xf numFmtId="2" fontId="71" fillId="3" borderId="45" xfId="9" applyNumberFormat="1" applyFont="1" applyFill="1" applyBorder="1" applyAlignment="1">
      <alignment horizontal="center" vertical="center" wrapText="1"/>
    </xf>
    <xf numFmtId="185" fontId="71" fillId="3" borderId="46" xfId="9" applyNumberFormat="1" applyFont="1" applyFill="1" applyBorder="1" applyAlignment="1">
      <alignment horizontal="center" vertical="center" wrapText="1"/>
    </xf>
    <xf numFmtId="2" fontId="71" fillId="3" borderId="46" xfId="9" applyNumberFormat="1" applyFont="1" applyFill="1" applyBorder="1" applyAlignment="1">
      <alignment horizontal="center" vertical="center" wrapText="1"/>
    </xf>
    <xf numFmtId="2" fontId="71" fillId="3" borderId="47" xfId="9" applyNumberFormat="1" applyFont="1" applyFill="1" applyBorder="1" applyAlignment="1">
      <alignment horizontal="center" vertical="center" wrapText="1"/>
    </xf>
    <xf numFmtId="0" fontId="71" fillId="3" borderId="46" xfId="9" applyFont="1" applyFill="1" applyBorder="1" applyAlignment="1">
      <alignment horizontal="left" wrapText="1"/>
    </xf>
    <xf numFmtId="0" fontId="71" fillId="3" borderId="47" xfId="9" applyFont="1" applyFill="1" applyBorder="1" applyAlignment="1">
      <alignment horizontal="left" wrapText="1"/>
    </xf>
    <xf numFmtId="2" fontId="71" fillId="3" borderId="47" xfId="9" applyNumberFormat="1" applyFont="1" applyFill="1" applyBorder="1" applyAlignment="1">
      <alignment horizontal="center" vertical="center"/>
    </xf>
    <xf numFmtId="185" fontId="71" fillId="3" borderId="48" xfId="9" applyNumberFormat="1" applyFont="1" applyFill="1" applyBorder="1" applyAlignment="1">
      <alignment horizontal="center" vertical="center" wrapText="1"/>
    </xf>
    <xf numFmtId="0" fontId="71" fillId="3" borderId="0" xfId="9" applyFont="1" applyFill="1" applyAlignment="1">
      <alignment horizontal="center" vertical="top" wrapText="1"/>
    </xf>
    <xf numFmtId="186" fontId="71" fillId="3" borderId="46" xfId="9" applyNumberFormat="1" applyFont="1" applyFill="1" applyBorder="1" applyAlignment="1">
      <alignment horizontal="center" vertical="center" wrapText="1"/>
    </xf>
    <xf numFmtId="185" fontId="71" fillId="3" borderId="49" xfId="9" applyNumberFormat="1" applyFont="1" applyFill="1" applyBorder="1" applyAlignment="1">
      <alignment horizontal="center" vertical="center" wrapText="1"/>
    </xf>
    <xf numFmtId="2" fontId="71" fillId="3" borderId="49" xfId="9" applyNumberFormat="1" applyFont="1" applyFill="1" applyBorder="1" applyAlignment="1">
      <alignment horizontal="center" vertical="center" wrapText="1"/>
    </xf>
    <xf numFmtId="0" fontId="71" fillId="3" borderId="49" xfId="9" applyFont="1" applyFill="1" applyBorder="1" applyAlignment="1">
      <alignment horizontal="left" wrapText="1"/>
    </xf>
    <xf numFmtId="0" fontId="71" fillId="3" borderId="50" xfId="9" applyFont="1" applyFill="1" applyBorder="1" applyAlignment="1">
      <alignment horizontal="center" vertical="center" wrapText="1"/>
    </xf>
    <xf numFmtId="0" fontId="71" fillId="3" borderId="51" xfId="9" applyFont="1" applyFill="1" applyBorder="1" applyAlignment="1">
      <alignment horizontal="center" vertical="center" wrapText="1"/>
    </xf>
    <xf numFmtId="0" fontId="71" fillId="3" borderId="55" xfId="9" applyFont="1" applyFill="1" applyBorder="1" applyAlignment="1">
      <alignment horizontal="center" vertical="center" wrapText="1"/>
    </xf>
    <xf numFmtId="0" fontId="21" fillId="3" borderId="0" xfId="9" applyFill="1"/>
    <xf numFmtId="9" fontId="48" fillId="0" borderId="0" xfId="2" applyFont="1"/>
    <xf numFmtId="173" fontId="71" fillId="3" borderId="46" xfId="9" applyNumberFormat="1" applyFont="1" applyFill="1" applyBorder="1" applyAlignment="1">
      <alignment horizontal="left" wrapText="1"/>
    </xf>
    <xf numFmtId="9" fontId="71" fillId="3" borderId="0" xfId="2" applyFont="1" applyFill="1"/>
    <xf numFmtId="183" fontId="0" fillId="0" borderId="0" xfId="0" applyNumberFormat="1"/>
    <xf numFmtId="0" fontId="73" fillId="0" borderId="0" xfId="9" applyFont="1"/>
    <xf numFmtId="0" fontId="76" fillId="0" borderId="0" xfId="9" applyFont="1" applyAlignment="1">
      <alignment horizontal="left"/>
    </xf>
    <xf numFmtId="186" fontId="73" fillId="0" borderId="0" xfId="9" applyNumberFormat="1" applyFont="1" applyAlignment="1">
      <alignment horizontal="left"/>
    </xf>
    <xf numFmtId="186" fontId="73" fillId="0" borderId="0" xfId="9" applyNumberFormat="1" applyFont="1"/>
    <xf numFmtId="0" fontId="73" fillId="0" borderId="12" xfId="9" applyFont="1" applyBorder="1"/>
    <xf numFmtId="0" fontId="73" fillId="0" borderId="11" xfId="9" applyFont="1" applyBorder="1"/>
    <xf numFmtId="186" fontId="73" fillId="0" borderId="11" xfId="9" applyNumberFormat="1" applyFont="1" applyBorder="1" applyAlignment="1">
      <alignment horizontal="left"/>
    </xf>
    <xf numFmtId="0" fontId="76" fillId="0" borderId="10" xfId="9" applyFont="1" applyBorder="1"/>
    <xf numFmtId="0" fontId="73" fillId="0" borderId="70" xfId="9" applyFont="1" applyBorder="1"/>
    <xf numFmtId="0" fontId="76" fillId="0" borderId="71" xfId="9" applyFont="1" applyBorder="1"/>
    <xf numFmtId="186" fontId="73" fillId="0" borderId="0" xfId="9" applyNumberFormat="1" applyFont="1" applyAlignment="1">
      <alignment horizontal="center"/>
    </xf>
    <xf numFmtId="0" fontId="73" fillId="0" borderId="0" xfId="9" applyFont="1" applyAlignment="1">
      <alignment horizontal="left"/>
    </xf>
    <xf numFmtId="0" fontId="76" fillId="0" borderId="71" xfId="9" applyFont="1" applyBorder="1" applyAlignment="1">
      <alignment horizontal="left"/>
    </xf>
    <xf numFmtId="1" fontId="73" fillId="0" borderId="0" xfId="9" applyNumberFormat="1" applyFont="1"/>
    <xf numFmtId="1" fontId="73" fillId="0" borderId="9" xfId="9" applyNumberFormat="1" applyFont="1" applyBorder="1"/>
    <xf numFmtId="186" fontId="73" fillId="0" borderId="8" xfId="9" applyNumberFormat="1" applyFont="1" applyBorder="1" applyAlignment="1">
      <alignment horizontal="centerContinuous" vertical="center"/>
    </xf>
    <xf numFmtId="0" fontId="73" fillId="0" borderId="8" xfId="9" applyFont="1" applyBorder="1" applyAlignment="1">
      <alignment horizontal="centerContinuous" vertical="center"/>
    </xf>
    <xf numFmtId="0" fontId="76" fillId="0" borderId="7" xfId="9" applyFont="1" applyBorder="1" applyAlignment="1">
      <alignment horizontal="centerContinuous" vertical="center"/>
    </xf>
    <xf numFmtId="0" fontId="76" fillId="0" borderId="0" xfId="9" applyFont="1"/>
    <xf numFmtId="1" fontId="73" fillId="0" borderId="0" xfId="9" applyNumberFormat="1" applyFont="1" applyAlignment="1">
      <alignment horizontal="center" vertical="center"/>
    </xf>
    <xf numFmtId="1" fontId="73" fillId="0" borderId="0" xfId="9" applyNumberFormat="1" applyFont="1" applyAlignment="1">
      <alignment horizontal="right"/>
    </xf>
    <xf numFmtId="186" fontId="73" fillId="33" borderId="0" xfId="9" applyNumberFormat="1" applyFont="1" applyFill="1" applyAlignment="1">
      <alignment horizontal="center"/>
    </xf>
    <xf numFmtId="1" fontId="73" fillId="33" borderId="0" xfId="9" applyNumberFormat="1" applyFont="1" applyFill="1"/>
    <xf numFmtId="0" fontId="76" fillId="33" borderId="0" xfId="9" applyFont="1" applyFill="1" applyAlignment="1">
      <alignment horizontal="left"/>
    </xf>
    <xf numFmtId="186" fontId="76" fillId="33" borderId="44" xfId="9" applyNumberFormat="1" applyFont="1" applyFill="1" applyBorder="1" applyAlignment="1">
      <alignment horizontal="center"/>
    </xf>
    <xf numFmtId="186" fontId="76" fillId="33" borderId="72" xfId="9" applyNumberFormat="1" applyFont="1" applyFill="1" applyBorder="1" applyAlignment="1">
      <alignment horizontal="center"/>
    </xf>
    <xf numFmtId="0" fontId="76" fillId="33" borderId="72" xfId="9" applyFont="1" applyFill="1" applyBorder="1"/>
    <xf numFmtId="186" fontId="76" fillId="33" borderId="44" xfId="9" applyNumberFormat="1" applyFont="1" applyFill="1" applyBorder="1"/>
    <xf numFmtId="186" fontId="73" fillId="3" borderId="48" xfId="9" applyNumberFormat="1" applyFont="1" applyFill="1" applyBorder="1" applyAlignment="1">
      <alignment horizontal="center"/>
    </xf>
    <xf numFmtId="1" fontId="73" fillId="33" borderId="46" xfId="9" applyNumberFormat="1" applyFont="1" applyFill="1" applyBorder="1"/>
    <xf numFmtId="186" fontId="76" fillId="33" borderId="46" xfId="9" applyNumberFormat="1" applyFont="1" applyFill="1" applyBorder="1"/>
    <xf numFmtId="186" fontId="73" fillId="33" borderId="46" xfId="9" applyNumberFormat="1" applyFont="1" applyFill="1" applyBorder="1" applyAlignment="1">
      <alignment horizontal="center"/>
    </xf>
    <xf numFmtId="0" fontId="76" fillId="33" borderId="46" xfId="9" applyFont="1" applyFill="1" applyBorder="1" applyAlignment="1">
      <alignment horizontal="left"/>
    </xf>
    <xf numFmtId="186" fontId="76" fillId="33" borderId="49" xfId="9" applyNumberFormat="1" applyFont="1" applyFill="1" applyBorder="1" applyAlignment="1">
      <alignment horizontal="center"/>
    </xf>
    <xf numFmtId="186" fontId="76" fillId="33" borderId="49" xfId="9" applyNumberFormat="1" applyFont="1" applyFill="1" applyBorder="1"/>
    <xf numFmtId="186" fontId="76" fillId="33" borderId="73" xfId="9" applyNumberFormat="1" applyFont="1" applyFill="1" applyBorder="1" applyAlignment="1">
      <alignment horizontal="center"/>
    </xf>
    <xf numFmtId="0" fontId="76" fillId="33" borderId="73" xfId="9" applyFont="1" applyFill="1" applyBorder="1"/>
    <xf numFmtId="186" fontId="76" fillId="33" borderId="73" xfId="9" applyNumberFormat="1" applyFont="1" applyFill="1" applyBorder="1"/>
    <xf numFmtId="0" fontId="76" fillId="3" borderId="0" xfId="9" applyFont="1" applyFill="1"/>
    <xf numFmtId="186" fontId="73" fillId="3" borderId="46" xfId="9" applyNumberFormat="1" applyFont="1" applyFill="1" applyBorder="1" applyAlignment="1">
      <alignment horizontal="center"/>
    </xf>
    <xf numFmtId="0" fontId="76" fillId="3" borderId="46" xfId="9" applyFont="1" applyFill="1" applyBorder="1" applyAlignment="1">
      <alignment horizontal="left"/>
    </xf>
    <xf numFmtId="186" fontId="73" fillId="0" borderId="46" xfId="9" applyNumberFormat="1" applyFont="1" applyBorder="1" applyAlignment="1">
      <alignment horizontal="center"/>
    </xf>
    <xf numFmtId="186" fontId="73" fillId="0" borderId="48" xfId="9" applyNumberFormat="1" applyFont="1" applyBorder="1" applyAlignment="1">
      <alignment horizontal="center"/>
    </xf>
    <xf numFmtId="1" fontId="73" fillId="0" borderId="46" xfId="9" applyNumberFormat="1" applyFont="1" applyBorder="1"/>
    <xf numFmtId="0" fontId="76" fillId="0" borderId="46" xfId="9" applyFont="1" applyBorder="1" applyAlignment="1">
      <alignment horizontal="left"/>
    </xf>
    <xf numFmtId="186" fontId="73" fillId="33" borderId="44" xfId="9" applyNumberFormat="1" applyFont="1" applyFill="1" applyBorder="1" applyAlignment="1">
      <alignment horizontal="center"/>
    </xf>
    <xf numFmtId="1" fontId="73" fillId="33" borderId="44" xfId="9" applyNumberFormat="1" applyFont="1" applyFill="1" applyBorder="1"/>
    <xf numFmtId="0" fontId="76" fillId="33" borderId="47" xfId="9" applyFont="1" applyFill="1" applyBorder="1" applyAlignment="1">
      <alignment horizontal="left"/>
    </xf>
    <xf numFmtId="0" fontId="73" fillId="33" borderId="46" xfId="9" applyFont="1" applyFill="1" applyBorder="1"/>
    <xf numFmtId="1" fontId="76" fillId="33" borderId="46" xfId="9" applyNumberFormat="1" applyFont="1" applyFill="1" applyBorder="1" applyAlignment="1">
      <alignment horizontal="left"/>
    </xf>
    <xf numFmtId="186" fontId="73" fillId="33" borderId="47" xfId="9" applyNumberFormat="1" applyFont="1" applyFill="1" applyBorder="1" applyAlignment="1">
      <alignment horizontal="center"/>
    </xf>
    <xf numFmtId="186" fontId="73" fillId="33" borderId="49" xfId="9" applyNumberFormat="1" applyFont="1" applyFill="1" applyBorder="1" applyAlignment="1">
      <alignment horizontal="center"/>
    </xf>
    <xf numFmtId="0" fontId="73" fillId="33" borderId="49" xfId="9" applyFont="1" applyFill="1" applyBorder="1"/>
    <xf numFmtId="186" fontId="76" fillId="33" borderId="74" xfId="9" applyNumberFormat="1" applyFont="1" applyFill="1" applyBorder="1" applyAlignment="1">
      <alignment horizontal="center"/>
    </xf>
    <xf numFmtId="186" fontId="73" fillId="33" borderId="27" xfId="9" applyNumberFormat="1" applyFont="1" applyFill="1" applyBorder="1" applyAlignment="1">
      <alignment horizontal="center"/>
    </xf>
    <xf numFmtId="186" fontId="76" fillId="0" borderId="73" xfId="9" applyNumberFormat="1" applyFont="1" applyBorder="1" applyAlignment="1">
      <alignment horizontal="center"/>
    </xf>
    <xf numFmtId="186" fontId="73" fillId="0" borderId="44" xfId="9" applyNumberFormat="1" applyFont="1" applyBorder="1" applyAlignment="1">
      <alignment horizontal="center"/>
    </xf>
    <xf numFmtId="186" fontId="76" fillId="0" borderId="44" xfId="9" applyNumberFormat="1" applyFont="1" applyBorder="1" applyAlignment="1">
      <alignment horizontal="center"/>
    </xf>
    <xf numFmtId="186" fontId="73" fillId="33" borderId="45" xfId="9" applyNumberFormat="1" applyFont="1" applyFill="1" applyBorder="1" applyAlignment="1">
      <alignment horizontal="center"/>
    </xf>
    <xf numFmtId="1" fontId="73" fillId="33" borderId="47" xfId="9" applyNumberFormat="1" applyFont="1" applyFill="1" applyBorder="1"/>
    <xf numFmtId="186" fontId="73" fillId="0" borderId="49" xfId="9" applyNumberFormat="1" applyFont="1" applyBorder="1" applyAlignment="1">
      <alignment horizontal="center"/>
    </xf>
    <xf numFmtId="186" fontId="76" fillId="0" borderId="49" xfId="9" applyNumberFormat="1" applyFont="1" applyBorder="1" applyAlignment="1">
      <alignment horizontal="center"/>
    </xf>
    <xf numFmtId="0" fontId="73" fillId="0" borderId="49" xfId="9" applyFont="1" applyBorder="1"/>
    <xf numFmtId="0" fontId="76" fillId="0" borderId="73" xfId="9" applyFont="1" applyBorder="1"/>
    <xf numFmtId="186" fontId="76" fillId="0" borderId="46" xfId="9" applyNumberFormat="1" applyFont="1" applyBorder="1" applyAlignment="1">
      <alignment horizontal="center"/>
    </xf>
    <xf numFmtId="186" fontId="73" fillId="33" borderId="46" xfId="9" applyNumberFormat="1" applyFont="1" applyFill="1" applyBorder="1"/>
    <xf numFmtId="186" fontId="76" fillId="0" borderId="75" xfId="9" applyNumberFormat="1" applyFont="1" applyBorder="1" applyAlignment="1">
      <alignment horizontal="center"/>
    </xf>
    <xf numFmtId="186" fontId="76" fillId="33" borderId="76" xfId="9" applyNumberFormat="1" applyFont="1" applyFill="1" applyBorder="1" applyAlignment="1">
      <alignment horizontal="center"/>
    </xf>
    <xf numFmtId="186" fontId="76" fillId="0" borderId="77" xfId="9" applyNumberFormat="1" applyFont="1" applyBorder="1" applyAlignment="1">
      <alignment horizontal="center"/>
    </xf>
    <xf numFmtId="0" fontId="76" fillId="0" borderId="77" xfId="9" applyFont="1" applyBorder="1"/>
    <xf numFmtId="186" fontId="76" fillId="33" borderId="76" xfId="9" applyNumberFormat="1" applyFont="1" applyFill="1" applyBorder="1"/>
    <xf numFmtId="186" fontId="76" fillId="33" borderId="75" xfId="9" applyNumberFormat="1" applyFont="1" applyFill="1" applyBorder="1" applyAlignment="1">
      <alignment horizontal="center"/>
    </xf>
    <xf numFmtId="186" fontId="76" fillId="33" borderId="78" xfId="9" applyNumberFormat="1" applyFont="1" applyFill="1" applyBorder="1" applyAlignment="1">
      <alignment horizontal="center"/>
    </xf>
    <xf numFmtId="1" fontId="76" fillId="33" borderId="79" xfId="9" applyNumberFormat="1" applyFont="1" applyFill="1" applyBorder="1"/>
    <xf numFmtId="186" fontId="73" fillId="33" borderId="48" xfId="9" applyNumberFormat="1" applyFont="1" applyFill="1" applyBorder="1" applyAlignment="1">
      <alignment horizontal="center"/>
    </xf>
    <xf numFmtId="1" fontId="73" fillId="0" borderId="47" xfId="9" applyNumberFormat="1" applyFont="1" applyBorder="1"/>
    <xf numFmtId="1" fontId="73" fillId="33" borderId="80" xfId="9" applyNumberFormat="1" applyFont="1" applyFill="1" applyBorder="1"/>
    <xf numFmtId="0" fontId="76" fillId="33" borderId="81" xfId="9" applyFont="1" applyFill="1" applyBorder="1" applyAlignment="1">
      <alignment horizontal="left"/>
    </xf>
    <xf numFmtId="186" fontId="76" fillId="33" borderId="82" xfId="9" applyNumberFormat="1" applyFont="1" applyFill="1" applyBorder="1" applyAlignment="1">
      <alignment horizontal="center"/>
    </xf>
    <xf numFmtId="186" fontId="76" fillId="3" borderId="80" xfId="9" applyNumberFormat="1" applyFont="1" applyFill="1" applyBorder="1" applyAlignment="1">
      <alignment horizontal="center"/>
    </xf>
    <xf numFmtId="186" fontId="76" fillId="33" borderId="81" xfId="9" applyNumberFormat="1" applyFont="1" applyFill="1" applyBorder="1" applyAlignment="1">
      <alignment horizontal="center"/>
    </xf>
    <xf numFmtId="186" fontId="76" fillId="33" borderId="80" xfId="9" applyNumberFormat="1" applyFont="1" applyFill="1" applyBorder="1" applyAlignment="1">
      <alignment horizontal="center"/>
    </xf>
    <xf numFmtId="1" fontId="76" fillId="33" borderId="80" xfId="9" applyNumberFormat="1" applyFont="1" applyFill="1" applyBorder="1" applyAlignment="1">
      <alignment horizontal="center"/>
    </xf>
    <xf numFmtId="0" fontId="76" fillId="33" borderId="81" xfId="9" applyFont="1" applyFill="1" applyBorder="1" applyAlignment="1">
      <alignment horizontal="center"/>
    </xf>
    <xf numFmtId="186" fontId="76" fillId="3" borderId="46" xfId="9" applyNumberFormat="1" applyFont="1" applyFill="1" applyBorder="1" applyAlignment="1">
      <alignment horizontal="center"/>
    </xf>
    <xf numFmtId="186" fontId="76" fillId="33" borderId="47" xfId="9" applyNumberFormat="1" applyFont="1" applyFill="1" applyBorder="1" applyAlignment="1">
      <alignment horizontal="center"/>
    </xf>
    <xf numFmtId="186" fontId="76" fillId="33" borderId="46" xfId="9" applyNumberFormat="1" applyFont="1" applyFill="1" applyBorder="1" applyAlignment="1">
      <alignment horizontal="center"/>
    </xf>
    <xf numFmtId="1" fontId="76" fillId="33" borderId="46" xfId="9" applyNumberFormat="1" applyFont="1" applyFill="1" applyBorder="1" applyAlignment="1">
      <alignment horizontal="center"/>
    </xf>
    <xf numFmtId="0" fontId="76" fillId="33" borderId="47" xfId="9" applyFont="1" applyFill="1" applyBorder="1" applyAlignment="1">
      <alignment horizontal="center"/>
    </xf>
    <xf numFmtId="186" fontId="76" fillId="3" borderId="49" xfId="9" applyNumberFormat="1" applyFont="1" applyFill="1" applyBorder="1" applyAlignment="1">
      <alignment horizontal="center"/>
    </xf>
    <xf numFmtId="186" fontId="76" fillId="33" borderId="27" xfId="9" applyNumberFormat="1" applyFont="1" applyFill="1" applyBorder="1" applyAlignment="1">
      <alignment horizontal="center"/>
    </xf>
    <xf numFmtId="1" fontId="76" fillId="33" borderId="49" xfId="9" applyNumberFormat="1" applyFont="1" applyFill="1" applyBorder="1" applyAlignment="1">
      <alignment horizontal="center"/>
    </xf>
    <xf numFmtId="0" fontId="76" fillId="33" borderId="27" xfId="9" applyFont="1" applyFill="1" applyBorder="1" applyAlignment="1">
      <alignment horizontal="center"/>
    </xf>
    <xf numFmtId="0" fontId="76" fillId="0" borderId="0" xfId="9" applyFont="1" applyAlignment="1">
      <alignment horizontal="right"/>
    </xf>
    <xf numFmtId="0" fontId="76" fillId="0" borderId="0" xfId="9" applyFont="1" applyAlignment="1">
      <alignment horizontal="centerContinuous" vertical="center"/>
    </xf>
    <xf numFmtId="0" fontId="77" fillId="0" borderId="0" xfId="9" applyFont="1" applyAlignment="1">
      <alignment horizontal="centerContinuous" vertical="center"/>
    </xf>
    <xf numFmtId="17" fontId="0" fillId="0" borderId="0" xfId="0" applyNumberFormat="1"/>
    <xf numFmtId="3" fontId="46" fillId="6" borderId="6" xfId="0" applyNumberFormat="1" applyFont="1" applyFill="1" applyBorder="1" applyAlignment="1">
      <alignment horizontal="right" vertical="center" wrapText="1"/>
    </xf>
    <xf numFmtId="3" fontId="46" fillId="4" borderId="6" xfId="0" applyNumberFormat="1" applyFont="1" applyFill="1" applyBorder="1" applyAlignment="1">
      <alignment horizontal="right" vertical="center" wrapText="1"/>
    </xf>
    <xf numFmtId="173" fontId="73" fillId="33" borderId="46" xfId="9" applyNumberFormat="1" applyFont="1" applyFill="1" applyBorder="1"/>
    <xf numFmtId="1" fontId="73" fillId="33" borderId="46" xfId="9" applyNumberFormat="1" applyFont="1" applyFill="1" applyBorder="1" applyAlignment="1">
      <alignment horizontal="center"/>
    </xf>
    <xf numFmtId="1" fontId="73" fillId="0" borderId="46" xfId="9" applyNumberFormat="1" applyFont="1" applyBorder="1" applyAlignment="1">
      <alignment horizontal="center"/>
    </xf>
    <xf numFmtId="1" fontId="73" fillId="3" borderId="46" xfId="9" applyNumberFormat="1" applyFont="1" applyFill="1" applyBorder="1" applyAlignment="1">
      <alignment horizontal="center"/>
    </xf>
    <xf numFmtId="1" fontId="73" fillId="3" borderId="48" xfId="9" applyNumberFormat="1" applyFont="1" applyFill="1" applyBorder="1" applyAlignment="1">
      <alignment horizontal="center"/>
    </xf>
    <xf numFmtId="170" fontId="73" fillId="0" borderId="0" xfId="9" applyNumberFormat="1" applyFont="1"/>
    <xf numFmtId="0" fontId="73" fillId="0" borderId="0" xfId="9" applyFont="1" applyAlignment="1">
      <alignment horizontal="right"/>
    </xf>
    <xf numFmtId="0" fontId="0" fillId="0" borderId="0" xfId="0" applyAlignment="1">
      <alignment horizontal="left" indent="2"/>
    </xf>
    <xf numFmtId="0" fontId="46" fillId="0" borderId="0" xfId="0" applyFont="1"/>
    <xf numFmtId="0" fontId="46" fillId="4" borderId="6" xfId="0" applyFont="1" applyFill="1" applyBorder="1" applyAlignment="1">
      <alignment horizontal="right" vertical="center" wrapText="1"/>
    </xf>
    <xf numFmtId="0" fontId="46" fillId="6" borderId="6" xfId="0" applyFont="1" applyFill="1" applyBorder="1" applyAlignment="1">
      <alignment horizontal="right" vertical="center" wrapText="1"/>
    </xf>
    <xf numFmtId="0" fontId="78" fillId="0" borderId="0" xfId="0" applyFont="1"/>
    <xf numFmtId="0" fontId="9" fillId="7" borderId="0" xfId="0" applyFont="1" applyFill="1"/>
    <xf numFmtId="1" fontId="9" fillId="7" borderId="0" xfId="0" applyNumberFormat="1" applyFont="1" applyFill="1"/>
    <xf numFmtId="0" fontId="9" fillId="30" borderId="74" xfId="0" applyFont="1" applyFill="1" applyBorder="1"/>
    <xf numFmtId="1" fontId="9" fillId="30" borderId="4" xfId="0" applyNumberFormat="1" applyFont="1" applyFill="1" applyBorder="1"/>
    <xf numFmtId="1" fontId="9" fillId="30" borderId="83" xfId="0" applyNumberFormat="1" applyFont="1" applyFill="1" applyBorder="1"/>
    <xf numFmtId="0" fontId="9" fillId="3" borderId="0" xfId="0" applyFont="1" applyFill="1"/>
    <xf numFmtId="9" fontId="9" fillId="7" borderId="0" xfId="2" applyFont="1" applyFill="1"/>
    <xf numFmtId="9" fontId="2" fillId="2" borderId="0" xfId="0" applyNumberFormat="1" applyFont="1" applyFill="1"/>
    <xf numFmtId="0" fontId="79" fillId="0" borderId="0" xfId="0" applyFont="1" applyAlignment="1">
      <alignment wrapText="1"/>
    </xf>
    <xf numFmtId="0" fontId="16" fillId="0" borderId="0" xfId="0" applyFont="1" applyAlignment="1">
      <alignment horizontal="left" wrapText="1"/>
    </xf>
    <xf numFmtId="0" fontId="81" fillId="7" borderId="0" xfId="0" applyFont="1" applyFill="1"/>
    <xf numFmtId="0" fontId="82" fillId="2" borderId="0" xfId="0" applyFont="1" applyFill="1"/>
    <xf numFmtId="0" fontId="2" fillId="2" borderId="37" xfId="0" applyFont="1" applyFill="1" applyBorder="1" applyAlignment="1">
      <alignment horizontal="left"/>
    </xf>
    <xf numFmtId="0" fontId="33" fillId="2" borderId="37" xfId="0" applyFont="1" applyFill="1" applyBorder="1" applyAlignment="1">
      <alignment horizontal="center"/>
    </xf>
    <xf numFmtId="0" fontId="9" fillId="7" borderId="0" xfId="0" applyFont="1" applyFill="1" applyAlignment="1">
      <alignment horizontal="left"/>
    </xf>
    <xf numFmtId="9" fontId="9" fillId="7" borderId="0" xfId="0" applyNumberFormat="1" applyFont="1" applyFill="1"/>
    <xf numFmtId="9" fontId="9" fillId="7" borderId="0" xfId="0" applyNumberFormat="1" applyFont="1" applyFill="1" applyAlignment="1">
      <alignment horizontal="right"/>
    </xf>
    <xf numFmtId="166" fontId="9" fillId="7" borderId="0" xfId="1" applyNumberFormat="1" applyFont="1" applyFill="1" applyAlignment="1"/>
    <xf numFmtId="176" fontId="85" fillId="7" borderId="0" xfId="0" applyNumberFormat="1" applyFont="1" applyFill="1"/>
    <xf numFmtId="9" fontId="31" fillId="7" borderId="0" xfId="0" applyNumberFormat="1" applyFont="1" applyFill="1"/>
    <xf numFmtId="1" fontId="9" fillId="0" borderId="0" xfId="0" applyNumberFormat="1" applyFont="1"/>
    <xf numFmtId="1" fontId="9" fillId="32" borderId="38" xfId="0" applyNumberFormat="1" applyFont="1" applyFill="1" applyBorder="1"/>
    <xf numFmtId="1" fontId="9" fillId="32" borderId="0" xfId="0" applyNumberFormat="1" applyFont="1" applyFill="1"/>
    <xf numFmtId="1" fontId="9" fillId="32" borderId="43" xfId="0" applyNumberFormat="1" applyFont="1" applyFill="1" applyBorder="1"/>
    <xf numFmtId="1" fontId="9" fillId="32" borderId="40" xfId="0" applyNumberFormat="1" applyFont="1" applyFill="1" applyBorder="1"/>
    <xf numFmtId="1" fontId="9" fillId="26" borderId="41" xfId="0" applyNumberFormat="1" applyFont="1" applyFill="1" applyBorder="1"/>
    <xf numFmtId="1" fontId="9" fillId="32" borderId="39" xfId="0" applyNumberFormat="1" applyFont="1" applyFill="1" applyBorder="1"/>
    <xf numFmtId="9" fontId="31" fillId="7" borderId="42" xfId="0" applyNumberFormat="1" applyFont="1" applyFill="1" applyBorder="1"/>
    <xf numFmtId="0" fontId="2" fillId="2" borderId="0" xfId="0" applyFont="1" applyFill="1" applyAlignment="1">
      <alignment vertical="center"/>
    </xf>
    <xf numFmtId="0" fontId="2" fillId="2" borderId="0" xfId="0" applyFont="1" applyFill="1" applyAlignment="1">
      <alignment horizontal="right" vertical="center"/>
    </xf>
    <xf numFmtId="170" fontId="9" fillId="7" borderId="0" xfId="0" applyNumberFormat="1" applyFont="1" applyFill="1"/>
    <xf numFmtId="166" fontId="9" fillId="29" borderId="4" xfId="6" applyNumberFormat="1" applyFont="1" applyFill="1" applyBorder="1" applyAlignment="1"/>
    <xf numFmtId="166" fontId="9" fillId="17" borderId="4" xfId="6" applyNumberFormat="1" applyFont="1" applyFill="1" applyBorder="1" applyAlignment="1"/>
    <xf numFmtId="43" fontId="9" fillId="29" borderId="0" xfId="6" applyFont="1" applyFill="1" applyBorder="1" applyAlignment="1"/>
    <xf numFmtId="43" fontId="9" fillId="18" borderId="0" xfId="6" applyFont="1" applyFill="1" applyBorder="1" applyAlignment="1"/>
    <xf numFmtId="166" fontId="33" fillId="14" borderId="0" xfId="6" applyNumberFormat="1" applyFont="1" applyFill="1" applyBorder="1" applyAlignment="1"/>
    <xf numFmtId="166" fontId="9" fillId="18" borderId="2" xfId="6" applyNumberFormat="1" applyFont="1" applyFill="1" applyBorder="1" applyAlignment="1"/>
    <xf numFmtId="166" fontId="9" fillId="7" borderId="0" xfId="1" applyNumberFormat="1" applyFont="1" applyFill="1"/>
    <xf numFmtId="176" fontId="26" fillId="0" borderId="0" xfId="1" applyNumberFormat="1" applyFont="1" applyAlignment="1">
      <alignment horizontal="right"/>
    </xf>
    <xf numFmtId="9" fontId="0" fillId="11" borderId="0" xfId="2" applyFont="1" applyFill="1"/>
    <xf numFmtId="170" fontId="9" fillId="3" borderId="0" xfId="0" applyNumberFormat="1" applyFont="1" applyFill="1"/>
    <xf numFmtId="166" fontId="2" fillId="2" borderId="0" xfId="1" applyNumberFormat="1" applyFont="1" applyFill="1" applyAlignment="1"/>
    <xf numFmtId="166" fontId="2" fillId="2" borderId="0" xfId="1" applyNumberFormat="1" applyFont="1" applyFill="1"/>
    <xf numFmtId="187" fontId="9" fillId="7" borderId="0" xfId="1" applyNumberFormat="1" applyFont="1" applyFill="1"/>
    <xf numFmtId="0" fontId="2" fillId="2" borderId="27" xfId="0" applyFont="1" applyFill="1" applyBorder="1" applyAlignment="1">
      <alignment vertical="center"/>
    </xf>
    <xf numFmtId="0" fontId="2" fillId="2" borderId="2" xfId="0" applyFont="1" applyFill="1" applyBorder="1" applyAlignment="1">
      <alignment vertical="center"/>
    </xf>
    <xf numFmtId="0" fontId="2" fillId="2" borderId="2" xfId="0" applyFont="1" applyFill="1" applyBorder="1" applyAlignment="1">
      <alignment horizontal="center" vertical="center"/>
    </xf>
    <xf numFmtId="0" fontId="2" fillId="2" borderId="28" xfId="0" applyFont="1" applyFill="1" applyBorder="1" applyAlignment="1">
      <alignment horizontal="center" vertical="center"/>
    </xf>
    <xf numFmtId="0" fontId="9" fillId="7" borderId="29" xfId="0" applyFont="1" applyFill="1" applyBorder="1" applyAlignment="1">
      <alignment vertical="center" wrapText="1"/>
    </xf>
    <xf numFmtId="0" fontId="9" fillId="7" borderId="15" xfId="0" applyFont="1" applyFill="1" applyBorder="1" applyAlignment="1">
      <alignment vertical="center" wrapText="1"/>
    </xf>
    <xf numFmtId="0" fontId="9" fillId="3" borderId="16" xfId="0" applyFont="1" applyFill="1" applyBorder="1" applyAlignment="1">
      <alignment vertical="center" wrapText="1"/>
    </xf>
    <xf numFmtId="0" fontId="9" fillId="3" borderId="17" xfId="0" applyFont="1" applyFill="1" applyBorder="1" applyAlignment="1">
      <alignment vertical="center" wrapText="1"/>
    </xf>
    <xf numFmtId="0" fontId="9" fillId="3" borderId="30" xfId="0" applyFont="1" applyFill="1" applyBorder="1" applyAlignment="1">
      <alignment vertical="center" wrapText="1"/>
    </xf>
    <xf numFmtId="0" fontId="9" fillId="3" borderId="19" xfId="0" applyFont="1" applyFill="1" applyBorder="1" applyAlignment="1">
      <alignment vertical="center" wrapText="1"/>
    </xf>
    <xf numFmtId="0" fontId="9" fillId="3" borderId="20" xfId="0" applyFont="1" applyFill="1" applyBorder="1" applyAlignment="1">
      <alignment vertical="center" wrapText="1"/>
    </xf>
    <xf numFmtId="0" fontId="9" fillId="3" borderId="31" xfId="0" applyFont="1" applyFill="1" applyBorder="1" applyAlignment="1">
      <alignment vertical="center" wrapText="1"/>
    </xf>
    <xf numFmtId="0" fontId="9" fillId="7" borderId="32" xfId="0" applyFont="1" applyFill="1" applyBorder="1" applyAlignment="1">
      <alignment vertical="center" wrapText="1"/>
    </xf>
    <xf numFmtId="0" fontId="9" fillId="7" borderId="33" xfId="0" applyFont="1" applyFill="1" applyBorder="1" applyAlignment="1">
      <alignment vertical="center" wrapText="1"/>
    </xf>
    <xf numFmtId="0" fontId="9" fillId="3" borderId="34" xfId="0" applyFont="1" applyFill="1" applyBorder="1" applyAlignment="1">
      <alignment vertical="center" wrapText="1"/>
    </xf>
    <xf numFmtId="0" fontId="9" fillId="3" borderId="35" xfId="0" applyFont="1" applyFill="1" applyBorder="1" applyAlignment="1">
      <alignment vertical="center" wrapText="1"/>
    </xf>
    <xf numFmtId="0" fontId="9" fillId="3" borderId="36" xfId="0" applyFont="1" applyFill="1" applyBorder="1" applyAlignment="1">
      <alignment vertical="center" wrapText="1"/>
    </xf>
    <xf numFmtId="43" fontId="9" fillId="7" borderId="0" xfId="1" applyFont="1" applyFill="1"/>
    <xf numFmtId="0" fontId="4" fillId="15" borderId="0" xfId="11" applyFont="1" applyFill="1"/>
    <xf numFmtId="0" fontId="86" fillId="15" borderId="0" xfId="11" applyFont="1" applyFill="1"/>
    <xf numFmtId="167" fontId="4" fillId="15" borderId="0" xfId="7" applyNumberFormat="1" applyFont="1" applyFill="1" applyBorder="1"/>
    <xf numFmtId="9" fontId="9" fillId="34" borderId="0" xfId="7" applyFont="1" applyFill="1" applyBorder="1"/>
    <xf numFmtId="9" fontId="9" fillId="19" borderId="0" xfId="7" applyFont="1" applyFill="1" applyBorder="1"/>
    <xf numFmtId="0" fontId="2" fillId="2" borderId="0" xfId="11" applyFont="1" applyFill="1" applyAlignment="1">
      <alignment horizontal="right"/>
    </xf>
    <xf numFmtId="167" fontId="4" fillId="15" borderId="0" xfId="7" applyNumberFormat="1" applyFont="1" applyFill="1" applyBorder="1" applyAlignment="1">
      <alignment horizontal="right"/>
    </xf>
    <xf numFmtId="0" fontId="88" fillId="0" borderId="0" xfId="0" applyFont="1" applyAlignment="1">
      <alignment wrapText="1"/>
    </xf>
    <xf numFmtId="9" fontId="0" fillId="11" borderId="0" xfId="0" applyNumberFormat="1" applyFill="1"/>
    <xf numFmtId="2" fontId="0" fillId="11" borderId="0" xfId="0" applyNumberFormat="1" applyFill="1"/>
    <xf numFmtId="3" fontId="15" fillId="8" borderId="0" xfId="0" applyNumberFormat="1" applyFont="1" applyFill="1"/>
    <xf numFmtId="176" fontId="0" fillId="11" borderId="0" xfId="0" applyNumberFormat="1" applyFill="1"/>
    <xf numFmtId="0" fontId="0" fillId="26" borderId="0" xfId="0" applyFill="1"/>
    <xf numFmtId="3" fontId="0" fillId="26" borderId="0" xfId="0" applyNumberFormat="1" applyFill="1"/>
    <xf numFmtId="9" fontId="0" fillId="26" borderId="0" xfId="0" applyNumberFormat="1" applyFill="1"/>
    <xf numFmtId="10" fontId="16" fillId="8" borderId="0" xfId="2" applyNumberFormat="1" applyFont="1" applyFill="1"/>
    <xf numFmtId="167" fontId="16" fillId="0" borderId="0" xfId="2" applyNumberFormat="1" applyFont="1"/>
    <xf numFmtId="10" fontId="15" fillId="8" borderId="0" xfId="0" applyNumberFormat="1" applyFont="1" applyFill="1"/>
    <xf numFmtId="43" fontId="0" fillId="11" borderId="0" xfId="0" applyNumberFormat="1" applyFill="1"/>
    <xf numFmtId="10" fontId="4" fillId="0" borderId="0" xfId="2" applyNumberFormat="1" applyFont="1" applyFill="1"/>
    <xf numFmtId="10" fontId="4" fillId="0" borderId="0" xfId="1" applyNumberFormat="1" applyFont="1" applyFill="1"/>
    <xf numFmtId="1" fontId="0" fillId="11" borderId="0" xfId="0" applyNumberFormat="1" applyFill="1"/>
    <xf numFmtId="10" fontId="0" fillId="0" borderId="0" xfId="0" applyNumberFormat="1"/>
    <xf numFmtId="2" fontId="31" fillId="2" borderId="0" xfId="0" applyNumberFormat="1" applyFont="1" applyFill="1"/>
    <xf numFmtId="1" fontId="0" fillId="24" borderId="0" xfId="0" applyNumberFormat="1" applyFill="1"/>
    <xf numFmtId="170" fontId="40" fillId="8" borderId="0" xfId="0" applyNumberFormat="1" applyFont="1" applyFill="1"/>
    <xf numFmtId="171" fontId="15" fillId="8" borderId="0" xfId="0" applyNumberFormat="1" applyFont="1" applyFill="1"/>
    <xf numFmtId="1" fontId="0" fillId="21" borderId="0" xfId="0" applyNumberFormat="1" applyFill="1"/>
    <xf numFmtId="180" fontId="0" fillId="0" borderId="0" xfId="0" applyNumberFormat="1"/>
    <xf numFmtId="4" fontId="0" fillId="0" borderId="0" xfId="1" applyNumberFormat="1" applyFont="1" applyFill="1"/>
    <xf numFmtId="4" fontId="0" fillId="0" borderId="0" xfId="12" applyNumberFormat="1" applyFont="1" applyFill="1"/>
    <xf numFmtId="14" fontId="21" fillId="11" borderId="0" xfId="9" applyNumberFormat="1" applyFill="1"/>
    <xf numFmtId="4" fontId="21" fillId="11" borderId="0" xfId="9" applyNumberFormat="1" applyFill="1"/>
    <xf numFmtId="9" fontId="21" fillId="11" borderId="0" xfId="2" applyFont="1" applyFill="1"/>
    <xf numFmtId="2" fontId="21" fillId="11" borderId="0" xfId="9" applyNumberFormat="1" applyFill="1"/>
    <xf numFmtId="1" fontId="21" fillId="11" borderId="0" xfId="9" applyNumberFormat="1" applyFill="1"/>
    <xf numFmtId="10" fontId="53" fillId="15" borderId="0" xfId="8" applyNumberFormat="1" applyFont="1" applyFill="1" applyBorder="1" applyAlignment="1">
      <alignment vertical="center"/>
    </xf>
    <xf numFmtId="0" fontId="89" fillId="14" borderId="0" xfId="0" applyFont="1" applyFill="1" applyAlignment="1">
      <alignment horizontal="right" vertical="center"/>
    </xf>
    <xf numFmtId="1" fontId="9" fillId="30" borderId="0" xfId="0" applyNumberFormat="1" applyFont="1" applyFill="1"/>
    <xf numFmtId="167" fontId="53" fillId="15" borderId="0" xfId="8" applyNumberFormat="1" applyFont="1" applyFill="1" applyBorder="1" applyAlignment="1">
      <alignment vertical="center"/>
    </xf>
    <xf numFmtId="9" fontId="48" fillId="11" borderId="0" xfId="2" applyFont="1" applyFill="1"/>
    <xf numFmtId="0" fontId="48" fillId="11" borderId="0" xfId="0" applyFont="1" applyFill="1"/>
    <xf numFmtId="167" fontId="48" fillId="0" borderId="0" xfId="2" applyNumberFormat="1" applyFont="1"/>
    <xf numFmtId="15" fontId="0" fillId="0" borderId="0" xfId="0" applyNumberFormat="1"/>
    <xf numFmtId="4" fontId="0" fillId="0" borderId="6" xfId="0" applyNumberFormat="1" applyBorder="1" applyAlignment="1">
      <alignment horizontal="right" vertical="center" wrapText="1"/>
    </xf>
    <xf numFmtId="4" fontId="0" fillId="6" borderId="6" xfId="0" applyNumberFormat="1" applyFill="1" applyBorder="1" applyAlignment="1">
      <alignment horizontal="right" vertical="center" wrapText="1"/>
    </xf>
    <xf numFmtId="0" fontId="0" fillId="6" borderId="6" xfId="0" applyFill="1" applyBorder="1" applyAlignment="1">
      <alignment horizontal="right" vertical="center" wrapText="1"/>
    </xf>
    <xf numFmtId="0" fontId="0" fillId="0" borderId="6" xfId="0" applyBorder="1" applyAlignment="1">
      <alignment horizontal="right" vertical="center" wrapText="1"/>
    </xf>
    <xf numFmtId="3" fontId="40" fillId="0" borderId="0" xfId="0" applyNumberFormat="1" applyFont="1"/>
    <xf numFmtId="2" fontId="40" fillId="0" borderId="0" xfId="0" applyNumberFormat="1" applyFont="1"/>
    <xf numFmtId="170" fontId="0" fillId="11" borderId="0" xfId="0" applyNumberFormat="1" applyFill="1"/>
    <xf numFmtId="188" fontId="16" fillId="0" borderId="0" xfId="0" applyNumberFormat="1" applyFont="1"/>
    <xf numFmtId="189" fontId="16" fillId="0" borderId="0" xfId="0" applyNumberFormat="1" applyFont="1"/>
    <xf numFmtId="178" fontId="4" fillId="0" borderId="0" xfId="1" applyNumberFormat="1" applyFont="1" applyFill="1"/>
    <xf numFmtId="170" fontId="25" fillId="2" borderId="0" xfId="0" applyNumberFormat="1" applyFont="1" applyFill="1"/>
    <xf numFmtId="166" fontId="90" fillId="14" borderId="0" xfId="6" applyNumberFormat="1" applyFont="1" applyFill="1" applyBorder="1" applyAlignment="1">
      <alignment horizontal="right"/>
    </xf>
    <xf numFmtId="0" fontId="91" fillId="0" borderId="0" xfId="0" applyFont="1"/>
    <xf numFmtId="166" fontId="92" fillId="14" borderId="0" xfId="6" applyNumberFormat="1" applyFont="1" applyFill="1" applyBorder="1" applyAlignment="1">
      <alignment horizontal="right"/>
    </xf>
    <xf numFmtId="0" fontId="55" fillId="30" borderId="0" xfId="0" applyFont="1" applyFill="1"/>
    <xf numFmtId="0" fontId="55" fillId="30" borderId="82" xfId="0" applyFont="1" applyFill="1" applyBorder="1"/>
    <xf numFmtId="1" fontId="55" fillId="30" borderId="77" xfId="0" applyNumberFormat="1" applyFont="1" applyFill="1" applyBorder="1"/>
    <xf numFmtId="1" fontId="55" fillId="30" borderId="87" xfId="0" applyNumberFormat="1" applyFont="1" applyFill="1" applyBorder="1"/>
    <xf numFmtId="0" fontId="24" fillId="2" borderId="0" xfId="0" applyFont="1" applyFill="1" applyAlignment="1">
      <alignment horizontal="left" vertical="center"/>
    </xf>
    <xf numFmtId="176" fontId="26" fillId="0" borderId="0" xfId="1" applyNumberFormat="1" applyFont="1" applyAlignment="1">
      <alignment horizontal="center" vertical="center"/>
    </xf>
    <xf numFmtId="0" fontId="5" fillId="0" borderId="0" xfId="0" applyFont="1" applyAlignment="1">
      <alignment horizontal="center" vertical="top" wrapText="1"/>
    </xf>
    <xf numFmtId="0" fontId="9" fillId="7" borderId="0" xfId="0" applyFont="1" applyFill="1" applyAlignment="1">
      <alignment horizontal="center" vertical="center" wrapText="1"/>
    </xf>
    <xf numFmtId="0" fontId="28" fillId="0" borderId="0" xfId="9" applyFont="1" applyAlignment="1">
      <alignment horizontal="center"/>
    </xf>
    <xf numFmtId="0" fontId="21" fillId="0" borderId="0" xfId="9"/>
    <xf numFmtId="0" fontId="50" fillId="14" borderId="0" xfId="0" applyFont="1" applyFill="1" applyAlignment="1">
      <alignment horizontal="left" vertical="center"/>
    </xf>
    <xf numFmtId="10" fontId="50" fillId="14" borderId="0" xfId="8" applyNumberFormat="1" applyFont="1" applyFill="1" applyBorder="1" applyAlignment="1">
      <alignment vertical="center"/>
    </xf>
    <xf numFmtId="0" fontId="53" fillId="15" borderId="0" xfId="0" applyFont="1" applyFill="1" applyAlignment="1">
      <alignment horizontal="left" vertical="center"/>
    </xf>
    <xf numFmtId="0" fontId="50" fillId="14" borderId="0" xfId="0" applyFont="1" applyFill="1" applyAlignment="1">
      <alignment horizontal="left" vertical="center" wrapText="1"/>
    </xf>
    <xf numFmtId="0" fontId="51" fillId="14" borderId="0" xfId="0" applyFont="1" applyFill="1" applyAlignment="1">
      <alignment horizontal="center" vertical="center"/>
    </xf>
    <xf numFmtId="183" fontId="50" fillId="14" borderId="0" xfId="6" applyNumberFormat="1" applyFont="1" applyFill="1" applyBorder="1" applyAlignment="1">
      <alignment horizontal="right" vertical="center"/>
    </xf>
    <xf numFmtId="4" fontId="53" fillId="15" borderId="0" xfId="6" applyNumberFormat="1" applyFont="1" applyFill="1" applyBorder="1" applyAlignment="1">
      <alignment horizontal="right" vertical="center"/>
    </xf>
    <xf numFmtId="3" fontId="53" fillId="15" borderId="0" xfId="0" applyNumberFormat="1" applyFont="1" applyFill="1" applyAlignment="1">
      <alignment vertical="center"/>
    </xf>
    <xf numFmtId="0" fontId="2" fillId="2" borderId="0" xfId="0" applyFont="1" applyFill="1" applyAlignment="1">
      <alignment horizontal="center" vertical="center" wrapText="1"/>
    </xf>
    <xf numFmtId="0" fontId="9" fillId="7" borderId="0" xfId="0" applyFont="1" applyFill="1" applyAlignment="1">
      <alignment horizontal="left" wrapText="1"/>
    </xf>
    <xf numFmtId="0" fontId="2" fillId="2" borderId="0" xfId="0" applyFont="1" applyFill="1" applyAlignment="1">
      <alignment horizontal="center" vertical="center"/>
    </xf>
    <xf numFmtId="10" fontId="53" fillId="15" borderId="0" xfId="8" applyNumberFormat="1" applyFont="1" applyFill="1" applyBorder="1" applyAlignment="1">
      <alignment horizontal="right" vertical="center"/>
    </xf>
    <xf numFmtId="9" fontId="31" fillId="0" borderId="84" xfId="7" applyFont="1" applyFill="1" applyBorder="1" applyAlignment="1">
      <alignment horizontal="center" vertical="center" textRotation="90" wrapText="1"/>
    </xf>
    <xf numFmtId="9" fontId="31" fillId="0" borderId="85" xfId="7" applyFont="1" applyFill="1" applyBorder="1" applyAlignment="1">
      <alignment horizontal="center" vertical="center" textRotation="90" wrapText="1"/>
    </xf>
    <xf numFmtId="9" fontId="31" fillId="0" borderId="86" xfId="7" applyFont="1" applyFill="1" applyBorder="1" applyAlignment="1">
      <alignment horizontal="center" vertical="center" textRotation="90" wrapText="1"/>
    </xf>
    <xf numFmtId="0" fontId="2" fillId="2" borderId="0" xfId="11" applyFont="1" applyFill="1" applyAlignment="1">
      <alignment horizontal="left"/>
    </xf>
    <xf numFmtId="9" fontId="31" fillId="0" borderId="84" xfId="7" applyFont="1" applyFill="1" applyBorder="1" applyAlignment="1">
      <alignment horizontal="center" vertical="center" textRotation="90"/>
    </xf>
    <xf numFmtId="9" fontId="31" fillId="0" borderId="85" xfId="7" applyFont="1" applyFill="1" applyBorder="1" applyAlignment="1">
      <alignment horizontal="center" vertical="center" textRotation="90"/>
    </xf>
    <xf numFmtId="9" fontId="31" fillId="0" borderId="86" xfId="7" applyFont="1" applyFill="1" applyBorder="1" applyAlignment="1">
      <alignment horizontal="center" vertical="center" textRotation="90"/>
    </xf>
    <xf numFmtId="0" fontId="79" fillId="0" borderId="0" xfId="0" applyFont="1" applyAlignment="1">
      <alignment horizontal="left" wrapText="1"/>
    </xf>
    <xf numFmtId="0" fontId="58" fillId="2" borderId="0" xfId="0" applyFont="1" applyFill="1" applyAlignment="1">
      <alignment horizontal="center" vertical="center" wrapText="1"/>
    </xf>
    <xf numFmtId="0" fontId="56" fillId="0" borderId="0" xfId="0" applyFont="1" applyAlignment="1">
      <alignment horizontal="left" vertical="top" wrapText="1"/>
    </xf>
    <xf numFmtId="0" fontId="55" fillId="7" borderId="0" xfId="0" applyFont="1" applyFill="1" applyAlignment="1">
      <alignment horizontal="left" wrapText="1"/>
    </xf>
    <xf numFmtId="0" fontId="58" fillId="2" borderId="0" xfId="0" applyFont="1" applyFill="1" applyAlignment="1">
      <alignment horizontal="center" vertical="center"/>
    </xf>
    <xf numFmtId="0" fontId="71" fillId="3" borderId="0" xfId="9" applyFont="1" applyFill="1" applyAlignment="1">
      <alignment horizontal="left" vertical="center" wrapText="1"/>
    </xf>
    <xf numFmtId="0" fontId="71" fillId="3" borderId="51" xfId="9" applyFont="1" applyFill="1" applyBorder="1" applyAlignment="1">
      <alignment horizontal="center" vertical="center" wrapText="1"/>
    </xf>
    <xf numFmtId="0" fontId="71" fillId="3" borderId="60" xfId="9" applyFont="1" applyFill="1" applyBorder="1" applyAlignment="1">
      <alignment horizontal="center" vertical="center" wrapText="1"/>
    </xf>
    <xf numFmtId="0" fontId="71" fillId="3" borderId="54" xfId="9" applyFont="1" applyFill="1" applyBorder="1" applyAlignment="1">
      <alignment horizontal="center" vertical="center" wrapText="1"/>
    </xf>
    <xf numFmtId="0" fontId="71" fillId="3" borderId="59" xfId="9" applyFont="1" applyFill="1" applyBorder="1" applyAlignment="1">
      <alignment horizontal="center" vertical="center" wrapText="1"/>
    </xf>
    <xf numFmtId="0" fontId="71" fillId="3" borderId="63" xfId="9" applyFont="1" applyFill="1" applyBorder="1" applyAlignment="1">
      <alignment horizontal="center" vertical="center" wrapText="1"/>
    </xf>
    <xf numFmtId="0" fontId="71" fillId="3" borderId="58" xfId="9" applyFont="1" applyFill="1" applyBorder="1" applyAlignment="1">
      <alignment horizontal="center" vertical="center" wrapText="1"/>
    </xf>
    <xf numFmtId="0" fontId="71" fillId="3" borderId="50" xfId="9" applyFont="1" applyFill="1" applyBorder="1" applyAlignment="1">
      <alignment horizontal="center" vertical="center" wrapText="1"/>
    </xf>
    <xf numFmtId="0" fontId="71" fillId="3" borderId="57" xfId="9" applyFont="1" applyFill="1" applyBorder="1" applyAlignment="1">
      <alignment horizontal="center" vertical="center" wrapText="1"/>
    </xf>
    <xf numFmtId="0" fontId="71" fillId="3" borderId="53" xfId="9" applyFont="1" applyFill="1" applyBorder="1" applyAlignment="1">
      <alignment horizontal="center" vertical="center" wrapText="1"/>
    </xf>
    <xf numFmtId="0" fontId="72" fillId="3" borderId="0" xfId="9" applyFont="1" applyFill="1" applyAlignment="1">
      <alignment horizontal="center" wrapText="1"/>
    </xf>
    <xf numFmtId="0" fontId="75" fillId="3" borderId="0" xfId="9" applyFont="1" applyFill="1" applyAlignment="1">
      <alignment horizontal="left" wrapText="1"/>
    </xf>
    <xf numFmtId="0" fontId="71" fillId="3" borderId="1" xfId="9" applyFont="1" applyFill="1" applyBorder="1" applyAlignment="1">
      <alignment horizontal="center" wrapText="1"/>
    </xf>
    <xf numFmtId="0" fontId="74" fillId="3" borderId="69" xfId="9" applyFont="1" applyFill="1" applyBorder="1" applyAlignment="1">
      <alignment horizontal="left" wrapText="1"/>
    </xf>
    <xf numFmtId="0" fontId="74" fillId="3" borderId="68" xfId="9" applyFont="1" applyFill="1" applyBorder="1" applyAlignment="1">
      <alignment horizontal="left" wrapText="1"/>
    </xf>
    <xf numFmtId="0" fontId="74" fillId="3" borderId="67" xfId="9" applyFont="1" applyFill="1" applyBorder="1" applyAlignment="1">
      <alignment horizontal="left" wrapText="1"/>
    </xf>
    <xf numFmtId="0" fontId="71" fillId="3" borderId="65" xfId="9" applyFont="1" applyFill="1" applyBorder="1" applyAlignment="1">
      <alignment horizontal="center" vertical="center"/>
    </xf>
    <xf numFmtId="0" fontId="71" fillId="3" borderId="64" xfId="9" applyFont="1" applyFill="1" applyBorder="1" applyAlignment="1">
      <alignment horizontal="center" vertical="center"/>
    </xf>
    <xf numFmtId="0" fontId="71" fillId="3" borderId="62" xfId="9" applyFont="1" applyFill="1" applyBorder="1" applyAlignment="1">
      <alignment horizontal="center" vertical="center"/>
    </xf>
    <xf numFmtId="0" fontId="71" fillId="3" borderId="61" xfId="9" applyFont="1" applyFill="1" applyBorder="1" applyAlignment="1">
      <alignment horizontal="center" vertical="center"/>
    </xf>
    <xf numFmtId="0" fontId="71" fillId="3" borderId="65" xfId="9" applyFont="1" applyFill="1" applyBorder="1" applyAlignment="1">
      <alignment horizontal="center" vertical="center" wrapText="1"/>
    </xf>
    <xf numFmtId="0" fontId="71" fillId="3" borderId="64" xfId="9" applyFont="1" applyFill="1" applyBorder="1" applyAlignment="1">
      <alignment horizontal="center" vertical="center" wrapText="1"/>
    </xf>
    <xf numFmtId="0" fontId="71" fillId="3" borderId="62" xfId="9" applyFont="1" applyFill="1" applyBorder="1" applyAlignment="1">
      <alignment horizontal="center" vertical="center" wrapText="1"/>
    </xf>
    <xf numFmtId="0" fontId="71" fillId="3" borderId="61" xfId="9" applyFont="1" applyFill="1" applyBorder="1" applyAlignment="1">
      <alignment horizontal="center" vertical="center" wrapText="1"/>
    </xf>
    <xf numFmtId="0" fontId="71" fillId="3" borderId="66" xfId="9" applyFont="1" applyFill="1" applyBorder="1" applyAlignment="1">
      <alignment horizontal="center" vertical="center" wrapText="1"/>
    </xf>
    <xf numFmtId="0" fontId="71" fillId="3" borderId="47" xfId="9" applyFont="1" applyFill="1" applyBorder="1" applyAlignment="1">
      <alignment horizontal="center" vertical="center" wrapText="1"/>
    </xf>
    <xf numFmtId="0" fontId="71" fillId="3" borderId="56" xfId="9" applyFont="1" applyFill="1" applyBorder="1" applyAlignment="1">
      <alignment horizontal="center" vertical="center" wrapText="1"/>
    </xf>
    <xf numFmtId="0" fontId="71" fillId="3" borderId="45" xfId="9" applyFont="1" applyFill="1" applyBorder="1" applyAlignment="1">
      <alignment horizontal="center" vertical="center" wrapText="1"/>
    </xf>
    <xf numFmtId="0" fontId="71" fillId="3" borderId="52" xfId="9" applyFont="1" applyFill="1" applyBorder="1" applyAlignment="1">
      <alignment horizontal="center" vertical="center" wrapText="1"/>
    </xf>
  </cellXfs>
  <cellStyles count="13">
    <cellStyle name="Comma" xfId="1" builtinId="3"/>
    <cellStyle name="Comma 2" xfId="12" xr:uid="{00000000-0005-0000-0000-000001000000}"/>
    <cellStyle name="Comma 2 2 2" xfId="6" xr:uid="{00000000-0005-0000-0000-000002000000}"/>
    <cellStyle name="Comma 8" xfId="5" xr:uid="{00000000-0005-0000-0000-000003000000}"/>
    <cellStyle name="Hyperlink" xfId="10" builtinId="8"/>
    <cellStyle name="Normal" xfId="0" builtinId="0"/>
    <cellStyle name="Normal 15" xfId="3" xr:uid="{00000000-0005-0000-0000-000006000000}"/>
    <cellStyle name="Normal 2" xfId="9" xr:uid="{00000000-0005-0000-0000-000007000000}"/>
    <cellStyle name="Normal 4" xfId="11" xr:uid="{00000000-0005-0000-0000-000008000000}"/>
    <cellStyle name="Percent" xfId="2" builtinId="5"/>
    <cellStyle name="Percent 2" xfId="7" xr:uid="{00000000-0005-0000-0000-00000A000000}"/>
    <cellStyle name="Percent 2 2 2 2" xfId="8" xr:uid="{00000000-0005-0000-0000-00000B000000}"/>
    <cellStyle name="Percent 6" xfId="4" xr:uid="{00000000-0005-0000-0000-00000C000000}"/>
  </cellStyles>
  <dxfs count="64">
    <dxf>
      <font>
        <b/>
        <i val="0"/>
        <color theme="1"/>
      </font>
      <fill>
        <patternFill>
          <bgColor theme="9" tint="-0.24994659260841701"/>
        </patternFill>
      </fill>
    </dxf>
    <dxf>
      <font>
        <color theme="1"/>
      </font>
      <fill>
        <patternFill>
          <bgColor rgb="FF92D050"/>
        </patternFill>
      </fill>
    </dxf>
    <dxf>
      <fill>
        <patternFill>
          <bgColor rgb="FFFFFF00"/>
        </patternFill>
      </fill>
    </dxf>
    <dxf>
      <fill>
        <patternFill>
          <bgColor rgb="FFFF0000"/>
        </patternFill>
      </fill>
    </dxf>
    <dxf>
      <font>
        <b/>
        <i val="0"/>
        <color theme="1"/>
      </font>
      <fill>
        <patternFill>
          <bgColor theme="9" tint="-0.24994659260841701"/>
        </patternFill>
      </fill>
    </dxf>
    <dxf>
      <font>
        <color theme="1"/>
      </font>
      <fill>
        <patternFill>
          <bgColor rgb="FF92D050"/>
        </patternFill>
      </fill>
    </dxf>
    <dxf>
      <fill>
        <patternFill>
          <bgColor rgb="FFFFFF00"/>
        </patternFill>
      </fill>
    </dxf>
    <dxf>
      <fill>
        <patternFill>
          <bgColor rgb="FFFF0000"/>
        </patternFill>
      </fill>
    </dxf>
    <dxf>
      <font>
        <b/>
        <i val="0"/>
        <color theme="1"/>
      </font>
      <fill>
        <patternFill>
          <bgColor theme="9" tint="-0.24994659260841701"/>
        </patternFill>
      </fill>
    </dxf>
    <dxf>
      <font>
        <color theme="1"/>
      </font>
      <fill>
        <patternFill>
          <bgColor rgb="FF92D050"/>
        </patternFill>
      </fill>
    </dxf>
    <dxf>
      <fill>
        <patternFill>
          <bgColor rgb="FFFFFF00"/>
        </patternFill>
      </fill>
    </dxf>
    <dxf>
      <fill>
        <patternFill>
          <bgColor rgb="FFFF0000"/>
        </patternFill>
      </fill>
    </dxf>
    <dxf>
      <font>
        <b/>
        <i val="0"/>
        <color theme="1"/>
      </font>
      <fill>
        <patternFill>
          <bgColor theme="9" tint="-0.24994659260841701"/>
        </patternFill>
      </fill>
    </dxf>
    <dxf>
      <font>
        <color theme="1"/>
      </font>
      <fill>
        <patternFill>
          <bgColor rgb="FF92D050"/>
        </patternFill>
      </fill>
    </dxf>
    <dxf>
      <fill>
        <patternFill>
          <bgColor rgb="FFFFFF00"/>
        </patternFill>
      </fill>
    </dxf>
    <dxf>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1"/>
      </font>
      <fill>
        <patternFill>
          <bgColor theme="9" tint="-0.24994659260841701"/>
        </patternFill>
      </fill>
    </dxf>
    <dxf>
      <font>
        <color theme="1"/>
      </font>
      <fill>
        <patternFill>
          <bgColor rgb="FF92D050"/>
        </patternFill>
      </fill>
    </dxf>
    <dxf>
      <fill>
        <patternFill>
          <bgColor rgb="FFFFFF00"/>
        </patternFill>
      </fill>
    </dxf>
    <dxf>
      <fill>
        <patternFill>
          <bgColor rgb="FFFF0000"/>
        </patternFill>
      </fill>
    </dxf>
    <dxf>
      <font>
        <b/>
        <i val="0"/>
        <color theme="1"/>
      </font>
      <fill>
        <patternFill>
          <bgColor theme="9" tint="-0.24994659260841701"/>
        </patternFill>
      </fill>
    </dxf>
    <dxf>
      <font>
        <color theme="1"/>
      </font>
      <fill>
        <patternFill>
          <bgColor rgb="FF92D050"/>
        </patternFill>
      </fill>
    </dxf>
    <dxf>
      <fill>
        <patternFill>
          <bgColor rgb="FFFFFF00"/>
        </patternFill>
      </fill>
    </dxf>
    <dxf>
      <fill>
        <patternFill>
          <bgColor rgb="FFFF0000"/>
        </patternFill>
      </fill>
    </dxf>
    <dxf>
      <font>
        <b/>
        <i val="0"/>
        <color theme="1"/>
      </font>
      <fill>
        <patternFill>
          <bgColor theme="9" tint="-0.24994659260841701"/>
        </patternFill>
      </fill>
    </dxf>
    <dxf>
      <font>
        <color theme="1"/>
      </font>
      <fill>
        <patternFill>
          <bgColor rgb="FF92D050"/>
        </patternFill>
      </fill>
    </dxf>
    <dxf>
      <fill>
        <patternFill>
          <bgColor rgb="FFFFFF00"/>
        </patternFill>
      </fill>
    </dxf>
    <dxf>
      <fill>
        <patternFill>
          <bgColor rgb="FFFF0000"/>
        </patternFill>
      </fill>
    </dxf>
    <dxf>
      <font>
        <b/>
        <i val="0"/>
        <color theme="1"/>
      </font>
      <fill>
        <patternFill>
          <bgColor theme="9" tint="-0.24994659260841701"/>
        </patternFill>
      </fill>
    </dxf>
    <dxf>
      <font>
        <color theme="1"/>
      </font>
      <fill>
        <patternFill>
          <bgColor rgb="FF92D050"/>
        </patternFill>
      </fill>
    </dxf>
    <dxf>
      <fill>
        <patternFill>
          <bgColor rgb="FFFFFF00"/>
        </patternFill>
      </fill>
    </dxf>
    <dxf>
      <fill>
        <patternFill>
          <bgColor rgb="FFFF0000"/>
        </patternFill>
      </fill>
    </dxf>
  </dxfs>
  <tableStyles count="0" defaultTableStyle="TableStyleMedium2" defaultPivotStyle="PivotStyleLight16"/>
  <colors>
    <mruColors>
      <color rgb="FFFFC000"/>
      <color rgb="FF002060"/>
      <color rgb="FFFFD966"/>
      <color rgb="FFFFE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Segment!$A$44</c:f>
              <c:strCache>
                <c:ptCount val="1"/>
                <c:pt idx="0">
                  <c:v>Cables</c:v>
                </c:pt>
              </c:strCache>
            </c:strRef>
          </c:tx>
          <c:spPr>
            <a:solidFill>
              <a:srgbClr val="002060"/>
            </a:solidFill>
            <a:ln>
              <a:noFill/>
            </a:ln>
            <a:effectLst/>
          </c:spPr>
          <c:invertIfNegative val="0"/>
          <c:cat>
            <c:strRef>
              <c:f>Segment!$C$43:$H$43</c:f>
              <c:strCache>
                <c:ptCount val="6"/>
                <c:pt idx="0">
                  <c:v>FY12</c:v>
                </c:pt>
                <c:pt idx="1">
                  <c:v>FY13</c:v>
                </c:pt>
                <c:pt idx="2">
                  <c:v>FY14</c:v>
                </c:pt>
                <c:pt idx="3">
                  <c:v>FY15</c:v>
                </c:pt>
                <c:pt idx="4">
                  <c:v>FY16</c:v>
                </c:pt>
                <c:pt idx="5">
                  <c:v>FY17</c:v>
                </c:pt>
              </c:strCache>
            </c:strRef>
          </c:cat>
          <c:val>
            <c:numRef>
              <c:f>Segment!$C$44:$H$44</c:f>
              <c:numCache>
                <c:formatCode>_(* #,##0_);_(* \(#,##0\);_(* "-"??_);_(@_)</c:formatCode>
                <c:ptCount val="6"/>
                <c:pt idx="0">
                  <c:v>3265.8165319999998</c:v>
                </c:pt>
                <c:pt idx="1">
                  <c:v>3987.2168959999999</c:v>
                </c:pt>
                <c:pt idx="2">
                  <c:v>4231.7150000000001</c:v>
                </c:pt>
                <c:pt idx="3">
                  <c:v>5383.7820000000002</c:v>
                </c:pt>
                <c:pt idx="4">
                  <c:v>4445.652</c:v>
                </c:pt>
                <c:pt idx="5">
                  <c:v>4865.1949999999997</c:v>
                </c:pt>
              </c:numCache>
            </c:numRef>
          </c:val>
          <c:extLst>
            <c:ext xmlns:c16="http://schemas.microsoft.com/office/drawing/2014/chart" uri="{C3380CC4-5D6E-409C-BE32-E72D297353CC}">
              <c16:uniqueId val="{00000000-DE21-42E7-83A2-7C4D422115DC}"/>
            </c:ext>
          </c:extLst>
        </c:ser>
        <c:ser>
          <c:idx val="1"/>
          <c:order val="1"/>
          <c:tx>
            <c:strRef>
              <c:f>Segment!$A$45</c:f>
              <c:strCache>
                <c:ptCount val="1"/>
                <c:pt idx="0">
                  <c:v>PVC Compound</c:v>
                </c:pt>
              </c:strCache>
            </c:strRef>
          </c:tx>
          <c:spPr>
            <a:solidFill>
              <a:srgbClr val="FFC000"/>
            </a:solidFill>
            <a:ln>
              <a:noFill/>
            </a:ln>
            <a:effectLst/>
          </c:spPr>
          <c:invertIfNegative val="0"/>
          <c:cat>
            <c:strRef>
              <c:f>Segment!$C$43:$H$43</c:f>
              <c:strCache>
                <c:ptCount val="6"/>
                <c:pt idx="0">
                  <c:v>FY12</c:v>
                </c:pt>
                <c:pt idx="1">
                  <c:v>FY13</c:v>
                </c:pt>
                <c:pt idx="2">
                  <c:v>FY14</c:v>
                </c:pt>
                <c:pt idx="3">
                  <c:v>FY15</c:v>
                </c:pt>
                <c:pt idx="4">
                  <c:v>FY16</c:v>
                </c:pt>
                <c:pt idx="5">
                  <c:v>FY17</c:v>
                </c:pt>
              </c:strCache>
            </c:strRef>
          </c:cat>
          <c:val>
            <c:numRef>
              <c:f>Segment!$C$45:$H$45</c:f>
              <c:numCache>
                <c:formatCode>_(* #,##0_);_(* \(#,##0\);_(* "-"??_);_(@_)</c:formatCode>
                <c:ptCount val="6"/>
                <c:pt idx="0">
                  <c:v>236.92531299999999</c:v>
                </c:pt>
                <c:pt idx="1">
                  <c:v>140.79247000000001</c:v>
                </c:pt>
                <c:pt idx="2">
                  <c:v>272.60000000000002</c:v>
                </c:pt>
                <c:pt idx="3">
                  <c:v>139.32599999999999</c:v>
                </c:pt>
                <c:pt idx="4">
                  <c:v>171.249</c:v>
                </c:pt>
                <c:pt idx="5">
                  <c:v>100.108</c:v>
                </c:pt>
              </c:numCache>
            </c:numRef>
          </c:val>
          <c:extLst>
            <c:ext xmlns:c16="http://schemas.microsoft.com/office/drawing/2014/chart" uri="{C3380CC4-5D6E-409C-BE32-E72D297353CC}">
              <c16:uniqueId val="{00000001-DE21-42E7-83A2-7C4D422115DC}"/>
            </c:ext>
          </c:extLst>
        </c:ser>
        <c:ser>
          <c:idx val="2"/>
          <c:order val="2"/>
          <c:tx>
            <c:strRef>
              <c:f>Segment!$A$46</c:f>
              <c:strCache>
                <c:ptCount val="1"/>
                <c:pt idx="0">
                  <c:v>Other</c:v>
                </c:pt>
              </c:strCache>
            </c:strRef>
          </c:tx>
          <c:spPr>
            <a:solidFill>
              <a:schemeClr val="bg1">
                <a:lumMod val="85000"/>
              </a:schemeClr>
            </a:solidFill>
            <a:ln>
              <a:noFill/>
            </a:ln>
            <a:effectLst/>
          </c:spPr>
          <c:invertIfNegative val="0"/>
          <c:cat>
            <c:strRef>
              <c:f>Segment!$C$43:$H$43</c:f>
              <c:strCache>
                <c:ptCount val="6"/>
                <c:pt idx="0">
                  <c:v>FY12</c:v>
                </c:pt>
                <c:pt idx="1">
                  <c:v>FY13</c:v>
                </c:pt>
                <c:pt idx="2">
                  <c:v>FY14</c:v>
                </c:pt>
                <c:pt idx="3">
                  <c:v>FY15</c:v>
                </c:pt>
                <c:pt idx="4">
                  <c:v>FY16</c:v>
                </c:pt>
                <c:pt idx="5">
                  <c:v>FY17</c:v>
                </c:pt>
              </c:strCache>
            </c:strRef>
          </c:cat>
          <c:val>
            <c:numRef>
              <c:f>Segment!$C$46:$H$46</c:f>
              <c:numCache>
                <c:formatCode>_(* #,##0_);_(* \(#,##0\);_(* "-"??_);_(@_)</c:formatCode>
                <c:ptCount val="6"/>
                <c:pt idx="0">
                  <c:v>104.56943</c:v>
                </c:pt>
                <c:pt idx="1">
                  <c:v>372.46686299999999</c:v>
                </c:pt>
                <c:pt idx="2">
                  <c:v>693.63199999999995</c:v>
                </c:pt>
                <c:pt idx="3">
                  <c:v>2279.4470000000001</c:v>
                </c:pt>
                <c:pt idx="4">
                  <c:v>1280.692</c:v>
                </c:pt>
                <c:pt idx="5">
                  <c:v>1129.4449999999999</c:v>
                </c:pt>
              </c:numCache>
            </c:numRef>
          </c:val>
          <c:extLst>
            <c:ext xmlns:c16="http://schemas.microsoft.com/office/drawing/2014/chart" uri="{C3380CC4-5D6E-409C-BE32-E72D297353CC}">
              <c16:uniqueId val="{00000002-DE21-42E7-83A2-7C4D422115DC}"/>
            </c:ext>
          </c:extLst>
        </c:ser>
        <c:dLbls>
          <c:showLegendKey val="0"/>
          <c:showVal val="0"/>
          <c:showCatName val="0"/>
          <c:showSerName val="0"/>
          <c:showPercent val="0"/>
          <c:showBubbleSize val="0"/>
        </c:dLbls>
        <c:gapWidth val="75"/>
        <c:overlap val="100"/>
        <c:axId val="111236608"/>
        <c:axId val="111238144"/>
      </c:barChart>
      <c:catAx>
        <c:axId val="11123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38144"/>
        <c:crosses val="autoZero"/>
        <c:auto val="1"/>
        <c:lblAlgn val="ctr"/>
        <c:lblOffset val="100"/>
        <c:noMultiLvlLbl val="0"/>
      </c:catAx>
      <c:valAx>
        <c:axId val="111238144"/>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36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002060"/>
              </a:solidFill>
              <a:ln w="19050">
                <a:solidFill>
                  <a:schemeClr val="lt1"/>
                </a:solidFill>
              </a:ln>
              <a:effectLst/>
            </c:spPr>
            <c:extLst>
              <c:ext xmlns:c16="http://schemas.microsoft.com/office/drawing/2014/chart" uri="{C3380CC4-5D6E-409C-BE32-E72D297353CC}">
                <c16:uniqueId val="{00000001-A1EF-4787-8B0E-D8A21722602D}"/>
              </c:ext>
            </c:extLst>
          </c:dPt>
          <c:dPt>
            <c:idx val="1"/>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3-A1EF-4787-8B0E-D8A21722602D}"/>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A1EF-4787-8B0E-D8A2172260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Segment!$A$44:$A$46</c:f>
              <c:strCache>
                <c:ptCount val="3"/>
                <c:pt idx="0">
                  <c:v>Cables</c:v>
                </c:pt>
                <c:pt idx="1">
                  <c:v>PVC Compound</c:v>
                </c:pt>
                <c:pt idx="2">
                  <c:v>Other</c:v>
                </c:pt>
              </c:strCache>
            </c:strRef>
          </c:cat>
          <c:val>
            <c:numRef>
              <c:f>Segment!$H$44:$H$46</c:f>
              <c:numCache>
                <c:formatCode>_(* #,##0_);_(* \(#,##0\);_(* "-"??_);_(@_)</c:formatCode>
                <c:ptCount val="3"/>
                <c:pt idx="0">
                  <c:v>4865.1949999999997</c:v>
                </c:pt>
                <c:pt idx="1">
                  <c:v>100.108</c:v>
                </c:pt>
                <c:pt idx="2">
                  <c:v>1129.4449999999999</c:v>
                </c:pt>
              </c:numCache>
            </c:numRef>
          </c:val>
          <c:extLst>
            <c:ext xmlns:c16="http://schemas.microsoft.com/office/drawing/2014/chart" uri="{C3380CC4-5D6E-409C-BE32-E72D297353CC}">
              <c16:uniqueId val="{00000006-A1EF-4787-8B0E-D8A21722602D}"/>
            </c:ext>
          </c:extLst>
        </c:ser>
        <c:dLbls>
          <c:showLegendKey val="0"/>
          <c:showVal val="1"/>
          <c:showCatName val="0"/>
          <c:showSerName val="0"/>
          <c:showPercent val="0"/>
          <c:showBubbleSize val="0"/>
          <c:showLeaderLines val="1"/>
        </c:dLbls>
        <c:firstSliceAng val="0"/>
        <c:holeSize val="4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Segment!$J$44</c:f>
              <c:strCache>
                <c:ptCount val="1"/>
                <c:pt idx="0">
                  <c:v>Cables</c:v>
                </c:pt>
              </c:strCache>
            </c:strRef>
          </c:tx>
          <c:spPr>
            <a:ln w="28575" cap="rnd">
              <a:solidFill>
                <a:srgbClr val="002060"/>
              </a:solidFill>
              <a:round/>
            </a:ln>
            <a:effectLst/>
          </c:spPr>
          <c:marker>
            <c:symbol val="none"/>
          </c:marker>
          <c:cat>
            <c:strRef>
              <c:f>Segment!$L$43:$Q$43</c:f>
              <c:strCache>
                <c:ptCount val="6"/>
                <c:pt idx="0">
                  <c:v>FY12</c:v>
                </c:pt>
                <c:pt idx="1">
                  <c:v>FY13</c:v>
                </c:pt>
                <c:pt idx="2">
                  <c:v>FY14</c:v>
                </c:pt>
                <c:pt idx="3">
                  <c:v>FY15</c:v>
                </c:pt>
                <c:pt idx="4">
                  <c:v>FY16</c:v>
                </c:pt>
                <c:pt idx="5">
                  <c:v>FY17</c:v>
                </c:pt>
              </c:strCache>
            </c:strRef>
          </c:cat>
          <c:val>
            <c:numRef>
              <c:f>Segment!$L$44:$Q$44</c:f>
              <c:numCache>
                <c:formatCode>0%</c:formatCode>
                <c:ptCount val="6"/>
                <c:pt idx="0">
                  <c:v>9.2547936606280939E-2</c:v>
                </c:pt>
                <c:pt idx="1">
                  <c:v>4.5450154976776173E-2</c:v>
                </c:pt>
                <c:pt idx="2">
                  <c:v>3.8425160733044042E-2</c:v>
                </c:pt>
                <c:pt idx="3">
                  <c:v>0.10294910426455975</c:v>
                </c:pt>
                <c:pt idx="4">
                  <c:v>9.9301421419601854E-2</c:v>
                </c:pt>
                <c:pt idx="5">
                  <c:v>0.11330230210162648</c:v>
                </c:pt>
              </c:numCache>
            </c:numRef>
          </c:val>
          <c:smooth val="0"/>
          <c:extLst>
            <c:ext xmlns:c16="http://schemas.microsoft.com/office/drawing/2014/chart" uri="{C3380CC4-5D6E-409C-BE32-E72D297353CC}">
              <c16:uniqueId val="{00000000-51FE-4421-912B-60DC375691D3}"/>
            </c:ext>
          </c:extLst>
        </c:ser>
        <c:ser>
          <c:idx val="1"/>
          <c:order val="1"/>
          <c:tx>
            <c:strRef>
              <c:f>Segment!$J$45</c:f>
              <c:strCache>
                <c:ptCount val="1"/>
                <c:pt idx="0">
                  <c:v>PVC Compound</c:v>
                </c:pt>
              </c:strCache>
            </c:strRef>
          </c:tx>
          <c:spPr>
            <a:ln w="28575" cap="rnd">
              <a:solidFill>
                <a:srgbClr val="FFC000"/>
              </a:solidFill>
              <a:round/>
            </a:ln>
            <a:effectLst/>
          </c:spPr>
          <c:marker>
            <c:symbol val="none"/>
          </c:marker>
          <c:cat>
            <c:strRef>
              <c:f>Segment!$L$43:$Q$43</c:f>
              <c:strCache>
                <c:ptCount val="6"/>
                <c:pt idx="0">
                  <c:v>FY12</c:v>
                </c:pt>
                <c:pt idx="1">
                  <c:v>FY13</c:v>
                </c:pt>
                <c:pt idx="2">
                  <c:v>FY14</c:v>
                </c:pt>
                <c:pt idx="3">
                  <c:v>FY15</c:v>
                </c:pt>
                <c:pt idx="4">
                  <c:v>FY16</c:v>
                </c:pt>
                <c:pt idx="5">
                  <c:v>FY17</c:v>
                </c:pt>
              </c:strCache>
            </c:strRef>
          </c:cat>
          <c:val>
            <c:numRef>
              <c:f>Segment!$L$45:$Q$45</c:f>
              <c:numCache>
                <c:formatCode>0%</c:formatCode>
                <c:ptCount val="6"/>
                <c:pt idx="0">
                  <c:v>0.34334295822910166</c:v>
                </c:pt>
                <c:pt idx="1">
                  <c:v>0.18653418061370333</c:v>
                </c:pt>
                <c:pt idx="2">
                  <c:v>0.47586211123778716</c:v>
                </c:pt>
                <c:pt idx="3">
                  <c:v>0.24410496259203721</c:v>
                </c:pt>
                <c:pt idx="4">
                  <c:v>0.38108225468185558</c:v>
                </c:pt>
                <c:pt idx="5">
                  <c:v>0.25048058325532779</c:v>
                </c:pt>
              </c:numCache>
            </c:numRef>
          </c:val>
          <c:smooth val="0"/>
          <c:extLst>
            <c:ext xmlns:c16="http://schemas.microsoft.com/office/drawing/2014/chart" uri="{C3380CC4-5D6E-409C-BE32-E72D297353CC}">
              <c16:uniqueId val="{00000001-51FE-4421-912B-60DC375691D3}"/>
            </c:ext>
          </c:extLst>
        </c:ser>
        <c:ser>
          <c:idx val="2"/>
          <c:order val="2"/>
          <c:tx>
            <c:strRef>
              <c:f>Segment!$J$46</c:f>
              <c:strCache>
                <c:ptCount val="1"/>
                <c:pt idx="0">
                  <c:v>Other</c:v>
                </c:pt>
              </c:strCache>
            </c:strRef>
          </c:tx>
          <c:spPr>
            <a:ln w="28575" cap="rnd">
              <a:solidFill>
                <a:schemeClr val="bg1">
                  <a:lumMod val="75000"/>
                </a:schemeClr>
              </a:solidFill>
              <a:round/>
            </a:ln>
            <a:effectLst/>
          </c:spPr>
          <c:marker>
            <c:symbol val="none"/>
          </c:marker>
          <c:cat>
            <c:strRef>
              <c:f>Segment!$L$43:$Q$43</c:f>
              <c:strCache>
                <c:ptCount val="6"/>
                <c:pt idx="0">
                  <c:v>FY12</c:v>
                </c:pt>
                <c:pt idx="1">
                  <c:v>FY13</c:v>
                </c:pt>
                <c:pt idx="2">
                  <c:v>FY14</c:v>
                </c:pt>
                <c:pt idx="3">
                  <c:v>FY15</c:v>
                </c:pt>
                <c:pt idx="4">
                  <c:v>FY16</c:v>
                </c:pt>
                <c:pt idx="5">
                  <c:v>FY17</c:v>
                </c:pt>
              </c:strCache>
            </c:strRef>
          </c:cat>
          <c:val>
            <c:numRef>
              <c:f>Segment!$L$46:$Q$46</c:f>
              <c:numCache>
                <c:formatCode>0%</c:formatCode>
                <c:ptCount val="6"/>
                <c:pt idx="0">
                  <c:v>0.72210667247283089</c:v>
                </c:pt>
                <c:pt idx="1">
                  <c:v>1.457435720246244</c:v>
                </c:pt>
                <c:pt idx="2">
                  <c:v>0.32875194395507429</c:v>
                </c:pt>
                <c:pt idx="3">
                  <c:v>-1.1328263946862118</c:v>
                </c:pt>
                <c:pt idx="4">
                  <c:v>0.42364477783272758</c:v>
                </c:pt>
                <c:pt idx="5">
                  <c:v>0.24544394282867524</c:v>
                </c:pt>
              </c:numCache>
            </c:numRef>
          </c:val>
          <c:smooth val="0"/>
          <c:extLst>
            <c:ext xmlns:c16="http://schemas.microsoft.com/office/drawing/2014/chart" uri="{C3380CC4-5D6E-409C-BE32-E72D297353CC}">
              <c16:uniqueId val="{00000002-51FE-4421-912B-60DC375691D3}"/>
            </c:ext>
          </c:extLst>
        </c:ser>
        <c:dLbls>
          <c:showLegendKey val="0"/>
          <c:showVal val="0"/>
          <c:showCatName val="0"/>
          <c:showSerName val="0"/>
          <c:showPercent val="0"/>
          <c:showBubbleSize val="0"/>
        </c:dLbls>
        <c:smooth val="0"/>
        <c:axId val="111562752"/>
        <c:axId val="111564288"/>
      </c:lineChart>
      <c:catAx>
        <c:axId val="11156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564288"/>
        <c:crosses val="autoZero"/>
        <c:auto val="1"/>
        <c:lblAlgn val="ctr"/>
        <c:lblOffset val="100"/>
        <c:noMultiLvlLbl val="0"/>
      </c:catAx>
      <c:valAx>
        <c:axId val="11156428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562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694085114360701E-2"/>
          <c:y val="5.4522924411400248E-2"/>
          <c:w val="0.84063484251968501"/>
          <c:h val="0.76171803803334992"/>
        </c:manualLayout>
      </c:layout>
      <c:barChart>
        <c:barDir val="bar"/>
        <c:grouping val="percentStacked"/>
        <c:varyColors val="0"/>
        <c:ser>
          <c:idx val="0"/>
          <c:order val="0"/>
          <c:tx>
            <c:strRef>
              <c:f>Segment!$A$55</c:f>
              <c:strCache>
                <c:ptCount val="1"/>
                <c:pt idx="0">
                  <c:v>Local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Segment!$C$49:$H$49</c:f>
              <c:strCache>
                <c:ptCount val="6"/>
                <c:pt idx="0">
                  <c:v>FY12</c:v>
                </c:pt>
                <c:pt idx="1">
                  <c:v>FY13</c:v>
                </c:pt>
                <c:pt idx="2">
                  <c:v>FY14</c:v>
                </c:pt>
                <c:pt idx="3">
                  <c:v>FY15</c:v>
                </c:pt>
                <c:pt idx="4">
                  <c:v>FY16</c:v>
                </c:pt>
                <c:pt idx="5">
                  <c:v>FY17</c:v>
                </c:pt>
              </c:strCache>
            </c:strRef>
          </c:cat>
          <c:val>
            <c:numRef>
              <c:f>Segment!$C$55:$H$55</c:f>
              <c:numCache>
                <c:formatCode>0%</c:formatCode>
                <c:ptCount val="6"/>
                <c:pt idx="0">
                  <c:v>0.85466974397686557</c:v>
                </c:pt>
                <c:pt idx="1">
                  <c:v>0.87483154578811495</c:v>
                </c:pt>
                <c:pt idx="2">
                  <c:v>0.82555830584836265</c:v>
                </c:pt>
                <c:pt idx="3">
                  <c:v>0.84849260107757296</c:v>
                </c:pt>
                <c:pt idx="4">
                  <c:v>0.90827207454962933</c:v>
                </c:pt>
                <c:pt idx="5">
                  <c:v>0.87773003397811888</c:v>
                </c:pt>
              </c:numCache>
            </c:numRef>
          </c:val>
          <c:extLst>
            <c:ext xmlns:c16="http://schemas.microsoft.com/office/drawing/2014/chart" uri="{C3380CC4-5D6E-409C-BE32-E72D297353CC}">
              <c16:uniqueId val="{00000000-2F12-4075-98EB-F02542EC0D11}"/>
            </c:ext>
          </c:extLst>
        </c:ser>
        <c:ser>
          <c:idx val="1"/>
          <c:order val="1"/>
          <c:tx>
            <c:strRef>
              <c:f>Segment!$A$56</c:f>
              <c:strCache>
                <c:ptCount val="1"/>
                <c:pt idx="0">
                  <c:v>Export</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Segment!$C$49:$H$49</c:f>
              <c:strCache>
                <c:ptCount val="6"/>
                <c:pt idx="0">
                  <c:v>FY12</c:v>
                </c:pt>
                <c:pt idx="1">
                  <c:v>FY13</c:v>
                </c:pt>
                <c:pt idx="2">
                  <c:v>FY14</c:v>
                </c:pt>
                <c:pt idx="3">
                  <c:v>FY15</c:v>
                </c:pt>
                <c:pt idx="4">
                  <c:v>FY16</c:v>
                </c:pt>
                <c:pt idx="5">
                  <c:v>FY17</c:v>
                </c:pt>
              </c:strCache>
            </c:strRef>
          </c:cat>
          <c:val>
            <c:numRef>
              <c:f>Segment!$C$56:$H$56</c:f>
              <c:numCache>
                <c:formatCode>0%</c:formatCode>
                <c:ptCount val="6"/>
                <c:pt idx="0">
                  <c:v>0.14533025602313446</c:v>
                </c:pt>
                <c:pt idx="1">
                  <c:v>0.12516845421188502</c:v>
                </c:pt>
                <c:pt idx="2">
                  <c:v>0.17444169415163738</c:v>
                </c:pt>
                <c:pt idx="3">
                  <c:v>0.15150739892242698</c:v>
                </c:pt>
                <c:pt idx="4">
                  <c:v>9.1727925450370715E-2</c:v>
                </c:pt>
                <c:pt idx="5">
                  <c:v>0.1222699660218811</c:v>
                </c:pt>
              </c:numCache>
            </c:numRef>
          </c:val>
          <c:extLst>
            <c:ext xmlns:c16="http://schemas.microsoft.com/office/drawing/2014/chart" uri="{C3380CC4-5D6E-409C-BE32-E72D297353CC}">
              <c16:uniqueId val="{00000001-2F12-4075-98EB-F02542EC0D11}"/>
            </c:ext>
          </c:extLst>
        </c:ser>
        <c:dLbls>
          <c:showLegendKey val="0"/>
          <c:showVal val="1"/>
          <c:showCatName val="0"/>
          <c:showSerName val="0"/>
          <c:showPercent val="0"/>
          <c:showBubbleSize val="0"/>
        </c:dLbls>
        <c:gapWidth val="75"/>
        <c:overlap val="100"/>
        <c:axId val="111600384"/>
        <c:axId val="111601920"/>
      </c:barChart>
      <c:catAx>
        <c:axId val="1116003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601920"/>
        <c:crosses val="autoZero"/>
        <c:auto val="1"/>
        <c:lblAlgn val="ctr"/>
        <c:lblOffset val="100"/>
        <c:noMultiLvlLbl val="0"/>
      </c:catAx>
      <c:valAx>
        <c:axId val="11160192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600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Comps!$B$48</c:f>
              <c:strCache>
                <c:ptCount val="1"/>
                <c:pt idx="0">
                  <c:v>ACL</c:v>
                </c:pt>
              </c:strCache>
            </c:strRef>
          </c:tx>
          <c:spPr>
            <a:solidFill>
              <a:srgbClr val="002060"/>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Comps!$C$47:$G$47</c:f>
              <c:strCache>
                <c:ptCount val="5"/>
                <c:pt idx="0">
                  <c:v> FY12 </c:v>
                </c:pt>
                <c:pt idx="1">
                  <c:v> FY13 </c:v>
                </c:pt>
                <c:pt idx="2">
                  <c:v> FY14 </c:v>
                </c:pt>
                <c:pt idx="3">
                  <c:v> FY15 </c:v>
                </c:pt>
                <c:pt idx="4">
                  <c:v> FY16 </c:v>
                </c:pt>
              </c:strCache>
            </c:strRef>
          </c:cat>
          <c:val>
            <c:numRef>
              <c:f>Comps!$C$48:$G$48</c:f>
              <c:numCache>
                <c:formatCode>0.00</c:formatCode>
                <c:ptCount val="5"/>
                <c:pt idx="0">
                  <c:v>0.35</c:v>
                </c:pt>
                <c:pt idx="1">
                  <c:v>0.50000267140038812</c:v>
                </c:pt>
                <c:pt idx="2">
                  <c:v>0.50000267140038812</c:v>
                </c:pt>
                <c:pt idx="3">
                  <c:v>0.50000267140038812</c:v>
                </c:pt>
                <c:pt idx="4">
                  <c:v>1</c:v>
                </c:pt>
              </c:numCache>
            </c:numRef>
          </c:val>
          <c:extLst>
            <c:ext xmlns:c16="http://schemas.microsoft.com/office/drawing/2014/chart" uri="{C3380CC4-5D6E-409C-BE32-E72D297353CC}">
              <c16:uniqueId val="{00000000-A2C6-4E72-BE6F-07951ACF8AB0}"/>
            </c:ext>
          </c:extLst>
        </c:ser>
        <c:ser>
          <c:idx val="1"/>
          <c:order val="1"/>
          <c:tx>
            <c:strRef>
              <c:f>Comps!$B$49</c:f>
              <c:strCache>
                <c:ptCount val="1"/>
                <c:pt idx="0">
                  <c:v>SIRA</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Comps!$C$47:$G$47</c:f>
              <c:strCache>
                <c:ptCount val="5"/>
                <c:pt idx="0">
                  <c:v> FY12 </c:v>
                </c:pt>
                <c:pt idx="1">
                  <c:v> FY13 </c:v>
                </c:pt>
                <c:pt idx="2">
                  <c:v> FY14 </c:v>
                </c:pt>
                <c:pt idx="3">
                  <c:v> FY15 </c:v>
                </c:pt>
                <c:pt idx="4">
                  <c:v> FY16 </c:v>
                </c:pt>
              </c:strCache>
            </c:strRef>
          </c:cat>
          <c:val>
            <c:numRef>
              <c:f>Comps!$C$49:$G$49</c:f>
              <c:numCache>
                <c:formatCode>0.00</c:formatCode>
                <c:ptCount val="5"/>
                <c:pt idx="0">
                  <c:v>0.1</c:v>
                </c:pt>
                <c:pt idx="1">
                  <c:v>0</c:v>
                </c:pt>
                <c:pt idx="2">
                  <c:v>0</c:v>
                </c:pt>
                <c:pt idx="3">
                  <c:v>0.2</c:v>
                </c:pt>
                <c:pt idx="4">
                  <c:v>0</c:v>
                </c:pt>
              </c:numCache>
            </c:numRef>
          </c:val>
          <c:extLst>
            <c:ext xmlns:c16="http://schemas.microsoft.com/office/drawing/2014/chart" uri="{C3380CC4-5D6E-409C-BE32-E72D297353CC}">
              <c16:uniqueId val="{00000001-A2C6-4E72-BE6F-07951ACF8AB0}"/>
            </c:ext>
          </c:extLst>
        </c:ser>
        <c:dLbls>
          <c:showLegendKey val="0"/>
          <c:showVal val="1"/>
          <c:showCatName val="0"/>
          <c:showSerName val="0"/>
          <c:showPercent val="0"/>
          <c:showBubbleSize val="0"/>
        </c:dLbls>
        <c:gapWidth val="75"/>
        <c:overlap val="-27"/>
        <c:axId val="114030464"/>
        <c:axId val="114032000"/>
      </c:barChart>
      <c:catAx>
        <c:axId val="114030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32000"/>
        <c:crosses val="autoZero"/>
        <c:auto val="1"/>
        <c:lblAlgn val="ctr"/>
        <c:lblOffset val="100"/>
        <c:noMultiLvlLbl val="0"/>
      </c:catAx>
      <c:valAx>
        <c:axId val="11403200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30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Comps!$B$51</c:f>
              <c:strCache>
                <c:ptCount val="1"/>
                <c:pt idx="0">
                  <c:v>ACL</c:v>
                </c:pt>
              </c:strCache>
            </c:strRef>
          </c:tx>
          <c:spPr>
            <a:solidFill>
              <a:srgbClr val="002060"/>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Comps!$C$47:$G$47</c:f>
              <c:strCache>
                <c:ptCount val="5"/>
                <c:pt idx="0">
                  <c:v> FY12 </c:v>
                </c:pt>
                <c:pt idx="1">
                  <c:v> FY13 </c:v>
                </c:pt>
                <c:pt idx="2">
                  <c:v> FY14 </c:v>
                </c:pt>
                <c:pt idx="3">
                  <c:v> FY15 </c:v>
                </c:pt>
                <c:pt idx="4">
                  <c:v> FY16 </c:v>
                </c:pt>
              </c:strCache>
            </c:strRef>
          </c:cat>
          <c:val>
            <c:numRef>
              <c:f>Comps!$C$51:$G$51</c:f>
              <c:numCache>
                <c:formatCode>0.00</c:formatCode>
                <c:ptCount val="5"/>
                <c:pt idx="0">
                  <c:v>6.6598740932343174</c:v>
                </c:pt>
                <c:pt idx="1">
                  <c:v>6.2475955493257764</c:v>
                </c:pt>
                <c:pt idx="2">
                  <c:v>7.3112887052237454</c:v>
                </c:pt>
                <c:pt idx="3">
                  <c:v>4.6859487983558621</c:v>
                </c:pt>
                <c:pt idx="4">
                  <c:v>3.720464355329784</c:v>
                </c:pt>
              </c:numCache>
            </c:numRef>
          </c:val>
          <c:extLst>
            <c:ext xmlns:c16="http://schemas.microsoft.com/office/drawing/2014/chart" uri="{C3380CC4-5D6E-409C-BE32-E72D297353CC}">
              <c16:uniqueId val="{00000000-1FD5-4505-A70B-F05F9B1938CC}"/>
            </c:ext>
          </c:extLst>
        </c:ser>
        <c:ser>
          <c:idx val="1"/>
          <c:order val="1"/>
          <c:tx>
            <c:strRef>
              <c:f>Comps!$B$52</c:f>
              <c:strCache>
                <c:ptCount val="1"/>
                <c:pt idx="0">
                  <c:v>SIRA</c:v>
                </c:pt>
              </c:strCache>
            </c:strRef>
          </c:tx>
          <c:spPr>
            <a:solidFill>
              <a:srgbClr val="FFC000"/>
            </a:solidFill>
            <a:ln>
              <a:noFill/>
            </a:ln>
            <a:effectLst/>
          </c:spPr>
          <c:invertIfNegative val="0"/>
          <c:dLbls>
            <c:numFmt formatCode="#,##0.00_);\(#,##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Comps!$C$47:$G$47</c:f>
              <c:strCache>
                <c:ptCount val="5"/>
                <c:pt idx="0">
                  <c:v> FY12 </c:v>
                </c:pt>
                <c:pt idx="1">
                  <c:v> FY13 </c:v>
                </c:pt>
                <c:pt idx="2">
                  <c:v> FY14 </c:v>
                </c:pt>
                <c:pt idx="3">
                  <c:v> FY15 </c:v>
                </c:pt>
                <c:pt idx="4">
                  <c:v> FY16 </c:v>
                </c:pt>
              </c:strCache>
            </c:strRef>
          </c:cat>
          <c:val>
            <c:numRef>
              <c:f>Comps!$C$52:$G$52</c:f>
              <c:numCache>
                <c:formatCode>0.00</c:formatCode>
                <c:ptCount val="5"/>
                <c:pt idx="0">
                  <c:v>9.3086602996078529</c:v>
                </c:pt>
                <c:pt idx="1">
                  <c:v>11.769663632419284</c:v>
                </c:pt>
                <c:pt idx="2">
                  <c:v>-17.096211568703357</c:v>
                </c:pt>
                <c:pt idx="3">
                  <c:v>5.9322044362948469</c:v>
                </c:pt>
                <c:pt idx="4">
                  <c:v>7.2029109453766793</c:v>
                </c:pt>
              </c:numCache>
            </c:numRef>
          </c:val>
          <c:extLst>
            <c:ext xmlns:c16="http://schemas.microsoft.com/office/drawing/2014/chart" uri="{C3380CC4-5D6E-409C-BE32-E72D297353CC}">
              <c16:uniqueId val="{00000001-1FD5-4505-A70B-F05F9B1938CC}"/>
            </c:ext>
          </c:extLst>
        </c:ser>
        <c:dLbls>
          <c:showLegendKey val="0"/>
          <c:showVal val="1"/>
          <c:showCatName val="0"/>
          <c:showSerName val="0"/>
          <c:showPercent val="0"/>
          <c:showBubbleSize val="0"/>
        </c:dLbls>
        <c:gapWidth val="75"/>
        <c:overlap val="-27"/>
        <c:axId val="113083136"/>
        <c:axId val="113084672"/>
      </c:barChart>
      <c:catAx>
        <c:axId val="113083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084672"/>
        <c:crosses val="autoZero"/>
        <c:auto val="1"/>
        <c:lblAlgn val="ctr"/>
        <c:lblOffset val="100"/>
        <c:noMultiLvlLbl val="0"/>
      </c:catAx>
      <c:valAx>
        <c:axId val="11308467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083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Comps!$B$54</c:f>
              <c:strCache>
                <c:ptCount val="1"/>
                <c:pt idx="0">
                  <c:v>ACL</c:v>
                </c:pt>
              </c:strCache>
            </c:strRef>
          </c:tx>
          <c:spPr>
            <a:solidFill>
              <a:srgbClr val="00206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Comps!$C$47:$G$47</c:f>
              <c:strCache>
                <c:ptCount val="5"/>
                <c:pt idx="0">
                  <c:v> FY12 </c:v>
                </c:pt>
                <c:pt idx="1">
                  <c:v> FY13 </c:v>
                </c:pt>
                <c:pt idx="2">
                  <c:v> FY14 </c:v>
                </c:pt>
                <c:pt idx="3">
                  <c:v> FY15 </c:v>
                </c:pt>
                <c:pt idx="4">
                  <c:v> FY16 </c:v>
                </c:pt>
              </c:strCache>
            </c:strRef>
          </c:cat>
          <c:val>
            <c:numRef>
              <c:f>Comps!$C$54:$G$54</c:f>
              <c:numCache>
                <c:formatCode>0.00</c:formatCode>
                <c:ptCount val="5"/>
                <c:pt idx="0">
                  <c:v>5.4865429086936562E-2</c:v>
                </c:pt>
                <c:pt idx="1">
                  <c:v>5.2132854489976288E-2</c:v>
                </c:pt>
                <c:pt idx="2">
                  <c:v>4.4659663058749043E-2</c:v>
                </c:pt>
                <c:pt idx="3">
                  <c:v>6.6130962299362106E-2</c:v>
                </c:pt>
                <c:pt idx="4">
                  <c:v>9.9071564122210271E-2</c:v>
                </c:pt>
              </c:numCache>
            </c:numRef>
          </c:val>
          <c:extLst>
            <c:ext xmlns:c16="http://schemas.microsoft.com/office/drawing/2014/chart" uri="{C3380CC4-5D6E-409C-BE32-E72D297353CC}">
              <c16:uniqueId val="{00000000-1878-4241-ADB8-E2F55A49371D}"/>
            </c:ext>
          </c:extLst>
        </c:ser>
        <c:ser>
          <c:idx val="1"/>
          <c:order val="1"/>
          <c:tx>
            <c:strRef>
              <c:f>Comps!$B$55</c:f>
              <c:strCache>
                <c:ptCount val="1"/>
                <c:pt idx="0">
                  <c:v>SIRA</c:v>
                </c:pt>
              </c:strCache>
            </c:strRef>
          </c:tx>
          <c:spPr>
            <a:solidFill>
              <a:srgbClr val="FFC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Comps!$C$47:$G$47</c:f>
              <c:strCache>
                <c:ptCount val="5"/>
                <c:pt idx="0">
                  <c:v> FY12 </c:v>
                </c:pt>
                <c:pt idx="1">
                  <c:v> FY13 </c:v>
                </c:pt>
                <c:pt idx="2">
                  <c:v> FY14 </c:v>
                </c:pt>
                <c:pt idx="3">
                  <c:v> FY15 </c:v>
                </c:pt>
                <c:pt idx="4">
                  <c:v> FY16 </c:v>
                </c:pt>
              </c:strCache>
            </c:strRef>
          </c:cat>
          <c:val>
            <c:numRef>
              <c:f>Comps!$C$55:$G$55</c:f>
              <c:numCache>
                <c:formatCode>0.00</c:formatCode>
                <c:ptCount val="5"/>
                <c:pt idx="0">
                  <c:v>4.859896768514179E-2</c:v>
                </c:pt>
                <c:pt idx="1">
                  <c:v>-1.0825595886587635E-2</c:v>
                </c:pt>
                <c:pt idx="2">
                  <c:v>-0.13413015884158702</c:v>
                </c:pt>
                <c:pt idx="3">
                  <c:v>7.1851040301682656E-2</c:v>
                </c:pt>
                <c:pt idx="4">
                  <c:v>8.0614766774608909E-2</c:v>
                </c:pt>
              </c:numCache>
            </c:numRef>
          </c:val>
          <c:extLst>
            <c:ext xmlns:c16="http://schemas.microsoft.com/office/drawing/2014/chart" uri="{C3380CC4-5D6E-409C-BE32-E72D297353CC}">
              <c16:uniqueId val="{00000001-1878-4241-ADB8-E2F55A49371D}"/>
            </c:ext>
          </c:extLst>
        </c:ser>
        <c:dLbls>
          <c:showLegendKey val="0"/>
          <c:showVal val="1"/>
          <c:showCatName val="0"/>
          <c:showSerName val="0"/>
          <c:showPercent val="0"/>
          <c:showBubbleSize val="0"/>
        </c:dLbls>
        <c:gapWidth val="75"/>
        <c:overlap val="-27"/>
        <c:axId val="113114112"/>
        <c:axId val="112968448"/>
      </c:barChart>
      <c:catAx>
        <c:axId val="113114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68448"/>
        <c:crosses val="autoZero"/>
        <c:auto val="1"/>
        <c:lblAlgn val="ctr"/>
        <c:lblOffset val="100"/>
        <c:noMultiLvlLbl val="0"/>
      </c:catAx>
      <c:valAx>
        <c:axId val="11296844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4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Comps!$B$57</c:f>
              <c:strCache>
                <c:ptCount val="1"/>
                <c:pt idx="0">
                  <c:v>ACL</c:v>
                </c:pt>
              </c:strCache>
            </c:strRef>
          </c:tx>
          <c:spPr>
            <a:solidFill>
              <a:srgbClr val="00206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Comps!$C$47:$G$47</c:f>
              <c:strCache>
                <c:ptCount val="5"/>
                <c:pt idx="0">
                  <c:v> FY12 </c:v>
                </c:pt>
                <c:pt idx="1">
                  <c:v> FY13 </c:v>
                </c:pt>
                <c:pt idx="2">
                  <c:v> FY14 </c:v>
                </c:pt>
                <c:pt idx="3">
                  <c:v> FY15 </c:v>
                </c:pt>
                <c:pt idx="4">
                  <c:v> FY16 </c:v>
                </c:pt>
              </c:strCache>
            </c:strRef>
          </c:cat>
          <c:val>
            <c:numRef>
              <c:f>Comps!$C$57:$G$57</c:f>
              <c:numCache>
                <c:formatCode>0.00</c:formatCode>
                <c:ptCount val="5"/>
                <c:pt idx="0">
                  <c:v>7.6951584437137344E-2</c:v>
                </c:pt>
                <c:pt idx="1">
                  <c:v>9.9002785480608813E-2</c:v>
                </c:pt>
                <c:pt idx="2">
                  <c:v>1.062473588243007E-2</c:v>
                </c:pt>
                <c:pt idx="3">
                  <c:v>0.26036602869852032</c:v>
                </c:pt>
                <c:pt idx="4">
                  <c:v>-0.11201119881867883</c:v>
                </c:pt>
              </c:numCache>
            </c:numRef>
          </c:val>
          <c:extLst>
            <c:ext xmlns:c16="http://schemas.microsoft.com/office/drawing/2014/chart" uri="{C3380CC4-5D6E-409C-BE32-E72D297353CC}">
              <c16:uniqueId val="{00000000-E120-4EDF-A011-224447044B8F}"/>
            </c:ext>
          </c:extLst>
        </c:ser>
        <c:ser>
          <c:idx val="1"/>
          <c:order val="1"/>
          <c:tx>
            <c:strRef>
              <c:f>Comps!$B$58</c:f>
              <c:strCache>
                <c:ptCount val="1"/>
                <c:pt idx="0">
                  <c:v>SIRA</c:v>
                </c:pt>
              </c:strCache>
            </c:strRef>
          </c:tx>
          <c:spPr>
            <a:solidFill>
              <a:srgbClr val="FFC000"/>
            </a:solidFill>
            <a:ln>
              <a:noFill/>
            </a:ln>
            <a:effectLst/>
          </c:spPr>
          <c:invertIfNegative val="0"/>
          <c:dLbls>
            <c:dLbl>
              <c:idx val="4"/>
              <c:layout>
                <c:manualLayout>
                  <c:x val="5.5555555555555558E-3"/>
                  <c:y val="9.103237095363080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120-4EDF-A011-224447044B8F}"/>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Comps!$C$47:$G$47</c:f>
              <c:strCache>
                <c:ptCount val="5"/>
                <c:pt idx="0">
                  <c:v> FY12 </c:v>
                </c:pt>
                <c:pt idx="1">
                  <c:v> FY13 </c:v>
                </c:pt>
                <c:pt idx="2">
                  <c:v> FY14 </c:v>
                </c:pt>
                <c:pt idx="3">
                  <c:v> FY15 </c:v>
                </c:pt>
                <c:pt idx="4">
                  <c:v> FY16 </c:v>
                </c:pt>
              </c:strCache>
            </c:strRef>
          </c:cat>
          <c:val>
            <c:numRef>
              <c:f>Comps!$C$58:$G$58</c:f>
              <c:numCache>
                <c:formatCode>0.00</c:formatCode>
                <c:ptCount val="5"/>
                <c:pt idx="0">
                  <c:v>0.66292250313569157</c:v>
                </c:pt>
                <c:pt idx="1">
                  <c:v>-0.13517633864324019</c:v>
                </c:pt>
                <c:pt idx="2">
                  <c:v>6.7051292936738394E-2</c:v>
                </c:pt>
                <c:pt idx="3">
                  <c:v>0.52412818805865946</c:v>
                </c:pt>
                <c:pt idx="4">
                  <c:v>-0.12825438674919232</c:v>
                </c:pt>
              </c:numCache>
            </c:numRef>
          </c:val>
          <c:extLst>
            <c:ext xmlns:c16="http://schemas.microsoft.com/office/drawing/2014/chart" uri="{C3380CC4-5D6E-409C-BE32-E72D297353CC}">
              <c16:uniqueId val="{00000002-E120-4EDF-A011-224447044B8F}"/>
            </c:ext>
          </c:extLst>
        </c:ser>
        <c:dLbls>
          <c:showLegendKey val="0"/>
          <c:showVal val="1"/>
          <c:showCatName val="0"/>
          <c:showSerName val="0"/>
          <c:showPercent val="0"/>
          <c:showBubbleSize val="0"/>
        </c:dLbls>
        <c:gapWidth val="75"/>
        <c:overlap val="-27"/>
        <c:axId val="113115136"/>
        <c:axId val="113116672"/>
      </c:barChart>
      <c:catAx>
        <c:axId val="113115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6672"/>
        <c:crosses val="autoZero"/>
        <c:auto val="1"/>
        <c:lblAlgn val="ctr"/>
        <c:lblOffset val="100"/>
        <c:noMultiLvlLbl val="0"/>
      </c:catAx>
      <c:valAx>
        <c:axId val="113116672"/>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5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15083959105574"/>
          <c:y val="7.1845349492014363E-2"/>
          <c:w val="0.68445240882980385"/>
          <c:h val="0.57399517929429589"/>
        </c:manualLayout>
      </c:layout>
      <c:areaChart>
        <c:grouping val="standard"/>
        <c:varyColors val="0"/>
        <c:ser>
          <c:idx val="1"/>
          <c:order val="1"/>
          <c:tx>
            <c:strRef>
              <c:f>'ACL.N0000`N'!$C$1</c:f>
              <c:strCache>
                <c:ptCount val="1"/>
                <c:pt idx="0">
                  <c:v> Volume </c:v>
                </c:pt>
              </c:strCache>
            </c:strRef>
          </c:tx>
          <c:spPr>
            <a:solidFill>
              <a:srgbClr val="FFC000"/>
            </a:solidFill>
            <a:ln>
              <a:solidFill>
                <a:srgbClr val="FFC000"/>
              </a:solidFill>
            </a:ln>
            <a:effectLst/>
          </c:spPr>
          <c:cat>
            <c:numRef>
              <c:f>'ACL.N0000`N'!$A$2:$A$237</c:f>
              <c:numCache>
                <c:formatCode>m/d/yyyy</c:formatCode>
                <c:ptCount val="236"/>
                <c:pt idx="0">
                  <c:v>41950</c:v>
                </c:pt>
                <c:pt idx="1">
                  <c:v>41953</c:v>
                </c:pt>
                <c:pt idx="2">
                  <c:v>41954</c:v>
                </c:pt>
                <c:pt idx="3">
                  <c:v>41955</c:v>
                </c:pt>
                <c:pt idx="4">
                  <c:v>41956</c:v>
                </c:pt>
                <c:pt idx="5">
                  <c:v>41957</c:v>
                </c:pt>
                <c:pt idx="6">
                  <c:v>41960</c:v>
                </c:pt>
                <c:pt idx="7">
                  <c:v>41961</c:v>
                </c:pt>
                <c:pt idx="8">
                  <c:v>41962</c:v>
                </c:pt>
                <c:pt idx="9">
                  <c:v>41963</c:v>
                </c:pt>
                <c:pt idx="10">
                  <c:v>41964</c:v>
                </c:pt>
                <c:pt idx="11">
                  <c:v>41967</c:v>
                </c:pt>
                <c:pt idx="12">
                  <c:v>41968</c:v>
                </c:pt>
                <c:pt idx="13">
                  <c:v>41969</c:v>
                </c:pt>
                <c:pt idx="14">
                  <c:v>41970</c:v>
                </c:pt>
                <c:pt idx="15">
                  <c:v>41971</c:v>
                </c:pt>
                <c:pt idx="16">
                  <c:v>41974</c:v>
                </c:pt>
                <c:pt idx="17">
                  <c:v>41975</c:v>
                </c:pt>
                <c:pt idx="18">
                  <c:v>41977</c:v>
                </c:pt>
                <c:pt idx="19">
                  <c:v>41978</c:v>
                </c:pt>
                <c:pt idx="20">
                  <c:v>41981</c:v>
                </c:pt>
                <c:pt idx="21">
                  <c:v>41982</c:v>
                </c:pt>
                <c:pt idx="22">
                  <c:v>41983</c:v>
                </c:pt>
                <c:pt idx="23">
                  <c:v>41984</c:v>
                </c:pt>
                <c:pt idx="24">
                  <c:v>41985</c:v>
                </c:pt>
                <c:pt idx="25">
                  <c:v>41989</c:v>
                </c:pt>
                <c:pt idx="26">
                  <c:v>41990</c:v>
                </c:pt>
                <c:pt idx="27">
                  <c:v>41991</c:v>
                </c:pt>
                <c:pt idx="28">
                  <c:v>41992</c:v>
                </c:pt>
                <c:pt idx="29">
                  <c:v>41996</c:v>
                </c:pt>
                <c:pt idx="30">
                  <c:v>41999</c:v>
                </c:pt>
                <c:pt idx="31">
                  <c:v>42002</c:v>
                </c:pt>
                <c:pt idx="32">
                  <c:v>42003</c:v>
                </c:pt>
                <c:pt idx="33">
                  <c:v>42004</c:v>
                </c:pt>
                <c:pt idx="34">
                  <c:v>42006</c:v>
                </c:pt>
                <c:pt idx="35">
                  <c:v>42010</c:v>
                </c:pt>
                <c:pt idx="36">
                  <c:v>42011</c:v>
                </c:pt>
                <c:pt idx="37">
                  <c:v>42012</c:v>
                </c:pt>
                <c:pt idx="38">
                  <c:v>42013</c:v>
                </c:pt>
                <c:pt idx="39">
                  <c:v>42016</c:v>
                </c:pt>
                <c:pt idx="40">
                  <c:v>42017</c:v>
                </c:pt>
                <c:pt idx="41">
                  <c:v>42020</c:v>
                </c:pt>
                <c:pt idx="42">
                  <c:v>42023</c:v>
                </c:pt>
                <c:pt idx="43">
                  <c:v>42024</c:v>
                </c:pt>
                <c:pt idx="44">
                  <c:v>42025</c:v>
                </c:pt>
                <c:pt idx="45">
                  <c:v>42026</c:v>
                </c:pt>
                <c:pt idx="46">
                  <c:v>42027</c:v>
                </c:pt>
                <c:pt idx="47">
                  <c:v>42030</c:v>
                </c:pt>
                <c:pt idx="48">
                  <c:v>42031</c:v>
                </c:pt>
                <c:pt idx="49">
                  <c:v>42032</c:v>
                </c:pt>
                <c:pt idx="50">
                  <c:v>42033</c:v>
                </c:pt>
                <c:pt idx="51">
                  <c:v>42034</c:v>
                </c:pt>
                <c:pt idx="52">
                  <c:v>42037</c:v>
                </c:pt>
                <c:pt idx="53">
                  <c:v>42040</c:v>
                </c:pt>
                <c:pt idx="54">
                  <c:v>42041</c:v>
                </c:pt>
                <c:pt idx="55">
                  <c:v>42044</c:v>
                </c:pt>
                <c:pt idx="56">
                  <c:v>42045</c:v>
                </c:pt>
                <c:pt idx="57">
                  <c:v>42046</c:v>
                </c:pt>
                <c:pt idx="58">
                  <c:v>42047</c:v>
                </c:pt>
                <c:pt idx="59">
                  <c:v>42048</c:v>
                </c:pt>
                <c:pt idx="60">
                  <c:v>42051</c:v>
                </c:pt>
                <c:pt idx="61">
                  <c:v>42053</c:v>
                </c:pt>
                <c:pt idx="62">
                  <c:v>42054</c:v>
                </c:pt>
                <c:pt idx="63">
                  <c:v>42055</c:v>
                </c:pt>
                <c:pt idx="64">
                  <c:v>42058</c:v>
                </c:pt>
                <c:pt idx="65">
                  <c:v>42059</c:v>
                </c:pt>
                <c:pt idx="66">
                  <c:v>42060</c:v>
                </c:pt>
                <c:pt idx="67">
                  <c:v>42061</c:v>
                </c:pt>
                <c:pt idx="68">
                  <c:v>42062</c:v>
                </c:pt>
                <c:pt idx="69">
                  <c:v>42065</c:v>
                </c:pt>
                <c:pt idx="70">
                  <c:v>42066</c:v>
                </c:pt>
                <c:pt idx="71">
                  <c:v>42067</c:v>
                </c:pt>
                <c:pt idx="72">
                  <c:v>42069</c:v>
                </c:pt>
                <c:pt idx="73">
                  <c:v>42072</c:v>
                </c:pt>
                <c:pt idx="74">
                  <c:v>42073</c:v>
                </c:pt>
                <c:pt idx="75">
                  <c:v>42074</c:v>
                </c:pt>
                <c:pt idx="76">
                  <c:v>42075</c:v>
                </c:pt>
                <c:pt idx="77">
                  <c:v>42076</c:v>
                </c:pt>
                <c:pt idx="78">
                  <c:v>42080</c:v>
                </c:pt>
                <c:pt idx="79">
                  <c:v>42081</c:v>
                </c:pt>
                <c:pt idx="80">
                  <c:v>42082</c:v>
                </c:pt>
                <c:pt idx="81">
                  <c:v>42083</c:v>
                </c:pt>
                <c:pt idx="82">
                  <c:v>42086</c:v>
                </c:pt>
                <c:pt idx="83">
                  <c:v>42087</c:v>
                </c:pt>
                <c:pt idx="84">
                  <c:v>42088</c:v>
                </c:pt>
                <c:pt idx="85">
                  <c:v>42089</c:v>
                </c:pt>
                <c:pt idx="86">
                  <c:v>42090</c:v>
                </c:pt>
                <c:pt idx="87">
                  <c:v>42093</c:v>
                </c:pt>
                <c:pt idx="88">
                  <c:v>42094</c:v>
                </c:pt>
                <c:pt idx="89">
                  <c:v>42095</c:v>
                </c:pt>
                <c:pt idx="90">
                  <c:v>42096</c:v>
                </c:pt>
                <c:pt idx="91">
                  <c:v>42100</c:v>
                </c:pt>
                <c:pt idx="92">
                  <c:v>42102</c:v>
                </c:pt>
                <c:pt idx="93">
                  <c:v>42103</c:v>
                </c:pt>
                <c:pt idx="94">
                  <c:v>42104</c:v>
                </c:pt>
                <c:pt idx="95">
                  <c:v>42109</c:v>
                </c:pt>
                <c:pt idx="96">
                  <c:v>42110</c:v>
                </c:pt>
                <c:pt idx="97">
                  <c:v>42111</c:v>
                </c:pt>
                <c:pt idx="98">
                  <c:v>42114</c:v>
                </c:pt>
                <c:pt idx="99">
                  <c:v>42115</c:v>
                </c:pt>
                <c:pt idx="100">
                  <c:v>42116</c:v>
                </c:pt>
                <c:pt idx="101">
                  <c:v>42117</c:v>
                </c:pt>
                <c:pt idx="102">
                  <c:v>42118</c:v>
                </c:pt>
                <c:pt idx="103">
                  <c:v>42121</c:v>
                </c:pt>
                <c:pt idx="104">
                  <c:v>42122</c:v>
                </c:pt>
                <c:pt idx="105">
                  <c:v>42123</c:v>
                </c:pt>
                <c:pt idx="106">
                  <c:v>42124</c:v>
                </c:pt>
                <c:pt idx="107">
                  <c:v>42129</c:v>
                </c:pt>
                <c:pt idx="108">
                  <c:v>42130</c:v>
                </c:pt>
                <c:pt idx="109">
                  <c:v>42131</c:v>
                </c:pt>
                <c:pt idx="110">
                  <c:v>42132</c:v>
                </c:pt>
                <c:pt idx="111">
                  <c:v>42135</c:v>
                </c:pt>
                <c:pt idx="112">
                  <c:v>42136</c:v>
                </c:pt>
                <c:pt idx="113">
                  <c:v>42137</c:v>
                </c:pt>
                <c:pt idx="114">
                  <c:v>42138</c:v>
                </c:pt>
                <c:pt idx="115">
                  <c:v>42139</c:v>
                </c:pt>
                <c:pt idx="116">
                  <c:v>42142</c:v>
                </c:pt>
                <c:pt idx="117">
                  <c:v>42143</c:v>
                </c:pt>
                <c:pt idx="118">
                  <c:v>42144</c:v>
                </c:pt>
                <c:pt idx="119">
                  <c:v>42145</c:v>
                </c:pt>
                <c:pt idx="120">
                  <c:v>42146</c:v>
                </c:pt>
                <c:pt idx="121">
                  <c:v>42149</c:v>
                </c:pt>
                <c:pt idx="122">
                  <c:v>42150</c:v>
                </c:pt>
                <c:pt idx="123">
                  <c:v>42151</c:v>
                </c:pt>
                <c:pt idx="124">
                  <c:v>42152</c:v>
                </c:pt>
                <c:pt idx="125">
                  <c:v>42153</c:v>
                </c:pt>
                <c:pt idx="126">
                  <c:v>42156</c:v>
                </c:pt>
                <c:pt idx="127">
                  <c:v>42158</c:v>
                </c:pt>
                <c:pt idx="128">
                  <c:v>42159</c:v>
                </c:pt>
                <c:pt idx="129">
                  <c:v>42160</c:v>
                </c:pt>
                <c:pt idx="130">
                  <c:v>42163</c:v>
                </c:pt>
                <c:pt idx="131">
                  <c:v>42164</c:v>
                </c:pt>
                <c:pt idx="132">
                  <c:v>42165</c:v>
                </c:pt>
                <c:pt idx="133">
                  <c:v>42166</c:v>
                </c:pt>
                <c:pt idx="134">
                  <c:v>42167</c:v>
                </c:pt>
                <c:pt idx="135">
                  <c:v>42170</c:v>
                </c:pt>
                <c:pt idx="136">
                  <c:v>42171</c:v>
                </c:pt>
                <c:pt idx="137">
                  <c:v>42172</c:v>
                </c:pt>
                <c:pt idx="138">
                  <c:v>42173</c:v>
                </c:pt>
                <c:pt idx="139">
                  <c:v>42174</c:v>
                </c:pt>
                <c:pt idx="140">
                  <c:v>42177</c:v>
                </c:pt>
                <c:pt idx="141">
                  <c:v>42178</c:v>
                </c:pt>
                <c:pt idx="142">
                  <c:v>42179</c:v>
                </c:pt>
                <c:pt idx="143">
                  <c:v>42180</c:v>
                </c:pt>
                <c:pt idx="144">
                  <c:v>42181</c:v>
                </c:pt>
                <c:pt idx="145">
                  <c:v>42184</c:v>
                </c:pt>
                <c:pt idx="146">
                  <c:v>42185</c:v>
                </c:pt>
                <c:pt idx="147">
                  <c:v>42187</c:v>
                </c:pt>
                <c:pt idx="148">
                  <c:v>42188</c:v>
                </c:pt>
                <c:pt idx="149">
                  <c:v>42191</c:v>
                </c:pt>
                <c:pt idx="150">
                  <c:v>42192</c:v>
                </c:pt>
                <c:pt idx="151">
                  <c:v>42193</c:v>
                </c:pt>
                <c:pt idx="152">
                  <c:v>42194</c:v>
                </c:pt>
                <c:pt idx="153">
                  <c:v>42195</c:v>
                </c:pt>
                <c:pt idx="154">
                  <c:v>42198</c:v>
                </c:pt>
                <c:pt idx="155">
                  <c:v>42199</c:v>
                </c:pt>
                <c:pt idx="156">
                  <c:v>42200</c:v>
                </c:pt>
                <c:pt idx="157">
                  <c:v>42201</c:v>
                </c:pt>
                <c:pt idx="158">
                  <c:v>42202</c:v>
                </c:pt>
                <c:pt idx="159">
                  <c:v>42205</c:v>
                </c:pt>
                <c:pt idx="160">
                  <c:v>42206</c:v>
                </c:pt>
                <c:pt idx="161">
                  <c:v>42207</c:v>
                </c:pt>
                <c:pt idx="162">
                  <c:v>42208</c:v>
                </c:pt>
                <c:pt idx="163">
                  <c:v>42209</c:v>
                </c:pt>
                <c:pt idx="164">
                  <c:v>42212</c:v>
                </c:pt>
                <c:pt idx="165">
                  <c:v>42213</c:v>
                </c:pt>
                <c:pt idx="166">
                  <c:v>42214</c:v>
                </c:pt>
                <c:pt idx="167">
                  <c:v>42215</c:v>
                </c:pt>
                <c:pt idx="168">
                  <c:v>42219</c:v>
                </c:pt>
                <c:pt idx="169">
                  <c:v>42220</c:v>
                </c:pt>
                <c:pt idx="170">
                  <c:v>42221</c:v>
                </c:pt>
                <c:pt idx="171">
                  <c:v>42222</c:v>
                </c:pt>
                <c:pt idx="172">
                  <c:v>42223</c:v>
                </c:pt>
                <c:pt idx="173">
                  <c:v>42226</c:v>
                </c:pt>
                <c:pt idx="174">
                  <c:v>42227</c:v>
                </c:pt>
                <c:pt idx="175">
                  <c:v>42228</c:v>
                </c:pt>
                <c:pt idx="176">
                  <c:v>42229</c:v>
                </c:pt>
                <c:pt idx="177">
                  <c:v>42230</c:v>
                </c:pt>
                <c:pt idx="178">
                  <c:v>42233</c:v>
                </c:pt>
                <c:pt idx="179">
                  <c:v>42234</c:v>
                </c:pt>
                <c:pt idx="180">
                  <c:v>42235</c:v>
                </c:pt>
                <c:pt idx="181">
                  <c:v>42236</c:v>
                </c:pt>
                <c:pt idx="182">
                  <c:v>42237</c:v>
                </c:pt>
                <c:pt idx="183">
                  <c:v>42240</c:v>
                </c:pt>
                <c:pt idx="184">
                  <c:v>42241</c:v>
                </c:pt>
                <c:pt idx="185">
                  <c:v>42242</c:v>
                </c:pt>
                <c:pt idx="186">
                  <c:v>42243</c:v>
                </c:pt>
                <c:pt idx="187">
                  <c:v>42244</c:v>
                </c:pt>
                <c:pt idx="188">
                  <c:v>42247</c:v>
                </c:pt>
                <c:pt idx="189">
                  <c:v>42248</c:v>
                </c:pt>
                <c:pt idx="190">
                  <c:v>42249</c:v>
                </c:pt>
                <c:pt idx="191">
                  <c:v>42250</c:v>
                </c:pt>
                <c:pt idx="192">
                  <c:v>42251</c:v>
                </c:pt>
                <c:pt idx="193">
                  <c:v>42254</c:v>
                </c:pt>
                <c:pt idx="194">
                  <c:v>42255</c:v>
                </c:pt>
                <c:pt idx="195">
                  <c:v>42256</c:v>
                </c:pt>
                <c:pt idx="196">
                  <c:v>42257</c:v>
                </c:pt>
                <c:pt idx="197">
                  <c:v>42258</c:v>
                </c:pt>
                <c:pt idx="198">
                  <c:v>42261</c:v>
                </c:pt>
                <c:pt idx="199">
                  <c:v>42262</c:v>
                </c:pt>
                <c:pt idx="200">
                  <c:v>42263</c:v>
                </c:pt>
                <c:pt idx="201">
                  <c:v>42264</c:v>
                </c:pt>
                <c:pt idx="202">
                  <c:v>42265</c:v>
                </c:pt>
                <c:pt idx="203">
                  <c:v>42268</c:v>
                </c:pt>
                <c:pt idx="204">
                  <c:v>42269</c:v>
                </c:pt>
                <c:pt idx="205">
                  <c:v>42270</c:v>
                </c:pt>
                <c:pt idx="206">
                  <c:v>42272</c:v>
                </c:pt>
                <c:pt idx="207">
                  <c:v>42275</c:v>
                </c:pt>
                <c:pt idx="208">
                  <c:v>42276</c:v>
                </c:pt>
                <c:pt idx="209">
                  <c:v>42277</c:v>
                </c:pt>
                <c:pt idx="210">
                  <c:v>42278</c:v>
                </c:pt>
                <c:pt idx="211">
                  <c:v>42279</c:v>
                </c:pt>
                <c:pt idx="212">
                  <c:v>42282</c:v>
                </c:pt>
                <c:pt idx="213">
                  <c:v>42283</c:v>
                </c:pt>
                <c:pt idx="214">
                  <c:v>42284</c:v>
                </c:pt>
                <c:pt idx="215">
                  <c:v>42285</c:v>
                </c:pt>
                <c:pt idx="216">
                  <c:v>42286</c:v>
                </c:pt>
                <c:pt idx="217">
                  <c:v>42289</c:v>
                </c:pt>
                <c:pt idx="218">
                  <c:v>42290</c:v>
                </c:pt>
                <c:pt idx="219">
                  <c:v>42291</c:v>
                </c:pt>
                <c:pt idx="220">
                  <c:v>42292</c:v>
                </c:pt>
                <c:pt idx="221">
                  <c:v>42293</c:v>
                </c:pt>
                <c:pt idx="222">
                  <c:v>42296</c:v>
                </c:pt>
                <c:pt idx="223">
                  <c:v>42297</c:v>
                </c:pt>
                <c:pt idx="224">
                  <c:v>42298</c:v>
                </c:pt>
                <c:pt idx="225">
                  <c:v>42299</c:v>
                </c:pt>
                <c:pt idx="226">
                  <c:v>42300</c:v>
                </c:pt>
                <c:pt idx="227">
                  <c:v>42303</c:v>
                </c:pt>
                <c:pt idx="228">
                  <c:v>42305</c:v>
                </c:pt>
                <c:pt idx="229">
                  <c:v>42306</c:v>
                </c:pt>
                <c:pt idx="230">
                  <c:v>42307</c:v>
                </c:pt>
                <c:pt idx="231">
                  <c:v>42310</c:v>
                </c:pt>
                <c:pt idx="232">
                  <c:v>42311</c:v>
                </c:pt>
                <c:pt idx="233">
                  <c:v>42312</c:v>
                </c:pt>
                <c:pt idx="234">
                  <c:v>42313</c:v>
                </c:pt>
                <c:pt idx="235">
                  <c:v>42314</c:v>
                </c:pt>
              </c:numCache>
            </c:numRef>
          </c:cat>
          <c:val>
            <c:numRef>
              <c:f>'ACL.N0000`N'!$C$2:$C$237</c:f>
              <c:numCache>
                <c:formatCode>_(* #,##0_);_(* \(#,##0\);_(* "-"??_);_(@_)</c:formatCode>
                <c:ptCount val="236"/>
                <c:pt idx="0">
                  <c:v>22726</c:v>
                </c:pt>
                <c:pt idx="1">
                  <c:v>15100</c:v>
                </c:pt>
                <c:pt idx="2">
                  <c:v>88170</c:v>
                </c:pt>
                <c:pt idx="3">
                  <c:v>18742</c:v>
                </c:pt>
                <c:pt idx="4">
                  <c:v>1309923</c:v>
                </c:pt>
                <c:pt idx="5">
                  <c:v>403749</c:v>
                </c:pt>
                <c:pt idx="6">
                  <c:v>338084</c:v>
                </c:pt>
                <c:pt idx="7">
                  <c:v>131975</c:v>
                </c:pt>
                <c:pt idx="8">
                  <c:v>55001</c:v>
                </c:pt>
                <c:pt idx="9">
                  <c:v>141004</c:v>
                </c:pt>
                <c:pt idx="10">
                  <c:v>281515</c:v>
                </c:pt>
                <c:pt idx="11">
                  <c:v>79395</c:v>
                </c:pt>
                <c:pt idx="12">
                  <c:v>12350</c:v>
                </c:pt>
                <c:pt idx="13">
                  <c:v>22123</c:v>
                </c:pt>
                <c:pt idx="14">
                  <c:v>8200</c:v>
                </c:pt>
                <c:pt idx="15">
                  <c:v>4307</c:v>
                </c:pt>
                <c:pt idx="16">
                  <c:v>1205</c:v>
                </c:pt>
                <c:pt idx="17">
                  <c:v>165729</c:v>
                </c:pt>
                <c:pt idx="18">
                  <c:v>1500</c:v>
                </c:pt>
                <c:pt idx="19">
                  <c:v>180193</c:v>
                </c:pt>
                <c:pt idx="20">
                  <c:v>300</c:v>
                </c:pt>
                <c:pt idx="21">
                  <c:v>5490</c:v>
                </c:pt>
                <c:pt idx="22">
                  <c:v>35502</c:v>
                </c:pt>
                <c:pt idx="23">
                  <c:v>9720</c:v>
                </c:pt>
                <c:pt idx="24">
                  <c:v>13970</c:v>
                </c:pt>
                <c:pt idx="25">
                  <c:v>47171</c:v>
                </c:pt>
                <c:pt idx="26">
                  <c:v>743</c:v>
                </c:pt>
                <c:pt idx="27">
                  <c:v>767</c:v>
                </c:pt>
                <c:pt idx="28">
                  <c:v>510</c:v>
                </c:pt>
                <c:pt idx="29">
                  <c:v>300</c:v>
                </c:pt>
                <c:pt idx="30">
                  <c:v>200</c:v>
                </c:pt>
                <c:pt idx="31">
                  <c:v>20</c:v>
                </c:pt>
                <c:pt idx="32">
                  <c:v>515</c:v>
                </c:pt>
                <c:pt idx="33">
                  <c:v>7144</c:v>
                </c:pt>
                <c:pt idx="34">
                  <c:v>2000</c:v>
                </c:pt>
                <c:pt idx="35">
                  <c:v>13012</c:v>
                </c:pt>
                <c:pt idx="36">
                  <c:v>16170</c:v>
                </c:pt>
                <c:pt idx="37">
                  <c:v>116350</c:v>
                </c:pt>
                <c:pt idx="38">
                  <c:v>68129</c:v>
                </c:pt>
                <c:pt idx="39">
                  <c:v>102548</c:v>
                </c:pt>
                <c:pt idx="40">
                  <c:v>2550</c:v>
                </c:pt>
                <c:pt idx="41">
                  <c:v>10341</c:v>
                </c:pt>
                <c:pt idx="42">
                  <c:v>76735</c:v>
                </c:pt>
                <c:pt idx="43">
                  <c:v>5400</c:v>
                </c:pt>
                <c:pt idx="44">
                  <c:v>1006</c:v>
                </c:pt>
                <c:pt idx="45">
                  <c:v>9550</c:v>
                </c:pt>
                <c:pt idx="46">
                  <c:v>1100</c:v>
                </c:pt>
                <c:pt idx="47">
                  <c:v>17511</c:v>
                </c:pt>
                <c:pt idx="48">
                  <c:v>67772</c:v>
                </c:pt>
                <c:pt idx="49">
                  <c:v>10400</c:v>
                </c:pt>
                <c:pt idx="50">
                  <c:v>13217</c:v>
                </c:pt>
                <c:pt idx="51">
                  <c:v>66150</c:v>
                </c:pt>
                <c:pt idx="52">
                  <c:v>504</c:v>
                </c:pt>
                <c:pt idx="53">
                  <c:v>117</c:v>
                </c:pt>
                <c:pt idx="54">
                  <c:v>11800</c:v>
                </c:pt>
                <c:pt idx="55">
                  <c:v>11073</c:v>
                </c:pt>
                <c:pt idx="56">
                  <c:v>44729</c:v>
                </c:pt>
                <c:pt idx="57">
                  <c:v>60866</c:v>
                </c:pt>
                <c:pt idx="58">
                  <c:v>57240</c:v>
                </c:pt>
                <c:pt idx="59">
                  <c:v>11654</c:v>
                </c:pt>
                <c:pt idx="60">
                  <c:v>16800</c:v>
                </c:pt>
                <c:pt idx="61">
                  <c:v>3530</c:v>
                </c:pt>
                <c:pt idx="62">
                  <c:v>14607</c:v>
                </c:pt>
                <c:pt idx="63">
                  <c:v>104346</c:v>
                </c:pt>
                <c:pt idx="64">
                  <c:v>15751</c:v>
                </c:pt>
                <c:pt idx="65">
                  <c:v>37781</c:v>
                </c:pt>
                <c:pt idx="66">
                  <c:v>18093</c:v>
                </c:pt>
                <c:pt idx="67">
                  <c:v>32544</c:v>
                </c:pt>
                <c:pt idx="68">
                  <c:v>44212</c:v>
                </c:pt>
                <c:pt idx="69">
                  <c:v>8531</c:v>
                </c:pt>
                <c:pt idx="70">
                  <c:v>24534</c:v>
                </c:pt>
                <c:pt idx="71">
                  <c:v>82911</c:v>
                </c:pt>
                <c:pt idx="72">
                  <c:v>5366</c:v>
                </c:pt>
                <c:pt idx="73">
                  <c:v>24102</c:v>
                </c:pt>
                <c:pt idx="74">
                  <c:v>6800</c:v>
                </c:pt>
                <c:pt idx="75">
                  <c:v>12820</c:v>
                </c:pt>
                <c:pt idx="76">
                  <c:v>1000</c:v>
                </c:pt>
                <c:pt idx="77">
                  <c:v>600</c:v>
                </c:pt>
                <c:pt idx="78">
                  <c:v>8321</c:v>
                </c:pt>
                <c:pt idx="79">
                  <c:v>3509</c:v>
                </c:pt>
                <c:pt idx="80">
                  <c:v>1210</c:v>
                </c:pt>
                <c:pt idx="81">
                  <c:v>505</c:v>
                </c:pt>
                <c:pt idx="82">
                  <c:v>1800</c:v>
                </c:pt>
                <c:pt idx="83">
                  <c:v>24609</c:v>
                </c:pt>
                <c:pt idx="84">
                  <c:v>217</c:v>
                </c:pt>
                <c:pt idx="85">
                  <c:v>3834</c:v>
                </c:pt>
                <c:pt idx="86">
                  <c:v>24448</c:v>
                </c:pt>
                <c:pt idx="87">
                  <c:v>500</c:v>
                </c:pt>
                <c:pt idx="88">
                  <c:v>6060</c:v>
                </c:pt>
                <c:pt idx="89">
                  <c:v>1298</c:v>
                </c:pt>
                <c:pt idx="90">
                  <c:v>1500</c:v>
                </c:pt>
                <c:pt idx="91">
                  <c:v>15000</c:v>
                </c:pt>
                <c:pt idx="92">
                  <c:v>100</c:v>
                </c:pt>
                <c:pt idx="93">
                  <c:v>1900</c:v>
                </c:pt>
                <c:pt idx="94">
                  <c:v>10072</c:v>
                </c:pt>
                <c:pt idx="95">
                  <c:v>100</c:v>
                </c:pt>
                <c:pt idx="96">
                  <c:v>28000</c:v>
                </c:pt>
                <c:pt idx="97">
                  <c:v>212</c:v>
                </c:pt>
                <c:pt idx="98">
                  <c:v>3210</c:v>
                </c:pt>
                <c:pt idx="99">
                  <c:v>12</c:v>
                </c:pt>
                <c:pt idx="100">
                  <c:v>10</c:v>
                </c:pt>
                <c:pt idx="101">
                  <c:v>2780</c:v>
                </c:pt>
                <c:pt idx="102">
                  <c:v>6124</c:v>
                </c:pt>
                <c:pt idx="103">
                  <c:v>1347</c:v>
                </c:pt>
                <c:pt idx="104">
                  <c:v>30090</c:v>
                </c:pt>
                <c:pt idx="105">
                  <c:v>650157</c:v>
                </c:pt>
                <c:pt idx="106">
                  <c:v>474005</c:v>
                </c:pt>
                <c:pt idx="107">
                  <c:v>29113</c:v>
                </c:pt>
                <c:pt idx="108">
                  <c:v>705301</c:v>
                </c:pt>
                <c:pt idx="109">
                  <c:v>901486</c:v>
                </c:pt>
                <c:pt idx="110">
                  <c:v>54301</c:v>
                </c:pt>
                <c:pt idx="111">
                  <c:v>1000</c:v>
                </c:pt>
                <c:pt idx="112">
                  <c:v>28900</c:v>
                </c:pt>
                <c:pt idx="113">
                  <c:v>38611</c:v>
                </c:pt>
                <c:pt idx="114">
                  <c:v>3000</c:v>
                </c:pt>
                <c:pt idx="115">
                  <c:v>39612</c:v>
                </c:pt>
                <c:pt idx="116">
                  <c:v>1772</c:v>
                </c:pt>
                <c:pt idx="117">
                  <c:v>50536</c:v>
                </c:pt>
                <c:pt idx="118">
                  <c:v>8200</c:v>
                </c:pt>
                <c:pt idx="119">
                  <c:v>23053</c:v>
                </c:pt>
                <c:pt idx="120">
                  <c:v>25300</c:v>
                </c:pt>
                <c:pt idx="121">
                  <c:v>73990</c:v>
                </c:pt>
                <c:pt idx="122">
                  <c:v>5480</c:v>
                </c:pt>
                <c:pt idx="123">
                  <c:v>38300</c:v>
                </c:pt>
                <c:pt idx="124">
                  <c:v>11000</c:v>
                </c:pt>
                <c:pt idx="125">
                  <c:v>22527</c:v>
                </c:pt>
                <c:pt idx="126">
                  <c:v>291997</c:v>
                </c:pt>
                <c:pt idx="127">
                  <c:v>727887</c:v>
                </c:pt>
                <c:pt idx="128">
                  <c:v>60695</c:v>
                </c:pt>
                <c:pt idx="129">
                  <c:v>72496</c:v>
                </c:pt>
                <c:pt idx="130">
                  <c:v>18832</c:v>
                </c:pt>
                <c:pt idx="131">
                  <c:v>16231</c:v>
                </c:pt>
                <c:pt idx="132">
                  <c:v>55769</c:v>
                </c:pt>
                <c:pt idx="133">
                  <c:v>33704</c:v>
                </c:pt>
                <c:pt idx="134">
                  <c:v>58721</c:v>
                </c:pt>
                <c:pt idx="135">
                  <c:v>20994</c:v>
                </c:pt>
                <c:pt idx="136">
                  <c:v>45744</c:v>
                </c:pt>
                <c:pt idx="137">
                  <c:v>17436</c:v>
                </c:pt>
                <c:pt idx="138">
                  <c:v>1200</c:v>
                </c:pt>
                <c:pt idx="139">
                  <c:v>19046</c:v>
                </c:pt>
                <c:pt idx="140">
                  <c:v>23446</c:v>
                </c:pt>
                <c:pt idx="141">
                  <c:v>35311</c:v>
                </c:pt>
                <c:pt idx="142">
                  <c:v>13958</c:v>
                </c:pt>
                <c:pt idx="143">
                  <c:v>9541</c:v>
                </c:pt>
                <c:pt idx="144">
                  <c:v>25964</c:v>
                </c:pt>
                <c:pt idx="145">
                  <c:v>214518</c:v>
                </c:pt>
                <c:pt idx="146">
                  <c:v>21047</c:v>
                </c:pt>
                <c:pt idx="147">
                  <c:v>60398</c:v>
                </c:pt>
                <c:pt idx="148">
                  <c:v>135</c:v>
                </c:pt>
                <c:pt idx="149">
                  <c:v>33302</c:v>
                </c:pt>
                <c:pt idx="150">
                  <c:v>2013</c:v>
                </c:pt>
                <c:pt idx="151">
                  <c:v>5</c:v>
                </c:pt>
                <c:pt idx="152">
                  <c:v>35860</c:v>
                </c:pt>
                <c:pt idx="153">
                  <c:v>22904</c:v>
                </c:pt>
                <c:pt idx="154">
                  <c:v>102</c:v>
                </c:pt>
                <c:pt idx="155">
                  <c:v>61004</c:v>
                </c:pt>
                <c:pt idx="156">
                  <c:v>231124</c:v>
                </c:pt>
                <c:pt idx="157">
                  <c:v>40799</c:v>
                </c:pt>
                <c:pt idx="158">
                  <c:v>8402</c:v>
                </c:pt>
                <c:pt idx="159">
                  <c:v>8780</c:v>
                </c:pt>
                <c:pt idx="160">
                  <c:v>15550</c:v>
                </c:pt>
                <c:pt idx="161">
                  <c:v>25414</c:v>
                </c:pt>
                <c:pt idx="162">
                  <c:v>52420</c:v>
                </c:pt>
                <c:pt idx="163">
                  <c:v>156650</c:v>
                </c:pt>
                <c:pt idx="164">
                  <c:v>291172</c:v>
                </c:pt>
                <c:pt idx="165">
                  <c:v>22782</c:v>
                </c:pt>
                <c:pt idx="166">
                  <c:v>248306</c:v>
                </c:pt>
                <c:pt idx="167">
                  <c:v>166286</c:v>
                </c:pt>
                <c:pt idx="168">
                  <c:v>88504</c:v>
                </c:pt>
                <c:pt idx="169">
                  <c:v>323709</c:v>
                </c:pt>
                <c:pt idx="170">
                  <c:v>447126</c:v>
                </c:pt>
                <c:pt idx="171">
                  <c:v>475257</c:v>
                </c:pt>
                <c:pt idx="172">
                  <c:v>59750</c:v>
                </c:pt>
                <c:pt idx="173">
                  <c:v>126894</c:v>
                </c:pt>
                <c:pt idx="174">
                  <c:v>194508</c:v>
                </c:pt>
                <c:pt idx="175">
                  <c:v>65981</c:v>
                </c:pt>
                <c:pt idx="176">
                  <c:v>43827</c:v>
                </c:pt>
                <c:pt idx="177">
                  <c:v>85990</c:v>
                </c:pt>
                <c:pt idx="178">
                  <c:v>549569</c:v>
                </c:pt>
                <c:pt idx="179">
                  <c:v>138156</c:v>
                </c:pt>
                <c:pt idx="180">
                  <c:v>62979</c:v>
                </c:pt>
                <c:pt idx="181">
                  <c:v>99805</c:v>
                </c:pt>
                <c:pt idx="182">
                  <c:v>50569</c:v>
                </c:pt>
                <c:pt idx="183">
                  <c:v>60715</c:v>
                </c:pt>
                <c:pt idx="184">
                  <c:v>146067</c:v>
                </c:pt>
                <c:pt idx="185">
                  <c:v>19117</c:v>
                </c:pt>
                <c:pt idx="186">
                  <c:v>100303</c:v>
                </c:pt>
                <c:pt idx="187">
                  <c:v>167886</c:v>
                </c:pt>
                <c:pt idx="188">
                  <c:v>65240</c:v>
                </c:pt>
                <c:pt idx="189">
                  <c:v>177979</c:v>
                </c:pt>
                <c:pt idx="190">
                  <c:v>66204</c:v>
                </c:pt>
                <c:pt idx="191">
                  <c:v>14550</c:v>
                </c:pt>
                <c:pt idx="192">
                  <c:v>8508</c:v>
                </c:pt>
                <c:pt idx="193">
                  <c:v>35628</c:v>
                </c:pt>
                <c:pt idx="194">
                  <c:v>35531</c:v>
                </c:pt>
                <c:pt idx="195">
                  <c:v>17016</c:v>
                </c:pt>
                <c:pt idx="196">
                  <c:v>54009</c:v>
                </c:pt>
                <c:pt idx="197">
                  <c:v>59943</c:v>
                </c:pt>
                <c:pt idx="198">
                  <c:v>68420</c:v>
                </c:pt>
                <c:pt idx="199">
                  <c:v>77888</c:v>
                </c:pt>
                <c:pt idx="200">
                  <c:v>58797</c:v>
                </c:pt>
                <c:pt idx="201">
                  <c:v>419891</c:v>
                </c:pt>
                <c:pt idx="202">
                  <c:v>8292</c:v>
                </c:pt>
                <c:pt idx="203">
                  <c:v>25625</c:v>
                </c:pt>
                <c:pt idx="204">
                  <c:v>18730</c:v>
                </c:pt>
                <c:pt idx="205">
                  <c:v>7366</c:v>
                </c:pt>
                <c:pt idx="206">
                  <c:v>26580</c:v>
                </c:pt>
                <c:pt idx="207">
                  <c:v>22100</c:v>
                </c:pt>
                <c:pt idx="208">
                  <c:v>10007</c:v>
                </c:pt>
                <c:pt idx="209">
                  <c:v>16955</c:v>
                </c:pt>
                <c:pt idx="210">
                  <c:v>4500</c:v>
                </c:pt>
                <c:pt idx="211">
                  <c:v>216003</c:v>
                </c:pt>
                <c:pt idx="212">
                  <c:v>330564</c:v>
                </c:pt>
                <c:pt idx="213">
                  <c:v>276998</c:v>
                </c:pt>
                <c:pt idx="214">
                  <c:v>43917</c:v>
                </c:pt>
                <c:pt idx="215">
                  <c:v>37279</c:v>
                </c:pt>
                <c:pt idx="216">
                  <c:v>501869</c:v>
                </c:pt>
                <c:pt idx="217">
                  <c:v>56729</c:v>
                </c:pt>
                <c:pt idx="218">
                  <c:v>274108</c:v>
                </c:pt>
                <c:pt idx="219">
                  <c:v>41915</c:v>
                </c:pt>
                <c:pt idx="220">
                  <c:v>43376</c:v>
                </c:pt>
                <c:pt idx="221">
                  <c:v>82355</c:v>
                </c:pt>
                <c:pt idx="222">
                  <c:v>42129</c:v>
                </c:pt>
                <c:pt idx="223">
                  <c:v>29095</c:v>
                </c:pt>
                <c:pt idx="224">
                  <c:v>29376</c:v>
                </c:pt>
                <c:pt idx="225">
                  <c:v>35813</c:v>
                </c:pt>
                <c:pt idx="226">
                  <c:v>75982</c:v>
                </c:pt>
                <c:pt idx="227">
                  <c:v>42080</c:v>
                </c:pt>
                <c:pt idx="228">
                  <c:v>48540</c:v>
                </c:pt>
                <c:pt idx="229">
                  <c:v>22245</c:v>
                </c:pt>
                <c:pt idx="230">
                  <c:v>16210</c:v>
                </c:pt>
                <c:pt idx="231">
                  <c:v>9220</c:v>
                </c:pt>
                <c:pt idx="232">
                  <c:v>105647</c:v>
                </c:pt>
                <c:pt idx="233">
                  <c:v>53033</c:v>
                </c:pt>
                <c:pt idx="234">
                  <c:v>8192</c:v>
                </c:pt>
                <c:pt idx="235">
                  <c:v>9968</c:v>
                </c:pt>
              </c:numCache>
            </c:numRef>
          </c:val>
          <c:extLst>
            <c:ext xmlns:c16="http://schemas.microsoft.com/office/drawing/2014/chart" uri="{C3380CC4-5D6E-409C-BE32-E72D297353CC}">
              <c16:uniqueId val="{00000000-C29B-4CBF-AB37-68E6BDC90CE5}"/>
            </c:ext>
          </c:extLst>
        </c:ser>
        <c:dLbls>
          <c:showLegendKey val="0"/>
          <c:showVal val="0"/>
          <c:showCatName val="0"/>
          <c:showSerName val="0"/>
          <c:showPercent val="0"/>
          <c:showBubbleSize val="0"/>
        </c:dLbls>
        <c:axId val="111025152"/>
        <c:axId val="111023616"/>
      </c:areaChart>
      <c:lineChart>
        <c:grouping val="standard"/>
        <c:varyColors val="0"/>
        <c:ser>
          <c:idx val="0"/>
          <c:order val="0"/>
          <c:tx>
            <c:strRef>
              <c:f>'ACL.N0000`N'!$B$1</c:f>
              <c:strCache>
                <c:ptCount val="1"/>
                <c:pt idx="0">
                  <c:v>Price</c:v>
                </c:pt>
              </c:strCache>
            </c:strRef>
          </c:tx>
          <c:spPr>
            <a:ln w="28575" cap="rnd">
              <a:solidFill>
                <a:srgbClr val="002060"/>
              </a:solidFill>
              <a:round/>
            </a:ln>
            <a:effectLst/>
          </c:spPr>
          <c:marker>
            <c:symbol val="none"/>
          </c:marker>
          <c:cat>
            <c:numRef>
              <c:f>'ACL.N0000`N'!$A$2:$A$237</c:f>
              <c:numCache>
                <c:formatCode>m/d/yyyy</c:formatCode>
                <c:ptCount val="236"/>
                <c:pt idx="0">
                  <c:v>41950</c:v>
                </c:pt>
                <c:pt idx="1">
                  <c:v>41953</c:v>
                </c:pt>
                <c:pt idx="2">
                  <c:v>41954</c:v>
                </c:pt>
                <c:pt idx="3">
                  <c:v>41955</c:v>
                </c:pt>
                <c:pt idx="4">
                  <c:v>41956</c:v>
                </c:pt>
                <c:pt idx="5">
                  <c:v>41957</c:v>
                </c:pt>
                <c:pt idx="6">
                  <c:v>41960</c:v>
                </c:pt>
                <c:pt idx="7">
                  <c:v>41961</c:v>
                </c:pt>
                <c:pt idx="8">
                  <c:v>41962</c:v>
                </c:pt>
                <c:pt idx="9">
                  <c:v>41963</c:v>
                </c:pt>
                <c:pt idx="10">
                  <c:v>41964</c:v>
                </c:pt>
                <c:pt idx="11">
                  <c:v>41967</c:v>
                </c:pt>
                <c:pt idx="12">
                  <c:v>41968</c:v>
                </c:pt>
                <c:pt idx="13">
                  <c:v>41969</c:v>
                </c:pt>
                <c:pt idx="14">
                  <c:v>41970</c:v>
                </c:pt>
                <c:pt idx="15">
                  <c:v>41971</c:v>
                </c:pt>
                <c:pt idx="16">
                  <c:v>41974</c:v>
                </c:pt>
                <c:pt idx="17">
                  <c:v>41975</c:v>
                </c:pt>
                <c:pt idx="18">
                  <c:v>41977</c:v>
                </c:pt>
                <c:pt idx="19">
                  <c:v>41978</c:v>
                </c:pt>
                <c:pt idx="20">
                  <c:v>41981</c:v>
                </c:pt>
                <c:pt idx="21">
                  <c:v>41982</c:v>
                </c:pt>
                <c:pt idx="22">
                  <c:v>41983</c:v>
                </c:pt>
                <c:pt idx="23">
                  <c:v>41984</c:v>
                </c:pt>
                <c:pt idx="24">
                  <c:v>41985</c:v>
                </c:pt>
                <c:pt idx="25">
                  <c:v>41989</c:v>
                </c:pt>
                <c:pt idx="26">
                  <c:v>41990</c:v>
                </c:pt>
                <c:pt idx="27">
                  <c:v>41991</c:v>
                </c:pt>
                <c:pt idx="28">
                  <c:v>41992</c:v>
                </c:pt>
                <c:pt idx="29">
                  <c:v>41996</c:v>
                </c:pt>
                <c:pt idx="30">
                  <c:v>41999</c:v>
                </c:pt>
                <c:pt idx="31">
                  <c:v>42002</c:v>
                </c:pt>
                <c:pt idx="32">
                  <c:v>42003</c:v>
                </c:pt>
                <c:pt idx="33">
                  <c:v>42004</c:v>
                </c:pt>
                <c:pt idx="34">
                  <c:v>42006</c:v>
                </c:pt>
                <c:pt idx="35">
                  <c:v>42010</c:v>
                </c:pt>
                <c:pt idx="36">
                  <c:v>42011</c:v>
                </c:pt>
                <c:pt idx="37">
                  <c:v>42012</c:v>
                </c:pt>
                <c:pt idx="38">
                  <c:v>42013</c:v>
                </c:pt>
                <c:pt idx="39">
                  <c:v>42016</c:v>
                </c:pt>
                <c:pt idx="40">
                  <c:v>42017</c:v>
                </c:pt>
                <c:pt idx="41">
                  <c:v>42020</c:v>
                </c:pt>
                <c:pt idx="42">
                  <c:v>42023</c:v>
                </c:pt>
                <c:pt idx="43">
                  <c:v>42024</c:v>
                </c:pt>
                <c:pt idx="44">
                  <c:v>42025</c:v>
                </c:pt>
                <c:pt idx="45">
                  <c:v>42026</c:v>
                </c:pt>
                <c:pt idx="46">
                  <c:v>42027</c:v>
                </c:pt>
                <c:pt idx="47">
                  <c:v>42030</c:v>
                </c:pt>
                <c:pt idx="48">
                  <c:v>42031</c:v>
                </c:pt>
                <c:pt idx="49">
                  <c:v>42032</c:v>
                </c:pt>
                <c:pt idx="50">
                  <c:v>42033</c:v>
                </c:pt>
                <c:pt idx="51">
                  <c:v>42034</c:v>
                </c:pt>
                <c:pt idx="52">
                  <c:v>42037</c:v>
                </c:pt>
                <c:pt idx="53">
                  <c:v>42040</c:v>
                </c:pt>
                <c:pt idx="54">
                  <c:v>42041</c:v>
                </c:pt>
                <c:pt idx="55">
                  <c:v>42044</c:v>
                </c:pt>
                <c:pt idx="56">
                  <c:v>42045</c:v>
                </c:pt>
                <c:pt idx="57">
                  <c:v>42046</c:v>
                </c:pt>
                <c:pt idx="58">
                  <c:v>42047</c:v>
                </c:pt>
                <c:pt idx="59">
                  <c:v>42048</c:v>
                </c:pt>
                <c:pt idx="60">
                  <c:v>42051</c:v>
                </c:pt>
                <c:pt idx="61">
                  <c:v>42053</c:v>
                </c:pt>
                <c:pt idx="62">
                  <c:v>42054</c:v>
                </c:pt>
                <c:pt idx="63">
                  <c:v>42055</c:v>
                </c:pt>
                <c:pt idx="64">
                  <c:v>42058</c:v>
                </c:pt>
                <c:pt idx="65">
                  <c:v>42059</c:v>
                </c:pt>
                <c:pt idx="66">
                  <c:v>42060</c:v>
                </c:pt>
                <c:pt idx="67">
                  <c:v>42061</c:v>
                </c:pt>
                <c:pt idx="68">
                  <c:v>42062</c:v>
                </c:pt>
                <c:pt idx="69">
                  <c:v>42065</c:v>
                </c:pt>
                <c:pt idx="70">
                  <c:v>42066</c:v>
                </c:pt>
                <c:pt idx="71">
                  <c:v>42067</c:v>
                </c:pt>
                <c:pt idx="72">
                  <c:v>42069</c:v>
                </c:pt>
                <c:pt idx="73">
                  <c:v>42072</c:v>
                </c:pt>
                <c:pt idx="74">
                  <c:v>42073</c:v>
                </c:pt>
                <c:pt idx="75">
                  <c:v>42074</c:v>
                </c:pt>
                <c:pt idx="76">
                  <c:v>42075</c:v>
                </c:pt>
                <c:pt idx="77">
                  <c:v>42076</c:v>
                </c:pt>
                <c:pt idx="78">
                  <c:v>42080</c:v>
                </c:pt>
                <c:pt idx="79">
                  <c:v>42081</c:v>
                </c:pt>
                <c:pt idx="80">
                  <c:v>42082</c:v>
                </c:pt>
                <c:pt idx="81">
                  <c:v>42083</c:v>
                </c:pt>
                <c:pt idx="82">
                  <c:v>42086</c:v>
                </c:pt>
                <c:pt idx="83">
                  <c:v>42087</c:v>
                </c:pt>
                <c:pt idx="84">
                  <c:v>42088</c:v>
                </c:pt>
                <c:pt idx="85">
                  <c:v>42089</c:v>
                </c:pt>
                <c:pt idx="86">
                  <c:v>42090</c:v>
                </c:pt>
                <c:pt idx="87">
                  <c:v>42093</c:v>
                </c:pt>
                <c:pt idx="88">
                  <c:v>42094</c:v>
                </c:pt>
                <c:pt idx="89">
                  <c:v>42095</c:v>
                </c:pt>
                <c:pt idx="90">
                  <c:v>42096</c:v>
                </c:pt>
                <c:pt idx="91">
                  <c:v>42100</c:v>
                </c:pt>
                <c:pt idx="92">
                  <c:v>42102</c:v>
                </c:pt>
                <c:pt idx="93">
                  <c:v>42103</c:v>
                </c:pt>
                <c:pt idx="94">
                  <c:v>42104</c:v>
                </c:pt>
                <c:pt idx="95">
                  <c:v>42109</c:v>
                </c:pt>
                <c:pt idx="96">
                  <c:v>42110</c:v>
                </c:pt>
                <c:pt idx="97">
                  <c:v>42111</c:v>
                </c:pt>
                <c:pt idx="98">
                  <c:v>42114</c:v>
                </c:pt>
                <c:pt idx="99">
                  <c:v>42115</c:v>
                </c:pt>
                <c:pt idx="100">
                  <c:v>42116</c:v>
                </c:pt>
                <c:pt idx="101">
                  <c:v>42117</c:v>
                </c:pt>
                <c:pt idx="102">
                  <c:v>42118</c:v>
                </c:pt>
                <c:pt idx="103">
                  <c:v>42121</c:v>
                </c:pt>
                <c:pt idx="104">
                  <c:v>42122</c:v>
                </c:pt>
                <c:pt idx="105">
                  <c:v>42123</c:v>
                </c:pt>
                <c:pt idx="106">
                  <c:v>42124</c:v>
                </c:pt>
                <c:pt idx="107">
                  <c:v>42129</c:v>
                </c:pt>
                <c:pt idx="108">
                  <c:v>42130</c:v>
                </c:pt>
                <c:pt idx="109">
                  <c:v>42131</c:v>
                </c:pt>
                <c:pt idx="110">
                  <c:v>42132</c:v>
                </c:pt>
                <c:pt idx="111">
                  <c:v>42135</c:v>
                </c:pt>
                <c:pt idx="112">
                  <c:v>42136</c:v>
                </c:pt>
                <c:pt idx="113">
                  <c:v>42137</c:v>
                </c:pt>
                <c:pt idx="114">
                  <c:v>42138</c:v>
                </c:pt>
                <c:pt idx="115">
                  <c:v>42139</c:v>
                </c:pt>
                <c:pt idx="116">
                  <c:v>42142</c:v>
                </c:pt>
                <c:pt idx="117">
                  <c:v>42143</c:v>
                </c:pt>
                <c:pt idx="118">
                  <c:v>42144</c:v>
                </c:pt>
                <c:pt idx="119">
                  <c:v>42145</c:v>
                </c:pt>
                <c:pt idx="120">
                  <c:v>42146</c:v>
                </c:pt>
                <c:pt idx="121">
                  <c:v>42149</c:v>
                </c:pt>
                <c:pt idx="122">
                  <c:v>42150</c:v>
                </c:pt>
                <c:pt idx="123">
                  <c:v>42151</c:v>
                </c:pt>
                <c:pt idx="124">
                  <c:v>42152</c:v>
                </c:pt>
                <c:pt idx="125">
                  <c:v>42153</c:v>
                </c:pt>
                <c:pt idx="126">
                  <c:v>42156</c:v>
                </c:pt>
                <c:pt idx="127">
                  <c:v>42158</c:v>
                </c:pt>
                <c:pt idx="128">
                  <c:v>42159</c:v>
                </c:pt>
                <c:pt idx="129">
                  <c:v>42160</c:v>
                </c:pt>
                <c:pt idx="130">
                  <c:v>42163</c:v>
                </c:pt>
                <c:pt idx="131">
                  <c:v>42164</c:v>
                </c:pt>
                <c:pt idx="132">
                  <c:v>42165</c:v>
                </c:pt>
                <c:pt idx="133">
                  <c:v>42166</c:v>
                </c:pt>
                <c:pt idx="134">
                  <c:v>42167</c:v>
                </c:pt>
                <c:pt idx="135">
                  <c:v>42170</c:v>
                </c:pt>
                <c:pt idx="136">
                  <c:v>42171</c:v>
                </c:pt>
                <c:pt idx="137">
                  <c:v>42172</c:v>
                </c:pt>
                <c:pt idx="138">
                  <c:v>42173</c:v>
                </c:pt>
                <c:pt idx="139">
                  <c:v>42174</c:v>
                </c:pt>
                <c:pt idx="140">
                  <c:v>42177</c:v>
                </c:pt>
                <c:pt idx="141">
                  <c:v>42178</c:v>
                </c:pt>
                <c:pt idx="142">
                  <c:v>42179</c:v>
                </c:pt>
                <c:pt idx="143">
                  <c:v>42180</c:v>
                </c:pt>
                <c:pt idx="144">
                  <c:v>42181</c:v>
                </c:pt>
                <c:pt idx="145">
                  <c:v>42184</c:v>
                </c:pt>
                <c:pt idx="146">
                  <c:v>42185</c:v>
                </c:pt>
                <c:pt idx="147">
                  <c:v>42187</c:v>
                </c:pt>
                <c:pt idx="148">
                  <c:v>42188</c:v>
                </c:pt>
                <c:pt idx="149">
                  <c:v>42191</c:v>
                </c:pt>
                <c:pt idx="150">
                  <c:v>42192</c:v>
                </c:pt>
                <c:pt idx="151">
                  <c:v>42193</c:v>
                </c:pt>
                <c:pt idx="152">
                  <c:v>42194</c:v>
                </c:pt>
                <c:pt idx="153">
                  <c:v>42195</c:v>
                </c:pt>
                <c:pt idx="154">
                  <c:v>42198</c:v>
                </c:pt>
                <c:pt idx="155">
                  <c:v>42199</c:v>
                </c:pt>
                <c:pt idx="156">
                  <c:v>42200</c:v>
                </c:pt>
                <c:pt idx="157">
                  <c:v>42201</c:v>
                </c:pt>
                <c:pt idx="158">
                  <c:v>42202</c:v>
                </c:pt>
                <c:pt idx="159">
                  <c:v>42205</c:v>
                </c:pt>
                <c:pt idx="160">
                  <c:v>42206</c:v>
                </c:pt>
                <c:pt idx="161">
                  <c:v>42207</c:v>
                </c:pt>
                <c:pt idx="162">
                  <c:v>42208</c:v>
                </c:pt>
                <c:pt idx="163">
                  <c:v>42209</c:v>
                </c:pt>
                <c:pt idx="164">
                  <c:v>42212</c:v>
                </c:pt>
                <c:pt idx="165">
                  <c:v>42213</c:v>
                </c:pt>
                <c:pt idx="166">
                  <c:v>42214</c:v>
                </c:pt>
                <c:pt idx="167">
                  <c:v>42215</c:v>
                </c:pt>
                <c:pt idx="168">
                  <c:v>42219</c:v>
                </c:pt>
                <c:pt idx="169">
                  <c:v>42220</c:v>
                </c:pt>
                <c:pt idx="170">
                  <c:v>42221</c:v>
                </c:pt>
                <c:pt idx="171">
                  <c:v>42222</c:v>
                </c:pt>
                <c:pt idx="172">
                  <c:v>42223</c:v>
                </c:pt>
                <c:pt idx="173">
                  <c:v>42226</c:v>
                </c:pt>
                <c:pt idx="174">
                  <c:v>42227</c:v>
                </c:pt>
                <c:pt idx="175">
                  <c:v>42228</c:v>
                </c:pt>
                <c:pt idx="176">
                  <c:v>42229</c:v>
                </c:pt>
                <c:pt idx="177">
                  <c:v>42230</c:v>
                </c:pt>
                <c:pt idx="178">
                  <c:v>42233</c:v>
                </c:pt>
                <c:pt idx="179">
                  <c:v>42234</c:v>
                </c:pt>
                <c:pt idx="180">
                  <c:v>42235</c:v>
                </c:pt>
                <c:pt idx="181">
                  <c:v>42236</c:v>
                </c:pt>
                <c:pt idx="182">
                  <c:v>42237</c:v>
                </c:pt>
                <c:pt idx="183">
                  <c:v>42240</c:v>
                </c:pt>
                <c:pt idx="184">
                  <c:v>42241</c:v>
                </c:pt>
                <c:pt idx="185">
                  <c:v>42242</c:v>
                </c:pt>
                <c:pt idx="186">
                  <c:v>42243</c:v>
                </c:pt>
                <c:pt idx="187">
                  <c:v>42244</c:v>
                </c:pt>
                <c:pt idx="188">
                  <c:v>42247</c:v>
                </c:pt>
                <c:pt idx="189">
                  <c:v>42248</c:v>
                </c:pt>
                <c:pt idx="190">
                  <c:v>42249</c:v>
                </c:pt>
                <c:pt idx="191">
                  <c:v>42250</c:v>
                </c:pt>
                <c:pt idx="192">
                  <c:v>42251</c:v>
                </c:pt>
                <c:pt idx="193">
                  <c:v>42254</c:v>
                </c:pt>
                <c:pt idx="194">
                  <c:v>42255</c:v>
                </c:pt>
                <c:pt idx="195">
                  <c:v>42256</c:v>
                </c:pt>
                <c:pt idx="196">
                  <c:v>42257</c:v>
                </c:pt>
                <c:pt idx="197">
                  <c:v>42258</c:v>
                </c:pt>
                <c:pt idx="198">
                  <c:v>42261</c:v>
                </c:pt>
                <c:pt idx="199">
                  <c:v>42262</c:v>
                </c:pt>
                <c:pt idx="200">
                  <c:v>42263</c:v>
                </c:pt>
                <c:pt idx="201">
                  <c:v>42264</c:v>
                </c:pt>
                <c:pt idx="202">
                  <c:v>42265</c:v>
                </c:pt>
                <c:pt idx="203">
                  <c:v>42268</c:v>
                </c:pt>
                <c:pt idx="204">
                  <c:v>42269</c:v>
                </c:pt>
                <c:pt idx="205">
                  <c:v>42270</c:v>
                </c:pt>
                <c:pt idx="206">
                  <c:v>42272</c:v>
                </c:pt>
                <c:pt idx="207">
                  <c:v>42275</c:v>
                </c:pt>
                <c:pt idx="208">
                  <c:v>42276</c:v>
                </c:pt>
                <c:pt idx="209">
                  <c:v>42277</c:v>
                </c:pt>
                <c:pt idx="210">
                  <c:v>42278</c:v>
                </c:pt>
                <c:pt idx="211">
                  <c:v>42279</c:v>
                </c:pt>
                <c:pt idx="212">
                  <c:v>42282</c:v>
                </c:pt>
                <c:pt idx="213">
                  <c:v>42283</c:v>
                </c:pt>
                <c:pt idx="214">
                  <c:v>42284</c:v>
                </c:pt>
                <c:pt idx="215">
                  <c:v>42285</c:v>
                </c:pt>
                <c:pt idx="216">
                  <c:v>42286</c:v>
                </c:pt>
                <c:pt idx="217">
                  <c:v>42289</c:v>
                </c:pt>
                <c:pt idx="218">
                  <c:v>42290</c:v>
                </c:pt>
                <c:pt idx="219">
                  <c:v>42291</c:v>
                </c:pt>
                <c:pt idx="220">
                  <c:v>42292</c:v>
                </c:pt>
                <c:pt idx="221">
                  <c:v>42293</c:v>
                </c:pt>
                <c:pt idx="222">
                  <c:v>42296</c:v>
                </c:pt>
                <c:pt idx="223">
                  <c:v>42297</c:v>
                </c:pt>
                <c:pt idx="224">
                  <c:v>42298</c:v>
                </c:pt>
                <c:pt idx="225">
                  <c:v>42299</c:v>
                </c:pt>
                <c:pt idx="226">
                  <c:v>42300</c:v>
                </c:pt>
                <c:pt idx="227">
                  <c:v>42303</c:v>
                </c:pt>
                <c:pt idx="228">
                  <c:v>42305</c:v>
                </c:pt>
                <c:pt idx="229">
                  <c:v>42306</c:v>
                </c:pt>
                <c:pt idx="230">
                  <c:v>42307</c:v>
                </c:pt>
                <c:pt idx="231">
                  <c:v>42310</c:v>
                </c:pt>
                <c:pt idx="232">
                  <c:v>42311</c:v>
                </c:pt>
                <c:pt idx="233">
                  <c:v>42312</c:v>
                </c:pt>
                <c:pt idx="234">
                  <c:v>42313</c:v>
                </c:pt>
                <c:pt idx="235">
                  <c:v>42314</c:v>
                </c:pt>
              </c:numCache>
            </c:numRef>
          </c:cat>
          <c:val>
            <c:numRef>
              <c:f>'ACL.N0000`N'!$B$2:$B$237</c:f>
              <c:numCache>
                <c:formatCode>General</c:formatCode>
                <c:ptCount val="236"/>
                <c:pt idx="0">
                  <c:v>75</c:v>
                </c:pt>
                <c:pt idx="1">
                  <c:v>76.5</c:v>
                </c:pt>
                <c:pt idx="2">
                  <c:v>76</c:v>
                </c:pt>
                <c:pt idx="3">
                  <c:v>77.900002000000001</c:v>
                </c:pt>
                <c:pt idx="4">
                  <c:v>80.099997999999999</c:v>
                </c:pt>
                <c:pt idx="5">
                  <c:v>82.699996999999996</c:v>
                </c:pt>
                <c:pt idx="6">
                  <c:v>83</c:v>
                </c:pt>
                <c:pt idx="7">
                  <c:v>82.900002000000001</c:v>
                </c:pt>
                <c:pt idx="8">
                  <c:v>82.400002000000001</c:v>
                </c:pt>
                <c:pt idx="9">
                  <c:v>82</c:v>
                </c:pt>
                <c:pt idx="10">
                  <c:v>80</c:v>
                </c:pt>
                <c:pt idx="11">
                  <c:v>79.099997999999999</c:v>
                </c:pt>
                <c:pt idx="12">
                  <c:v>77.800003000000004</c:v>
                </c:pt>
                <c:pt idx="13">
                  <c:v>76</c:v>
                </c:pt>
                <c:pt idx="14">
                  <c:v>76</c:v>
                </c:pt>
                <c:pt idx="15">
                  <c:v>77.099997999999999</c:v>
                </c:pt>
                <c:pt idx="16">
                  <c:v>79</c:v>
                </c:pt>
                <c:pt idx="17">
                  <c:v>77.099997999999999</c:v>
                </c:pt>
                <c:pt idx="18">
                  <c:v>78</c:v>
                </c:pt>
                <c:pt idx="19">
                  <c:v>77</c:v>
                </c:pt>
                <c:pt idx="20">
                  <c:v>77.199996999999996</c:v>
                </c:pt>
                <c:pt idx="21">
                  <c:v>76.900002000000001</c:v>
                </c:pt>
                <c:pt idx="22">
                  <c:v>77</c:v>
                </c:pt>
                <c:pt idx="23">
                  <c:v>76.300003000000004</c:v>
                </c:pt>
                <c:pt idx="24">
                  <c:v>76.199996999999996</c:v>
                </c:pt>
                <c:pt idx="25">
                  <c:v>77</c:v>
                </c:pt>
                <c:pt idx="26">
                  <c:v>76.300003000000004</c:v>
                </c:pt>
                <c:pt idx="27">
                  <c:v>76.300003000000004</c:v>
                </c:pt>
                <c:pt idx="28">
                  <c:v>76.5</c:v>
                </c:pt>
                <c:pt idx="29">
                  <c:v>76.5</c:v>
                </c:pt>
                <c:pt idx="30">
                  <c:v>77</c:v>
                </c:pt>
                <c:pt idx="31">
                  <c:v>76.5</c:v>
                </c:pt>
                <c:pt idx="32">
                  <c:v>76.5</c:v>
                </c:pt>
                <c:pt idx="33">
                  <c:v>76.400002000000001</c:v>
                </c:pt>
                <c:pt idx="34">
                  <c:v>76.5</c:v>
                </c:pt>
                <c:pt idx="35">
                  <c:v>79.900002000000001</c:v>
                </c:pt>
                <c:pt idx="36">
                  <c:v>79.800003000000004</c:v>
                </c:pt>
                <c:pt idx="37">
                  <c:v>81.400002000000001</c:v>
                </c:pt>
                <c:pt idx="38">
                  <c:v>81.800003000000004</c:v>
                </c:pt>
                <c:pt idx="39">
                  <c:v>80.400002000000001</c:v>
                </c:pt>
                <c:pt idx="40">
                  <c:v>80.099997999999999</c:v>
                </c:pt>
                <c:pt idx="41">
                  <c:v>80</c:v>
                </c:pt>
                <c:pt idx="42">
                  <c:v>78</c:v>
                </c:pt>
                <c:pt idx="43">
                  <c:v>78.099997999999999</c:v>
                </c:pt>
                <c:pt idx="44">
                  <c:v>80</c:v>
                </c:pt>
                <c:pt idx="45">
                  <c:v>79</c:v>
                </c:pt>
                <c:pt idx="46">
                  <c:v>76.900002000000001</c:v>
                </c:pt>
                <c:pt idx="47">
                  <c:v>79.699996999999996</c:v>
                </c:pt>
                <c:pt idx="48">
                  <c:v>79</c:v>
                </c:pt>
                <c:pt idx="49">
                  <c:v>80</c:v>
                </c:pt>
                <c:pt idx="50">
                  <c:v>80.199996999999996</c:v>
                </c:pt>
                <c:pt idx="51">
                  <c:v>79.800003000000004</c:v>
                </c:pt>
                <c:pt idx="52">
                  <c:v>79.199996999999996</c:v>
                </c:pt>
                <c:pt idx="53">
                  <c:v>78.099997999999999</c:v>
                </c:pt>
                <c:pt idx="54">
                  <c:v>79.599997999999999</c:v>
                </c:pt>
                <c:pt idx="55">
                  <c:v>79.199996999999996</c:v>
                </c:pt>
                <c:pt idx="56">
                  <c:v>80</c:v>
                </c:pt>
                <c:pt idx="57">
                  <c:v>80</c:v>
                </c:pt>
                <c:pt idx="58">
                  <c:v>80</c:v>
                </c:pt>
                <c:pt idx="59">
                  <c:v>80</c:v>
                </c:pt>
                <c:pt idx="60">
                  <c:v>81.900002000000001</c:v>
                </c:pt>
                <c:pt idx="61">
                  <c:v>80.599997999999999</c:v>
                </c:pt>
                <c:pt idx="62">
                  <c:v>80.900002000000001</c:v>
                </c:pt>
                <c:pt idx="63">
                  <c:v>81.400002000000001</c:v>
                </c:pt>
                <c:pt idx="64">
                  <c:v>82.400002000000001</c:v>
                </c:pt>
                <c:pt idx="65">
                  <c:v>82</c:v>
                </c:pt>
                <c:pt idx="66">
                  <c:v>80.800003000000004</c:v>
                </c:pt>
                <c:pt idx="67">
                  <c:v>81.900002000000001</c:v>
                </c:pt>
                <c:pt idx="68">
                  <c:v>81.300003000000004</c:v>
                </c:pt>
                <c:pt idx="69">
                  <c:v>81</c:v>
                </c:pt>
                <c:pt idx="70">
                  <c:v>81</c:v>
                </c:pt>
                <c:pt idx="71">
                  <c:v>81</c:v>
                </c:pt>
                <c:pt idx="72">
                  <c:v>80.599997999999999</c:v>
                </c:pt>
                <c:pt idx="73">
                  <c:v>80</c:v>
                </c:pt>
                <c:pt idx="74">
                  <c:v>79.900002000000001</c:v>
                </c:pt>
                <c:pt idx="75">
                  <c:v>79.400002000000001</c:v>
                </c:pt>
                <c:pt idx="76">
                  <c:v>79</c:v>
                </c:pt>
                <c:pt idx="77">
                  <c:v>76.400002000000001</c:v>
                </c:pt>
                <c:pt idx="78">
                  <c:v>79.900002000000001</c:v>
                </c:pt>
                <c:pt idx="79">
                  <c:v>79.800003000000004</c:v>
                </c:pt>
                <c:pt idx="80">
                  <c:v>78.5</c:v>
                </c:pt>
                <c:pt idx="81">
                  <c:v>78</c:v>
                </c:pt>
                <c:pt idx="82">
                  <c:v>78</c:v>
                </c:pt>
                <c:pt idx="83">
                  <c:v>75.599997999999999</c:v>
                </c:pt>
                <c:pt idx="84">
                  <c:v>76</c:v>
                </c:pt>
                <c:pt idx="85">
                  <c:v>74.199996999999996</c:v>
                </c:pt>
                <c:pt idx="86">
                  <c:v>75.099997999999999</c:v>
                </c:pt>
                <c:pt idx="87">
                  <c:v>75</c:v>
                </c:pt>
                <c:pt idx="88">
                  <c:v>76</c:v>
                </c:pt>
                <c:pt idx="89">
                  <c:v>76.800003000000004</c:v>
                </c:pt>
                <c:pt idx="90">
                  <c:v>76.800003000000004</c:v>
                </c:pt>
                <c:pt idx="91">
                  <c:v>75.699996999999996</c:v>
                </c:pt>
                <c:pt idx="92">
                  <c:v>78</c:v>
                </c:pt>
                <c:pt idx="93">
                  <c:v>77.900002000000001</c:v>
                </c:pt>
                <c:pt idx="94">
                  <c:v>78</c:v>
                </c:pt>
                <c:pt idx="95">
                  <c:v>78</c:v>
                </c:pt>
                <c:pt idx="96">
                  <c:v>81.5</c:v>
                </c:pt>
                <c:pt idx="97">
                  <c:v>80.5</c:v>
                </c:pt>
                <c:pt idx="98">
                  <c:v>78.5</c:v>
                </c:pt>
                <c:pt idx="99">
                  <c:v>80</c:v>
                </c:pt>
                <c:pt idx="100">
                  <c:v>79.900002000000001</c:v>
                </c:pt>
                <c:pt idx="101">
                  <c:v>78.199996999999996</c:v>
                </c:pt>
                <c:pt idx="102">
                  <c:v>80</c:v>
                </c:pt>
                <c:pt idx="103">
                  <c:v>80.900002000000001</c:v>
                </c:pt>
                <c:pt idx="104">
                  <c:v>80.199996999999996</c:v>
                </c:pt>
                <c:pt idx="105">
                  <c:v>83.300003000000004</c:v>
                </c:pt>
                <c:pt idx="106">
                  <c:v>86</c:v>
                </c:pt>
                <c:pt idx="107">
                  <c:v>85.599997999999999</c:v>
                </c:pt>
                <c:pt idx="108">
                  <c:v>90.599997999999999</c:v>
                </c:pt>
                <c:pt idx="109">
                  <c:v>90</c:v>
                </c:pt>
                <c:pt idx="110">
                  <c:v>90</c:v>
                </c:pt>
                <c:pt idx="111">
                  <c:v>89.699996999999996</c:v>
                </c:pt>
                <c:pt idx="112">
                  <c:v>88.5</c:v>
                </c:pt>
                <c:pt idx="113">
                  <c:v>89</c:v>
                </c:pt>
                <c:pt idx="114">
                  <c:v>87.900002000000001</c:v>
                </c:pt>
                <c:pt idx="115">
                  <c:v>88.5</c:v>
                </c:pt>
                <c:pt idx="116">
                  <c:v>87</c:v>
                </c:pt>
                <c:pt idx="117">
                  <c:v>87</c:v>
                </c:pt>
                <c:pt idx="118">
                  <c:v>87</c:v>
                </c:pt>
                <c:pt idx="119">
                  <c:v>86.099997999999999</c:v>
                </c:pt>
                <c:pt idx="120">
                  <c:v>88</c:v>
                </c:pt>
                <c:pt idx="121">
                  <c:v>87</c:v>
                </c:pt>
                <c:pt idx="122">
                  <c:v>89.900002000000001</c:v>
                </c:pt>
                <c:pt idx="123">
                  <c:v>89.099997999999999</c:v>
                </c:pt>
                <c:pt idx="124">
                  <c:v>88</c:v>
                </c:pt>
                <c:pt idx="125">
                  <c:v>89</c:v>
                </c:pt>
                <c:pt idx="126">
                  <c:v>89.900002000000001</c:v>
                </c:pt>
                <c:pt idx="127">
                  <c:v>93.400002000000001</c:v>
                </c:pt>
                <c:pt idx="128">
                  <c:v>92.5</c:v>
                </c:pt>
                <c:pt idx="129">
                  <c:v>91.300003000000004</c:v>
                </c:pt>
                <c:pt idx="130">
                  <c:v>90.099997999999999</c:v>
                </c:pt>
                <c:pt idx="131">
                  <c:v>91.199996999999996</c:v>
                </c:pt>
                <c:pt idx="132">
                  <c:v>91.300003000000004</c:v>
                </c:pt>
                <c:pt idx="133">
                  <c:v>92.599997999999999</c:v>
                </c:pt>
                <c:pt idx="134">
                  <c:v>92.5</c:v>
                </c:pt>
                <c:pt idx="135">
                  <c:v>92</c:v>
                </c:pt>
                <c:pt idx="136">
                  <c:v>91.400002000000001</c:v>
                </c:pt>
                <c:pt idx="137">
                  <c:v>91.900002000000001</c:v>
                </c:pt>
                <c:pt idx="138">
                  <c:v>91.5</c:v>
                </c:pt>
                <c:pt idx="139">
                  <c:v>92</c:v>
                </c:pt>
                <c:pt idx="140">
                  <c:v>92</c:v>
                </c:pt>
                <c:pt idx="141">
                  <c:v>93</c:v>
                </c:pt>
                <c:pt idx="142">
                  <c:v>92.699996999999996</c:v>
                </c:pt>
                <c:pt idx="143">
                  <c:v>91.199996999999996</c:v>
                </c:pt>
                <c:pt idx="144">
                  <c:v>91</c:v>
                </c:pt>
                <c:pt idx="145">
                  <c:v>90.699996999999996</c:v>
                </c:pt>
                <c:pt idx="146">
                  <c:v>91</c:v>
                </c:pt>
                <c:pt idx="147">
                  <c:v>91</c:v>
                </c:pt>
                <c:pt idx="148">
                  <c:v>91.599997999999999</c:v>
                </c:pt>
                <c:pt idx="149">
                  <c:v>91.099997999999999</c:v>
                </c:pt>
                <c:pt idx="150">
                  <c:v>89.800003000000004</c:v>
                </c:pt>
                <c:pt idx="151">
                  <c:v>89.800003000000004</c:v>
                </c:pt>
                <c:pt idx="152">
                  <c:v>91</c:v>
                </c:pt>
                <c:pt idx="153">
                  <c:v>92</c:v>
                </c:pt>
                <c:pt idx="154">
                  <c:v>93</c:v>
                </c:pt>
                <c:pt idx="155">
                  <c:v>93</c:v>
                </c:pt>
                <c:pt idx="156">
                  <c:v>94.300003000000004</c:v>
                </c:pt>
                <c:pt idx="157">
                  <c:v>92.800003000000004</c:v>
                </c:pt>
                <c:pt idx="158">
                  <c:v>93.5</c:v>
                </c:pt>
                <c:pt idx="159">
                  <c:v>94</c:v>
                </c:pt>
                <c:pt idx="160">
                  <c:v>94</c:v>
                </c:pt>
                <c:pt idx="161">
                  <c:v>94.099997999999999</c:v>
                </c:pt>
                <c:pt idx="162">
                  <c:v>95</c:v>
                </c:pt>
                <c:pt idx="163">
                  <c:v>96</c:v>
                </c:pt>
                <c:pt idx="164">
                  <c:v>96.900002000000001</c:v>
                </c:pt>
                <c:pt idx="165">
                  <c:v>97.900002000000001</c:v>
                </c:pt>
                <c:pt idx="166">
                  <c:v>99.699996999999996</c:v>
                </c:pt>
                <c:pt idx="167">
                  <c:v>102.099998</c:v>
                </c:pt>
                <c:pt idx="168">
                  <c:v>103.400002</c:v>
                </c:pt>
                <c:pt idx="169">
                  <c:v>105.199997</c:v>
                </c:pt>
                <c:pt idx="170">
                  <c:v>110</c:v>
                </c:pt>
                <c:pt idx="171">
                  <c:v>112.699997</c:v>
                </c:pt>
                <c:pt idx="172">
                  <c:v>111</c:v>
                </c:pt>
                <c:pt idx="173">
                  <c:v>110</c:v>
                </c:pt>
                <c:pt idx="174">
                  <c:v>114.900002</c:v>
                </c:pt>
                <c:pt idx="175">
                  <c:v>114</c:v>
                </c:pt>
                <c:pt idx="176">
                  <c:v>112.099998</c:v>
                </c:pt>
                <c:pt idx="177">
                  <c:v>113.099998</c:v>
                </c:pt>
                <c:pt idx="178">
                  <c:v>120.599998</c:v>
                </c:pt>
                <c:pt idx="179">
                  <c:v>123.599998</c:v>
                </c:pt>
                <c:pt idx="180">
                  <c:v>120.099998</c:v>
                </c:pt>
                <c:pt idx="181">
                  <c:v>118.800003</c:v>
                </c:pt>
                <c:pt idx="182">
                  <c:v>120</c:v>
                </c:pt>
                <c:pt idx="183">
                  <c:v>115.199997</c:v>
                </c:pt>
                <c:pt idx="184">
                  <c:v>110.099998</c:v>
                </c:pt>
                <c:pt idx="185">
                  <c:v>111.5</c:v>
                </c:pt>
                <c:pt idx="186">
                  <c:v>114</c:v>
                </c:pt>
                <c:pt idx="187">
                  <c:v>116.199997</c:v>
                </c:pt>
                <c:pt idx="188">
                  <c:v>114</c:v>
                </c:pt>
                <c:pt idx="189">
                  <c:v>114.800003</c:v>
                </c:pt>
                <c:pt idx="190">
                  <c:v>112.5</c:v>
                </c:pt>
                <c:pt idx="191">
                  <c:v>114</c:v>
                </c:pt>
                <c:pt idx="192">
                  <c:v>112.199997</c:v>
                </c:pt>
                <c:pt idx="193">
                  <c:v>107.5</c:v>
                </c:pt>
                <c:pt idx="194">
                  <c:v>107.199997</c:v>
                </c:pt>
                <c:pt idx="195">
                  <c:v>110.900002</c:v>
                </c:pt>
                <c:pt idx="196">
                  <c:v>108</c:v>
                </c:pt>
                <c:pt idx="197">
                  <c:v>108</c:v>
                </c:pt>
                <c:pt idx="198">
                  <c:v>108</c:v>
                </c:pt>
                <c:pt idx="199">
                  <c:v>109</c:v>
                </c:pt>
                <c:pt idx="200">
                  <c:v>107.699997</c:v>
                </c:pt>
                <c:pt idx="201">
                  <c:v>108.099998</c:v>
                </c:pt>
                <c:pt idx="202">
                  <c:v>108.800003</c:v>
                </c:pt>
                <c:pt idx="203">
                  <c:v>109.900002</c:v>
                </c:pt>
                <c:pt idx="204">
                  <c:v>109.099998</c:v>
                </c:pt>
                <c:pt idx="205">
                  <c:v>108.900002</c:v>
                </c:pt>
                <c:pt idx="206">
                  <c:v>108.400002</c:v>
                </c:pt>
                <c:pt idx="207">
                  <c:v>108</c:v>
                </c:pt>
                <c:pt idx="208">
                  <c:v>109</c:v>
                </c:pt>
                <c:pt idx="209">
                  <c:v>108.400002</c:v>
                </c:pt>
                <c:pt idx="210">
                  <c:v>108.900002</c:v>
                </c:pt>
                <c:pt idx="211">
                  <c:v>114.099998</c:v>
                </c:pt>
                <c:pt idx="212">
                  <c:v>119.800003</c:v>
                </c:pt>
                <c:pt idx="213">
                  <c:v>123.099998</c:v>
                </c:pt>
                <c:pt idx="214">
                  <c:v>121.099998</c:v>
                </c:pt>
                <c:pt idx="215">
                  <c:v>121.599998</c:v>
                </c:pt>
                <c:pt idx="216">
                  <c:v>126.800003</c:v>
                </c:pt>
                <c:pt idx="217">
                  <c:v>126.699997</c:v>
                </c:pt>
                <c:pt idx="218">
                  <c:v>124.199997</c:v>
                </c:pt>
                <c:pt idx="219">
                  <c:v>122.099998</c:v>
                </c:pt>
                <c:pt idx="220">
                  <c:v>119.599998</c:v>
                </c:pt>
                <c:pt idx="221">
                  <c:v>119.5</c:v>
                </c:pt>
                <c:pt idx="222">
                  <c:v>119.599998</c:v>
                </c:pt>
                <c:pt idx="223">
                  <c:v>120.5</c:v>
                </c:pt>
                <c:pt idx="224">
                  <c:v>122</c:v>
                </c:pt>
                <c:pt idx="225">
                  <c:v>119.800003</c:v>
                </c:pt>
                <c:pt idx="226">
                  <c:v>120.599998</c:v>
                </c:pt>
                <c:pt idx="227">
                  <c:v>120.599998</c:v>
                </c:pt>
                <c:pt idx="228">
                  <c:v>120</c:v>
                </c:pt>
                <c:pt idx="229">
                  <c:v>119.599998</c:v>
                </c:pt>
                <c:pt idx="230">
                  <c:v>119</c:v>
                </c:pt>
                <c:pt idx="231">
                  <c:v>119</c:v>
                </c:pt>
                <c:pt idx="232">
                  <c:v>118.699997</c:v>
                </c:pt>
                <c:pt idx="233">
                  <c:v>115</c:v>
                </c:pt>
                <c:pt idx="234">
                  <c:v>116.900002</c:v>
                </c:pt>
                <c:pt idx="235">
                  <c:v>120</c:v>
                </c:pt>
              </c:numCache>
            </c:numRef>
          </c:val>
          <c:smooth val="0"/>
          <c:extLst>
            <c:ext xmlns:c16="http://schemas.microsoft.com/office/drawing/2014/chart" uri="{C3380CC4-5D6E-409C-BE32-E72D297353CC}">
              <c16:uniqueId val="{00000001-C29B-4CBF-AB37-68E6BDC90CE5}"/>
            </c:ext>
          </c:extLst>
        </c:ser>
        <c:dLbls>
          <c:showLegendKey val="0"/>
          <c:showVal val="0"/>
          <c:showCatName val="0"/>
          <c:showSerName val="0"/>
          <c:showPercent val="0"/>
          <c:showBubbleSize val="0"/>
        </c:dLbls>
        <c:marker val="1"/>
        <c:smooth val="0"/>
        <c:axId val="114096384"/>
        <c:axId val="111022080"/>
      </c:lineChart>
      <c:dateAx>
        <c:axId val="114096384"/>
        <c:scaling>
          <c:orientation val="minMax"/>
        </c:scaling>
        <c:delete val="0"/>
        <c:axPos val="b"/>
        <c:numFmt formatCode="[$-409]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22080"/>
        <c:crosses val="autoZero"/>
        <c:auto val="1"/>
        <c:lblOffset val="100"/>
        <c:baseTimeUnit val="days"/>
        <c:majorUnit val="1"/>
        <c:majorTimeUnit val="months"/>
      </c:dateAx>
      <c:valAx>
        <c:axId val="111022080"/>
        <c:scaling>
          <c:orientation val="minMax"/>
          <c:min val="60"/>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96384"/>
        <c:crosses val="autoZero"/>
        <c:crossBetween val="between"/>
      </c:valAx>
      <c:valAx>
        <c:axId val="111023616"/>
        <c:scaling>
          <c:orientation val="minMax"/>
          <c:min val="20000"/>
        </c:scaling>
        <c:delete val="0"/>
        <c:axPos val="r"/>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25152"/>
        <c:crosses val="max"/>
        <c:crossBetween val="between"/>
      </c:valAx>
      <c:dateAx>
        <c:axId val="111025152"/>
        <c:scaling>
          <c:orientation val="minMax"/>
        </c:scaling>
        <c:delete val="1"/>
        <c:axPos val="b"/>
        <c:numFmt formatCode="m/d/yyyy" sourceLinked="1"/>
        <c:majorTickMark val="out"/>
        <c:minorTickMark val="none"/>
        <c:tickLblPos val="nextTo"/>
        <c:crossAx val="111023616"/>
        <c:crosses val="autoZero"/>
        <c:auto val="1"/>
        <c:lblOffset val="100"/>
        <c:baseTimeUnit val="days"/>
      </c:dateAx>
      <c:spPr>
        <a:noFill/>
        <a:ln>
          <a:noFill/>
        </a:ln>
        <a:effectLst/>
      </c:spPr>
    </c:plotArea>
    <c:legend>
      <c:legendPos val="b"/>
      <c:layout>
        <c:manualLayout>
          <c:xMode val="edge"/>
          <c:yMode val="edge"/>
          <c:x val="0.36625078621929014"/>
          <c:y val="0.86208601103340121"/>
          <c:w val="0.32430971676291592"/>
          <c:h val="9.803992429964132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138026387530268"/>
          <c:y val="0.10885785409817039"/>
          <c:w val="0.8258854344237897"/>
          <c:h val="0.60308618505423472"/>
        </c:manualLayout>
      </c:layout>
      <c:lineChart>
        <c:grouping val="standard"/>
        <c:varyColors val="0"/>
        <c:ser>
          <c:idx val="0"/>
          <c:order val="0"/>
          <c:tx>
            <c:strRef>
              <c:f>'Matetial prices'!$J$2</c:f>
              <c:strCache>
                <c:ptCount val="1"/>
                <c:pt idx="0">
                  <c:v>2014</c:v>
                </c:pt>
              </c:strCache>
            </c:strRef>
          </c:tx>
          <c:spPr>
            <a:ln w="28575" cap="rnd">
              <a:solidFill>
                <a:srgbClr val="002060"/>
              </a:solidFill>
              <a:round/>
            </a:ln>
            <a:effectLst/>
          </c:spPr>
          <c:marker>
            <c:symbol val="none"/>
          </c:marker>
          <c:cat>
            <c:strRef>
              <c:f>'Matetial prices'!$I$3:$I$14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'Matetial prices'!$J$3:$J$14</c:f>
              <c:numCache>
                <c:formatCode>#,##0</c:formatCode>
                <c:ptCount val="12"/>
                <c:pt idx="0">
                  <c:v>7291.47</c:v>
                </c:pt>
                <c:pt idx="1">
                  <c:v>7149.21</c:v>
                </c:pt>
                <c:pt idx="2">
                  <c:v>6650.04</c:v>
                </c:pt>
                <c:pt idx="3">
                  <c:v>6673.56</c:v>
                </c:pt>
                <c:pt idx="4">
                  <c:v>6891.13</c:v>
                </c:pt>
                <c:pt idx="5">
                  <c:v>6821.14</c:v>
                </c:pt>
                <c:pt idx="6">
                  <c:v>7113.38</c:v>
                </c:pt>
                <c:pt idx="7">
                  <c:v>7001.84</c:v>
                </c:pt>
                <c:pt idx="8">
                  <c:v>6872.22</c:v>
                </c:pt>
                <c:pt idx="9">
                  <c:v>6737.48</c:v>
                </c:pt>
                <c:pt idx="10">
                  <c:v>6712.85</c:v>
                </c:pt>
                <c:pt idx="11">
                  <c:v>6446.45</c:v>
                </c:pt>
              </c:numCache>
            </c:numRef>
          </c:val>
          <c:smooth val="0"/>
          <c:extLst>
            <c:ext xmlns:c16="http://schemas.microsoft.com/office/drawing/2014/chart" uri="{C3380CC4-5D6E-409C-BE32-E72D297353CC}">
              <c16:uniqueId val="{00000000-1696-45AC-97A1-4934BDE3D460}"/>
            </c:ext>
          </c:extLst>
        </c:ser>
        <c:ser>
          <c:idx val="1"/>
          <c:order val="1"/>
          <c:tx>
            <c:strRef>
              <c:f>'Matetial prices'!$K$2</c:f>
              <c:strCache>
                <c:ptCount val="1"/>
                <c:pt idx="0">
                  <c:v>2015</c:v>
                </c:pt>
              </c:strCache>
            </c:strRef>
          </c:tx>
          <c:spPr>
            <a:ln w="28575" cap="rnd">
              <a:solidFill>
                <a:srgbClr val="FFC000"/>
              </a:solidFill>
              <a:round/>
            </a:ln>
            <a:effectLst/>
          </c:spPr>
          <c:marker>
            <c:symbol val="none"/>
          </c:marker>
          <c:cat>
            <c:strRef>
              <c:f>'Matetial prices'!$I$3:$I$14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'Matetial prices'!$K$3:$K$11</c:f>
              <c:numCache>
                <c:formatCode>#,##0</c:formatCode>
                <c:ptCount val="9"/>
                <c:pt idx="0">
                  <c:v>5830.54</c:v>
                </c:pt>
                <c:pt idx="1">
                  <c:v>5729.28</c:v>
                </c:pt>
                <c:pt idx="2">
                  <c:v>5939.67</c:v>
                </c:pt>
                <c:pt idx="3">
                  <c:v>6042.09</c:v>
                </c:pt>
                <c:pt idx="4">
                  <c:v>6294.78</c:v>
                </c:pt>
                <c:pt idx="5">
                  <c:v>5833.01</c:v>
                </c:pt>
                <c:pt idx="6">
                  <c:v>5456.75</c:v>
                </c:pt>
                <c:pt idx="7">
                  <c:v>5127.3</c:v>
                </c:pt>
                <c:pt idx="8">
                  <c:v>5217.25</c:v>
                </c:pt>
              </c:numCache>
            </c:numRef>
          </c:val>
          <c:smooth val="0"/>
          <c:extLst>
            <c:ext xmlns:c16="http://schemas.microsoft.com/office/drawing/2014/chart" uri="{C3380CC4-5D6E-409C-BE32-E72D297353CC}">
              <c16:uniqueId val="{00000001-1696-45AC-97A1-4934BDE3D460}"/>
            </c:ext>
          </c:extLst>
        </c:ser>
        <c:ser>
          <c:idx val="2"/>
          <c:order val="2"/>
          <c:tx>
            <c:strRef>
              <c:f>'Matetial prices'!$L$2</c:f>
              <c:strCache>
                <c:ptCount val="1"/>
                <c:pt idx="0">
                  <c:v>2016</c:v>
                </c:pt>
              </c:strCache>
            </c:strRef>
          </c:tx>
          <c:spPr>
            <a:ln w="28575" cap="rnd">
              <a:solidFill>
                <a:schemeClr val="accent4">
                  <a:lumMod val="50000"/>
                </a:schemeClr>
              </a:solidFill>
              <a:round/>
            </a:ln>
            <a:effectLst/>
          </c:spPr>
          <c:marker>
            <c:symbol val="none"/>
          </c:marker>
          <c:val>
            <c:numRef>
              <c:f>'Matetial prices'!$L$3:$L$4</c:f>
              <c:numCache>
                <c:formatCode>#,##0</c:formatCode>
                <c:ptCount val="2"/>
                <c:pt idx="0">
                  <c:v>4471.79</c:v>
                </c:pt>
                <c:pt idx="1">
                  <c:v>4598.62</c:v>
                </c:pt>
              </c:numCache>
            </c:numRef>
          </c:val>
          <c:smooth val="0"/>
          <c:extLst>
            <c:ext xmlns:c16="http://schemas.microsoft.com/office/drawing/2014/chart" uri="{C3380CC4-5D6E-409C-BE32-E72D297353CC}">
              <c16:uniqueId val="{00000002-1696-45AC-97A1-4934BDE3D460}"/>
            </c:ext>
          </c:extLst>
        </c:ser>
        <c:dLbls>
          <c:showLegendKey val="0"/>
          <c:showVal val="0"/>
          <c:showCatName val="0"/>
          <c:showSerName val="0"/>
          <c:showPercent val="0"/>
          <c:showBubbleSize val="0"/>
        </c:dLbls>
        <c:smooth val="0"/>
        <c:axId val="116545792"/>
        <c:axId val="116559872"/>
      </c:lineChart>
      <c:catAx>
        <c:axId val="11654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116559872"/>
        <c:crosses val="autoZero"/>
        <c:auto val="1"/>
        <c:lblAlgn val="ctr"/>
        <c:lblOffset val="100"/>
        <c:tickMarkSkip val="2"/>
        <c:noMultiLvlLbl val="0"/>
      </c:catAx>
      <c:valAx>
        <c:axId val="116559872"/>
        <c:scaling>
          <c:orientation val="minMax"/>
          <c:min val="4000"/>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116545792"/>
        <c:crossesAt val="1"/>
        <c:crossBetween val="between"/>
      </c:valAx>
      <c:spPr>
        <a:noFill/>
        <a:ln>
          <a:noFill/>
        </a:ln>
        <a:effectLst/>
      </c:spPr>
    </c:plotArea>
    <c:legend>
      <c:legendPos val="b"/>
      <c:layout>
        <c:manualLayout>
          <c:xMode val="edge"/>
          <c:yMode val="edge"/>
          <c:x val="0.29704638664827854"/>
          <c:y val="0.85953581375144406"/>
          <c:w val="0.48389466636732476"/>
          <c:h val="0.1032116818552424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782201520584576"/>
          <c:y val="7.7146092004532707E-2"/>
          <c:w val="0.79697462817147868"/>
          <c:h val="0.67095654709827945"/>
        </c:manualLayout>
      </c:layout>
      <c:lineChart>
        <c:grouping val="standard"/>
        <c:varyColors val="0"/>
        <c:ser>
          <c:idx val="0"/>
          <c:order val="0"/>
          <c:tx>
            <c:strRef>
              <c:f>'Matetial prices'!$C$2</c:f>
              <c:strCache>
                <c:ptCount val="1"/>
                <c:pt idx="0">
                  <c:v>2014</c:v>
                </c:pt>
              </c:strCache>
            </c:strRef>
          </c:tx>
          <c:spPr>
            <a:ln w="28575" cap="rnd">
              <a:solidFill>
                <a:srgbClr val="002060"/>
              </a:solidFill>
              <a:round/>
            </a:ln>
            <a:effectLst/>
          </c:spPr>
          <c:marker>
            <c:symbol val="none"/>
          </c:marker>
          <c:cat>
            <c:strRef>
              <c:extLst>
                <c:ext xmlns:c15="http://schemas.microsoft.com/office/drawing/2012/chart" uri="{02D57815-91ED-43cb-92C2-25804820EDAC}">
                  <c15:fullRef>
                    <c15:sqref>'Matetial prices'!$B$2:$B$14</c15:sqref>
                  </c15:fullRef>
                </c:ext>
              </c:extLst>
              <c:f>'Matetial prices'!$B$3:$B$14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extLst>
                <c:ext xmlns:c15="http://schemas.microsoft.com/office/drawing/2012/chart" uri="{02D57815-91ED-43cb-92C2-25804820EDAC}">
                  <c15:fullRef>
                    <c15:sqref>'Matetial prices'!$C$2:$C$14</c15:sqref>
                  </c15:fullRef>
                </c:ext>
              </c:extLst>
              <c:f>'Matetial prices'!$C$3:$C$14</c:f>
              <c:numCache>
                <c:formatCode>#,##0</c:formatCode>
                <c:ptCount val="12"/>
                <c:pt idx="0">
                  <c:v>1727.41</c:v>
                </c:pt>
                <c:pt idx="1">
                  <c:v>1695.17</c:v>
                </c:pt>
                <c:pt idx="2">
                  <c:v>1705.37</c:v>
                </c:pt>
                <c:pt idx="3">
                  <c:v>1810.68</c:v>
                </c:pt>
                <c:pt idx="4">
                  <c:v>1751.05</c:v>
                </c:pt>
                <c:pt idx="5">
                  <c:v>1838.95</c:v>
                </c:pt>
                <c:pt idx="6">
                  <c:v>1948.3</c:v>
                </c:pt>
                <c:pt idx="7">
                  <c:v>2030.49</c:v>
                </c:pt>
                <c:pt idx="8">
                  <c:v>1990.43</c:v>
                </c:pt>
                <c:pt idx="9">
                  <c:v>1946.19</c:v>
                </c:pt>
                <c:pt idx="10">
                  <c:v>2055.56</c:v>
                </c:pt>
                <c:pt idx="11">
                  <c:v>1909.46</c:v>
                </c:pt>
              </c:numCache>
            </c:numRef>
          </c:val>
          <c:smooth val="0"/>
          <c:extLst>
            <c:ext xmlns:c16="http://schemas.microsoft.com/office/drawing/2014/chart" uri="{C3380CC4-5D6E-409C-BE32-E72D297353CC}">
              <c16:uniqueId val="{00000000-5AEC-4910-8B7C-9E0665A0AE3A}"/>
            </c:ext>
          </c:extLst>
        </c:ser>
        <c:ser>
          <c:idx val="1"/>
          <c:order val="1"/>
          <c:tx>
            <c:strRef>
              <c:f>'Matetial prices'!$D$2</c:f>
              <c:strCache>
                <c:ptCount val="1"/>
                <c:pt idx="0">
                  <c:v>2015</c:v>
                </c:pt>
              </c:strCache>
            </c:strRef>
          </c:tx>
          <c:spPr>
            <a:ln w="28575" cap="rnd">
              <a:solidFill>
                <a:srgbClr val="FFC000"/>
              </a:solidFill>
              <a:round/>
            </a:ln>
            <a:effectLst/>
          </c:spPr>
          <c:marker>
            <c:symbol val="none"/>
          </c:marker>
          <c:cat>
            <c:strRef>
              <c:extLst>
                <c:ext xmlns:c15="http://schemas.microsoft.com/office/drawing/2012/chart" uri="{02D57815-91ED-43cb-92C2-25804820EDAC}">
                  <c15:fullRef>
                    <c15:sqref>'Matetial prices'!$B$2:$B$14</c15:sqref>
                  </c15:fullRef>
                </c:ext>
              </c:extLst>
              <c:f>'Matetial prices'!$B$3:$B$14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extLst>
                <c:ext xmlns:c15="http://schemas.microsoft.com/office/drawing/2012/chart" uri="{02D57815-91ED-43cb-92C2-25804820EDAC}">
                  <c15:fullRef>
                    <c15:sqref>'Matetial prices'!$D$2:$D$14</c15:sqref>
                  </c15:fullRef>
                </c:ext>
              </c:extLst>
              <c:f>'Matetial prices'!$D$3:$D$14</c:f>
              <c:numCache>
                <c:formatCode>#,##0</c:formatCode>
                <c:ptCount val="12"/>
                <c:pt idx="0">
                  <c:v>1814.72</c:v>
                </c:pt>
                <c:pt idx="1">
                  <c:v>1817.82</c:v>
                </c:pt>
                <c:pt idx="2">
                  <c:v>1773.86</c:v>
                </c:pt>
                <c:pt idx="3">
                  <c:v>1819.19</c:v>
                </c:pt>
                <c:pt idx="4">
                  <c:v>1804.04</c:v>
                </c:pt>
                <c:pt idx="5">
                  <c:v>1687.73</c:v>
                </c:pt>
                <c:pt idx="6">
                  <c:v>1639.5</c:v>
                </c:pt>
                <c:pt idx="7">
                  <c:v>1548.13</c:v>
                </c:pt>
                <c:pt idx="8">
                  <c:v>1589.6</c:v>
                </c:pt>
                <c:pt idx="9">
                  <c:v>1516.49</c:v>
                </c:pt>
                <c:pt idx="10">
                  <c:v>1467.89</c:v>
                </c:pt>
                <c:pt idx="11">
                  <c:v>1497.2</c:v>
                </c:pt>
              </c:numCache>
            </c:numRef>
          </c:val>
          <c:smooth val="0"/>
          <c:extLst>
            <c:ext xmlns:c16="http://schemas.microsoft.com/office/drawing/2014/chart" uri="{C3380CC4-5D6E-409C-BE32-E72D297353CC}">
              <c16:uniqueId val="{00000001-5AEC-4910-8B7C-9E0665A0AE3A}"/>
            </c:ext>
          </c:extLst>
        </c:ser>
        <c:ser>
          <c:idx val="2"/>
          <c:order val="2"/>
          <c:tx>
            <c:strRef>
              <c:f>'Matetial prices'!$E$2</c:f>
              <c:strCache>
                <c:ptCount val="1"/>
                <c:pt idx="0">
                  <c:v>2016</c:v>
                </c:pt>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'Matetial prices'!$B$2:$B$14</c15:sqref>
                  </c15:fullRef>
                </c:ext>
              </c:extLst>
              <c:f>'Matetial prices'!$B$3:$B$14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extLst>
                <c:ext xmlns:c15="http://schemas.microsoft.com/office/drawing/2012/chart" uri="{02D57815-91ED-43cb-92C2-25804820EDAC}">
                  <c15:fullRef>
                    <c15:sqref>'Matetial prices'!$E$2:$E$14</c15:sqref>
                  </c15:fullRef>
                </c:ext>
              </c:extLst>
              <c:f>'Matetial prices'!$E$3:$E$14</c:f>
              <c:numCache>
                <c:formatCode>#,##0</c:formatCode>
                <c:ptCount val="12"/>
                <c:pt idx="0">
                  <c:v>1481.1</c:v>
                </c:pt>
                <c:pt idx="1">
                  <c:v>1531.26</c:v>
                </c:pt>
              </c:numCache>
            </c:numRef>
          </c:val>
          <c:smooth val="0"/>
          <c:extLst>
            <c:ext xmlns:c16="http://schemas.microsoft.com/office/drawing/2014/chart" uri="{C3380CC4-5D6E-409C-BE32-E72D297353CC}">
              <c16:uniqueId val="{00000002-5AEC-4910-8B7C-9E0665A0AE3A}"/>
            </c:ext>
          </c:extLst>
        </c:ser>
        <c:dLbls>
          <c:showLegendKey val="0"/>
          <c:showVal val="0"/>
          <c:showCatName val="0"/>
          <c:showSerName val="0"/>
          <c:showPercent val="0"/>
          <c:showBubbleSize val="0"/>
        </c:dLbls>
        <c:smooth val="0"/>
        <c:axId val="116606080"/>
        <c:axId val="116607616"/>
      </c:lineChart>
      <c:catAx>
        <c:axId val="11660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116607616"/>
        <c:crosses val="autoZero"/>
        <c:auto val="1"/>
        <c:lblAlgn val="ctr"/>
        <c:lblOffset val="100"/>
        <c:noMultiLvlLbl val="0"/>
      </c:catAx>
      <c:valAx>
        <c:axId val="116607616"/>
        <c:scaling>
          <c:orientation val="minMax"/>
          <c:min val="1400"/>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116606080"/>
        <c:crosses val="autoZero"/>
        <c:crossBetween val="between"/>
      </c:valAx>
      <c:spPr>
        <a:noFill/>
        <a:ln>
          <a:noFill/>
        </a:ln>
        <a:effectLst/>
      </c:spPr>
    </c:plotArea>
    <c:legend>
      <c:legendPos val="b"/>
      <c:layout>
        <c:manualLayout>
          <c:xMode val="edge"/>
          <c:yMode val="edge"/>
          <c:x val="0.27911968750385074"/>
          <c:y val="0.89639624717071398"/>
          <c:w val="0.47931895037942951"/>
          <c:h val="7.7048597416557146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323403324584427"/>
          <c:y val="0.14351851851851852"/>
          <c:w val="0.7439903762029747"/>
          <c:h val="0.55104986876640416"/>
        </c:manualLayout>
      </c:layout>
      <c:areaChart>
        <c:grouping val="standard"/>
        <c:varyColors val="0"/>
        <c:ser>
          <c:idx val="1"/>
          <c:order val="1"/>
          <c:tx>
            <c:strRef>
              <c:f>'ACL N0000`N'!$J$2734</c:f>
              <c:strCache>
                <c:ptCount val="1"/>
                <c:pt idx="0">
                  <c:v> Volume </c:v>
                </c:pt>
              </c:strCache>
            </c:strRef>
          </c:tx>
          <c:spPr>
            <a:solidFill>
              <a:srgbClr val="FFC000"/>
            </a:solidFill>
            <a:ln>
              <a:solidFill>
                <a:srgbClr val="FFC000"/>
              </a:solidFill>
            </a:ln>
            <a:effectLst/>
          </c:spPr>
          <c:val>
            <c:numRef>
              <c:f>'ACL N0000`N'!$J$2735:$J$2972</c:f>
              <c:numCache>
                <c:formatCode>_(* #,##0_);_(* \(#,##0\);_(* "-"??_);_(@_)</c:formatCode>
                <c:ptCount val="238"/>
                <c:pt idx="0">
                  <c:v>1298</c:v>
                </c:pt>
                <c:pt idx="1">
                  <c:v>1500</c:v>
                </c:pt>
                <c:pt idx="2">
                  <c:v>15000</c:v>
                </c:pt>
                <c:pt idx="3">
                  <c:v>100</c:v>
                </c:pt>
                <c:pt idx="4">
                  <c:v>1900</c:v>
                </c:pt>
                <c:pt idx="5">
                  <c:v>10072</c:v>
                </c:pt>
                <c:pt idx="6">
                  <c:v>100</c:v>
                </c:pt>
                <c:pt idx="7">
                  <c:v>28000</c:v>
                </c:pt>
                <c:pt idx="8">
                  <c:v>212</c:v>
                </c:pt>
                <c:pt idx="9">
                  <c:v>3210</c:v>
                </c:pt>
                <c:pt idx="10">
                  <c:v>12</c:v>
                </c:pt>
                <c:pt idx="11">
                  <c:v>10</c:v>
                </c:pt>
                <c:pt idx="12">
                  <c:v>2780</c:v>
                </c:pt>
                <c:pt idx="13">
                  <c:v>6124</c:v>
                </c:pt>
                <c:pt idx="14">
                  <c:v>1347</c:v>
                </c:pt>
                <c:pt idx="15">
                  <c:v>30090</c:v>
                </c:pt>
                <c:pt idx="16">
                  <c:v>650157</c:v>
                </c:pt>
                <c:pt idx="17">
                  <c:v>474005</c:v>
                </c:pt>
                <c:pt idx="18">
                  <c:v>29113</c:v>
                </c:pt>
                <c:pt idx="19">
                  <c:v>705301</c:v>
                </c:pt>
                <c:pt idx="20">
                  <c:v>901486</c:v>
                </c:pt>
                <c:pt idx="21">
                  <c:v>54301</c:v>
                </c:pt>
                <c:pt idx="22">
                  <c:v>1000</c:v>
                </c:pt>
                <c:pt idx="23">
                  <c:v>28900</c:v>
                </c:pt>
                <c:pt idx="24">
                  <c:v>38611</c:v>
                </c:pt>
                <c:pt idx="25">
                  <c:v>3000</c:v>
                </c:pt>
                <c:pt idx="26">
                  <c:v>39612</c:v>
                </c:pt>
                <c:pt idx="27">
                  <c:v>1772</c:v>
                </c:pt>
                <c:pt idx="28">
                  <c:v>50536</c:v>
                </c:pt>
                <c:pt idx="29">
                  <c:v>8200</c:v>
                </c:pt>
                <c:pt idx="30">
                  <c:v>23053</c:v>
                </c:pt>
                <c:pt idx="31">
                  <c:v>25300</c:v>
                </c:pt>
                <c:pt idx="32">
                  <c:v>73990</c:v>
                </c:pt>
                <c:pt idx="33">
                  <c:v>5480</c:v>
                </c:pt>
                <c:pt idx="34">
                  <c:v>38300</c:v>
                </c:pt>
                <c:pt idx="35">
                  <c:v>11000</c:v>
                </c:pt>
                <c:pt idx="36">
                  <c:v>22527</c:v>
                </c:pt>
                <c:pt idx="37">
                  <c:v>291997</c:v>
                </c:pt>
                <c:pt idx="38">
                  <c:v>727887</c:v>
                </c:pt>
                <c:pt idx="39">
                  <c:v>60695</c:v>
                </c:pt>
                <c:pt idx="40">
                  <c:v>72496</c:v>
                </c:pt>
                <c:pt idx="41">
                  <c:v>18832</c:v>
                </c:pt>
                <c:pt idx="42">
                  <c:v>16231</c:v>
                </c:pt>
                <c:pt idx="43">
                  <c:v>55769</c:v>
                </c:pt>
                <c:pt idx="44">
                  <c:v>33704</c:v>
                </c:pt>
                <c:pt idx="45">
                  <c:v>58721</c:v>
                </c:pt>
                <c:pt idx="46">
                  <c:v>20994</c:v>
                </c:pt>
                <c:pt idx="47">
                  <c:v>45744</c:v>
                </c:pt>
                <c:pt idx="48">
                  <c:v>17436</c:v>
                </c:pt>
                <c:pt idx="49">
                  <c:v>1200</c:v>
                </c:pt>
                <c:pt idx="50">
                  <c:v>19046</c:v>
                </c:pt>
                <c:pt idx="51">
                  <c:v>23446</c:v>
                </c:pt>
                <c:pt idx="52">
                  <c:v>35311</c:v>
                </c:pt>
                <c:pt idx="53">
                  <c:v>13958</c:v>
                </c:pt>
                <c:pt idx="54">
                  <c:v>9541</c:v>
                </c:pt>
                <c:pt idx="55">
                  <c:v>25964</c:v>
                </c:pt>
                <c:pt idx="56">
                  <c:v>214518</c:v>
                </c:pt>
                <c:pt idx="57">
                  <c:v>21047</c:v>
                </c:pt>
                <c:pt idx="58">
                  <c:v>60398</c:v>
                </c:pt>
                <c:pt idx="59">
                  <c:v>135</c:v>
                </c:pt>
                <c:pt idx="60">
                  <c:v>33302</c:v>
                </c:pt>
                <c:pt idx="61">
                  <c:v>2013</c:v>
                </c:pt>
                <c:pt idx="62">
                  <c:v>5</c:v>
                </c:pt>
                <c:pt idx="63">
                  <c:v>35860</c:v>
                </c:pt>
                <c:pt idx="64">
                  <c:v>22904</c:v>
                </c:pt>
                <c:pt idx="65">
                  <c:v>102</c:v>
                </c:pt>
                <c:pt idx="66">
                  <c:v>61004</c:v>
                </c:pt>
                <c:pt idx="67">
                  <c:v>231124</c:v>
                </c:pt>
                <c:pt idx="68">
                  <c:v>40799</c:v>
                </c:pt>
                <c:pt idx="69">
                  <c:v>8402</c:v>
                </c:pt>
                <c:pt idx="70">
                  <c:v>8780</c:v>
                </c:pt>
                <c:pt idx="71">
                  <c:v>15550</c:v>
                </c:pt>
                <c:pt idx="72">
                  <c:v>25414</c:v>
                </c:pt>
                <c:pt idx="73">
                  <c:v>52420</c:v>
                </c:pt>
                <c:pt idx="74">
                  <c:v>156650</c:v>
                </c:pt>
                <c:pt idx="75">
                  <c:v>291172</c:v>
                </c:pt>
                <c:pt idx="76">
                  <c:v>22782</c:v>
                </c:pt>
                <c:pt idx="77">
                  <c:v>248306</c:v>
                </c:pt>
                <c:pt idx="78">
                  <c:v>166286</c:v>
                </c:pt>
                <c:pt idx="79">
                  <c:v>88504</c:v>
                </c:pt>
                <c:pt idx="80">
                  <c:v>323709</c:v>
                </c:pt>
                <c:pt idx="81">
                  <c:v>447126</c:v>
                </c:pt>
                <c:pt idx="82">
                  <c:v>475257</c:v>
                </c:pt>
                <c:pt idx="83">
                  <c:v>59750</c:v>
                </c:pt>
                <c:pt idx="84">
                  <c:v>126894</c:v>
                </c:pt>
                <c:pt idx="85">
                  <c:v>194508</c:v>
                </c:pt>
                <c:pt idx="86">
                  <c:v>65981</c:v>
                </c:pt>
                <c:pt idx="87">
                  <c:v>43827</c:v>
                </c:pt>
                <c:pt idx="88">
                  <c:v>85990</c:v>
                </c:pt>
                <c:pt idx="89">
                  <c:v>549569</c:v>
                </c:pt>
                <c:pt idx="90">
                  <c:v>138156</c:v>
                </c:pt>
                <c:pt idx="91">
                  <c:v>62979</c:v>
                </c:pt>
                <c:pt idx="92">
                  <c:v>99805</c:v>
                </c:pt>
                <c:pt idx="93">
                  <c:v>50569</c:v>
                </c:pt>
                <c:pt idx="94">
                  <c:v>60715</c:v>
                </c:pt>
                <c:pt idx="95">
                  <c:v>146067</c:v>
                </c:pt>
                <c:pt idx="96">
                  <c:v>19117</c:v>
                </c:pt>
                <c:pt idx="97">
                  <c:v>100303</c:v>
                </c:pt>
                <c:pt idx="98">
                  <c:v>167886</c:v>
                </c:pt>
                <c:pt idx="99">
                  <c:v>65240</c:v>
                </c:pt>
                <c:pt idx="100">
                  <c:v>177979</c:v>
                </c:pt>
                <c:pt idx="101">
                  <c:v>66204</c:v>
                </c:pt>
                <c:pt idx="102">
                  <c:v>14550</c:v>
                </c:pt>
                <c:pt idx="103">
                  <c:v>8508</c:v>
                </c:pt>
                <c:pt idx="104">
                  <c:v>35628</c:v>
                </c:pt>
                <c:pt idx="105">
                  <c:v>35531</c:v>
                </c:pt>
                <c:pt idx="106">
                  <c:v>17016</c:v>
                </c:pt>
                <c:pt idx="107">
                  <c:v>54009</c:v>
                </c:pt>
                <c:pt idx="108">
                  <c:v>59943</c:v>
                </c:pt>
                <c:pt idx="109">
                  <c:v>68420</c:v>
                </c:pt>
                <c:pt idx="110">
                  <c:v>77888</c:v>
                </c:pt>
                <c:pt idx="111">
                  <c:v>58797</c:v>
                </c:pt>
                <c:pt idx="112">
                  <c:v>419891</c:v>
                </c:pt>
                <c:pt idx="113">
                  <c:v>8292</c:v>
                </c:pt>
                <c:pt idx="114">
                  <c:v>25625</c:v>
                </c:pt>
                <c:pt idx="115">
                  <c:v>18730</c:v>
                </c:pt>
                <c:pt idx="116">
                  <c:v>7366</c:v>
                </c:pt>
                <c:pt idx="117">
                  <c:v>26580</c:v>
                </c:pt>
                <c:pt idx="118">
                  <c:v>22100</c:v>
                </c:pt>
                <c:pt idx="119">
                  <c:v>10007</c:v>
                </c:pt>
                <c:pt idx="120">
                  <c:v>16955</c:v>
                </c:pt>
                <c:pt idx="121">
                  <c:v>4500</c:v>
                </c:pt>
                <c:pt idx="122">
                  <c:v>216003</c:v>
                </c:pt>
                <c:pt idx="123">
                  <c:v>330564</c:v>
                </c:pt>
                <c:pt idx="124">
                  <c:v>276998</c:v>
                </c:pt>
                <c:pt idx="125">
                  <c:v>43917</c:v>
                </c:pt>
                <c:pt idx="126">
                  <c:v>37279</c:v>
                </c:pt>
                <c:pt idx="127">
                  <c:v>501869</c:v>
                </c:pt>
                <c:pt idx="128">
                  <c:v>56729</c:v>
                </c:pt>
                <c:pt idx="129">
                  <c:v>274108</c:v>
                </c:pt>
                <c:pt idx="130">
                  <c:v>41915</c:v>
                </c:pt>
                <c:pt idx="131">
                  <c:v>43376</c:v>
                </c:pt>
                <c:pt idx="132">
                  <c:v>82355</c:v>
                </c:pt>
                <c:pt idx="133">
                  <c:v>42129</c:v>
                </c:pt>
                <c:pt idx="134">
                  <c:v>29095</c:v>
                </c:pt>
                <c:pt idx="135">
                  <c:v>29376</c:v>
                </c:pt>
                <c:pt idx="136">
                  <c:v>35813</c:v>
                </c:pt>
                <c:pt idx="137">
                  <c:v>75982</c:v>
                </c:pt>
                <c:pt idx="138">
                  <c:v>42080</c:v>
                </c:pt>
                <c:pt idx="139">
                  <c:v>48540</c:v>
                </c:pt>
                <c:pt idx="140">
                  <c:v>22245</c:v>
                </c:pt>
                <c:pt idx="141">
                  <c:v>16210</c:v>
                </c:pt>
                <c:pt idx="142">
                  <c:v>9220</c:v>
                </c:pt>
                <c:pt idx="143">
                  <c:v>105647</c:v>
                </c:pt>
                <c:pt idx="144">
                  <c:v>53033</c:v>
                </c:pt>
                <c:pt idx="145">
                  <c:v>8192</c:v>
                </c:pt>
                <c:pt idx="146">
                  <c:v>9968</c:v>
                </c:pt>
                <c:pt idx="147">
                  <c:v>1800</c:v>
                </c:pt>
                <c:pt idx="148">
                  <c:v>17310</c:v>
                </c:pt>
                <c:pt idx="149">
                  <c:v>12890</c:v>
                </c:pt>
                <c:pt idx="150">
                  <c:v>12846</c:v>
                </c:pt>
                <c:pt idx="151">
                  <c:v>31630</c:v>
                </c:pt>
                <c:pt idx="152">
                  <c:v>23832</c:v>
                </c:pt>
                <c:pt idx="153">
                  <c:v>58189</c:v>
                </c:pt>
                <c:pt idx="154">
                  <c:v>132980</c:v>
                </c:pt>
                <c:pt idx="155">
                  <c:v>88662</c:v>
                </c:pt>
                <c:pt idx="156">
                  <c:v>102842</c:v>
                </c:pt>
                <c:pt idx="157">
                  <c:v>2352</c:v>
                </c:pt>
                <c:pt idx="158">
                  <c:v>18512</c:v>
                </c:pt>
                <c:pt idx="159">
                  <c:v>16465</c:v>
                </c:pt>
                <c:pt idx="160">
                  <c:v>6200</c:v>
                </c:pt>
                <c:pt idx="161">
                  <c:v>23000</c:v>
                </c:pt>
                <c:pt idx="162">
                  <c:v>31538</c:v>
                </c:pt>
                <c:pt idx="163">
                  <c:v>5136</c:v>
                </c:pt>
                <c:pt idx="164">
                  <c:v>12132</c:v>
                </c:pt>
                <c:pt idx="165">
                  <c:v>21910</c:v>
                </c:pt>
                <c:pt idx="166">
                  <c:v>66540</c:v>
                </c:pt>
                <c:pt idx="167">
                  <c:v>11751</c:v>
                </c:pt>
                <c:pt idx="168">
                  <c:v>60792</c:v>
                </c:pt>
                <c:pt idx="169">
                  <c:v>28726</c:v>
                </c:pt>
                <c:pt idx="170">
                  <c:v>22550</c:v>
                </c:pt>
                <c:pt idx="171">
                  <c:v>23465</c:v>
                </c:pt>
                <c:pt idx="172">
                  <c:v>20260</c:v>
                </c:pt>
                <c:pt idx="173">
                  <c:v>10134</c:v>
                </c:pt>
                <c:pt idx="174">
                  <c:v>130304</c:v>
                </c:pt>
                <c:pt idx="175">
                  <c:v>4500</c:v>
                </c:pt>
                <c:pt idx="176">
                  <c:v>10710</c:v>
                </c:pt>
                <c:pt idx="177">
                  <c:v>501</c:v>
                </c:pt>
                <c:pt idx="178">
                  <c:v>8325</c:v>
                </c:pt>
                <c:pt idx="179">
                  <c:v>2500</c:v>
                </c:pt>
                <c:pt idx="180">
                  <c:v>25825</c:v>
                </c:pt>
                <c:pt idx="181">
                  <c:v>15100</c:v>
                </c:pt>
                <c:pt idx="182">
                  <c:v>41256</c:v>
                </c:pt>
                <c:pt idx="183">
                  <c:v>19623</c:v>
                </c:pt>
                <c:pt idx="184">
                  <c:v>13255</c:v>
                </c:pt>
                <c:pt idx="185">
                  <c:v>10852</c:v>
                </c:pt>
                <c:pt idx="186">
                  <c:v>28375</c:v>
                </c:pt>
                <c:pt idx="187">
                  <c:v>29426</c:v>
                </c:pt>
                <c:pt idx="188">
                  <c:v>148935</c:v>
                </c:pt>
                <c:pt idx="189">
                  <c:v>49047</c:v>
                </c:pt>
                <c:pt idx="190">
                  <c:v>38034</c:v>
                </c:pt>
                <c:pt idx="191">
                  <c:v>20257</c:v>
                </c:pt>
                <c:pt idx="192">
                  <c:v>177886</c:v>
                </c:pt>
                <c:pt idx="193">
                  <c:v>15799</c:v>
                </c:pt>
                <c:pt idx="194">
                  <c:v>24052</c:v>
                </c:pt>
                <c:pt idx="195">
                  <c:v>44937</c:v>
                </c:pt>
                <c:pt idx="196">
                  <c:v>5713</c:v>
                </c:pt>
                <c:pt idx="197">
                  <c:v>2291</c:v>
                </c:pt>
                <c:pt idx="198">
                  <c:v>16530</c:v>
                </c:pt>
                <c:pt idx="199">
                  <c:v>13260</c:v>
                </c:pt>
                <c:pt idx="200">
                  <c:v>1670</c:v>
                </c:pt>
                <c:pt idx="201">
                  <c:v>10014</c:v>
                </c:pt>
                <c:pt idx="202">
                  <c:v>46051</c:v>
                </c:pt>
                <c:pt idx="203">
                  <c:v>7262</c:v>
                </c:pt>
                <c:pt idx="204">
                  <c:v>11082</c:v>
                </c:pt>
                <c:pt idx="205">
                  <c:v>7868</c:v>
                </c:pt>
                <c:pt idx="206">
                  <c:v>5050</c:v>
                </c:pt>
                <c:pt idx="207">
                  <c:v>6300</c:v>
                </c:pt>
                <c:pt idx="208">
                  <c:v>5177</c:v>
                </c:pt>
                <c:pt idx="209">
                  <c:v>8480</c:v>
                </c:pt>
                <c:pt idx="210">
                  <c:v>9380</c:v>
                </c:pt>
                <c:pt idx="211">
                  <c:v>10945</c:v>
                </c:pt>
                <c:pt idx="212">
                  <c:v>17022</c:v>
                </c:pt>
                <c:pt idx="213">
                  <c:v>56591</c:v>
                </c:pt>
                <c:pt idx="214">
                  <c:v>37096</c:v>
                </c:pt>
                <c:pt idx="215">
                  <c:v>55547</c:v>
                </c:pt>
                <c:pt idx="216">
                  <c:v>18192</c:v>
                </c:pt>
                <c:pt idx="217">
                  <c:v>1156</c:v>
                </c:pt>
                <c:pt idx="218">
                  <c:v>284951</c:v>
                </c:pt>
                <c:pt idx="219">
                  <c:v>96100</c:v>
                </c:pt>
                <c:pt idx="220">
                  <c:v>29145</c:v>
                </c:pt>
                <c:pt idx="221">
                  <c:v>32250</c:v>
                </c:pt>
                <c:pt idx="222">
                  <c:v>27975</c:v>
                </c:pt>
                <c:pt idx="223">
                  <c:v>3201</c:v>
                </c:pt>
                <c:pt idx="224">
                  <c:v>14242</c:v>
                </c:pt>
                <c:pt idx="225">
                  <c:v>13989</c:v>
                </c:pt>
                <c:pt idx="226">
                  <c:v>46306</c:v>
                </c:pt>
                <c:pt idx="227">
                  <c:v>5550</c:v>
                </c:pt>
                <c:pt idx="228">
                  <c:v>4600</c:v>
                </c:pt>
                <c:pt idx="229">
                  <c:v>4367</c:v>
                </c:pt>
                <c:pt idx="230">
                  <c:v>12420</c:v>
                </c:pt>
                <c:pt idx="231">
                  <c:v>6507</c:v>
                </c:pt>
                <c:pt idx="232">
                  <c:v>600</c:v>
                </c:pt>
                <c:pt idx="233">
                  <c:v>1000</c:v>
                </c:pt>
                <c:pt idx="234">
                  <c:v>1</c:v>
                </c:pt>
                <c:pt idx="235">
                  <c:v>19859</c:v>
                </c:pt>
                <c:pt idx="236">
                  <c:v>300</c:v>
                </c:pt>
                <c:pt idx="237">
                  <c:v>10677</c:v>
                </c:pt>
              </c:numCache>
            </c:numRef>
          </c:val>
          <c:extLst>
            <c:ext xmlns:c16="http://schemas.microsoft.com/office/drawing/2014/chart" uri="{C3380CC4-5D6E-409C-BE32-E72D297353CC}">
              <c16:uniqueId val="{00000000-2F61-454E-82F0-A0169E0D4410}"/>
            </c:ext>
          </c:extLst>
        </c:ser>
        <c:dLbls>
          <c:showLegendKey val="0"/>
          <c:showVal val="0"/>
          <c:showCatName val="0"/>
          <c:showSerName val="0"/>
          <c:showPercent val="0"/>
          <c:showBubbleSize val="0"/>
        </c:dLbls>
        <c:axId val="115305088"/>
        <c:axId val="115303168"/>
      </c:areaChart>
      <c:lineChart>
        <c:grouping val="standard"/>
        <c:varyColors val="0"/>
        <c:ser>
          <c:idx val="0"/>
          <c:order val="0"/>
          <c:tx>
            <c:strRef>
              <c:f>'ACL N0000`N'!$F$2734</c:f>
              <c:strCache>
                <c:ptCount val="1"/>
                <c:pt idx="0">
                  <c:v> Price </c:v>
                </c:pt>
              </c:strCache>
            </c:strRef>
          </c:tx>
          <c:spPr>
            <a:ln w="28575" cap="rnd">
              <a:solidFill>
                <a:srgbClr val="002060"/>
              </a:solidFill>
              <a:round/>
            </a:ln>
            <a:effectLst/>
          </c:spPr>
          <c:marker>
            <c:symbol val="none"/>
          </c:marker>
          <c:cat>
            <c:numRef>
              <c:f>'ACL N0000`N'!$B$2735:$B$2972</c:f>
              <c:numCache>
                <c:formatCode>m/d/yyyy</c:formatCode>
                <c:ptCount val="238"/>
                <c:pt idx="0">
                  <c:v>42095</c:v>
                </c:pt>
                <c:pt idx="1">
                  <c:v>42096</c:v>
                </c:pt>
                <c:pt idx="2">
                  <c:v>42100</c:v>
                </c:pt>
                <c:pt idx="3">
                  <c:v>42102</c:v>
                </c:pt>
                <c:pt idx="4">
                  <c:v>42103</c:v>
                </c:pt>
                <c:pt idx="5">
                  <c:v>42104</c:v>
                </c:pt>
                <c:pt idx="6">
                  <c:v>42109</c:v>
                </c:pt>
                <c:pt idx="7">
                  <c:v>42110</c:v>
                </c:pt>
                <c:pt idx="8">
                  <c:v>42111</c:v>
                </c:pt>
                <c:pt idx="9">
                  <c:v>42114</c:v>
                </c:pt>
                <c:pt idx="10">
                  <c:v>42115</c:v>
                </c:pt>
                <c:pt idx="11">
                  <c:v>42116</c:v>
                </c:pt>
                <c:pt idx="12">
                  <c:v>42117</c:v>
                </c:pt>
                <c:pt idx="13">
                  <c:v>42118</c:v>
                </c:pt>
                <c:pt idx="14">
                  <c:v>42121</c:v>
                </c:pt>
                <c:pt idx="15">
                  <c:v>42122</c:v>
                </c:pt>
                <c:pt idx="16">
                  <c:v>42123</c:v>
                </c:pt>
                <c:pt idx="17">
                  <c:v>42124</c:v>
                </c:pt>
                <c:pt idx="18">
                  <c:v>42129</c:v>
                </c:pt>
                <c:pt idx="19">
                  <c:v>42130</c:v>
                </c:pt>
                <c:pt idx="20">
                  <c:v>42131</c:v>
                </c:pt>
                <c:pt idx="21">
                  <c:v>42132</c:v>
                </c:pt>
                <c:pt idx="22">
                  <c:v>42135</c:v>
                </c:pt>
                <c:pt idx="23">
                  <c:v>42136</c:v>
                </c:pt>
                <c:pt idx="24">
                  <c:v>42137</c:v>
                </c:pt>
                <c:pt idx="25">
                  <c:v>42138</c:v>
                </c:pt>
                <c:pt idx="26">
                  <c:v>42139</c:v>
                </c:pt>
                <c:pt idx="27">
                  <c:v>42142</c:v>
                </c:pt>
                <c:pt idx="28">
                  <c:v>42143</c:v>
                </c:pt>
                <c:pt idx="29">
                  <c:v>42144</c:v>
                </c:pt>
                <c:pt idx="30">
                  <c:v>42145</c:v>
                </c:pt>
                <c:pt idx="31">
                  <c:v>42146</c:v>
                </c:pt>
                <c:pt idx="32">
                  <c:v>42149</c:v>
                </c:pt>
                <c:pt idx="33">
                  <c:v>42150</c:v>
                </c:pt>
                <c:pt idx="34">
                  <c:v>42151</c:v>
                </c:pt>
                <c:pt idx="35">
                  <c:v>42152</c:v>
                </c:pt>
                <c:pt idx="36">
                  <c:v>42153</c:v>
                </c:pt>
                <c:pt idx="37">
                  <c:v>42156</c:v>
                </c:pt>
                <c:pt idx="38">
                  <c:v>42158</c:v>
                </c:pt>
                <c:pt idx="39">
                  <c:v>42159</c:v>
                </c:pt>
                <c:pt idx="40">
                  <c:v>42160</c:v>
                </c:pt>
                <c:pt idx="41">
                  <c:v>42163</c:v>
                </c:pt>
                <c:pt idx="42">
                  <c:v>42164</c:v>
                </c:pt>
                <c:pt idx="43">
                  <c:v>42165</c:v>
                </c:pt>
                <c:pt idx="44">
                  <c:v>42166</c:v>
                </c:pt>
                <c:pt idx="45">
                  <c:v>42167</c:v>
                </c:pt>
                <c:pt idx="46">
                  <c:v>42170</c:v>
                </c:pt>
                <c:pt idx="47">
                  <c:v>42171</c:v>
                </c:pt>
                <c:pt idx="48">
                  <c:v>42172</c:v>
                </c:pt>
                <c:pt idx="49">
                  <c:v>42173</c:v>
                </c:pt>
                <c:pt idx="50">
                  <c:v>42174</c:v>
                </c:pt>
                <c:pt idx="51">
                  <c:v>42177</c:v>
                </c:pt>
                <c:pt idx="52">
                  <c:v>42178</c:v>
                </c:pt>
                <c:pt idx="53">
                  <c:v>42179</c:v>
                </c:pt>
                <c:pt idx="54">
                  <c:v>42180</c:v>
                </c:pt>
                <c:pt idx="55">
                  <c:v>42181</c:v>
                </c:pt>
                <c:pt idx="56">
                  <c:v>42184</c:v>
                </c:pt>
                <c:pt idx="57">
                  <c:v>42185</c:v>
                </c:pt>
                <c:pt idx="58">
                  <c:v>42187</c:v>
                </c:pt>
                <c:pt idx="59">
                  <c:v>42188</c:v>
                </c:pt>
                <c:pt idx="60">
                  <c:v>42191</c:v>
                </c:pt>
                <c:pt idx="61">
                  <c:v>42192</c:v>
                </c:pt>
                <c:pt idx="62">
                  <c:v>42193</c:v>
                </c:pt>
                <c:pt idx="63">
                  <c:v>42194</c:v>
                </c:pt>
                <c:pt idx="64">
                  <c:v>42195</c:v>
                </c:pt>
                <c:pt idx="65">
                  <c:v>42198</c:v>
                </c:pt>
                <c:pt idx="66">
                  <c:v>42199</c:v>
                </c:pt>
                <c:pt idx="67">
                  <c:v>42200</c:v>
                </c:pt>
                <c:pt idx="68">
                  <c:v>42201</c:v>
                </c:pt>
                <c:pt idx="69">
                  <c:v>42202</c:v>
                </c:pt>
                <c:pt idx="70">
                  <c:v>42205</c:v>
                </c:pt>
                <c:pt idx="71">
                  <c:v>42206</c:v>
                </c:pt>
                <c:pt idx="72">
                  <c:v>42207</c:v>
                </c:pt>
                <c:pt idx="73">
                  <c:v>42208</c:v>
                </c:pt>
                <c:pt idx="74">
                  <c:v>42209</c:v>
                </c:pt>
                <c:pt idx="75">
                  <c:v>42212</c:v>
                </c:pt>
                <c:pt idx="76">
                  <c:v>42213</c:v>
                </c:pt>
                <c:pt idx="77">
                  <c:v>42214</c:v>
                </c:pt>
                <c:pt idx="78">
                  <c:v>42215</c:v>
                </c:pt>
                <c:pt idx="79">
                  <c:v>42219</c:v>
                </c:pt>
                <c:pt idx="80">
                  <c:v>42220</c:v>
                </c:pt>
                <c:pt idx="81">
                  <c:v>42221</c:v>
                </c:pt>
                <c:pt idx="82">
                  <c:v>42222</c:v>
                </c:pt>
                <c:pt idx="83">
                  <c:v>42223</c:v>
                </c:pt>
                <c:pt idx="84">
                  <c:v>42226</c:v>
                </c:pt>
                <c:pt idx="85">
                  <c:v>42227</c:v>
                </c:pt>
                <c:pt idx="86">
                  <c:v>42228</c:v>
                </c:pt>
                <c:pt idx="87">
                  <c:v>42229</c:v>
                </c:pt>
                <c:pt idx="88">
                  <c:v>42230</c:v>
                </c:pt>
                <c:pt idx="89">
                  <c:v>42233</c:v>
                </c:pt>
                <c:pt idx="90">
                  <c:v>42234</c:v>
                </c:pt>
                <c:pt idx="91">
                  <c:v>42235</c:v>
                </c:pt>
                <c:pt idx="92">
                  <c:v>42236</c:v>
                </c:pt>
                <c:pt idx="93">
                  <c:v>42237</c:v>
                </c:pt>
                <c:pt idx="94">
                  <c:v>42240</c:v>
                </c:pt>
                <c:pt idx="95">
                  <c:v>42241</c:v>
                </c:pt>
                <c:pt idx="96">
                  <c:v>42242</c:v>
                </c:pt>
                <c:pt idx="97">
                  <c:v>42243</c:v>
                </c:pt>
                <c:pt idx="98">
                  <c:v>42244</c:v>
                </c:pt>
                <c:pt idx="99">
                  <c:v>42247</c:v>
                </c:pt>
                <c:pt idx="100">
                  <c:v>42248</c:v>
                </c:pt>
                <c:pt idx="101">
                  <c:v>42249</c:v>
                </c:pt>
                <c:pt idx="102">
                  <c:v>42250</c:v>
                </c:pt>
                <c:pt idx="103">
                  <c:v>42251</c:v>
                </c:pt>
                <c:pt idx="104">
                  <c:v>42254</c:v>
                </c:pt>
                <c:pt idx="105">
                  <c:v>42255</c:v>
                </c:pt>
                <c:pt idx="106">
                  <c:v>42256</c:v>
                </c:pt>
                <c:pt idx="107">
                  <c:v>42257</c:v>
                </c:pt>
                <c:pt idx="108">
                  <c:v>42258</c:v>
                </c:pt>
                <c:pt idx="109">
                  <c:v>42261</c:v>
                </c:pt>
                <c:pt idx="110">
                  <c:v>42262</c:v>
                </c:pt>
                <c:pt idx="111">
                  <c:v>42263</c:v>
                </c:pt>
                <c:pt idx="112">
                  <c:v>42264</c:v>
                </c:pt>
                <c:pt idx="113">
                  <c:v>42265</c:v>
                </c:pt>
                <c:pt idx="114">
                  <c:v>42268</c:v>
                </c:pt>
                <c:pt idx="115">
                  <c:v>42269</c:v>
                </c:pt>
                <c:pt idx="116">
                  <c:v>42270</c:v>
                </c:pt>
                <c:pt idx="117">
                  <c:v>42272</c:v>
                </c:pt>
                <c:pt idx="118">
                  <c:v>42275</c:v>
                </c:pt>
                <c:pt idx="119">
                  <c:v>42276</c:v>
                </c:pt>
                <c:pt idx="120">
                  <c:v>42277</c:v>
                </c:pt>
                <c:pt idx="121">
                  <c:v>42278</c:v>
                </c:pt>
                <c:pt idx="122">
                  <c:v>42279</c:v>
                </c:pt>
                <c:pt idx="123">
                  <c:v>42282</c:v>
                </c:pt>
                <c:pt idx="124">
                  <c:v>42283</c:v>
                </c:pt>
                <c:pt idx="125">
                  <c:v>42284</c:v>
                </c:pt>
                <c:pt idx="126">
                  <c:v>42285</c:v>
                </c:pt>
                <c:pt idx="127">
                  <c:v>42286</c:v>
                </c:pt>
                <c:pt idx="128">
                  <c:v>42289</c:v>
                </c:pt>
                <c:pt idx="129">
                  <c:v>42290</c:v>
                </c:pt>
                <c:pt idx="130">
                  <c:v>42291</c:v>
                </c:pt>
                <c:pt idx="131">
                  <c:v>42292</c:v>
                </c:pt>
                <c:pt idx="132">
                  <c:v>42293</c:v>
                </c:pt>
                <c:pt idx="133">
                  <c:v>42296</c:v>
                </c:pt>
                <c:pt idx="134">
                  <c:v>42297</c:v>
                </c:pt>
                <c:pt idx="135">
                  <c:v>42298</c:v>
                </c:pt>
                <c:pt idx="136">
                  <c:v>42299</c:v>
                </c:pt>
                <c:pt idx="137">
                  <c:v>42300</c:v>
                </c:pt>
                <c:pt idx="138">
                  <c:v>42303</c:v>
                </c:pt>
                <c:pt idx="139">
                  <c:v>42305</c:v>
                </c:pt>
                <c:pt idx="140">
                  <c:v>42306</c:v>
                </c:pt>
                <c:pt idx="141">
                  <c:v>42307</c:v>
                </c:pt>
                <c:pt idx="142">
                  <c:v>42310</c:v>
                </c:pt>
                <c:pt idx="143">
                  <c:v>42311</c:v>
                </c:pt>
                <c:pt idx="144">
                  <c:v>42312</c:v>
                </c:pt>
                <c:pt idx="145">
                  <c:v>42313</c:v>
                </c:pt>
                <c:pt idx="146">
                  <c:v>42314</c:v>
                </c:pt>
                <c:pt idx="147">
                  <c:v>42317</c:v>
                </c:pt>
                <c:pt idx="148">
                  <c:v>42319</c:v>
                </c:pt>
                <c:pt idx="149">
                  <c:v>42320</c:v>
                </c:pt>
                <c:pt idx="150">
                  <c:v>42321</c:v>
                </c:pt>
                <c:pt idx="151">
                  <c:v>42324</c:v>
                </c:pt>
                <c:pt idx="152">
                  <c:v>42325</c:v>
                </c:pt>
                <c:pt idx="153">
                  <c:v>42326</c:v>
                </c:pt>
                <c:pt idx="154">
                  <c:v>42327</c:v>
                </c:pt>
                <c:pt idx="155">
                  <c:v>42328</c:v>
                </c:pt>
                <c:pt idx="156">
                  <c:v>42331</c:v>
                </c:pt>
                <c:pt idx="157">
                  <c:v>42332</c:v>
                </c:pt>
                <c:pt idx="158">
                  <c:v>42334</c:v>
                </c:pt>
                <c:pt idx="159">
                  <c:v>42335</c:v>
                </c:pt>
                <c:pt idx="160">
                  <c:v>42338</c:v>
                </c:pt>
                <c:pt idx="161">
                  <c:v>42339</c:v>
                </c:pt>
                <c:pt idx="162">
                  <c:v>42340</c:v>
                </c:pt>
                <c:pt idx="163">
                  <c:v>42341</c:v>
                </c:pt>
                <c:pt idx="164">
                  <c:v>42342</c:v>
                </c:pt>
                <c:pt idx="165">
                  <c:v>42345</c:v>
                </c:pt>
                <c:pt idx="166">
                  <c:v>42346</c:v>
                </c:pt>
                <c:pt idx="167">
                  <c:v>42347</c:v>
                </c:pt>
                <c:pt idx="168">
                  <c:v>42348</c:v>
                </c:pt>
                <c:pt idx="169">
                  <c:v>42349</c:v>
                </c:pt>
                <c:pt idx="170">
                  <c:v>42352</c:v>
                </c:pt>
                <c:pt idx="171">
                  <c:v>42353</c:v>
                </c:pt>
                <c:pt idx="172">
                  <c:v>42354</c:v>
                </c:pt>
                <c:pt idx="173">
                  <c:v>42355</c:v>
                </c:pt>
                <c:pt idx="174">
                  <c:v>42356</c:v>
                </c:pt>
                <c:pt idx="175">
                  <c:v>42359</c:v>
                </c:pt>
                <c:pt idx="176">
                  <c:v>42360</c:v>
                </c:pt>
                <c:pt idx="177">
                  <c:v>42361</c:v>
                </c:pt>
                <c:pt idx="178">
                  <c:v>42366</c:v>
                </c:pt>
                <c:pt idx="179">
                  <c:v>42367</c:v>
                </c:pt>
                <c:pt idx="180">
                  <c:v>42368</c:v>
                </c:pt>
                <c:pt idx="181">
                  <c:v>42369</c:v>
                </c:pt>
                <c:pt idx="182">
                  <c:v>42373</c:v>
                </c:pt>
                <c:pt idx="183">
                  <c:v>42374</c:v>
                </c:pt>
                <c:pt idx="184">
                  <c:v>42375</c:v>
                </c:pt>
                <c:pt idx="185">
                  <c:v>42376</c:v>
                </c:pt>
                <c:pt idx="186">
                  <c:v>42377</c:v>
                </c:pt>
                <c:pt idx="187">
                  <c:v>42380</c:v>
                </c:pt>
                <c:pt idx="188">
                  <c:v>42381</c:v>
                </c:pt>
                <c:pt idx="189">
                  <c:v>42382</c:v>
                </c:pt>
                <c:pt idx="190">
                  <c:v>42383</c:v>
                </c:pt>
                <c:pt idx="191">
                  <c:v>42387</c:v>
                </c:pt>
                <c:pt idx="192">
                  <c:v>42388</c:v>
                </c:pt>
                <c:pt idx="193">
                  <c:v>42389</c:v>
                </c:pt>
                <c:pt idx="194">
                  <c:v>42390</c:v>
                </c:pt>
                <c:pt idx="195">
                  <c:v>42391</c:v>
                </c:pt>
                <c:pt idx="196">
                  <c:v>42394</c:v>
                </c:pt>
                <c:pt idx="197">
                  <c:v>42395</c:v>
                </c:pt>
                <c:pt idx="198">
                  <c:v>42396</c:v>
                </c:pt>
                <c:pt idx="199">
                  <c:v>42397</c:v>
                </c:pt>
                <c:pt idx="200">
                  <c:v>42398</c:v>
                </c:pt>
                <c:pt idx="201">
                  <c:v>42401</c:v>
                </c:pt>
                <c:pt idx="202">
                  <c:v>42402</c:v>
                </c:pt>
                <c:pt idx="203">
                  <c:v>42403</c:v>
                </c:pt>
                <c:pt idx="204">
                  <c:v>42405</c:v>
                </c:pt>
                <c:pt idx="205">
                  <c:v>42408</c:v>
                </c:pt>
                <c:pt idx="206">
                  <c:v>42409</c:v>
                </c:pt>
                <c:pt idx="207">
                  <c:v>42410</c:v>
                </c:pt>
                <c:pt idx="208">
                  <c:v>42411</c:v>
                </c:pt>
                <c:pt idx="209">
                  <c:v>42412</c:v>
                </c:pt>
                <c:pt idx="210">
                  <c:v>42415</c:v>
                </c:pt>
                <c:pt idx="211">
                  <c:v>42416</c:v>
                </c:pt>
                <c:pt idx="212">
                  <c:v>42417</c:v>
                </c:pt>
                <c:pt idx="213">
                  <c:v>42418</c:v>
                </c:pt>
                <c:pt idx="214">
                  <c:v>42419</c:v>
                </c:pt>
                <c:pt idx="215">
                  <c:v>42423</c:v>
                </c:pt>
                <c:pt idx="216">
                  <c:v>42424</c:v>
                </c:pt>
                <c:pt idx="217">
                  <c:v>42425</c:v>
                </c:pt>
                <c:pt idx="218">
                  <c:v>42426</c:v>
                </c:pt>
                <c:pt idx="219">
                  <c:v>42429</c:v>
                </c:pt>
                <c:pt idx="220">
                  <c:v>42430</c:v>
                </c:pt>
                <c:pt idx="221">
                  <c:v>42431</c:v>
                </c:pt>
                <c:pt idx="222">
                  <c:v>42432</c:v>
                </c:pt>
                <c:pt idx="223">
                  <c:v>42433</c:v>
                </c:pt>
                <c:pt idx="224">
                  <c:v>42437</c:v>
                </c:pt>
                <c:pt idx="225">
                  <c:v>42438</c:v>
                </c:pt>
                <c:pt idx="226">
                  <c:v>42439</c:v>
                </c:pt>
                <c:pt idx="227">
                  <c:v>42440</c:v>
                </c:pt>
                <c:pt idx="228">
                  <c:v>42443</c:v>
                </c:pt>
                <c:pt idx="229">
                  <c:v>42444</c:v>
                </c:pt>
                <c:pt idx="230">
                  <c:v>42445</c:v>
                </c:pt>
                <c:pt idx="231">
                  <c:v>42446</c:v>
                </c:pt>
                <c:pt idx="232">
                  <c:v>42447</c:v>
                </c:pt>
                <c:pt idx="233">
                  <c:v>42450</c:v>
                </c:pt>
                <c:pt idx="234">
                  <c:v>42457</c:v>
                </c:pt>
                <c:pt idx="235">
                  <c:v>42458</c:v>
                </c:pt>
                <c:pt idx="236">
                  <c:v>42459</c:v>
                </c:pt>
                <c:pt idx="237">
                  <c:v>42460</c:v>
                </c:pt>
              </c:numCache>
            </c:numRef>
          </c:cat>
          <c:val>
            <c:numRef>
              <c:f>'ACL N0000`N'!$F$2735:$F$2972</c:f>
              <c:numCache>
                <c:formatCode>_(* #,##0.00_);_(* \(#,##0.00\);_(* "-"??_);_(@_)</c:formatCode>
                <c:ptCount val="238"/>
                <c:pt idx="0">
                  <c:v>76.800003000000004</c:v>
                </c:pt>
                <c:pt idx="1">
                  <c:v>76.800003000000004</c:v>
                </c:pt>
                <c:pt idx="2">
                  <c:v>75.699996999999996</c:v>
                </c:pt>
                <c:pt idx="3">
                  <c:v>78</c:v>
                </c:pt>
                <c:pt idx="4">
                  <c:v>77.900002000000001</c:v>
                </c:pt>
                <c:pt idx="5">
                  <c:v>78</c:v>
                </c:pt>
                <c:pt idx="6">
                  <c:v>78</c:v>
                </c:pt>
                <c:pt idx="7">
                  <c:v>81.5</c:v>
                </c:pt>
                <c:pt idx="8">
                  <c:v>80.5</c:v>
                </c:pt>
                <c:pt idx="9">
                  <c:v>78.5</c:v>
                </c:pt>
                <c:pt idx="10">
                  <c:v>80</c:v>
                </c:pt>
                <c:pt idx="11">
                  <c:v>79.900002000000001</c:v>
                </c:pt>
                <c:pt idx="12">
                  <c:v>78.199996999999996</c:v>
                </c:pt>
                <c:pt idx="13">
                  <c:v>80</c:v>
                </c:pt>
                <c:pt idx="14">
                  <c:v>80.900002000000001</c:v>
                </c:pt>
                <c:pt idx="15">
                  <c:v>80.199996999999996</c:v>
                </c:pt>
                <c:pt idx="16">
                  <c:v>83.300003000000004</c:v>
                </c:pt>
                <c:pt idx="17">
                  <c:v>86</c:v>
                </c:pt>
                <c:pt idx="18">
                  <c:v>85.599997999999999</c:v>
                </c:pt>
                <c:pt idx="19">
                  <c:v>90.599997999999999</c:v>
                </c:pt>
                <c:pt idx="20">
                  <c:v>90</c:v>
                </c:pt>
                <c:pt idx="21">
                  <c:v>90</c:v>
                </c:pt>
                <c:pt idx="22">
                  <c:v>89.699996999999996</c:v>
                </c:pt>
                <c:pt idx="23">
                  <c:v>88.5</c:v>
                </c:pt>
                <c:pt idx="24">
                  <c:v>89</c:v>
                </c:pt>
                <c:pt idx="25">
                  <c:v>87.900002000000001</c:v>
                </c:pt>
                <c:pt idx="26">
                  <c:v>88.5</c:v>
                </c:pt>
                <c:pt idx="27">
                  <c:v>87</c:v>
                </c:pt>
                <c:pt idx="28">
                  <c:v>87</c:v>
                </c:pt>
                <c:pt idx="29">
                  <c:v>87</c:v>
                </c:pt>
                <c:pt idx="30">
                  <c:v>86.099997999999999</c:v>
                </c:pt>
                <c:pt idx="31">
                  <c:v>88</c:v>
                </c:pt>
                <c:pt idx="32">
                  <c:v>87</c:v>
                </c:pt>
                <c:pt idx="33">
                  <c:v>89.900002000000001</c:v>
                </c:pt>
                <c:pt idx="34">
                  <c:v>89.099997999999999</c:v>
                </c:pt>
                <c:pt idx="35">
                  <c:v>88</c:v>
                </c:pt>
                <c:pt idx="36">
                  <c:v>89</c:v>
                </c:pt>
                <c:pt idx="37">
                  <c:v>89.900002000000001</c:v>
                </c:pt>
                <c:pt idx="38">
                  <c:v>93.400002000000001</c:v>
                </c:pt>
                <c:pt idx="39">
                  <c:v>92.5</c:v>
                </c:pt>
                <c:pt idx="40">
                  <c:v>91.300003000000004</c:v>
                </c:pt>
                <c:pt idx="41">
                  <c:v>90.099997999999999</c:v>
                </c:pt>
                <c:pt idx="42">
                  <c:v>91.199996999999996</c:v>
                </c:pt>
                <c:pt idx="43">
                  <c:v>91.300003000000004</c:v>
                </c:pt>
                <c:pt idx="44">
                  <c:v>92.599997999999999</c:v>
                </c:pt>
                <c:pt idx="45">
                  <c:v>92.5</c:v>
                </c:pt>
                <c:pt idx="46">
                  <c:v>92</c:v>
                </c:pt>
                <c:pt idx="47">
                  <c:v>91.400002000000001</c:v>
                </c:pt>
                <c:pt idx="48">
                  <c:v>91.900002000000001</c:v>
                </c:pt>
                <c:pt idx="49">
                  <c:v>91.5</c:v>
                </c:pt>
                <c:pt idx="50">
                  <c:v>92</c:v>
                </c:pt>
                <c:pt idx="51">
                  <c:v>92</c:v>
                </c:pt>
                <c:pt idx="52">
                  <c:v>93</c:v>
                </c:pt>
                <c:pt idx="53">
                  <c:v>92.699996999999996</c:v>
                </c:pt>
                <c:pt idx="54">
                  <c:v>91.199996999999996</c:v>
                </c:pt>
                <c:pt idx="55">
                  <c:v>91</c:v>
                </c:pt>
                <c:pt idx="56">
                  <c:v>90.699996999999996</c:v>
                </c:pt>
                <c:pt idx="57">
                  <c:v>91</c:v>
                </c:pt>
                <c:pt idx="58">
                  <c:v>91</c:v>
                </c:pt>
                <c:pt idx="59">
                  <c:v>91.599997999999999</c:v>
                </c:pt>
                <c:pt idx="60">
                  <c:v>91.099997999999999</c:v>
                </c:pt>
                <c:pt idx="61">
                  <c:v>89.800003000000004</c:v>
                </c:pt>
                <c:pt idx="62">
                  <c:v>89.800003000000004</c:v>
                </c:pt>
                <c:pt idx="63">
                  <c:v>91</c:v>
                </c:pt>
                <c:pt idx="64">
                  <c:v>92</c:v>
                </c:pt>
                <c:pt idx="65">
                  <c:v>93</c:v>
                </c:pt>
                <c:pt idx="66">
                  <c:v>93</c:v>
                </c:pt>
                <c:pt idx="67">
                  <c:v>94.300003000000004</c:v>
                </c:pt>
                <c:pt idx="68">
                  <c:v>92.800003000000004</c:v>
                </c:pt>
                <c:pt idx="69">
                  <c:v>93.5</c:v>
                </c:pt>
                <c:pt idx="70">
                  <c:v>94</c:v>
                </c:pt>
                <c:pt idx="71">
                  <c:v>94</c:v>
                </c:pt>
                <c:pt idx="72">
                  <c:v>94.099997999999999</c:v>
                </c:pt>
                <c:pt idx="73">
                  <c:v>95</c:v>
                </c:pt>
                <c:pt idx="74">
                  <c:v>96</c:v>
                </c:pt>
                <c:pt idx="75">
                  <c:v>96.900002000000001</c:v>
                </c:pt>
                <c:pt idx="76">
                  <c:v>97.900002000000001</c:v>
                </c:pt>
                <c:pt idx="77">
                  <c:v>99.699996999999996</c:v>
                </c:pt>
                <c:pt idx="78">
                  <c:v>102.099998</c:v>
                </c:pt>
                <c:pt idx="79">
                  <c:v>103.400002</c:v>
                </c:pt>
                <c:pt idx="80">
                  <c:v>105.199997</c:v>
                </c:pt>
                <c:pt idx="81">
                  <c:v>110</c:v>
                </c:pt>
                <c:pt idx="82">
                  <c:v>112.699997</c:v>
                </c:pt>
                <c:pt idx="83">
                  <c:v>111</c:v>
                </c:pt>
                <c:pt idx="84">
                  <c:v>110</c:v>
                </c:pt>
                <c:pt idx="85">
                  <c:v>114.900002</c:v>
                </c:pt>
                <c:pt idx="86">
                  <c:v>114</c:v>
                </c:pt>
                <c:pt idx="87">
                  <c:v>112.099998</c:v>
                </c:pt>
                <c:pt idx="88">
                  <c:v>113.099998</c:v>
                </c:pt>
                <c:pt idx="89">
                  <c:v>120.599998</c:v>
                </c:pt>
                <c:pt idx="90">
                  <c:v>123.599998</c:v>
                </c:pt>
                <c:pt idx="91">
                  <c:v>120.099998</c:v>
                </c:pt>
                <c:pt idx="92">
                  <c:v>118.800003</c:v>
                </c:pt>
                <c:pt idx="93">
                  <c:v>120</c:v>
                </c:pt>
                <c:pt idx="94">
                  <c:v>115.199997</c:v>
                </c:pt>
                <c:pt idx="95">
                  <c:v>110.099998</c:v>
                </c:pt>
                <c:pt idx="96">
                  <c:v>111.5</c:v>
                </c:pt>
                <c:pt idx="97">
                  <c:v>114</c:v>
                </c:pt>
                <c:pt idx="98">
                  <c:v>116.199997</c:v>
                </c:pt>
                <c:pt idx="99">
                  <c:v>114</c:v>
                </c:pt>
                <c:pt idx="100">
                  <c:v>114.800003</c:v>
                </c:pt>
                <c:pt idx="101">
                  <c:v>112.5</c:v>
                </c:pt>
                <c:pt idx="102">
                  <c:v>114</c:v>
                </c:pt>
                <c:pt idx="103">
                  <c:v>112.199997</c:v>
                </c:pt>
                <c:pt idx="104">
                  <c:v>107.5</c:v>
                </c:pt>
                <c:pt idx="105">
                  <c:v>107.199997</c:v>
                </c:pt>
                <c:pt idx="106">
                  <c:v>110.900002</c:v>
                </c:pt>
                <c:pt idx="107">
                  <c:v>108</c:v>
                </c:pt>
                <c:pt idx="108">
                  <c:v>108</c:v>
                </c:pt>
                <c:pt idx="109">
                  <c:v>108</c:v>
                </c:pt>
                <c:pt idx="110">
                  <c:v>109</c:v>
                </c:pt>
                <c:pt idx="111">
                  <c:v>107.699997</c:v>
                </c:pt>
                <c:pt idx="112">
                  <c:v>108.099998</c:v>
                </c:pt>
                <c:pt idx="113">
                  <c:v>108.800003</c:v>
                </c:pt>
                <c:pt idx="114">
                  <c:v>109.900002</c:v>
                </c:pt>
                <c:pt idx="115">
                  <c:v>109.099998</c:v>
                </c:pt>
                <c:pt idx="116">
                  <c:v>108.900002</c:v>
                </c:pt>
                <c:pt idx="117">
                  <c:v>108.400002</c:v>
                </c:pt>
                <c:pt idx="118">
                  <c:v>108</c:v>
                </c:pt>
                <c:pt idx="119">
                  <c:v>109</c:v>
                </c:pt>
                <c:pt idx="120">
                  <c:v>108.400002</c:v>
                </c:pt>
                <c:pt idx="121">
                  <c:v>108.900002</c:v>
                </c:pt>
                <c:pt idx="122">
                  <c:v>114.099998</c:v>
                </c:pt>
                <c:pt idx="123">
                  <c:v>119.800003</c:v>
                </c:pt>
                <c:pt idx="124">
                  <c:v>123.099998</c:v>
                </c:pt>
                <c:pt idx="125">
                  <c:v>121.099998</c:v>
                </c:pt>
                <c:pt idx="126">
                  <c:v>121.599998</c:v>
                </c:pt>
                <c:pt idx="127">
                  <c:v>126.800003</c:v>
                </c:pt>
                <c:pt idx="128">
                  <c:v>126.699997</c:v>
                </c:pt>
                <c:pt idx="129">
                  <c:v>124.199997</c:v>
                </c:pt>
                <c:pt idx="130">
                  <c:v>122.099998</c:v>
                </c:pt>
                <c:pt idx="131">
                  <c:v>119.599998</c:v>
                </c:pt>
                <c:pt idx="132">
                  <c:v>119.5</c:v>
                </c:pt>
                <c:pt idx="133">
                  <c:v>119.599998</c:v>
                </c:pt>
                <c:pt idx="134">
                  <c:v>120.5</c:v>
                </c:pt>
                <c:pt idx="135">
                  <c:v>122</c:v>
                </c:pt>
                <c:pt idx="136">
                  <c:v>119.800003</c:v>
                </c:pt>
                <c:pt idx="137">
                  <c:v>120.599998</c:v>
                </c:pt>
                <c:pt idx="138">
                  <c:v>120.599998</c:v>
                </c:pt>
                <c:pt idx="139">
                  <c:v>120</c:v>
                </c:pt>
                <c:pt idx="140">
                  <c:v>119.599998</c:v>
                </c:pt>
                <c:pt idx="141">
                  <c:v>119</c:v>
                </c:pt>
                <c:pt idx="142">
                  <c:v>119</c:v>
                </c:pt>
                <c:pt idx="143">
                  <c:v>118.699997</c:v>
                </c:pt>
                <c:pt idx="144">
                  <c:v>115</c:v>
                </c:pt>
                <c:pt idx="145">
                  <c:v>116.900002</c:v>
                </c:pt>
                <c:pt idx="146">
                  <c:v>120</c:v>
                </c:pt>
                <c:pt idx="147">
                  <c:v>120</c:v>
                </c:pt>
                <c:pt idx="148">
                  <c:v>118.800003</c:v>
                </c:pt>
                <c:pt idx="149">
                  <c:v>119.199997</c:v>
                </c:pt>
                <c:pt idx="150">
                  <c:v>119.800003</c:v>
                </c:pt>
                <c:pt idx="151">
                  <c:v>117.599998</c:v>
                </c:pt>
                <c:pt idx="152">
                  <c:v>116.900002</c:v>
                </c:pt>
                <c:pt idx="153">
                  <c:v>117</c:v>
                </c:pt>
                <c:pt idx="154">
                  <c:v>118.900002</c:v>
                </c:pt>
                <c:pt idx="155">
                  <c:v>120</c:v>
                </c:pt>
                <c:pt idx="156">
                  <c:v>120</c:v>
                </c:pt>
                <c:pt idx="157">
                  <c:v>119</c:v>
                </c:pt>
                <c:pt idx="158">
                  <c:v>116.800003</c:v>
                </c:pt>
                <c:pt idx="159">
                  <c:v>117.300003</c:v>
                </c:pt>
                <c:pt idx="160">
                  <c:v>117</c:v>
                </c:pt>
                <c:pt idx="161">
                  <c:v>119.099998</c:v>
                </c:pt>
                <c:pt idx="162">
                  <c:v>117.300003</c:v>
                </c:pt>
                <c:pt idx="163">
                  <c:v>118</c:v>
                </c:pt>
                <c:pt idx="164">
                  <c:v>116.699997</c:v>
                </c:pt>
                <c:pt idx="165">
                  <c:v>116.300003</c:v>
                </c:pt>
                <c:pt idx="166">
                  <c:v>116.900002</c:v>
                </c:pt>
                <c:pt idx="167">
                  <c:v>115.599998</c:v>
                </c:pt>
                <c:pt idx="168">
                  <c:v>115.5</c:v>
                </c:pt>
                <c:pt idx="169">
                  <c:v>116.900002</c:v>
                </c:pt>
                <c:pt idx="170">
                  <c:v>116.699997</c:v>
                </c:pt>
                <c:pt idx="171">
                  <c:v>116.300003</c:v>
                </c:pt>
                <c:pt idx="172">
                  <c:v>116.5</c:v>
                </c:pt>
                <c:pt idx="173">
                  <c:v>119.400002</c:v>
                </c:pt>
                <c:pt idx="174">
                  <c:v>119.800003</c:v>
                </c:pt>
                <c:pt idx="175">
                  <c:v>119.300003</c:v>
                </c:pt>
                <c:pt idx="176">
                  <c:v>119.300003</c:v>
                </c:pt>
                <c:pt idx="177">
                  <c:v>119.400002</c:v>
                </c:pt>
                <c:pt idx="178">
                  <c:v>118.599998</c:v>
                </c:pt>
                <c:pt idx="179">
                  <c:v>119.599998</c:v>
                </c:pt>
                <c:pt idx="180">
                  <c:v>120.199997</c:v>
                </c:pt>
                <c:pt idx="181">
                  <c:v>120.900002</c:v>
                </c:pt>
                <c:pt idx="182">
                  <c:v>120.5</c:v>
                </c:pt>
                <c:pt idx="183">
                  <c:v>119.199997</c:v>
                </c:pt>
                <c:pt idx="184">
                  <c:v>119.099998</c:v>
                </c:pt>
                <c:pt idx="185">
                  <c:v>118.5</c:v>
                </c:pt>
                <c:pt idx="186">
                  <c:v>116.400002</c:v>
                </c:pt>
                <c:pt idx="187">
                  <c:v>114</c:v>
                </c:pt>
                <c:pt idx="188">
                  <c:v>111.900002</c:v>
                </c:pt>
                <c:pt idx="189">
                  <c:v>112.400002</c:v>
                </c:pt>
                <c:pt idx="190">
                  <c:v>111</c:v>
                </c:pt>
                <c:pt idx="191">
                  <c:v>103.699997</c:v>
                </c:pt>
                <c:pt idx="192">
                  <c:v>104.300003</c:v>
                </c:pt>
                <c:pt idx="193">
                  <c:v>105.400002</c:v>
                </c:pt>
                <c:pt idx="194">
                  <c:v>109.400002</c:v>
                </c:pt>
                <c:pt idx="195">
                  <c:v>109.900002</c:v>
                </c:pt>
                <c:pt idx="196">
                  <c:v>111.300003</c:v>
                </c:pt>
                <c:pt idx="197">
                  <c:v>109.5</c:v>
                </c:pt>
                <c:pt idx="198">
                  <c:v>111.400002</c:v>
                </c:pt>
                <c:pt idx="199">
                  <c:v>110.699997</c:v>
                </c:pt>
                <c:pt idx="200">
                  <c:v>112</c:v>
                </c:pt>
                <c:pt idx="201">
                  <c:v>114.599998</c:v>
                </c:pt>
                <c:pt idx="202">
                  <c:v>115.800003</c:v>
                </c:pt>
                <c:pt idx="203">
                  <c:v>115.300003</c:v>
                </c:pt>
                <c:pt idx="204">
                  <c:v>116.800003</c:v>
                </c:pt>
                <c:pt idx="205">
                  <c:v>115.699997</c:v>
                </c:pt>
                <c:pt idx="206">
                  <c:v>114.900002</c:v>
                </c:pt>
                <c:pt idx="207">
                  <c:v>115.300003</c:v>
                </c:pt>
                <c:pt idx="208">
                  <c:v>114</c:v>
                </c:pt>
                <c:pt idx="209">
                  <c:v>111.400002</c:v>
                </c:pt>
                <c:pt idx="210">
                  <c:v>109.099998</c:v>
                </c:pt>
                <c:pt idx="211">
                  <c:v>107.099998</c:v>
                </c:pt>
                <c:pt idx="212">
                  <c:v>104.900002</c:v>
                </c:pt>
                <c:pt idx="213">
                  <c:v>103</c:v>
                </c:pt>
                <c:pt idx="214">
                  <c:v>103.099998</c:v>
                </c:pt>
                <c:pt idx="215">
                  <c:v>102.900002</c:v>
                </c:pt>
                <c:pt idx="216">
                  <c:v>102.400002</c:v>
                </c:pt>
                <c:pt idx="217">
                  <c:v>103</c:v>
                </c:pt>
                <c:pt idx="218">
                  <c:v>102.5</c:v>
                </c:pt>
                <c:pt idx="219">
                  <c:v>102</c:v>
                </c:pt>
                <c:pt idx="220">
                  <c:v>100</c:v>
                </c:pt>
                <c:pt idx="221">
                  <c:v>100</c:v>
                </c:pt>
                <c:pt idx="222">
                  <c:v>100.599998</c:v>
                </c:pt>
                <c:pt idx="223">
                  <c:v>101.599998</c:v>
                </c:pt>
                <c:pt idx="224">
                  <c:v>96.699996999999996</c:v>
                </c:pt>
                <c:pt idx="225">
                  <c:v>93.800003000000004</c:v>
                </c:pt>
                <c:pt idx="226">
                  <c:v>98.199996999999996</c:v>
                </c:pt>
                <c:pt idx="227">
                  <c:v>100.699997</c:v>
                </c:pt>
                <c:pt idx="228">
                  <c:v>99.699996999999996</c:v>
                </c:pt>
                <c:pt idx="229">
                  <c:v>99.599997999999999</c:v>
                </c:pt>
                <c:pt idx="230">
                  <c:v>102.300003</c:v>
                </c:pt>
                <c:pt idx="231">
                  <c:v>105</c:v>
                </c:pt>
                <c:pt idx="232">
                  <c:v>105</c:v>
                </c:pt>
                <c:pt idx="233">
                  <c:v>103.400002</c:v>
                </c:pt>
                <c:pt idx="234">
                  <c:v>103.400002</c:v>
                </c:pt>
                <c:pt idx="235">
                  <c:v>98.099997999999999</c:v>
                </c:pt>
                <c:pt idx="236">
                  <c:v>101</c:v>
                </c:pt>
                <c:pt idx="237">
                  <c:v>100.900002</c:v>
                </c:pt>
              </c:numCache>
            </c:numRef>
          </c:val>
          <c:smooth val="0"/>
          <c:extLst>
            <c:ext xmlns:c16="http://schemas.microsoft.com/office/drawing/2014/chart" uri="{C3380CC4-5D6E-409C-BE32-E72D297353CC}">
              <c16:uniqueId val="{00000001-2F61-454E-82F0-A0169E0D4410}"/>
            </c:ext>
          </c:extLst>
        </c:ser>
        <c:dLbls>
          <c:showLegendKey val="0"/>
          <c:showVal val="0"/>
          <c:showCatName val="0"/>
          <c:showSerName val="0"/>
          <c:showPercent val="0"/>
          <c:showBubbleSize val="0"/>
        </c:dLbls>
        <c:marker val="1"/>
        <c:smooth val="0"/>
        <c:axId val="115295744"/>
        <c:axId val="115297280"/>
      </c:lineChart>
      <c:dateAx>
        <c:axId val="115295744"/>
        <c:scaling>
          <c:orientation val="minMax"/>
        </c:scaling>
        <c:delete val="0"/>
        <c:axPos val="b"/>
        <c:numFmt formatCode="[$-409]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crossAx val="115297280"/>
        <c:crosses val="autoZero"/>
        <c:auto val="1"/>
        <c:lblOffset val="100"/>
        <c:baseTimeUnit val="days"/>
      </c:dateAx>
      <c:valAx>
        <c:axId val="115297280"/>
        <c:scaling>
          <c:orientation val="minMax"/>
          <c:min val="50"/>
        </c:scaling>
        <c:delete val="0"/>
        <c:axPos val="l"/>
        <c:majorGridlines>
          <c:spPr>
            <a:ln w="9525" cap="flat" cmpd="sng" algn="ctr">
              <a:noFill/>
              <a:round/>
            </a:ln>
            <a:effectLst/>
          </c:spPr>
        </c:majorGridlines>
        <c:numFmt formatCode="_(* #,##0.0_);_(* \(#,##0.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crossAx val="115295744"/>
        <c:crosses val="autoZero"/>
        <c:crossBetween val="midCat"/>
      </c:valAx>
      <c:valAx>
        <c:axId val="115303168"/>
        <c:scaling>
          <c:orientation val="minMax"/>
          <c:min val="50000"/>
        </c:scaling>
        <c:delete val="0"/>
        <c:axPos val="r"/>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15305088"/>
        <c:crosses val="max"/>
        <c:crossBetween val="between"/>
        <c:dispUnits>
          <c:builtInUnit val="thousands"/>
        </c:dispUnits>
      </c:valAx>
      <c:catAx>
        <c:axId val="115305088"/>
        <c:scaling>
          <c:orientation val="minMax"/>
        </c:scaling>
        <c:delete val="1"/>
        <c:axPos val="b"/>
        <c:majorTickMark val="out"/>
        <c:minorTickMark val="none"/>
        <c:tickLblPos val="nextTo"/>
        <c:crossAx val="1153031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9.6011811023622051E-2"/>
          <c:y val="2.5428331875182269E-2"/>
          <c:w val="0.85936147170792843"/>
          <c:h val="0.79139564076229607"/>
        </c:manualLayout>
      </c:layout>
      <c:lineChart>
        <c:grouping val="standard"/>
        <c:varyColors val="0"/>
        <c:ser>
          <c:idx val="0"/>
          <c:order val="0"/>
          <c:tx>
            <c:strRef>
              <c:f>'PE band'!$K$3</c:f>
              <c:strCache>
                <c:ptCount val="1"/>
                <c:pt idx="0">
                  <c:v>4.0</c:v>
                </c:pt>
              </c:strCache>
            </c:strRef>
          </c:tx>
          <c:spPr>
            <a:ln w="28575" cap="rnd">
              <a:solidFill>
                <a:schemeClr val="accent5">
                  <a:shade val="50000"/>
                </a:schemeClr>
              </a:solidFill>
              <a:round/>
            </a:ln>
            <a:effectLst/>
          </c:spPr>
          <c:marker>
            <c:symbol val="none"/>
          </c:marker>
          <c:cat>
            <c:numRef>
              <c:f>'PE band'!$J$45:$J$150</c:f>
              <c:numCache>
                <c:formatCode>mmm\-yy</c:formatCode>
                <c:ptCount val="106"/>
                <c:pt idx="0">
                  <c:v>40633</c:v>
                </c:pt>
                <c:pt idx="1">
                  <c:v>40662</c:v>
                </c:pt>
                <c:pt idx="2">
                  <c:v>40694</c:v>
                </c:pt>
                <c:pt idx="3">
                  <c:v>40724</c:v>
                </c:pt>
                <c:pt idx="4">
                  <c:v>40753</c:v>
                </c:pt>
                <c:pt idx="5">
                  <c:v>40785</c:v>
                </c:pt>
                <c:pt idx="6">
                  <c:v>40816</c:v>
                </c:pt>
                <c:pt idx="7">
                  <c:v>40847</c:v>
                </c:pt>
                <c:pt idx="8">
                  <c:v>40877</c:v>
                </c:pt>
                <c:pt idx="9">
                  <c:v>40907</c:v>
                </c:pt>
                <c:pt idx="10">
                  <c:v>40939</c:v>
                </c:pt>
                <c:pt idx="11">
                  <c:v>40967</c:v>
                </c:pt>
                <c:pt idx="12">
                  <c:v>40998</c:v>
                </c:pt>
                <c:pt idx="13">
                  <c:v>41029</c:v>
                </c:pt>
                <c:pt idx="14">
                  <c:v>41060</c:v>
                </c:pt>
                <c:pt idx="15">
                  <c:v>41089</c:v>
                </c:pt>
                <c:pt idx="16">
                  <c:v>41121</c:v>
                </c:pt>
                <c:pt idx="17">
                  <c:v>41151</c:v>
                </c:pt>
                <c:pt idx="18">
                  <c:v>41180</c:v>
                </c:pt>
                <c:pt idx="19">
                  <c:v>41213</c:v>
                </c:pt>
                <c:pt idx="20">
                  <c:v>41243</c:v>
                </c:pt>
                <c:pt idx="21">
                  <c:v>41274</c:v>
                </c:pt>
                <c:pt idx="22">
                  <c:v>41305</c:v>
                </c:pt>
                <c:pt idx="23">
                  <c:v>41333</c:v>
                </c:pt>
                <c:pt idx="24">
                  <c:v>41361</c:v>
                </c:pt>
                <c:pt idx="25">
                  <c:v>41394</c:v>
                </c:pt>
                <c:pt idx="26">
                  <c:v>41425</c:v>
                </c:pt>
                <c:pt idx="27">
                  <c:v>41453</c:v>
                </c:pt>
                <c:pt idx="28">
                  <c:v>41486</c:v>
                </c:pt>
                <c:pt idx="29">
                  <c:v>41516</c:v>
                </c:pt>
                <c:pt idx="30">
                  <c:v>41547</c:v>
                </c:pt>
                <c:pt idx="31">
                  <c:v>41578</c:v>
                </c:pt>
                <c:pt idx="32">
                  <c:v>41607</c:v>
                </c:pt>
                <c:pt idx="33">
                  <c:v>41639</c:v>
                </c:pt>
                <c:pt idx="34">
                  <c:v>41670</c:v>
                </c:pt>
                <c:pt idx="35">
                  <c:v>41698</c:v>
                </c:pt>
                <c:pt idx="36">
                  <c:v>41729</c:v>
                </c:pt>
                <c:pt idx="37">
                  <c:v>41759</c:v>
                </c:pt>
                <c:pt idx="38">
                  <c:v>41789</c:v>
                </c:pt>
                <c:pt idx="39">
                  <c:v>41820</c:v>
                </c:pt>
                <c:pt idx="40">
                  <c:v>41851</c:v>
                </c:pt>
                <c:pt idx="41">
                  <c:v>41880</c:v>
                </c:pt>
                <c:pt idx="42">
                  <c:v>41912</c:v>
                </c:pt>
                <c:pt idx="43">
                  <c:v>41943</c:v>
                </c:pt>
                <c:pt idx="44">
                  <c:v>41971</c:v>
                </c:pt>
                <c:pt idx="45">
                  <c:v>42004</c:v>
                </c:pt>
                <c:pt idx="46">
                  <c:v>42034</c:v>
                </c:pt>
                <c:pt idx="47">
                  <c:v>42062</c:v>
                </c:pt>
                <c:pt idx="48">
                  <c:v>42094</c:v>
                </c:pt>
                <c:pt idx="49">
                  <c:v>42124</c:v>
                </c:pt>
                <c:pt idx="50">
                  <c:v>42153</c:v>
                </c:pt>
                <c:pt idx="51">
                  <c:v>42185</c:v>
                </c:pt>
                <c:pt idx="52">
                  <c:v>42215</c:v>
                </c:pt>
                <c:pt idx="53">
                  <c:v>42247</c:v>
                </c:pt>
                <c:pt idx="54">
                  <c:v>42277</c:v>
                </c:pt>
                <c:pt idx="55">
                  <c:v>42307</c:v>
                </c:pt>
                <c:pt idx="56">
                  <c:v>42338</c:v>
                </c:pt>
                <c:pt idx="57">
                  <c:v>42369</c:v>
                </c:pt>
                <c:pt idx="58">
                  <c:v>42398</c:v>
                </c:pt>
                <c:pt idx="59">
                  <c:v>42429</c:v>
                </c:pt>
                <c:pt idx="60">
                  <c:v>42460</c:v>
                </c:pt>
                <c:pt idx="61">
                  <c:v>42489</c:v>
                </c:pt>
                <c:pt idx="62">
                  <c:v>42521</c:v>
                </c:pt>
                <c:pt idx="63">
                  <c:v>42549</c:v>
                </c:pt>
                <c:pt idx="64">
                  <c:v>42582</c:v>
                </c:pt>
                <c:pt idx="65">
                  <c:v>42612</c:v>
                </c:pt>
                <c:pt idx="66">
                  <c:v>42643</c:v>
                </c:pt>
                <c:pt idx="67">
                  <c:v>42674</c:v>
                </c:pt>
                <c:pt idx="68">
                  <c:v>42704</c:v>
                </c:pt>
                <c:pt idx="69">
                  <c:v>42734</c:v>
                </c:pt>
                <c:pt idx="70">
                  <c:v>42766</c:v>
                </c:pt>
                <c:pt idx="71">
                  <c:v>42789</c:v>
                </c:pt>
                <c:pt idx="72">
                  <c:v>42822</c:v>
                </c:pt>
                <c:pt idx="73">
                  <c:v>42853</c:v>
                </c:pt>
                <c:pt idx="74">
                  <c:v>42886</c:v>
                </c:pt>
                <c:pt idx="75">
                  <c:v>42916</c:v>
                </c:pt>
                <c:pt idx="76">
                  <c:v>42947</c:v>
                </c:pt>
                <c:pt idx="77">
                  <c:v>42978</c:v>
                </c:pt>
                <c:pt idx="78">
                  <c:v>43007</c:v>
                </c:pt>
                <c:pt idx="79">
                  <c:v>43039</c:v>
                </c:pt>
                <c:pt idx="80">
                  <c:v>43069</c:v>
                </c:pt>
                <c:pt idx="81">
                  <c:v>43075</c:v>
                </c:pt>
                <c:pt idx="82">
                  <c:v>43131</c:v>
                </c:pt>
                <c:pt idx="83">
                  <c:v>43159</c:v>
                </c:pt>
                <c:pt idx="84">
                  <c:v>43190</c:v>
                </c:pt>
                <c:pt idx="85">
                  <c:v>43220</c:v>
                </c:pt>
                <c:pt idx="86">
                  <c:v>43251</c:v>
                </c:pt>
                <c:pt idx="87">
                  <c:v>43281</c:v>
                </c:pt>
                <c:pt idx="88">
                  <c:v>43312</c:v>
                </c:pt>
                <c:pt idx="89">
                  <c:v>43343</c:v>
                </c:pt>
                <c:pt idx="90">
                  <c:v>43373</c:v>
                </c:pt>
                <c:pt idx="91">
                  <c:v>43404</c:v>
                </c:pt>
                <c:pt idx="92">
                  <c:v>43434</c:v>
                </c:pt>
                <c:pt idx="93">
                  <c:v>43465</c:v>
                </c:pt>
                <c:pt idx="94">
                  <c:v>43496</c:v>
                </c:pt>
                <c:pt idx="95">
                  <c:v>43524</c:v>
                </c:pt>
                <c:pt idx="96">
                  <c:v>43555</c:v>
                </c:pt>
                <c:pt idx="97">
                  <c:v>43585</c:v>
                </c:pt>
                <c:pt idx="98">
                  <c:v>43616</c:v>
                </c:pt>
                <c:pt idx="99">
                  <c:v>43646</c:v>
                </c:pt>
                <c:pt idx="100">
                  <c:v>43677</c:v>
                </c:pt>
                <c:pt idx="101">
                  <c:v>43708</c:v>
                </c:pt>
                <c:pt idx="102">
                  <c:v>43738</c:v>
                </c:pt>
                <c:pt idx="103">
                  <c:v>43769</c:v>
                </c:pt>
                <c:pt idx="104">
                  <c:v>43799</c:v>
                </c:pt>
                <c:pt idx="105">
                  <c:v>43830</c:v>
                </c:pt>
              </c:numCache>
            </c:numRef>
          </c:cat>
          <c:val>
            <c:numRef>
              <c:f>'PE band'!$K$45:$K$150</c:f>
              <c:numCache>
                <c:formatCode>_(* #,##0.00_);_(* \(#,##0.00\);_(* "-"??_);_(@_)</c:formatCode>
                <c:ptCount val="106"/>
                <c:pt idx="0">
                  <c:v>7.7653215831787037</c:v>
                </c:pt>
                <c:pt idx="1">
                  <c:v>8.479932200971211</c:v>
                </c:pt>
                <c:pt idx="2">
                  <c:v>9.1945428187637184</c:v>
                </c:pt>
                <c:pt idx="3">
                  <c:v>9.9091534365562257</c:v>
                </c:pt>
                <c:pt idx="4">
                  <c:v>10.623764054348733</c:v>
                </c:pt>
                <c:pt idx="5">
                  <c:v>11.33837467214124</c:v>
                </c:pt>
                <c:pt idx="6">
                  <c:v>12.052985289933748</c:v>
                </c:pt>
                <c:pt idx="7">
                  <c:v>12.767595907726255</c:v>
                </c:pt>
                <c:pt idx="8">
                  <c:v>13.482206525518762</c:v>
                </c:pt>
                <c:pt idx="9">
                  <c:v>14.19681714331127</c:v>
                </c:pt>
                <c:pt idx="10">
                  <c:v>14.911427761103777</c:v>
                </c:pt>
                <c:pt idx="11">
                  <c:v>15.626038378896284</c:v>
                </c:pt>
                <c:pt idx="12">
                  <c:v>16.340648996688788</c:v>
                </c:pt>
                <c:pt idx="13">
                  <c:v>16.466688855986131</c:v>
                </c:pt>
                <c:pt idx="14">
                  <c:v>16.592728715283474</c:v>
                </c:pt>
                <c:pt idx="15">
                  <c:v>16.718768574580817</c:v>
                </c:pt>
                <c:pt idx="16">
                  <c:v>16.844808433878161</c:v>
                </c:pt>
                <c:pt idx="17">
                  <c:v>16.970848293175504</c:v>
                </c:pt>
                <c:pt idx="18">
                  <c:v>17.096888152472847</c:v>
                </c:pt>
                <c:pt idx="19">
                  <c:v>17.22292801177019</c:v>
                </c:pt>
                <c:pt idx="20">
                  <c:v>17.348967871067533</c:v>
                </c:pt>
                <c:pt idx="21">
                  <c:v>17.475007730364876</c:v>
                </c:pt>
                <c:pt idx="22">
                  <c:v>17.601047589662219</c:v>
                </c:pt>
                <c:pt idx="23">
                  <c:v>17.727087448959562</c:v>
                </c:pt>
                <c:pt idx="24">
                  <c:v>17.853127308256898</c:v>
                </c:pt>
                <c:pt idx="25">
                  <c:v>17.593918693369091</c:v>
                </c:pt>
                <c:pt idx="26">
                  <c:v>17.334710078481283</c:v>
                </c:pt>
                <c:pt idx="27">
                  <c:v>17.075501463593476</c:v>
                </c:pt>
                <c:pt idx="28">
                  <c:v>16.816292848705668</c:v>
                </c:pt>
                <c:pt idx="29">
                  <c:v>16.557084233817861</c:v>
                </c:pt>
                <c:pt idx="30">
                  <c:v>16.297875618930053</c:v>
                </c:pt>
                <c:pt idx="31">
                  <c:v>16.038667004042246</c:v>
                </c:pt>
                <c:pt idx="32">
                  <c:v>15.779458389154437</c:v>
                </c:pt>
                <c:pt idx="33">
                  <c:v>15.520249774266627</c:v>
                </c:pt>
                <c:pt idx="34">
                  <c:v>15.261041159378818</c:v>
                </c:pt>
                <c:pt idx="35">
                  <c:v>15.001832544491009</c:v>
                </c:pt>
                <c:pt idx="36">
                  <c:v>14.742623929603194</c:v>
                </c:pt>
                <c:pt idx="37">
                  <c:v>15.906010450518261</c:v>
                </c:pt>
                <c:pt idx="38">
                  <c:v>17.069396971433328</c:v>
                </c:pt>
                <c:pt idx="39">
                  <c:v>18.232783492348393</c:v>
                </c:pt>
                <c:pt idx="40">
                  <c:v>19.396170013263458</c:v>
                </c:pt>
                <c:pt idx="41">
                  <c:v>20.559556534178522</c:v>
                </c:pt>
                <c:pt idx="42">
                  <c:v>21.722943055093587</c:v>
                </c:pt>
                <c:pt idx="43">
                  <c:v>22.886329576008652</c:v>
                </c:pt>
                <c:pt idx="44">
                  <c:v>24.049716096923717</c:v>
                </c:pt>
                <c:pt idx="45">
                  <c:v>25.213102617838782</c:v>
                </c:pt>
                <c:pt idx="46">
                  <c:v>26.376489138753847</c:v>
                </c:pt>
                <c:pt idx="47">
                  <c:v>27.539875659668912</c:v>
                </c:pt>
                <c:pt idx="48">
                  <c:v>28.703262180583987</c:v>
                </c:pt>
                <c:pt idx="49">
                  <c:v>29.354527333546145</c:v>
                </c:pt>
                <c:pt idx="50">
                  <c:v>30.005792486508302</c:v>
                </c:pt>
                <c:pt idx="51">
                  <c:v>30.657057639470459</c:v>
                </c:pt>
                <c:pt idx="52">
                  <c:v>31.308322792432616</c:v>
                </c:pt>
                <c:pt idx="53">
                  <c:v>31.959587945394773</c:v>
                </c:pt>
                <c:pt idx="54">
                  <c:v>32.610853098356934</c:v>
                </c:pt>
                <c:pt idx="55">
                  <c:v>33.262118251319094</c:v>
                </c:pt>
                <c:pt idx="56">
                  <c:v>33.913383404281255</c:v>
                </c:pt>
                <c:pt idx="57">
                  <c:v>34.564648557243416</c:v>
                </c:pt>
                <c:pt idx="58">
                  <c:v>35.215913710205577</c:v>
                </c:pt>
                <c:pt idx="59">
                  <c:v>35.867178863167737</c:v>
                </c:pt>
                <c:pt idx="60">
                  <c:v>36.518444016129884</c:v>
                </c:pt>
                <c:pt idx="61">
                  <c:v>36.585896875930786</c:v>
                </c:pt>
                <c:pt idx="62">
                  <c:v>36.653349735731688</c:v>
                </c:pt>
                <c:pt idx="63">
                  <c:v>36.720802595532589</c:v>
                </c:pt>
                <c:pt idx="64">
                  <c:v>36.788255455333491</c:v>
                </c:pt>
                <c:pt idx="65">
                  <c:v>36.855708315134393</c:v>
                </c:pt>
                <c:pt idx="66">
                  <c:v>36.923161174935295</c:v>
                </c:pt>
                <c:pt idx="67">
                  <c:v>36.990614034736197</c:v>
                </c:pt>
                <c:pt idx="68">
                  <c:v>37.058066894537099</c:v>
                </c:pt>
                <c:pt idx="69">
                  <c:v>37.125519754338001</c:v>
                </c:pt>
                <c:pt idx="70">
                  <c:v>37.192972614138903</c:v>
                </c:pt>
                <c:pt idx="71">
                  <c:v>37.260425473939804</c:v>
                </c:pt>
                <c:pt idx="72">
                  <c:v>37.327878333740671</c:v>
                </c:pt>
                <c:pt idx="73">
                  <c:v>36.330546671953385</c:v>
                </c:pt>
                <c:pt idx="74">
                  <c:v>35.3332150101661</c:v>
                </c:pt>
                <c:pt idx="75">
                  <c:v>34.335883348378815</c:v>
                </c:pt>
                <c:pt idx="76">
                  <c:v>33.338551686591529</c:v>
                </c:pt>
                <c:pt idx="77">
                  <c:v>32.341220024804244</c:v>
                </c:pt>
                <c:pt idx="78">
                  <c:v>31.343888363016962</c:v>
                </c:pt>
                <c:pt idx="79">
                  <c:v>30.34655670122968</c:v>
                </c:pt>
                <c:pt idx="80">
                  <c:v>29.349225039442398</c:v>
                </c:pt>
                <c:pt idx="81">
                  <c:v>28.351893377655117</c:v>
                </c:pt>
                <c:pt idx="82">
                  <c:v>27.354561715867835</c:v>
                </c:pt>
                <c:pt idx="83">
                  <c:v>26.357230054080553</c:v>
                </c:pt>
                <c:pt idx="84">
                  <c:v>25.359898392293289</c:v>
                </c:pt>
                <c:pt idx="85">
                  <c:v>26.867334316332986</c:v>
                </c:pt>
                <c:pt idx="86">
                  <c:v>28.374770240372683</c:v>
                </c:pt>
                <c:pt idx="87">
                  <c:v>29.882206164412381</c:v>
                </c:pt>
                <c:pt idx="88">
                  <c:v>31.389642088452078</c:v>
                </c:pt>
                <c:pt idx="89">
                  <c:v>32.897078012491775</c:v>
                </c:pt>
                <c:pt idx="90">
                  <c:v>34.404513936531472</c:v>
                </c:pt>
                <c:pt idx="91">
                  <c:v>35.91194986057117</c:v>
                </c:pt>
                <c:pt idx="92">
                  <c:v>37.419385784610867</c:v>
                </c:pt>
                <c:pt idx="93">
                  <c:v>38.926821708650564</c:v>
                </c:pt>
                <c:pt idx="94">
                  <c:v>40.434257632690262</c:v>
                </c:pt>
                <c:pt idx="95">
                  <c:v>41.941693556729959</c:v>
                </c:pt>
                <c:pt idx="96">
                  <c:v>43.449129480769642</c:v>
                </c:pt>
                <c:pt idx="97">
                  <c:v>44.20915509306257</c:v>
                </c:pt>
                <c:pt idx="98">
                  <c:v>44.969180705355498</c:v>
                </c:pt>
                <c:pt idx="99">
                  <c:v>45.729206317648426</c:v>
                </c:pt>
                <c:pt idx="100">
                  <c:v>46.489231929941354</c:v>
                </c:pt>
                <c:pt idx="101">
                  <c:v>47.249257542234282</c:v>
                </c:pt>
                <c:pt idx="102">
                  <c:v>48.009283154527211</c:v>
                </c:pt>
                <c:pt idx="103">
                  <c:v>48.769308766820139</c:v>
                </c:pt>
                <c:pt idx="104">
                  <c:v>49.529334379113067</c:v>
                </c:pt>
                <c:pt idx="105">
                  <c:v>50.289359991405995</c:v>
                </c:pt>
              </c:numCache>
            </c:numRef>
          </c:val>
          <c:smooth val="0"/>
          <c:extLst>
            <c:ext xmlns:c16="http://schemas.microsoft.com/office/drawing/2014/chart" uri="{C3380CC4-5D6E-409C-BE32-E72D297353CC}">
              <c16:uniqueId val="{00000000-2BBE-454A-A52A-C1FA5D49E0CC}"/>
            </c:ext>
          </c:extLst>
        </c:ser>
        <c:ser>
          <c:idx val="1"/>
          <c:order val="1"/>
          <c:tx>
            <c:strRef>
              <c:f>'PE band'!$L$3</c:f>
              <c:strCache>
                <c:ptCount val="1"/>
                <c:pt idx="0">
                  <c:v>6.0</c:v>
                </c:pt>
              </c:strCache>
            </c:strRef>
          </c:tx>
          <c:spPr>
            <a:ln w="28575" cap="rnd">
              <a:solidFill>
                <a:schemeClr val="accent5">
                  <a:shade val="70000"/>
                </a:schemeClr>
              </a:solidFill>
              <a:round/>
            </a:ln>
            <a:effectLst/>
          </c:spPr>
          <c:marker>
            <c:symbol val="none"/>
          </c:marker>
          <c:cat>
            <c:numRef>
              <c:f>'PE band'!$J$45:$J$150</c:f>
              <c:numCache>
                <c:formatCode>mmm\-yy</c:formatCode>
                <c:ptCount val="106"/>
                <c:pt idx="0">
                  <c:v>40633</c:v>
                </c:pt>
                <c:pt idx="1">
                  <c:v>40662</c:v>
                </c:pt>
                <c:pt idx="2">
                  <c:v>40694</c:v>
                </c:pt>
                <c:pt idx="3">
                  <c:v>40724</c:v>
                </c:pt>
                <c:pt idx="4">
                  <c:v>40753</c:v>
                </c:pt>
                <c:pt idx="5">
                  <c:v>40785</c:v>
                </c:pt>
                <c:pt idx="6">
                  <c:v>40816</c:v>
                </c:pt>
                <c:pt idx="7">
                  <c:v>40847</c:v>
                </c:pt>
                <c:pt idx="8">
                  <c:v>40877</c:v>
                </c:pt>
                <c:pt idx="9">
                  <c:v>40907</c:v>
                </c:pt>
                <c:pt idx="10">
                  <c:v>40939</c:v>
                </c:pt>
                <c:pt idx="11">
                  <c:v>40967</c:v>
                </c:pt>
                <c:pt idx="12">
                  <c:v>40998</c:v>
                </c:pt>
                <c:pt idx="13">
                  <c:v>41029</c:v>
                </c:pt>
                <c:pt idx="14">
                  <c:v>41060</c:v>
                </c:pt>
                <c:pt idx="15">
                  <c:v>41089</c:v>
                </c:pt>
                <c:pt idx="16">
                  <c:v>41121</c:v>
                </c:pt>
                <c:pt idx="17">
                  <c:v>41151</c:v>
                </c:pt>
                <c:pt idx="18">
                  <c:v>41180</c:v>
                </c:pt>
                <c:pt idx="19">
                  <c:v>41213</c:v>
                </c:pt>
                <c:pt idx="20">
                  <c:v>41243</c:v>
                </c:pt>
                <c:pt idx="21">
                  <c:v>41274</c:v>
                </c:pt>
                <c:pt idx="22">
                  <c:v>41305</c:v>
                </c:pt>
                <c:pt idx="23">
                  <c:v>41333</c:v>
                </c:pt>
                <c:pt idx="24">
                  <c:v>41361</c:v>
                </c:pt>
                <c:pt idx="25">
                  <c:v>41394</c:v>
                </c:pt>
                <c:pt idx="26">
                  <c:v>41425</c:v>
                </c:pt>
                <c:pt idx="27">
                  <c:v>41453</c:v>
                </c:pt>
                <c:pt idx="28">
                  <c:v>41486</c:v>
                </c:pt>
                <c:pt idx="29">
                  <c:v>41516</c:v>
                </c:pt>
                <c:pt idx="30">
                  <c:v>41547</c:v>
                </c:pt>
                <c:pt idx="31">
                  <c:v>41578</c:v>
                </c:pt>
                <c:pt idx="32">
                  <c:v>41607</c:v>
                </c:pt>
                <c:pt idx="33">
                  <c:v>41639</c:v>
                </c:pt>
                <c:pt idx="34">
                  <c:v>41670</c:v>
                </c:pt>
                <c:pt idx="35">
                  <c:v>41698</c:v>
                </c:pt>
                <c:pt idx="36">
                  <c:v>41729</c:v>
                </c:pt>
                <c:pt idx="37">
                  <c:v>41759</c:v>
                </c:pt>
                <c:pt idx="38">
                  <c:v>41789</c:v>
                </c:pt>
                <c:pt idx="39">
                  <c:v>41820</c:v>
                </c:pt>
                <c:pt idx="40">
                  <c:v>41851</c:v>
                </c:pt>
                <c:pt idx="41">
                  <c:v>41880</c:v>
                </c:pt>
                <c:pt idx="42">
                  <c:v>41912</c:v>
                </c:pt>
                <c:pt idx="43">
                  <c:v>41943</c:v>
                </c:pt>
                <c:pt idx="44">
                  <c:v>41971</c:v>
                </c:pt>
                <c:pt idx="45">
                  <c:v>42004</c:v>
                </c:pt>
                <c:pt idx="46">
                  <c:v>42034</c:v>
                </c:pt>
                <c:pt idx="47">
                  <c:v>42062</c:v>
                </c:pt>
                <c:pt idx="48">
                  <c:v>42094</c:v>
                </c:pt>
                <c:pt idx="49">
                  <c:v>42124</c:v>
                </c:pt>
                <c:pt idx="50">
                  <c:v>42153</c:v>
                </c:pt>
                <c:pt idx="51">
                  <c:v>42185</c:v>
                </c:pt>
                <c:pt idx="52">
                  <c:v>42215</c:v>
                </c:pt>
                <c:pt idx="53">
                  <c:v>42247</c:v>
                </c:pt>
                <c:pt idx="54">
                  <c:v>42277</c:v>
                </c:pt>
                <c:pt idx="55">
                  <c:v>42307</c:v>
                </c:pt>
                <c:pt idx="56">
                  <c:v>42338</c:v>
                </c:pt>
                <c:pt idx="57">
                  <c:v>42369</c:v>
                </c:pt>
                <c:pt idx="58">
                  <c:v>42398</c:v>
                </c:pt>
                <c:pt idx="59">
                  <c:v>42429</c:v>
                </c:pt>
                <c:pt idx="60">
                  <c:v>42460</c:v>
                </c:pt>
                <c:pt idx="61">
                  <c:v>42489</c:v>
                </c:pt>
                <c:pt idx="62">
                  <c:v>42521</c:v>
                </c:pt>
                <c:pt idx="63">
                  <c:v>42549</c:v>
                </c:pt>
                <c:pt idx="64">
                  <c:v>42582</c:v>
                </c:pt>
                <c:pt idx="65">
                  <c:v>42612</c:v>
                </c:pt>
                <c:pt idx="66">
                  <c:v>42643</c:v>
                </c:pt>
                <c:pt idx="67">
                  <c:v>42674</c:v>
                </c:pt>
                <c:pt idx="68">
                  <c:v>42704</c:v>
                </c:pt>
                <c:pt idx="69">
                  <c:v>42734</c:v>
                </c:pt>
                <c:pt idx="70">
                  <c:v>42766</c:v>
                </c:pt>
                <c:pt idx="71">
                  <c:v>42789</c:v>
                </c:pt>
                <c:pt idx="72">
                  <c:v>42822</c:v>
                </c:pt>
                <c:pt idx="73">
                  <c:v>42853</c:v>
                </c:pt>
                <c:pt idx="74">
                  <c:v>42886</c:v>
                </c:pt>
                <c:pt idx="75">
                  <c:v>42916</c:v>
                </c:pt>
                <c:pt idx="76">
                  <c:v>42947</c:v>
                </c:pt>
                <c:pt idx="77">
                  <c:v>42978</c:v>
                </c:pt>
                <c:pt idx="78">
                  <c:v>43007</c:v>
                </c:pt>
                <c:pt idx="79">
                  <c:v>43039</c:v>
                </c:pt>
                <c:pt idx="80">
                  <c:v>43069</c:v>
                </c:pt>
                <c:pt idx="81">
                  <c:v>43075</c:v>
                </c:pt>
                <c:pt idx="82">
                  <c:v>43131</c:v>
                </c:pt>
                <c:pt idx="83">
                  <c:v>43159</c:v>
                </c:pt>
                <c:pt idx="84">
                  <c:v>43190</c:v>
                </c:pt>
                <c:pt idx="85">
                  <c:v>43220</c:v>
                </c:pt>
                <c:pt idx="86">
                  <c:v>43251</c:v>
                </c:pt>
                <c:pt idx="87">
                  <c:v>43281</c:v>
                </c:pt>
                <c:pt idx="88">
                  <c:v>43312</c:v>
                </c:pt>
                <c:pt idx="89">
                  <c:v>43343</c:v>
                </c:pt>
                <c:pt idx="90">
                  <c:v>43373</c:v>
                </c:pt>
                <c:pt idx="91">
                  <c:v>43404</c:v>
                </c:pt>
                <c:pt idx="92">
                  <c:v>43434</c:v>
                </c:pt>
                <c:pt idx="93">
                  <c:v>43465</c:v>
                </c:pt>
                <c:pt idx="94">
                  <c:v>43496</c:v>
                </c:pt>
                <c:pt idx="95">
                  <c:v>43524</c:v>
                </c:pt>
                <c:pt idx="96">
                  <c:v>43555</c:v>
                </c:pt>
                <c:pt idx="97">
                  <c:v>43585</c:v>
                </c:pt>
                <c:pt idx="98">
                  <c:v>43616</c:v>
                </c:pt>
                <c:pt idx="99">
                  <c:v>43646</c:v>
                </c:pt>
                <c:pt idx="100">
                  <c:v>43677</c:v>
                </c:pt>
                <c:pt idx="101">
                  <c:v>43708</c:v>
                </c:pt>
                <c:pt idx="102">
                  <c:v>43738</c:v>
                </c:pt>
                <c:pt idx="103">
                  <c:v>43769</c:v>
                </c:pt>
                <c:pt idx="104">
                  <c:v>43799</c:v>
                </c:pt>
                <c:pt idx="105">
                  <c:v>43830</c:v>
                </c:pt>
              </c:numCache>
            </c:numRef>
          </c:cat>
          <c:val>
            <c:numRef>
              <c:f>'PE band'!$L$45:$L$150</c:f>
              <c:numCache>
                <c:formatCode>_(* #,##0.00_);_(* \(#,##0.00\);_(* "-"??_);_(@_)</c:formatCode>
                <c:ptCount val="106"/>
                <c:pt idx="0">
                  <c:v>11.647982374768056</c:v>
                </c:pt>
                <c:pt idx="1">
                  <c:v>12.719898301456816</c:v>
                </c:pt>
                <c:pt idx="2">
                  <c:v>13.791814228145578</c:v>
                </c:pt>
                <c:pt idx="3">
                  <c:v>14.863730154834339</c:v>
                </c:pt>
                <c:pt idx="4">
                  <c:v>15.9356460815231</c:v>
                </c:pt>
                <c:pt idx="5">
                  <c:v>17.00756200821186</c:v>
                </c:pt>
                <c:pt idx="6">
                  <c:v>18.079477934900623</c:v>
                </c:pt>
                <c:pt idx="7">
                  <c:v>19.151393861589384</c:v>
                </c:pt>
                <c:pt idx="8">
                  <c:v>20.223309788278144</c:v>
                </c:pt>
                <c:pt idx="9">
                  <c:v>21.295225714966904</c:v>
                </c:pt>
                <c:pt idx="10">
                  <c:v>22.367141641655664</c:v>
                </c:pt>
                <c:pt idx="11">
                  <c:v>23.439057568344428</c:v>
                </c:pt>
                <c:pt idx="12">
                  <c:v>24.510973495033184</c:v>
                </c:pt>
                <c:pt idx="13">
                  <c:v>24.700033283979195</c:v>
                </c:pt>
                <c:pt idx="14">
                  <c:v>24.889093072925213</c:v>
                </c:pt>
                <c:pt idx="15">
                  <c:v>25.078152861871224</c:v>
                </c:pt>
                <c:pt idx="16">
                  <c:v>25.267212650817243</c:v>
                </c:pt>
                <c:pt idx="17">
                  <c:v>25.456272439763254</c:v>
                </c:pt>
                <c:pt idx="18">
                  <c:v>25.645332228709272</c:v>
                </c:pt>
                <c:pt idx="19">
                  <c:v>25.834392017655283</c:v>
                </c:pt>
                <c:pt idx="20">
                  <c:v>26.023451806601301</c:v>
                </c:pt>
                <c:pt idx="21">
                  <c:v>26.212511595547312</c:v>
                </c:pt>
                <c:pt idx="22">
                  <c:v>26.40157138449333</c:v>
                </c:pt>
                <c:pt idx="23">
                  <c:v>26.590631173439341</c:v>
                </c:pt>
                <c:pt idx="24">
                  <c:v>26.779690962385345</c:v>
                </c:pt>
                <c:pt idx="25">
                  <c:v>26.390878040053636</c:v>
                </c:pt>
                <c:pt idx="26">
                  <c:v>26.002065117721926</c:v>
                </c:pt>
                <c:pt idx="27">
                  <c:v>25.613252195390213</c:v>
                </c:pt>
                <c:pt idx="28">
                  <c:v>25.224439273058501</c:v>
                </c:pt>
                <c:pt idx="29">
                  <c:v>24.835626350726791</c:v>
                </c:pt>
                <c:pt idx="30">
                  <c:v>24.446813428395082</c:v>
                </c:pt>
                <c:pt idx="31">
                  <c:v>24.058000506063369</c:v>
                </c:pt>
                <c:pt idx="32">
                  <c:v>23.669187583731656</c:v>
                </c:pt>
                <c:pt idx="33">
                  <c:v>23.280374661399939</c:v>
                </c:pt>
                <c:pt idx="34">
                  <c:v>22.891561739068226</c:v>
                </c:pt>
                <c:pt idx="35">
                  <c:v>22.502748816736514</c:v>
                </c:pt>
                <c:pt idx="36">
                  <c:v>22.11393589440479</c:v>
                </c:pt>
                <c:pt idx="37">
                  <c:v>23.859015675777393</c:v>
                </c:pt>
                <c:pt idx="38">
                  <c:v>25.604095457149992</c:v>
                </c:pt>
                <c:pt idx="39">
                  <c:v>27.349175238522591</c:v>
                </c:pt>
                <c:pt idx="40">
                  <c:v>29.094255019895186</c:v>
                </c:pt>
                <c:pt idx="41">
                  <c:v>30.839334801267782</c:v>
                </c:pt>
                <c:pt idx="42">
                  <c:v>32.584414582640377</c:v>
                </c:pt>
                <c:pt idx="43">
                  <c:v>34.32949436401298</c:v>
                </c:pt>
                <c:pt idx="44">
                  <c:v>36.074574145385576</c:v>
                </c:pt>
                <c:pt idx="45">
                  <c:v>37.819653926758171</c:v>
                </c:pt>
                <c:pt idx="46">
                  <c:v>39.564733708130774</c:v>
                </c:pt>
                <c:pt idx="47">
                  <c:v>41.30981348950337</c:v>
                </c:pt>
                <c:pt idx="48">
                  <c:v>43.054893270875979</c:v>
                </c:pt>
                <c:pt idx="49">
                  <c:v>44.031791000319217</c:v>
                </c:pt>
                <c:pt idx="50">
                  <c:v>45.008688729762454</c:v>
                </c:pt>
                <c:pt idx="51">
                  <c:v>45.985586459205692</c:v>
                </c:pt>
                <c:pt idx="52">
                  <c:v>46.962484188648922</c:v>
                </c:pt>
                <c:pt idx="53">
                  <c:v>47.93938191809216</c:v>
                </c:pt>
                <c:pt idx="54">
                  <c:v>48.916279647535404</c:v>
                </c:pt>
                <c:pt idx="55">
                  <c:v>49.893177376978642</c:v>
                </c:pt>
                <c:pt idx="56">
                  <c:v>50.870075106421879</c:v>
                </c:pt>
                <c:pt idx="57">
                  <c:v>51.846972835865124</c:v>
                </c:pt>
                <c:pt idx="58">
                  <c:v>52.823870565308368</c:v>
                </c:pt>
                <c:pt idx="59">
                  <c:v>53.800768294751606</c:v>
                </c:pt>
                <c:pt idx="60">
                  <c:v>54.777666024194829</c:v>
                </c:pt>
                <c:pt idx="61">
                  <c:v>54.878845313896178</c:v>
                </c:pt>
                <c:pt idx="62">
                  <c:v>54.980024603597528</c:v>
                </c:pt>
                <c:pt idx="63">
                  <c:v>55.081203893298884</c:v>
                </c:pt>
                <c:pt idx="64">
                  <c:v>55.18238318300024</c:v>
                </c:pt>
                <c:pt idx="65">
                  <c:v>55.28356247270159</c:v>
                </c:pt>
                <c:pt idx="66">
                  <c:v>55.384741762402939</c:v>
                </c:pt>
                <c:pt idx="67">
                  <c:v>55.485921052104295</c:v>
                </c:pt>
                <c:pt idx="68">
                  <c:v>55.587100341805652</c:v>
                </c:pt>
                <c:pt idx="69">
                  <c:v>55.688279631507001</c:v>
                </c:pt>
                <c:pt idx="70">
                  <c:v>55.78945892120835</c:v>
                </c:pt>
                <c:pt idx="71">
                  <c:v>55.890638210909707</c:v>
                </c:pt>
                <c:pt idx="72">
                  <c:v>55.991817500611006</c:v>
                </c:pt>
                <c:pt idx="73">
                  <c:v>54.495820007930078</c:v>
                </c:pt>
                <c:pt idx="74">
                  <c:v>52.99982251524915</c:v>
                </c:pt>
                <c:pt idx="75">
                  <c:v>51.503825022568222</c:v>
                </c:pt>
                <c:pt idx="76">
                  <c:v>50.007827529887294</c:v>
                </c:pt>
                <c:pt idx="77">
                  <c:v>48.511830037206366</c:v>
                </c:pt>
                <c:pt idx="78">
                  <c:v>47.015832544525445</c:v>
                </c:pt>
                <c:pt idx="79">
                  <c:v>45.519835051844524</c:v>
                </c:pt>
                <c:pt idx="80">
                  <c:v>44.023837559163596</c:v>
                </c:pt>
                <c:pt idx="81">
                  <c:v>42.527840066482675</c:v>
                </c:pt>
                <c:pt idx="82">
                  <c:v>41.031842573801754</c:v>
                </c:pt>
                <c:pt idx="83">
                  <c:v>39.535845081120826</c:v>
                </c:pt>
                <c:pt idx="84">
                  <c:v>38.039847588439933</c:v>
                </c:pt>
                <c:pt idx="85">
                  <c:v>40.301001474499479</c:v>
                </c:pt>
                <c:pt idx="86">
                  <c:v>42.562155360559025</c:v>
                </c:pt>
                <c:pt idx="87">
                  <c:v>44.823309246618571</c:v>
                </c:pt>
                <c:pt idx="88">
                  <c:v>47.084463132678117</c:v>
                </c:pt>
                <c:pt idx="89">
                  <c:v>49.345617018737663</c:v>
                </c:pt>
                <c:pt idx="90">
                  <c:v>51.606770904797209</c:v>
                </c:pt>
                <c:pt idx="91">
                  <c:v>53.867924790856755</c:v>
                </c:pt>
                <c:pt idx="92">
                  <c:v>56.129078676916301</c:v>
                </c:pt>
                <c:pt idx="93">
                  <c:v>58.390232562975847</c:v>
                </c:pt>
                <c:pt idx="94">
                  <c:v>60.651386449035392</c:v>
                </c:pt>
                <c:pt idx="95">
                  <c:v>62.912540335094938</c:v>
                </c:pt>
                <c:pt idx="96">
                  <c:v>65.173694221154463</c:v>
                </c:pt>
                <c:pt idx="97">
                  <c:v>66.313732639593852</c:v>
                </c:pt>
                <c:pt idx="98">
                  <c:v>67.453771058033254</c:v>
                </c:pt>
                <c:pt idx="99">
                  <c:v>68.593809476472643</c:v>
                </c:pt>
                <c:pt idx="100">
                  <c:v>69.733847894912032</c:v>
                </c:pt>
                <c:pt idx="101">
                  <c:v>70.87388631335142</c:v>
                </c:pt>
                <c:pt idx="102">
                  <c:v>72.013924731790809</c:v>
                </c:pt>
                <c:pt idx="103">
                  <c:v>73.153963150230211</c:v>
                </c:pt>
                <c:pt idx="104">
                  <c:v>74.2940015686696</c:v>
                </c:pt>
                <c:pt idx="105">
                  <c:v>75.434039987108989</c:v>
                </c:pt>
              </c:numCache>
            </c:numRef>
          </c:val>
          <c:smooth val="0"/>
          <c:extLst>
            <c:ext xmlns:c16="http://schemas.microsoft.com/office/drawing/2014/chart" uri="{C3380CC4-5D6E-409C-BE32-E72D297353CC}">
              <c16:uniqueId val="{00000001-2BBE-454A-A52A-C1FA5D49E0CC}"/>
            </c:ext>
          </c:extLst>
        </c:ser>
        <c:ser>
          <c:idx val="2"/>
          <c:order val="2"/>
          <c:tx>
            <c:strRef>
              <c:f>'PE band'!$M$3</c:f>
              <c:strCache>
                <c:ptCount val="1"/>
                <c:pt idx="0">
                  <c:v>8.0</c:v>
                </c:pt>
              </c:strCache>
            </c:strRef>
          </c:tx>
          <c:spPr>
            <a:ln w="28575" cap="rnd">
              <a:solidFill>
                <a:schemeClr val="accent5">
                  <a:shade val="90000"/>
                </a:schemeClr>
              </a:solidFill>
              <a:round/>
            </a:ln>
            <a:effectLst/>
          </c:spPr>
          <c:marker>
            <c:symbol val="none"/>
          </c:marker>
          <c:cat>
            <c:numRef>
              <c:f>'PE band'!$J$45:$J$150</c:f>
              <c:numCache>
                <c:formatCode>mmm\-yy</c:formatCode>
                <c:ptCount val="106"/>
                <c:pt idx="0">
                  <c:v>40633</c:v>
                </c:pt>
                <c:pt idx="1">
                  <c:v>40662</c:v>
                </c:pt>
                <c:pt idx="2">
                  <c:v>40694</c:v>
                </c:pt>
                <c:pt idx="3">
                  <c:v>40724</c:v>
                </c:pt>
                <c:pt idx="4">
                  <c:v>40753</c:v>
                </c:pt>
                <c:pt idx="5">
                  <c:v>40785</c:v>
                </c:pt>
                <c:pt idx="6">
                  <c:v>40816</c:v>
                </c:pt>
                <c:pt idx="7">
                  <c:v>40847</c:v>
                </c:pt>
                <c:pt idx="8">
                  <c:v>40877</c:v>
                </c:pt>
                <c:pt idx="9">
                  <c:v>40907</c:v>
                </c:pt>
                <c:pt idx="10">
                  <c:v>40939</c:v>
                </c:pt>
                <c:pt idx="11">
                  <c:v>40967</c:v>
                </c:pt>
                <c:pt idx="12">
                  <c:v>40998</c:v>
                </c:pt>
                <c:pt idx="13">
                  <c:v>41029</c:v>
                </c:pt>
                <c:pt idx="14">
                  <c:v>41060</c:v>
                </c:pt>
                <c:pt idx="15">
                  <c:v>41089</c:v>
                </c:pt>
                <c:pt idx="16">
                  <c:v>41121</c:v>
                </c:pt>
                <c:pt idx="17">
                  <c:v>41151</c:v>
                </c:pt>
                <c:pt idx="18">
                  <c:v>41180</c:v>
                </c:pt>
                <c:pt idx="19">
                  <c:v>41213</c:v>
                </c:pt>
                <c:pt idx="20">
                  <c:v>41243</c:v>
                </c:pt>
                <c:pt idx="21">
                  <c:v>41274</c:v>
                </c:pt>
                <c:pt idx="22">
                  <c:v>41305</c:v>
                </c:pt>
                <c:pt idx="23">
                  <c:v>41333</c:v>
                </c:pt>
                <c:pt idx="24">
                  <c:v>41361</c:v>
                </c:pt>
                <c:pt idx="25">
                  <c:v>41394</c:v>
                </c:pt>
                <c:pt idx="26">
                  <c:v>41425</c:v>
                </c:pt>
                <c:pt idx="27">
                  <c:v>41453</c:v>
                </c:pt>
                <c:pt idx="28">
                  <c:v>41486</c:v>
                </c:pt>
                <c:pt idx="29">
                  <c:v>41516</c:v>
                </c:pt>
                <c:pt idx="30">
                  <c:v>41547</c:v>
                </c:pt>
                <c:pt idx="31">
                  <c:v>41578</c:v>
                </c:pt>
                <c:pt idx="32">
                  <c:v>41607</c:v>
                </c:pt>
                <c:pt idx="33">
                  <c:v>41639</c:v>
                </c:pt>
                <c:pt idx="34">
                  <c:v>41670</c:v>
                </c:pt>
                <c:pt idx="35">
                  <c:v>41698</c:v>
                </c:pt>
                <c:pt idx="36">
                  <c:v>41729</c:v>
                </c:pt>
                <c:pt idx="37">
                  <c:v>41759</c:v>
                </c:pt>
                <c:pt idx="38">
                  <c:v>41789</c:v>
                </c:pt>
                <c:pt idx="39">
                  <c:v>41820</c:v>
                </c:pt>
                <c:pt idx="40">
                  <c:v>41851</c:v>
                </c:pt>
                <c:pt idx="41">
                  <c:v>41880</c:v>
                </c:pt>
                <c:pt idx="42">
                  <c:v>41912</c:v>
                </c:pt>
                <c:pt idx="43">
                  <c:v>41943</c:v>
                </c:pt>
                <c:pt idx="44">
                  <c:v>41971</c:v>
                </c:pt>
                <c:pt idx="45">
                  <c:v>42004</c:v>
                </c:pt>
                <c:pt idx="46">
                  <c:v>42034</c:v>
                </c:pt>
                <c:pt idx="47">
                  <c:v>42062</c:v>
                </c:pt>
                <c:pt idx="48">
                  <c:v>42094</c:v>
                </c:pt>
                <c:pt idx="49">
                  <c:v>42124</c:v>
                </c:pt>
                <c:pt idx="50">
                  <c:v>42153</c:v>
                </c:pt>
                <c:pt idx="51">
                  <c:v>42185</c:v>
                </c:pt>
                <c:pt idx="52">
                  <c:v>42215</c:v>
                </c:pt>
                <c:pt idx="53">
                  <c:v>42247</c:v>
                </c:pt>
                <c:pt idx="54">
                  <c:v>42277</c:v>
                </c:pt>
                <c:pt idx="55">
                  <c:v>42307</c:v>
                </c:pt>
                <c:pt idx="56">
                  <c:v>42338</c:v>
                </c:pt>
                <c:pt idx="57">
                  <c:v>42369</c:v>
                </c:pt>
                <c:pt idx="58">
                  <c:v>42398</c:v>
                </c:pt>
                <c:pt idx="59">
                  <c:v>42429</c:v>
                </c:pt>
                <c:pt idx="60">
                  <c:v>42460</c:v>
                </c:pt>
                <c:pt idx="61">
                  <c:v>42489</c:v>
                </c:pt>
                <c:pt idx="62">
                  <c:v>42521</c:v>
                </c:pt>
                <c:pt idx="63">
                  <c:v>42549</c:v>
                </c:pt>
                <c:pt idx="64">
                  <c:v>42582</c:v>
                </c:pt>
                <c:pt idx="65">
                  <c:v>42612</c:v>
                </c:pt>
                <c:pt idx="66">
                  <c:v>42643</c:v>
                </c:pt>
                <c:pt idx="67">
                  <c:v>42674</c:v>
                </c:pt>
                <c:pt idx="68">
                  <c:v>42704</c:v>
                </c:pt>
                <c:pt idx="69">
                  <c:v>42734</c:v>
                </c:pt>
                <c:pt idx="70">
                  <c:v>42766</c:v>
                </c:pt>
                <c:pt idx="71">
                  <c:v>42789</c:v>
                </c:pt>
                <c:pt idx="72">
                  <c:v>42822</c:v>
                </c:pt>
                <c:pt idx="73">
                  <c:v>42853</c:v>
                </c:pt>
                <c:pt idx="74">
                  <c:v>42886</c:v>
                </c:pt>
                <c:pt idx="75">
                  <c:v>42916</c:v>
                </c:pt>
                <c:pt idx="76">
                  <c:v>42947</c:v>
                </c:pt>
                <c:pt idx="77">
                  <c:v>42978</c:v>
                </c:pt>
                <c:pt idx="78">
                  <c:v>43007</c:v>
                </c:pt>
                <c:pt idx="79">
                  <c:v>43039</c:v>
                </c:pt>
                <c:pt idx="80">
                  <c:v>43069</c:v>
                </c:pt>
                <c:pt idx="81">
                  <c:v>43075</c:v>
                </c:pt>
                <c:pt idx="82">
                  <c:v>43131</c:v>
                </c:pt>
                <c:pt idx="83">
                  <c:v>43159</c:v>
                </c:pt>
                <c:pt idx="84">
                  <c:v>43190</c:v>
                </c:pt>
                <c:pt idx="85">
                  <c:v>43220</c:v>
                </c:pt>
                <c:pt idx="86">
                  <c:v>43251</c:v>
                </c:pt>
                <c:pt idx="87">
                  <c:v>43281</c:v>
                </c:pt>
                <c:pt idx="88">
                  <c:v>43312</c:v>
                </c:pt>
                <c:pt idx="89">
                  <c:v>43343</c:v>
                </c:pt>
                <c:pt idx="90">
                  <c:v>43373</c:v>
                </c:pt>
                <c:pt idx="91">
                  <c:v>43404</c:v>
                </c:pt>
                <c:pt idx="92">
                  <c:v>43434</c:v>
                </c:pt>
                <c:pt idx="93">
                  <c:v>43465</c:v>
                </c:pt>
                <c:pt idx="94">
                  <c:v>43496</c:v>
                </c:pt>
                <c:pt idx="95">
                  <c:v>43524</c:v>
                </c:pt>
                <c:pt idx="96">
                  <c:v>43555</c:v>
                </c:pt>
                <c:pt idx="97">
                  <c:v>43585</c:v>
                </c:pt>
                <c:pt idx="98">
                  <c:v>43616</c:v>
                </c:pt>
                <c:pt idx="99">
                  <c:v>43646</c:v>
                </c:pt>
                <c:pt idx="100">
                  <c:v>43677</c:v>
                </c:pt>
                <c:pt idx="101">
                  <c:v>43708</c:v>
                </c:pt>
                <c:pt idx="102">
                  <c:v>43738</c:v>
                </c:pt>
                <c:pt idx="103">
                  <c:v>43769</c:v>
                </c:pt>
                <c:pt idx="104">
                  <c:v>43799</c:v>
                </c:pt>
                <c:pt idx="105">
                  <c:v>43830</c:v>
                </c:pt>
              </c:numCache>
            </c:numRef>
          </c:cat>
          <c:val>
            <c:numRef>
              <c:f>'PE band'!$M$45:$M$150</c:f>
              <c:numCache>
                <c:formatCode>_(* #,##0.00_);_(* \(#,##0.00\);_(* "-"??_);_(@_)</c:formatCode>
                <c:ptCount val="106"/>
                <c:pt idx="0">
                  <c:v>15.530643166357407</c:v>
                </c:pt>
                <c:pt idx="1">
                  <c:v>16.959864401942422</c:v>
                </c:pt>
                <c:pt idx="2">
                  <c:v>18.389085637527437</c:v>
                </c:pt>
                <c:pt idx="3">
                  <c:v>19.818306873112451</c:v>
                </c:pt>
                <c:pt idx="4">
                  <c:v>21.247528108697466</c:v>
                </c:pt>
                <c:pt idx="5">
                  <c:v>22.676749344282481</c:v>
                </c:pt>
                <c:pt idx="6">
                  <c:v>24.105970579867495</c:v>
                </c:pt>
                <c:pt idx="7">
                  <c:v>25.53519181545251</c:v>
                </c:pt>
                <c:pt idx="8">
                  <c:v>26.964413051037525</c:v>
                </c:pt>
                <c:pt idx="9">
                  <c:v>28.39363428662254</c:v>
                </c:pt>
                <c:pt idx="10">
                  <c:v>29.822855522207554</c:v>
                </c:pt>
                <c:pt idx="11">
                  <c:v>31.252076757792569</c:v>
                </c:pt>
                <c:pt idx="12">
                  <c:v>32.681297993377576</c:v>
                </c:pt>
                <c:pt idx="13">
                  <c:v>32.933377711972263</c:v>
                </c:pt>
                <c:pt idx="14">
                  <c:v>33.185457430566949</c:v>
                </c:pt>
                <c:pt idx="15">
                  <c:v>33.437537149161635</c:v>
                </c:pt>
                <c:pt idx="16">
                  <c:v>33.689616867756321</c:v>
                </c:pt>
                <c:pt idx="17">
                  <c:v>33.941696586351007</c:v>
                </c:pt>
                <c:pt idx="18">
                  <c:v>34.193776304945693</c:v>
                </c:pt>
                <c:pt idx="19">
                  <c:v>34.445856023540379</c:v>
                </c:pt>
                <c:pt idx="20">
                  <c:v>34.697935742135066</c:v>
                </c:pt>
                <c:pt idx="21">
                  <c:v>34.950015460729752</c:v>
                </c:pt>
                <c:pt idx="22">
                  <c:v>35.202095179324438</c:v>
                </c:pt>
                <c:pt idx="23">
                  <c:v>35.454174897919124</c:v>
                </c:pt>
                <c:pt idx="24">
                  <c:v>35.706254616513796</c:v>
                </c:pt>
                <c:pt idx="25">
                  <c:v>35.187837386738181</c:v>
                </c:pt>
                <c:pt idx="26">
                  <c:v>34.669420156962566</c:v>
                </c:pt>
                <c:pt idx="27">
                  <c:v>34.151002927186951</c:v>
                </c:pt>
                <c:pt idx="28">
                  <c:v>33.632585697411336</c:v>
                </c:pt>
                <c:pt idx="29">
                  <c:v>33.114168467635722</c:v>
                </c:pt>
                <c:pt idx="30">
                  <c:v>32.595751237860107</c:v>
                </c:pt>
                <c:pt idx="31">
                  <c:v>32.077334008084492</c:v>
                </c:pt>
                <c:pt idx="32">
                  <c:v>31.558916778308873</c:v>
                </c:pt>
                <c:pt idx="33">
                  <c:v>31.040499548533255</c:v>
                </c:pt>
                <c:pt idx="34">
                  <c:v>30.522082318757636</c:v>
                </c:pt>
                <c:pt idx="35">
                  <c:v>30.003665088982018</c:v>
                </c:pt>
                <c:pt idx="36">
                  <c:v>29.485247859206389</c:v>
                </c:pt>
                <c:pt idx="37">
                  <c:v>31.812020901036522</c:v>
                </c:pt>
                <c:pt idx="38">
                  <c:v>34.138793942866656</c:v>
                </c:pt>
                <c:pt idx="39">
                  <c:v>36.465566984696785</c:v>
                </c:pt>
                <c:pt idx="40">
                  <c:v>38.792340026526915</c:v>
                </c:pt>
                <c:pt idx="41">
                  <c:v>41.119113068357045</c:v>
                </c:pt>
                <c:pt idx="42">
                  <c:v>43.445886110187175</c:v>
                </c:pt>
                <c:pt idx="43">
                  <c:v>45.772659152017305</c:v>
                </c:pt>
                <c:pt idx="44">
                  <c:v>48.099432193847434</c:v>
                </c:pt>
                <c:pt idx="45">
                  <c:v>50.426205235677564</c:v>
                </c:pt>
                <c:pt idx="46">
                  <c:v>52.752978277507694</c:v>
                </c:pt>
                <c:pt idx="47">
                  <c:v>55.079751319337824</c:v>
                </c:pt>
                <c:pt idx="48">
                  <c:v>57.406524361167975</c:v>
                </c:pt>
                <c:pt idx="49">
                  <c:v>58.709054667092289</c:v>
                </c:pt>
                <c:pt idx="50">
                  <c:v>60.011584973016603</c:v>
                </c:pt>
                <c:pt idx="51">
                  <c:v>61.314115278940918</c:v>
                </c:pt>
                <c:pt idx="52">
                  <c:v>62.616645584865232</c:v>
                </c:pt>
                <c:pt idx="53">
                  <c:v>63.919175890789546</c:v>
                </c:pt>
                <c:pt idx="54">
                  <c:v>65.221706196713868</c:v>
                </c:pt>
                <c:pt idx="55">
                  <c:v>66.524236502638189</c:v>
                </c:pt>
                <c:pt idx="56">
                  <c:v>67.82676680856251</c:v>
                </c:pt>
                <c:pt idx="57">
                  <c:v>69.129297114486832</c:v>
                </c:pt>
                <c:pt idx="58">
                  <c:v>70.431827420411153</c:v>
                </c:pt>
                <c:pt idx="59">
                  <c:v>71.734357726335475</c:v>
                </c:pt>
                <c:pt idx="60">
                  <c:v>73.036888032259768</c:v>
                </c:pt>
                <c:pt idx="61">
                  <c:v>73.171793751861571</c:v>
                </c:pt>
                <c:pt idx="62">
                  <c:v>73.306699471463375</c:v>
                </c:pt>
                <c:pt idx="63">
                  <c:v>73.441605191065179</c:v>
                </c:pt>
                <c:pt idx="64">
                  <c:v>73.576510910666983</c:v>
                </c:pt>
                <c:pt idx="65">
                  <c:v>73.711416630268786</c:v>
                </c:pt>
                <c:pt idx="66">
                  <c:v>73.84632234987059</c:v>
                </c:pt>
                <c:pt idx="67">
                  <c:v>73.981228069472394</c:v>
                </c:pt>
                <c:pt idx="68">
                  <c:v>74.116133789074198</c:v>
                </c:pt>
                <c:pt idx="69">
                  <c:v>74.251039508676001</c:v>
                </c:pt>
                <c:pt idx="70">
                  <c:v>74.385945228277805</c:v>
                </c:pt>
                <c:pt idx="71">
                  <c:v>74.520850947879609</c:v>
                </c:pt>
                <c:pt idx="72">
                  <c:v>74.655756667481342</c:v>
                </c:pt>
                <c:pt idx="73">
                  <c:v>72.661093343906771</c:v>
                </c:pt>
                <c:pt idx="74">
                  <c:v>70.6664300203322</c:v>
                </c:pt>
                <c:pt idx="75">
                  <c:v>68.671766696757629</c:v>
                </c:pt>
                <c:pt idx="76">
                  <c:v>66.677103373183058</c:v>
                </c:pt>
                <c:pt idx="77">
                  <c:v>64.682440049608488</c:v>
                </c:pt>
                <c:pt idx="78">
                  <c:v>62.687776726033924</c:v>
                </c:pt>
                <c:pt idx="79">
                  <c:v>60.69311340245936</c:v>
                </c:pt>
                <c:pt idx="80">
                  <c:v>58.698450078884797</c:v>
                </c:pt>
                <c:pt idx="81">
                  <c:v>56.703786755310233</c:v>
                </c:pt>
                <c:pt idx="82">
                  <c:v>54.709123431735669</c:v>
                </c:pt>
                <c:pt idx="83">
                  <c:v>52.714460108161106</c:v>
                </c:pt>
                <c:pt idx="84">
                  <c:v>50.719796784586578</c:v>
                </c:pt>
                <c:pt idx="85">
                  <c:v>53.734668632665972</c:v>
                </c:pt>
                <c:pt idx="86">
                  <c:v>56.749540480745367</c:v>
                </c:pt>
                <c:pt idx="87">
                  <c:v>59.764412328824761</c:v>
                </c:pt>
                <c:pt idx="88">
                  <c:v>62.779284176904156</c:v>
                </c:pt>
                <c:pt idx="89">
                  <c:v>65.79415602498355</c:v>
                </c:pt>
                <c:pt idx="90">
                  <c:v>68.809027873062945</c:v>
                </c:pt>
                <c:pt idx="91">
                  <c:v>71.82389972114234</c:v>
                </c:pt>
                <c:pt idx="92">
                  <c:v>74.838771569221734</c:v>
                </c:pt>
                <c:pt idx="93">
                  <c:v>77.853643417301129</c:v>
                </c:pt>
                <c:pt idx="94">
                  <c:v>80.868515265380523</c:v>
                </c:pt>
                <c:pt idx="95">
                  <c:v>83.883387113459918</c:v>
                </c:pt>
                <c:pt idx="96">
                  <c:v>86.898258961539284</c:v>
                </c:pt>
                <c:pt idx="97">
                  <c:v>88.41831018612514</c:v>
                </c:pt>
                <c:pt idx="98">
                  <c:v>89.938361410710996</c:v>
                </c:pt>
                <c:pt idx="99">
                  <c:v>91.458412635296852</c:v>
                </c:pt>
                <c:pt idx="100">
                  <c:v>92.978463859882709</c:v>
                </c:pt>
                <c:pt idx="101">
                  <c:v>94.498515084468565</c:v>
                </c:pt>
                <c:pt idx="102">
                  <c:v>96.018566309054421</c:v>
                </c:pt>
                <c:pt idx="103">
                  <c:v>97.538617533640277</c:v>
                </c:pt>
                <c:pt idx="104">
                  <c:v>99.058668758226133</c:v>
                </c:pt>
                <c:pt idx="105">
                  <c:v>100.57871998281199</c:v>
                </c:pt>
              </c:numCache>
            </c:numRef>
          </c:val>
          <c:smooth val="0"/>
          <c:extLst>
            <c:ext xmlns:c16="http://schemas.microsoft.com/office/drawing/2014/chart" uri="{C3380CC4-5D6E-409C-BE32-E72D297353CC}">
              <c16:uniqueId val="{00000002-2BBE-454A-A52A-C1FA5D49E0CC}"/>
            </c:ext>
          </c:extLst>
        </c:ser>
        <c:ser>
          <c:idx val="3"/>
          <c:order val="3"/>
          <c:tx>
            <c:strRef>
              <c:f>'PE band'!$N$3</c:f>
              <c:strCache>
                <c:ptCount val="1"/>
                <c:pt idx="0">
                  <c:v>10.0</c:v>
                </c:pt>
              </c:strCache>
            </c:strRef>
          </c:tx>
          <c:spPr>
            <a:ln w="28575" cap="rnd">
              <a:solidFill>
                <a:schemeClr val="accent5">
                  <a:tint val="90000"/>
                </a:schemeClr>
              </a:solidFill>
              <a:round/>
            </a:ln>
            <a:effectLst/>
          </c:spPr>
          <c:marker>
            <c:symbol val="none"/>
          </c:marker>
          <c:cat>
            <c:numRef>
              <c:f>'PE band'!$J$45:$J$150</c:f>
              <c:numCache>
                <c:formatCode>mmm\-yy</c:formatCode>
                <c:ptCount val="106"/>
                <c:pt idx="0">
                  <c:v>40633</c:v>
                </c:pt>
                <c:pt idx="1">
                  <c:v>40662</c:v>
                </c:pt>
                <c:pt idx="2">
                  <c:v>40694</c:v>
                </c:pt>
                <c:pt idx="3">
                  <c:v>40724</c:v>
                </c:pt>
                <c:pt idx="4">
                  <c:v>40753</c:v>
                </c:pt>
                <c:pt idx="5">
                  <c:v>40785</c:v>
                </c:pt>
                <c:pt idx="6">
                  <c:v>40816</c:v>
                </c:pt>
                <c:pt idx="7">
                  <c:v>40847</c:v>
                </c:pt>
                <c:pt idx="8">
                  <c:v>40877</c:v>
                </c:pt>
                <c:pt idx="9">
                  <c:v>40907</c:v>
                </c:pt>
                <c:pt idx="10">
                  <c:v>40939</c:v>
                </c:pt>
                <c:pt idx="11">
                  <c:v>40967</c:v>
                </c:pt>
                <c:pt idx="12">
                  <c:v>40998</c:v>
                </c:pt>
                <c:pt idx="13">
                  <c:v>41029</c:v>
                </c:pt>
                <c:pt idx="14">
                  <c:v>41060</c:v>
                </c:pt>
                <c:pt idx="15">
                  <c:v>41089</c:v>
                </c:pt>
                <c:pt idx="16">
                  <c:v>41121</c:v>
                </c:pt>
                <c:pt idx="17">
                  <c:v>41151</c:v>
                </c:pt>
                <c:pt idx="18">
                  <c:v>41180</c:v>
                </c:pt>
                <c:pt idx="19">
                  <c:v>41213</c:v>
                </c:pt>
                <c:pt idx="20">
                  <c:v>41243</c:v>
                </c:pt>
                <c:pt idx="21">
                  <c:v>41274</c:v>
                </c:pt>
                <c:pt idx="22">
                  <c:v>41305</c:v>
                </c:pt>
                <c:pt idx="23">
                  <c:v>41333</c:v>
                </c:pt>
                <c:pt idx="24">
                  <c:v>41361</c:v>
                </c:pt>
                <c:pt idx="25">
                  <c:v>41394</c:v>
                </c:pt>
                <c:pt idx="26">
                  <c:v>41425</c:v>
                </c:pt>
                <c:pt idx="27">
                  <c:v>41453</c:v>
                </c:pt>
                <c:pt idx="28">
                  <c:v>41486</c:v>
                </c:pt>
                <c:pt idx="29">
                  <c:v>41516</c:v>
                </c:pt>
                <c:pt idx="30">
                  <c:v>41547</c:v>
                </c:pt>
                <c:pt idx="31">
                  <c:v>41578</c:v>
                </c:pt>
                <c:pt idx="32">
                  <c:v>41607</c:v>
                </c:pt>
                <c:pt idx="33">
                  <c:v>41639</c:v>
                </c:pt>
                <c:pt idx="34">
                  <c:v>41670</c:v>
                </c:pt>
                <c:pt idx="35">
                  <c:v>41698</c:v>
                </c:pt>
                <c:pt idx="36">
                  <c:v>41729</c:v>
                </c:pt>
                <c:pt idx="37">
                  <c:v>41759</c:v>
                </c:pt>
                <c:pt idx="38">
                  <c:v>41789</c:v>
                </c:pt>
                <c:pt idx="39">
                  <c:v>41820</c:v>
                </c:pt>
                <c:pt idx="40">
                  <c:v>41851</c:v>
                </c:pt>
                <c:pt idx="41">
                  <c:v>41880</c:v>
                </c:pt>
                <c:pt idx="42">
                  <c:v>41912</c:v>
                </c:pt>
                <c:pt idx="43">
                  <c:v>41943</c:v>
                </c:pt>
                <c:pt idx="44">
                  <c:v>41971</c:v>
                </c:pt>
                <c:pt idx="45">
                  <c:v>42004</c:v>
                </c:pt>
                <c:pt idx="46">
                  <c:v>42034</c:v>
                </c:pt>
                <c:pt idx="47">
                  <c:v>42062</c:v>
                </c:pt>
                <c:pt idx="48">
                  <c:v>42094</c:v>
                </c:pt>
                <c:pt idx="49">
                  <c:v>42124</c:v>
                </c:pt>
                <c:pt idx="50">
                  <c:v>42153</c:v>
                </c:pt>
                <c:pt idx="51">
                  <c:v>42185</c:v>
                </c:pt>
                <c:pt idx="52">
                  <c:v>42215</c:v>
                </c:pt>
                <c:pt idx="53">
                  <c:v>42247</c:v>
                </c:pt>
                <c:pt idx="54">
                  <c:v>42277</c:v>
                </c:pt>
                <c:pt idx="55">
                  <c:v>42307</c:v>
                </c:pt>
                <c:pt idx="56">
                  <c:v>42338</c:v>
                </c:pt>
                <c:pt idx="57">
                  <c:v>42369</c:v>
                </c:pt>
                <c:pt idx="58">
                  <c:v>42398</c:v>
                </c:pt>
                <c:pt idx="59">
                  <c:v>42429</c:v>
                </c:pt>
                <c:pt idx="60">
                  <c:v>42460</c:v>
                </c:pt>
                <c:pt idx="61">
                  <c:v>42489</c:v>
                </c:pt>
                <c:pt idx="62">
                  <c:v>42521</c:v>
                </c:pt>
                <c:pt idx="63">
                  <c:v>42549</c:v>
                </c:pt>
                <c:pt idx="64">
                  <c:v>42582</c:v>
                </c:pt>
                <c:pt idx="65">
                  <c:v>42612</c:v>
                </c:pt>
                <c:pt idx="66">
                  <c:v>42643</c:v>
                </c:pt>
                <c:pt idx="67">
                  <c:v>42674</c:v>
                </c:pt>
                <c:pt idx="68">
                  <c:v>42704</c:v>
                </c:pt>
                <c:pt idx="69">
                  <c:v>42734</c:v>
                </c:pt>
                <c:pt idx="70">
                  <c:v>42766</c:v>
                </c:pt>
                <c:pt idx="71">
                  <c:v>42789</c:v>
                </c:pt>
                <c:pt idx="72">
                  <c:v>42822</c:v>
                </c:pt>
                <c:pt idx="73">
                  <c:v>42853</c:v>
                </c:pt>
                <c:pt idx="74">
                  <c:v>42886</c:v>
                </c:pt>
                <c:pt idx="75">
                  <c:v>42916</c:v>
                </c:pt>
                <c:pt idx="76">
                  <c:v>42947</c:v>
                </c:pt>
                <c:pt idx="77">
                  <c:v>42978</c:v>
                </c:pt>
                <c:pt idx="78">
                  <c:v>43007</c:v>
                </c:pt>
                <c:pt idx="79">
                  <c:v>43039</c:v>
                </c:pt>
                <c:pt idx="80">
                  <c:v>43069</c:v>
                </c:pt>
                <c:pt idx="81">
                  <c:v>43075</c:v>
                </c:pt>
                <c:pt idx="82">
                  <c:v>43131</c:v>
                </c:pt>
                <c:pt idx="83">
                  <c:v>43159</c:v>
                </c:pt>
                <c:pt idx="84">
                  <c:v>43190</c:v>
                </c:pt>
                <c:pt idx="85">
                  <c:v>43220</c:v>
                </c:pt>
                <c:pt idx="86">
                  <c:v>43251</c:v>
                </c:pt>
                <c:pt idx="87">
                  <c:v>43281</c:v>
                </c:pt>
                <c:pt idx="88">
                  <c:v>43312</c:v>
                </c:pt>
                <c:pt idx="89">
                  <c:v>43343</c:v>
                </c:pt>
                <c:pt idx="90">
                  <c:v>43373</c:v>
                </c:pt>
                <c:pt idx="91">
                  <c:v>43404</c:v>
                </c:pt>
                <c:pt idx="92">
                  <c:v>43434</c:v>
                </c:pt>
                <c:pt idx="93">
                  <c:v>43465</c:v>
                </c:pt>
                <c:pt idx="94">
                  <c:v>43496</c:v>
                </c:pt>
                <c:pt idx="95">
                  <c:v>43524</c:v>
                </c:pt>
                <c:pt idx="96">
                  <c:v>43555</c:v>
                </c:pt>
                <c:pt idx="97">
                  <c:v>43585</c:v>
                </c:pt>
                <c:pt idx="98">
                  <c:v>43616</c:v>
                </c:pt>
                <c:pt idx="99">
                  <c:v>43646</c:v>
                </c:pt>
                <c:pt idx="100">
                  <c:v>43677</c:v>
                </c:pt>
                <c:pt idx="101">
                  <c:v>43708</c:v>
                </c:pt>
                <c:pt idx="102">
                  <c:v>43738</c:v>
                </c:pt>
                <c:pt idx="103">
                  <c:v>43769</c:v>
                </c:pt>
                <c:pt idx="104">
                  <c:v>43799</c:v>
                </c:pt>
                <c:pt idx="105">
                  <c:v>43830</c:v>
                </c:pt>
              </c:numCache>
            </c:numRef>
          </c:cat>
          <c:val>
            <c:numRef>
              <c:f>'PE band'!$N$45:$N$150</c:f>
              <c:numCache>
                <c:formatCode>_(* #,##0.00_);_(* \(#,##0.00\);_(* "-"??_);_(@_)</c:formatCode>
                <c:ptCount val="106"/>
                <c:pt idx="0">
                  <c:v>19.413303957946759</c:v>
                </c:pt>
                <c:pt idx="1">
                  <c:v>21.199830502428028</c:v>
                </c:pt>
                <c:pt idx="2">
                  <c:v>22.986357046909298</c:v>
                </c:pt>
                <c:pt idx="3">
                  <c:v>24.772883591390563</c:v>
                </c:pt>
                <c:pt idx="4">
                  <c:v>26.559410135871833</c:v>
                </c:pt>
                <c:pt idx="5">
                  <c:v>28.345936680353102</c:v>
                </c:pt>
                <c:pt idx="6">
                  <c:v>30.132463224834368</c:v>
                </c:pt>
                <c:pt idx="7">
                  <c:v>31.918989769315637</c:v>
                </c:pt>
                <c:pt idx="8">
                  <c:v>33.705516313796906</c:v>
                </c:pt>
                <c:pt idx="9">
                  <c:v>35.492042858278175</c:v>
                </c:pt>
                <c:pt idx="10">
                  <c:v>37.278569402759445</c:v>
                </c:pt>
                <c:pt idx="11">
                  <c:v>39.065095947240714</c:v>
                </c:pt>
                <c:pt idx="12">
                  <c:v>40.851622491721969</c:v>
                </c:pt>
                <c:pt idx="13">
                  <c:v>41.16672213996533</c:v>
                </c:pt>
                <c:pt idx="14">
                  <c:v>41.481821788208684</c:v>
                </c:pt>
                <c:pt idx="15">
                  <c:v>41.796921436452045</c:v>
                </c:pt>
                <c:pt idx="16">
                  <c:v>42.1120210846954</c:v>
                </c:pt>
                <c:pt idx="17">
                  <c:v>42.427120732938761</c:v>
                </c:pt>
                <c:pt idx="18">
                  <c:v>42.742220381182115</c:v>
                </c:pt>
                <c:pt idx="19">
                  <c:v>43.057320029425476</c:v>
                </c:pt>
                <c:pt idx="20">
                  <c:v>43.37241967766883</c:v>
                </c:pt>
                <c:pt idx="21">
                  <c:v>43.687519325912191</c:v>
                </c:pt>
                <c:pt idx="22">
                  <c:v>44.002618974155546</c:v>
                </c:pt>
                <c:pt idx="23">
                  <c:v>44.317718622398907</c:v>
                </c:pt>
                <c:pt idx="24">
                  <c:v>44.632818270642247</c:v>
                </c:pt>
                <c:pt idx="25">
                  <c:v>43.984796733422726</c:v>
                </c:pt>
                <c:pt idx="26">
                  <c:v>43.336775196203206</c:v>
                </c:pt>
                <c:pt idx="27">
                  <c:v>42.688753658983686</c:v>
                </c:pt>
                <c:pt idx="28">
                  <c:v>42.040732121764172</c:v>
                </c:pt>
                <c:pt idx="29">
                  <c:v>41.392710584544652</c:v>
                </c:pt>
                <c:pt idx="30">
                  <c:v>40.744689047325132</c:v>
                </c:pt>
                <c:pt idx="31">
                  <c:v>40.096667510105618</c:v>
                </c:pt>
                <c:pt idx="32">
                  <c:v>39.448645972886091</c:v>
                </c:pt>
                <c:pt idx="33">
                  <c:v>38.80062443566657</c:v>
                </c:pt>
                <c:pt idx="34">
                  <c:v>38.152602898447043</c:v>
                </c:pt>
                <c:pt idx="35">
                  <c:v>37.504581361227523</c:v>
                </c:pt>
                <c:pt idx="36">
                  <c:v>36.856559824007988</c:v>
                </c:pt>
                <c:pt idx="37">
                  <c:v>39.765026126295652</c:v>
                </c:pt>
                <c:pt idx="38">
                  <c:v>42.673492428583316</c:v>
                </c:pt>
                <c:pt idx="39">
                  <c:v>45.58195873087098</c:v>
                </c:pt>
                <c:pt idx="40">
                  <c:v>48.490425033158644</c:v>
                </c:pt>
                <c:pt idx="41">
                  <c:v>51.398891335446308</c:v>
                </c:pt>
                <c:pt idx="42">
                  <c:v>54.307357637733972</c:v>
                </c:pt>
                <c:pt idx="43">
                  <c:v>57.215823940021629</c:v>
                </c:pt>
                <c:pt idx="44">
                  <c:v>60.124290242309293</c:v>
                </c:pt>
                <c:pt idx="45">
                  <c:v>63.032756544596957</c:v>
                </c:pt>
                <c:pt idx="46">
                  <c:v>65.941222846884614</c:v>
                </c:pt>
                <c:pt idx="47">
                  <c:v>68.849689149172278</c:v>
                </c:pt>
                <c:pt idx="48">
                  <c:v>71.75815545145997</c:v>
                </c:pt>
                <c:pt idx="49">
                  <c:v>73.386318333865361</c:v>
                </c:pt>
                <c:pt idx="50">
                  <c:v>75.014481216270752</c:v>
                </c:pt>
                <c:pt idx="51">
                  <c:v>76.642644098676143</c:v>
                </c:pt>
                <c:pt idx="52">
                  <c:v>78.270806981081535</c:v>
                </c:pt>
                <c:pt idx="53">
                  <c:v>79.89896986348694</c:v>
                </c:pt>
                <c:pt idx="54">
                  <c:v>81.527132745892331</c:v>
                </c:pt>
                <c:pt idx="55">
                  <c:v>83.155295628297736</c:v>
                </c:pt>
                <c:pt idx="56">
                  <c:v>84.783458510703142</c:v>
                </c:pt>
                <c:pt idx="57">
                  <c:v>86.411621393108533</c:v>
                </c:pt>
                <c:pt idx="58">
                  <c:v>88.039784275513938</c:v>
                </c:pt>
                <c:pt idx="59">
                  <c:v>89.667947157919343</c:v>
                </c:pt>
                <c:pt idx="60">
                  <c:v>91.296110040324706</c:v>
                </c:pt>
                <c:pt idx="61">
                  <c:v>91.464742189826964</c:v>
                </c:pt>
                <c:pt idx="62">
                  <c:v>91.633374339329222</c:v>
                </c:pt>
                <c:pt idx="63">
                  <c:v>91.802006488831466</c:v>
                </c:pt>
                <c:pt idx="64">
                  <c:v>91.970638638333725</c:v>
                </c:pt>
                <c:pt idx="65">
                  <c:v>92.139270787835983</c:v>
                </c:pt>
                <c:pt idx="66">
                  <c:v>92.307902937338241</c:v>
                </c:pt>
                <c:pt idx="67">
                  <c:v>92.476535086840499</c:v>
                </c:pt>
                <c:pt idx="68">
                  <c:v>92.645167236342743</c:v>
                </c:pt>
                <c:pt idx="69">
                  <c:v>92.813799385845002</c:v>
                </c:pt>
                <c:pt idx="70">
                  <c:v>92.98243153534726</c:v>
                </c:pt>
                <c:pt idx="71">
                  <c:v>93.151063684849504</c:v>
                </c:pt>
                <c:pt idx="72">
                  <c:v>93.319695834351677</c:v>
                </c:pt>
                <c:pt idx="73">
                  <c:v>90.826366679883463</c:v>
                </c:pt>
                <c:pt idx="74">
                  <c:v>88.33303752541525</c:v>
                </c:pt>
                <c:pt idx="75">
                  <c:v>85.839708370947037</c:v>
                </c:pt>
                <c:pt idx="76">
                  <c:v>83.346379216478823</c:v>
                </c:pt>
                <c:pt idx="77">
                  <c:v>80.85305006201061</c:v>
                </c:pt>
                <c:pt idx="78">
                  <c:v>78.35972090754241</c:v>
                </c:pt>
                <c:pt idx="79">
                  <c:v>75.866391753074197</c:v>
                </c:pt>
                <c:pt idx="80">
                  <c:v>73.373062598605998</c:v>
                </c:pt>
                <c:pt idx="81">
                  <c:v>70.879733444137798</c:v>
                </c:pt>
                <c:pt idx="82">
                  <c:v>68.386404289669585</c:v>
                </c:pt>
                <c:pt idx="83">
                  <c:v>65.893075135201386</c:v>
                </c:pt>
                <c:pt idx="84">
                  <c:v>63.399745980733222</c:v>
                </c:pt>
                <c:pt idx="85">
                  <c:v>67.168335790832458</c:v>
                </c:pt>
                <c:pt idx="86">
                  <c:v>70.936925600931716</c:v>
                </c:pt>
                <c:pt idx="87">
                  <c:v>74.705515411030945</c:v>
                </c:pt>
                <c:pt idx="88">
                  <c:v>78.474105221130202</c:v>
                </c:pt>
                <c:pt idx="89">
                  <c:v>82.242695031229431</c:v>
                </c:pt>
                <c:pt idx="90">
                  <c:v>86.011284841328688</c:v>
                </c:pt>
                <c:pt idx="91">
                  <c:v>89.779874651427917</c:v>
                </c:pt>
                <c:pt idx="92">
                  <c:v>93.548464461527175</c:v>
                </c:pt>
                <c:pt idx="93">
                  <c:v>97.317054271626404</c:v>
                </c:pt>
                <c:pt idx="94">
                  <c:v>101.08564408172566</c:v>
                </c:pt>
                <c:pt idx="95">
                  <c:v>104.85423389182489</c:v>
                </c:pt>
                <c:pt idx="96">
                  <c:v>108.6228237019241</c:v>
                </c:pt>
                <c:pt idx="97">
                  <c:v>110.52288773265643</c:v>
                </c:pt>
                <c:pt idx="98">
                  <c:v>112.42295176338874</c:v>
                </c:pt>
                <c:pt idx="99">
                  <c:v>114.32301579412106</c:v>
                </c:pt>
                <c:pt idx="100">
                  <c:v>116.22307982485339</c:v>
                </c:pt>
                <c:pt idx="101">
                  <c:v>118.12314385558571</c:v>
                </c:pt>
                <c:pt idx="102">
                  <c:v>120.02320788631803</c:v>
                </c:pt>
                <c:pt idx="103">
                  <c:v>121.92327191705034</c:v>
                </c:pt>
                <c:pt idx="104">
                  <c:v>123.82333594778267</c:v>
                </c:pt>
                <c:pt idx="105">
                  <c:v>125.72339997851499</c:v>
                </c:pt>
              </c:numCache>
            </c:numRef>
          </c:val>
          <c:smooth val="0"/>
          <c:extLst>
            <c:ext xmlns:c16="http://schemas.microsoft.com/office/drawing/2014/chart" uri="{C3380CC4-5D6E-409C-BE32-E72D297353CC}">
              <c16:uniqueId val="{00000003-2BBE-454A-A52A-C1FA5D49E0CC}"/>
            </c:ext>
          </c:extLst>
        </c:ser>
        <c:ser>
          <c:idx val="4"/>
          <c:order val="4"/>
          <c:tx>
            <c:strRef>
              <c:f>'PE band'!$O$3</c:f>
              <c:strCache>
                <c:ptCount val="1"/>
                <c:pt idx="0">
                  <c:v>12.0</c:v>
                </c:pt>
              </c:strCache>
            </c:strRef>
          </c:tx>
          <c:spPr>
            <a:ln w="28575" cap="rnd">
              <a:solidFill>
                <a:schemeClr val="accent5">
                  <a:tint val="70000"/>
                </a:schemeClr>
              </a:solidFill>
              <a:round/>
            </a:ln>
            <a:effectLst/>
          </c:spPr>
          <c:marker>
            <c:symbol val="none"/>
          </c:marker>
          <c:cat>
            <c:numRef>
              <c:f>'PE band'!$J$45:$J$150</c:f>
              <c:numCache>
                <c:formatCode>mmm\-yy</c:formatCode>
                <c:ptCount val="106"/>
                <c:pt idx="0">
                  <c:v>40633</c:v>
                </c:pt>
                <c:pt idx="1">
                  <c:v>40662</c:v>
                </c:pt>
                <c:pt idx="2">
                  <c:v>40694</c:v>
                </c:pt>
                <c:pt idx="3">
                  <c:v>40724</c:v>
                </c:pt>
                <c:pt idx="4">
                  <c:v>40753</c:v>
                </c:pt>
                <c:pt idx="5">
                  <c:v>40785</c:v>
                </c:pt>
                <c:pt idx="6">
                  <c:v>40816</c:v>
                </c:pt>
                <c:pt idx="7">
                  <c:v>40847</c:v>
                </c:pt>
                <c:pt idx="8">
                  <c:v>40877</c:v>
                </c:pt>
                <c:pt idx="9">
                  <c:v>40907</c:v>
                </c:pt>
                <c:pt idx="10">
                  <c:v>40939</c:v>
                </c:pt>
                <c:pt idx="11">
                  <c:v>40967</c:v>
                </c:pt>
                <c:pt idx="12">
                  <c:v>40998</c:v>
                </c:pt>
                <c:pt idx="13">
                  <c:v>41029</c:v>
                </c:pt>
                <c:pt idx="14">
                  <c:v>41060</c:v>
                </c:pt>
                <c:pt idx="15">
                  <c:v>41089</c:v>
                </c:pt>
                <c:pt idx="16">
                  <c:v>41121</c:v>
                </c:pt>
                <c:pt idx="17">
                  <c:v>41151</c:v>
                </c:pt>
                <c:pt idx="18">
                  <c:v>41180</c:v>
                </c:pt>
                <c:pt idx="19">
                  <c:v>41213</c:v>
                </c:pt>
                <c:pt idx="20">
                  <c:v>41243</c:v>
                </c:pt>
                <c:pt idx="21">
                  <c:v>41274</c:v>
                </c:pt>
                <c:pt idx="22">
                  <c:v>41305</c:v>
                </c:pt>
                <c:pt idx="23">
                  <c:v>41333</c:v>
                </c:pt>
                <c:pt idx="24">
                  <c:v>41361</c:v>
                </c:pt>
                <c:pt idx="25">
                  <c:v>41394</c:v>
                </c:pt>
                <c:pt idx="26">
                  <c:v>41425</c:v>
                </c:pt>
                <c:pt idx="27">
                  <c:v>41453</c:v>
                </c:pt>
                <c:pt idx="28">
                  <c:v>41486</c:v>
                </c:pt>
                <c:pt idx="29">
                  <c:v>41516</c:v>
                </c:pt>
                <c:pt idx="30">
                  <c:v>41547</c:v>
                </c:pt>
                <c:pt idx="31">
                  <c:v>41578</c:v>
                </c:pt>
                <c:pt idx="32">
                  <c:v>41607</c:v>
                </c:pt>
                <c:pt idx="33">
                  <c:v>41639</c:v>
                </c:pt>
                <c:pt idx="34">
                  <c:v>41670</c:v>
                </c:pt>
                <c:pt idx="35">
                  <c:v>41698</c:v>
                </c:pt>
                <c:pt idx="36">
                  <c:v>41729</c:v>
                </c:pt>
                <c:pt idx="37">
                  <c:v>41759</c:v>
                </c:pt>
                <c:pt idx="38">
                  <c:v>41789</c:v>
                </c:pt>
                <c:pt idx="39">
                  <c:v>41820</c:v>
                </c:pt>
                <c:pt idx="40">
                  <c:v>41851</c:v>
                </c:pt>
                <c:pt idx="41">
                  <c:v>41880</c:v>
                </c:pt>
                <c:pt idx="42">
                  <c:v>41912</c:v>
                </c:pt>
                <c:pt idx="43">
                  <c:v>41943</c:v>
                </c:pt>
                <c:pt idx="44">
                  <c:v>41971</c:v>
                </c:pt>
                <c:pt idx="45">
                  <c:v>42004</c:v>
                </c:pt>
                <c:pt idx="46">
                  <c:v>42034</c:v>
                </c:pt>
                <c:pt idx="47">
                  <c:v>42062</c:v>
                </c:pt>
                <c:pt idx="48">
                  <c:v>42094</c:v>
                </c:pt>
                <c:pt idx="49">
                  <c:v>42124</c:v>
                </c:pt>
                <c:pt idx="50">
                  <c:v>42153</c:v>
                </c:pt>
                <c:pt idx="51">
                  <c:v>42185</c:v>
                </c:pt>
                <c:pt idx="52">
                  <c:v>42215</c:v>
                </c:pt>
                <c:pt idx="53">
                  <c:v>42247</c:v>
                </c:pt>
                <c:pt idx="54">
                  <c:v>42277</c:v>
                </c:pt>
                <c:pt idx="55">
                  <c:v>42307</c:v>
                </c:pt>
                <c:pt idx="56">
                  <c:v>42338</c:v>
                </c:pt>
                <c:pt idx="57">
                  <c:v>42369</c:v>
                </c:pt>
                <c:pt idx="58">
                  <c:v>42398</c:v>
                </c:pt>
                <c:pt idx="59">
                  <c:v>42429</c:v>
                </c:pt>
                <c:pt idx="60">
                  <c:v>42460</c:v>
                </c:pt>
                <c:pt idx="61">
                  <c:v>42489</c:v>
                </c:pt>
                <c:pt idx="62">
                  <c:v>42521</c:v>
                </c:pt>
                <c:pt idx="63">
                  <c:v>42549</c:v>
                </c:pt>
                <c:pt idx="64">
                  <c:v>42582</c:v>
                </c:pt>
                <c:pt idx="65">
                  <c:v>42612</c:v>
                </c:pt>
                <c:pt idx="66">
                  <c:v>42643</c:v>
                </c:pt>
                <c:pt idx="67">
                  <c:v>42674</c:v>
                </c:pt>
                <c:pt idx="68">
                  <c:v>42704</c:v>
                </c:pt>
                <c:pt idx="69">
                  <c:v>42734</c:v>
                </c:pt>
                <c:pt idx="70">
                  <c:v>42766</c:v>
                </c:pt>
                <c:pt idx="71">
                  <c:v>42789</c:v>
                </c:pt>
                <c:pt idx="72">
                  <c:v>42822</c:v>
                </c:pt>
                <c:pt idx="73">
                  <c:v>42853</c:v>
                </c:pt>
                <c:pt idx="74">
                  <c:v>42886</c:v>
                </c:pt>
                <c:pt idx="75">
                  <c:v>42916</c:v>
                </c:pt>
                <c:pt idx="76">
                  <c:v>42947</c:v>
                </c:pt>
                <c:pt idx="77">
                  <c:v>42978</c:v>
                </c:pt>
                <c:pt idx="78">
                  <c:v>43007</c:v>
                </c:pt>
                <c:pt idx="79">
                  <c:v>43039</c:v>
                </c:pt>
                <c:pt idx="80">
                  <c:v>43069</c:v>
                </c:pt>
                <c:pt idx="81">
                  <c:v>43075</c:v>
                </c:pt>
                <c:pt idx="82">
                  <c:v>43131</c:v>
                </c:pt>
                <c:pt idx="83">
                  <c:v>43159</c:v>
                </c:pt>
                <c:pt idx="84">
                  <c:v>43190</c:v>
                </c:pt>
                <c:pt idx="85">
                  <c:v>43220</c:v>
                </c:pt>
                <c:pt idx="86">
                  <c:v>43251</c:v>
                </c:pt>
                <c:pt idx="87">
                  <c:v>43281</c:v>
                </c:pt>
                <c:pt idx="88">
                  <c:v>43312</c:v>
                </c:pt>
                <c:pt idx="89">
                  <c:v>43343</c:v>
                </c:pt>
                <c:pt idx="90">
                  <c:v>43373</c:v>
                </c:pt>
                <c:pt idx="91">
                  <c:v>43404</c:v>
                </c:pt>
                <c:pt idx="92">
                  <c:v>43434</c:v>
                </c:pt>
                <c:pt idx="93">
                  <c:v>43465</c:v>
                </c:pt>
                <c:pt idx="94">
                  <c:v>43496</c:v>
                </c:pt>
                <c:pt idx="95">
                  <c:v>43524</c:v>
                </c:pt>
                <c:pt idx="96">
                  <c:v>43555</c:v>
                </c:pt>
                <c:pt idx="97">
                  <c:v>43585</c:v>
                </c:pt>
                <c:pt idx="98">
                  <c:v>43616</c:v>
                </c:pt>
                <c:pt idx="99">
                  <c:v>43646</c:v>
                </c:pt>
                <c:pt idx="100">
                  <c:v>43677</c:v>
                </c:pt>
                <c:pt idx="101">
                  <c:v>43708</c:v>
                </c:pt>
                <c:pt idx="102">
                  <c:v>43738</c:v>
                </c:pt>
                <c:pt idx="103">
                  <c:v>43769</c:v>
                </c:pt>
                <c:pt idx="104">
                  <c:v>43799</c:v>
                </c:pt>
                <c:pt idx="105">
                  <c:v>43830</c:v>
                </c:pt>
              </c:numCache>
            </c:numRef>
          </c:cat>
          <c:val>
            <c:numRef>
              <c:f>'PE band'!$O$45:$O$150</c:f>
              <c:numCache>
                <c:formatCode>_(* #,##0.00_);_(* \(#,##0.00\);_(* "-"??_);_(@_)</c:formatCode>
                <c:ptCount val="106"/>
                <c:pt idx="0">
                  <c:v>23.295964749536111</c:v>
                </c:pt>
                <c:pt idx="1">
                  <c:v>25.439796602913631</c:v>
                </c:pt>
                <c:pt idx="2">
                  <c:v>27.583628456291155</c:v>
                </c:pt>
                <c:pt idx="3">
                  <c:v>29.727460309668679</c:v>
                </c:pt>
                <c:pt idx="4">
                  <c:v>31.871292163046199</c:v>
                </c:pt>
                <c:pt idx="5">
                  <c:v>34.015124016423719</c:v>
                </c:pt>
                <c:pt idx="6">
                  <c:v>36.158955869801247</c:v>
                </c:pt>
                <c:pt idx="7">
                  <c:v>38.302787723178767</c:v>
                </c:pt>
                <c:pt idx="8">
                  <c:v>40.446619576556287</c:v>
                </c:pt>
                <c:pt idx="9">
                  <c:v>42.590451429933808</c:v>
                </c:pt>
                <c:pt idx="10">
                  <c:v>44.734283283311328</c:v>
                </c:pt>
                <c:pt idx="11">
                  <c:v>46.878115136688855</c:v>
                </c:pt>
                <c:pt idx="12">
                  <c:v>49.021946990066368</c:v>
                </c:pt>
                <c:pt idx="13">
                  <c:v>49.40006656795839</c:v>
                </c:pt>
                <c:pt idx="14">
                  <c:v>49.778186145850427</c:v>
                </c:pt>
                <c:pt idx="15">
                  <c:v>50.156305723742449</c:v>
                </c:pt>
                <c:pt idx="16">
                  <c:v>50.534425301634485</c:v>
                </c:pt>
                <c:pt idx="17">
                  <c:v>50.912544879526507</c:v>
                </c:pt>
                <c:pt idx="18">
                  <c:v>51.290664457418544</c:v>
                </c:pt>
                <c:pt idx="19">
                  <c:v>51.668784035310566</c:v>
                </c:pt>
                <c:pt idx="20">
                  <c:v>52.046903613202602</c:v>
                </c:pt>
                <c:pt idx="21">
                  <c:v>52.425023191094624</c:v>
                </c:pt>
                <c:pt idx="22">
                  <c:v>52.80314276898666</c:v>
                </c:pt>
                <c:pt idx="23">
                  <c:v>53.181262346878682</c:v>
                </c:pt>
                <c:pt idx="24">
                  <c:v>53.55938192477069</c:v>
                </c:pt>
                <c:pt idx="25">
                  <c:v>52.781756080107272</c:v>
                </c:pt>
                <c:pt idx="26">
                  <c:v>52.004130235443853</c:v>
                </c:pt>
                <c:pt idx="27">
                  <c:v>51.226504390780427</c:v>
                </c:pt>
                <c:pt idx="28">
                  <c:v>50.448878546117001</c:v>
                </c:pt>
                <c:pt idx="29">
                  <c:v>49.671252701453582</c:v>
                </c:pt>
                <c:pt idx="30">
                  <c:v>48.893626856790164</c:v>
                </c:pt>
                <c:pt idx="31">
                  <c:v>48.116001012126738</c:v>
                </c:pt>
                <c:pt idx="32">
                  <c:v>47.338375167463312</c:v>
                </c:pt>
                <c:pt idx="33">
                  <c:v>46.560749322799879</c:v>
                </c:pt>
                <c:pt idx="34">
                  <c:v>45.783123478136453</c:v>
                </c:pt>
                <c:pt idx="35">
                  <c:v>45.005497633473027</c:v>
                </c:pt>
                <c:pt idx="36">
                  <c:v>44.22787178880958</c:v>
                </c:pt>
                <c:pt idx="37">
                  <c:v>47.718031351554785</c:v>
                </c:pt>
                <c:pt idx="38">
                  <c:v>51.208190914299983</c:v>
                </c:pt>
                <c:pt idx="39">
                  <c:v>54.698350477045182</c:v>
                </c:pt>
                <c:pt idx="40">
                  <c:v>58.188510039790373</c:v>
                </c:pt>
                <c:pt idx="41">
                  <c:v>61.678669602535564</c:v>
                </c:pt>
                <c:pt idx="42">
                  <c:v>65.168829165280755</c:v>
                </c:pt>
                <c:pt idx="43">
                  <c:v>68.65898872802596</c:v>
                </c:pt>
                <c:pt idx="44">
                  <c:v>72.149148290771151</c:v>
                </c:pt>
                <c:pt idx="45">
                  <c:v>75.639307853516343</c:v>
                </c:pt>
                <c:pt idx="46">
                  <c:v>79.129467416261548</c:v>
                </c:pt>
                <c:pt idx="47">
                  <c:v>82.619626979006739</c:v>
                </c:pt>
                <c:pt idx="48">
                  <c:v>86.109786541751959</c:v>
                </c:pt>
                <c:pt idx="49">
                  <c:v>88.063582000638434</c:v>
                </c:pt>
                <c:pt idx="50">
                  <c:v>90.017377459524909</c:v>
                </c:pt>
                <c:pt idx="51">
                  <c:v>91.971172918411384</c:v>
                </c:pt>
                <c:pt idx="52">
                  <c:v>93.924968377297844</c:v>
                </c:pt>
                <c:pt idx="53">
                  <c:v>95.878763836184319</c:v>
                </c:pt>
                <c:pt idx="54">
                  <c:v>97.832559295070809</c:v>
                </c:pt>
                <c:pt idx="55">
                  <c:v>99.786354753957283</c:v>
                </c:pt>
                <c:pt idx="56">
                  <c:v>101.74015021284376</c:v>
                </c:pt>
                <c:pt idx="57">
                  <c:v>103.69394567173025</c:v>
                </c:pt>
                <c:pt idx="58">
                  <c:v>105.64774113061674</c:v>
                </c:pt>
                <c:pt idx="59">
                  <c:v>107.60153658950321</c:v>
                </c:pt>
                <c:pt idx="60">
                  <c:v>109.55533204838966</c:v>
                </c:pt>
                <c:pt idx="61">
                  <c:v>109.75769062779236</c:v>
                </c:pt>
                <c:pt idx="62">
                  <c:v>109.96004920719506</c:v>
                </c:pt>
                <c:pt idx="63">
                  <c:v>110.16240778659777</c:v>
                </c:pt>
                <c:pt idx="64">
                  <c:v>110.36476636600048</c:v>
                </c:pt>
                <c:pt idx="65">
                  <c:v>110.56712494540318</c:v>
                </c:pt>
                <c:pt idx="66">
                  <c:v>110.76948352480588</c:v>
                </c:pt>
                <c:pt idx="67">
                  <c:v>110.97184210420859</c:v>
                </c:pt>
                <c:pt idx="68">
                  <c:v>111.1742006836113</c:v>
                </c:pt>
                <c:pt idx="69">
                  <c:v>111.376559263014</c:v>
                </c:pt>
                <c:pt idx="70">
                  <c:v>111.5789178424167</c:v>
                </c:pt>
                <c:pt idx="71">
                  <c:v>111.78127642181941</c:v>
                </c:pt>
                <c:pt idx="72">
                  <c:v>111.98363500122201</c:v>
                </c:pt>
                <c:pt idx="73">
                  <c:v>108.99164001586016</c:v>
                </c:pt>
                <c:pt idx="74">
                  <c:v>105.9996450304983</c:v>
                </c:pt>
                <c:pt idx="75">
                  <c:v>103.00765004513644</c:v>
                </c:pt>
                <c:pt idx="76">
                  <c:v>100.01565505977459</c:v>
                </c:pt>
                <c:pt idx="77">
                  <c:v>97.023660074412732</c:v>
                </c:pt>
                <c:pt idx="78">
                  <c:v>94.03166508905089</c:v>
                </c:pt>
                <c:pt idx="79">
                  <c:v>91.039670103689048</c:v>
                </c:pt>
                <c:pt idx="80">
                  <c:v>88.047675118327192</c:v>
                </c:pt>
                <c:pt idx="81">
                  <c:v>85.05568013296535</c:v>
                </c:pt>
                <c:pt idx="82">
                  <c:v>82.063685147603508</c:v>
                </c:pt>
                <c:pt idx="83">
                  <c:v>79.071690162241651</c:v>
                </c:pt>
                <c:pt idx="84">
                  <c:v>76.079695176879866</c:v>
                </c:pt>
                <c:pt idx="85">
                  <c:v>80.602002948998958</c:v>
                </c:pt>
                <c:pt idx="86">
                  <c:v>85.12431072111805</c:v>
                </c:pt>
                <c:pt idx="87">
                  <c:v>89.646618493237142</c:v>
                </c:pt>
                <c:pt idx="88">
                  <c:v>94.168926265356234</c:v>
                </c:pt>
                <c:pt idx="89">
                  <c:v>98.691234037475326</c:v>
                </c:pt>
                <c:pt idx="90">
                  <c:v>103.21354180959442</c:v>
                </c:pt>
                <c:pt idx="91">
                  <c:v>107.73584958171351</c:v>
                </c:pt>
                <c:pt idx="92">
                  <c:v>112.2581573538326</c:v>
                </c:pt>
                <c:pt idx="93">
                  <c:v>116.78046512595169</c:v>
                </c:pt>
                <c:pt idx="94">
                  <c:v>121.30277289807078</c:v>
                </c:pt>
                <c:pt idx="95">
                  <c:v>125.82508067018988</c:v>
                </c:pt>
                <c:pt idx="96">
                  <c:v>130.34738844230893</c:v>
                </c:pt>
                <c:pt idx="97">
                  <c:v>132.6274652791877</c:v>
                </c:pt>
                <c:pt idx="98">
                  <c:v>134.90754211606651</c:v>
                </c:pt>
                <c:pt idx="99">
                  <c:v>137.18761895294529</c:v>
                </c:pt>
                <c:pt idx="100">
                  <c:v>139.46769578982406</c:v>
                </c:pt>
                <c:pt idx="101">
                  <c:v>141.74777262670284</c:v>
                </c:pt>
                <c:pt idx="102">
                  <c:v>144.02784946358162</c:v>
                </c:pt>
                <c:pt idx="103">
                  <c:v>146.30792630046042</c:v>
                </c:pt>
                <c:pt idx="104">
                  <c:v>148.5880031373392</c:v>
                </c:pt>
                <c:pt idx="105">
                  <c:v>150.86807997421798</c:v>
                </c:pt>
              </c:numCache>
            </c:numRef>
          </c:val>
          <c:smooth val="0"/>
          <c:extLst>
            <c:ext xmlns:c16="http://schemas.microsoft.com/office/drawing/2014/chart" uri="{C3380CC4-5D6E-409C-BE32-E72D297353CC}">
              <c16:uniqueId val="{00000004-2BBE-454A-A52A-C1FA5D49E0CC}"/>
            </c:ext>
          </c:extLst>
        </c:ser>
        <c:ser>
          <c:idx val="5"/>
          <c:order val="5"/>
          <c:tx>
            <c:strRef>
              <c:f>'PE band'!$P$3</c:f>
              <c:strCache>
                <c:ptCount val="1"/>
                <c:pt idx="0">
                  <c:v>Price</c:v>
                </c:pt>
              </c:strCache>
            </c:strRef>
          </c:tx>
          <c:spPr>
            <a:ln w="28575" cap="rnd">
              <a:solidFill>
                <a:schemeClr val="accent4"/>
              </a:solidFill>
              <a:round/>
            </a:ln>
            <a:effectLst/>
          </c:spPr>
          <c:marker>
            <c:symbol val="none"/>
          </c:marker>
          <c:cat>
            <c:numRef>
              <c:f>'PE band'!$J$45:$J$150</c:f>
              <c:numCache>
                <c:formatCode>mmm\-yy</c:formatCode>
                <c:ptCount val="106"/>
                <c:pt idx="0">
                  <c:v>40633</c:v>
                </c:pt>
                <c:pt idx="1">
                  <c:v>40662</c:v>
                </c:pt>
                <c:pt idx="2">
                  <c:v>40694</c:v>
                </c:pt>
                <c:pt idx="3">
                  <c:v>40724</c:v>
                </c:pt>
                <c:pt idx="4">
                  <c:v>40753</c:v>
                </c:pt>
                <c:pt idx="5">
                  <c:v>40785</c:v>
                </c:pt>
                <c:pt idx="6">
                  <c:v>40816</c:v>
                </c:pt>
                <c:pt idx="7">
                  <c:v>40847</c:v>
                </c:pt>
                <c:pt idx="8">
                  <c:v>40877</c:v>
                </c:pt>
                <c:pt idx="9">
                  <c:v>40907</c:v>
                </c:pt>
                <c:pt idx="10">
                  <c:v>40939</c:v>
                </c:pt>
                <c:pt idx="11">
                  <c:v>40967</c:v>
                </c:pt>
                <c:pt idx="12">
                  <c:v>40998</c:v>
                </c:pt>
                <c:pt idx="13">
                  <c:v>41029</c:v>
                </c:pt>
                <c:pt idx="14">
                  <c:v>41060</c:v>
                </c:pt>
                <c:pt idx="15">
                  <c:v>41089</c:v>
                </c:pt>
                <c:pt idx="16">
                  <c:v>41121</c:v>
                </c:pt>
                <c:pt idx="17">
                  <c:v>41151</c:v>
                </c:pt>
                <c:pt idx="18">
                  <c:v>41180</c:v>
                </c:pt>
                <c:pt idx="19">
                  <c:v>41213</c:v>
                </c:pt>
                <c:pt idx="20">
                  <c:v>41243</c:v>
                </c:pt>
                <c:pt idx="21">
                  <c:v>41274</c:v>
                </c:pt>
                <c:pt idx="22">
                  <c:v>41305</c:v>
                </c:pt>
                <c:pt idx="23">
                  <c:v>41333</c:v>
                </c:pt>
                <c:pt idx="24">
                  <c:v>41361</c:v>
                </c:pt>
                <c:pt idx="25">
                  <c:v>41394</c:v>
                </c:pt>
                <c:pt idx="26">
                  <c:v>41425</c:v>
                </c:pt>
                <c:pt idx="27">
                  <c:v>41453</c:v>
                </c:pt>
                <c:pt idx="28">
                  <c:v>41486</c:v>
                </c:pt>
                <c:pt idx="29">
                  <c:v>41516</c:v>
                </c:pt>
                <c:pt idx="30">
                  <c:v>41547</c:v>
                </c:pt>
                <c:pt idx="31">
                  <c:v>41578</c:v>
                </c:pt>
                <c:pt idx="32">
                  <c:v>41607</c:v>
                </c:pt>
                <c:pt idx="33">
                  <c:v>41639</c:v>
                </c:pt>
                <c:pt idx="34">
                  <c:v>41670</c:v>
                </c:pt>
                <c:pt idx="35">
                  <c:v>41698</c:v>
                </c:pt>
                <c:pt idx="36">
                  <c:v>41729</c:v>
                </c:pt>
                <c:pt idx="37">
                  <c:v>41759</c:v>
                </c:pt>
                <c:pt idx="38">
                  <c:v>41789</c:v>
                </c:pt>
                <c:pt idx="39">
                  <c:v>41820</c:v>
                </c:pt>
                <c:pt idx="40">
                  <c:v>41851</c:v>
                </c:pt>
                <c:pt idx="41">
                  <c:v>41880</c:v>
                </c:pt>
                <c:pt idx="42">
                  <c:v>41912</c:v>
                </c:pt>
                <c:pt idx="43">
                  <c:v>41943</c:v>
                </c:pt>
                <c:pt idx="44">
                  <c:v>41971</c:v>
                </c:pt>
                <c:pt idx="45">
                  <c:v>42004</c:v>
                </c:pt>
                <c:pt idx="46">
                  <c:v>42034</c:v>
                </c:pt>
                <c:pt idx="47">
                  <c:v>42062</c:v>
                </c:pt>
                <c:pt idx="48">
                  <c:v>42094</c:v>
                </c:pt>
                <c:pt idx="49">
                  <c:v>42124</c:v>
                </c:pt>
                <c:pt idx="50">
                  <c:v>42153</c:v>
                </c:pt>
                <c:pt idx="51">
                  <c:v>42185</c:v>
                </c:pt>
                <c:pt idx="52">
                  <c:v>42215</c:v>
                </c:pt>
                <c:pt idx="53">
                  <c:v>42247</c:v>
                </c:pt>
                <c:pt idx="54">
                  <c:v>42277</c:v>
                </c:pt>
                <c:pt idx="55">
                  <c:v>42307</c:v>
                </c:pt>
                <c:pt idx="56">
                  <c:v>42338</c:v>
                </c:pt>
                <c:pt idx="57">
                  <c:v>42369</c:v>
                </c:pt>
                <c:pt idx="58">
                  <c:v>42398</c:v>
                </c:pt>
                <c:pt idx="59">
                  <c:v>42429</c:v>
                </c:pt>
                <c:pt idx="60">
                  <c:v>42460</c:v>
                </c:pt>
                <c:pt idx="61">
                  <c:v>42489</c:v>
                </c:pt>
                <c:pt idx="62">
                  <c:v>42521</c:v>
                </c:pt>
                <c:pt idx="63">
                  <c:v>42549</c:v>
                </c:pt>
                <c:pt idx="64">
                  <c:v>42582</c:v>
                </c:pt>
                <c:pt idx="65">
                  <c:v>42612</c:v>
                </c:pt>
                <c:pt idx="66">
                  <c:v>42643</c:v>
                </c:pt>
                <c:pt idx="67">
                  <c:v>42674</c:v>
                </c:pt>
                <c:pt idx="68">
                  <c:v>42704</c:v>
                </c:pt>
                <c:pt idx="69">
                  <c:v>42734</c:v>
                </c:pt>
                <c:pt idx="70">
                  <c:v>42766</c:v>
                </c:pt>
                <c:pt idx="71">
                  <c:v>42789</c:v>
                </c:pt>
                <c:pt idx="72">
                  <c:v>42822</c:v>
                </c:pt>
                <c:pt idx="73">
                  <c:v>42853</c:v>
                </c:pt>
                <c:pt idx="74">
                  <c:v>42886</c:v>
                </c:pt>
                <c:pt idx="75">
                  <c:v>42916</c:v>
                </c:pt>
                <c:pt idx="76">
                  <c:v>42947</c:v>
                </c:pt>
                <c:pt idx="77">
                  <c:v>42978</c:v>
                </c:pt>
                <c:pt idx="78">
                  <c:v>43007</c:v>
                </c:pt>
                <c:pt idx="79">
                  <c:v>43039</c:v>
                </c:pt>
                <c:pt idx="80">
                  <c:v>43069</c:v>
                </c:pt>
                <c:pt idx="81">
                  <c:v>43075</c:v>
                </c:pt>
                <c:pt idx="82">
                  <c:v>43131</c:v>
                </c:pt>
                <c:pt idx="83">
                  <c:v>43159</c:v>
                </c:pt>
                <c:pt idx="84">
                  <c:v>43190</c:v>
                </c:pt>
                <c:pt idx="85">
                  <c:v>43220</c:v>
                </c:pt>
                <c:pt idx="86">
                  <c:v>43251</c:v>
                </c:pt>
                <c:pt idx="87">
                  <c:v>43281</c:v>
                </c:pt>
                <c:pt idx="88">
                  <c:v>43312</c:v>
                </c:pt>
                <c:pt idx="89">
                  <c:v>43343</c:v>
                </c:pt>
                <c:pt idx="90">
                  <c:v>43373</c:v>
                </c:pt>
                <c:pt idx="91">
                  <c:v>43404</c:v>
                </c:pt>
                <c:pt idx="92">
                  <c:v>43434</c:v>
                </c:pt>
                <c:pt idx="93">
                  <c:v>43465</c:v>
                </c:pt>
                <c:pt idx="94">
                  <c:v>43496</c:v>
                </c:pt>
                <c:pt idx="95">
                  <c:v>43524</c:v>
                </c:pt>
                <c:pt idx="96">
                  <c:v>43555</c:v>
                </c:pt>
                <c:pt idx="97">
                  <c:v>43585</c:v>
                </c:pt>
                <c:pt idx="98">
                  <c:v>43616</c:v>
                </c:pt>
                <c:pt idx="99">
                  <c:v>43646</c:v>
                </c:pt>
                <c:pt idx="100">
                  <c:v>43677</c:v>
                </c:pt>
                <c:pt idx="101">
                  <c:v>43708</c:v>
                </c:pt>
                <c:pt idx="102">
                  <c:v>43738</c:v>
                </c:pt>
                <c:pt idx="103">
                  <c:v>43769</c:v>
                </c:pt>
                <c:pt idx="104">
                  <c:v>43799</c:v>
                </c:pt>
                <c:pt idx="105">
                  <c:v>43830</c:v>
                </c:pt>
              </c:numCache>
            </c:numRef>
          </c:cat>
          <c:val>
            <c:numRef>
              <c:f>'PE band'!$P$45:$P$150</c:f>
              <c:numCache>
                <c:formatCode>#,##0.00</c:formatCode>
                <c:ptCount val="106"/>
                <c:pt idx="0">
                  <c:v>47</c:v>
                </c:pt>
                <c:pt idx="1">
                  <c:v>48.15</c:v>
                </c:pt>
                <c:pt idx="2">
                  <c:v>45.75</c:v>
                </c:pt>
                <c:pt idx="3">
                  <c:v>40.1</c:v>
                </c:pt>
                <c:pt idx="4">
                  <c:v>40</c:v>
                </c:pt>
                <c:pt idx="5">
                  <c:v>39.25</c:v>
                </c:pt>
                <c:pt idx="6">
                  <c:v>38.5</c:v>
                </c:pt>
                <c:pt idx="7">
                  <c:v>37.5</c:v>
                </c:pt>
                <c:pt idx="8">
                  <c:v>37.200000000000003</c:v>
                </c:pt>
                <c:pt idx="9">
                  <c:v>37</c:v>
                </c:pt>
                <c:pt idx="10">
                  <c:v>34.85</c:v>
                </c:pt>
                <c:pt idx="11">
                  <c:v>31</c:v>
                </c:pt>
                <c:pt idx="12">
                  <c:v>31.3</c:v>
                </c:pt>
                <c:pt idx="13">
                  <c:v>30.5</c:v>
                </c:pt>
                <c:pt idx="14">
                  <c:v>27</c:v>
                </c:pt>
                <c:pt idx="15">
                  <c:v>27.65</c:v>
                </c:pt>
                <c:pt idx="16">
                  <c:v>25.95</c:v>
                </c:pt>
                <c:pt idx="17">
                  <c:v>30.35</c:v>
                </c:pt>
                <c:pt idx="18">
                  <c:v>37.5</c:v>
                </c:pt>
                <c:pt idx="19">
                  <c:v>34</c:v>
                </c:pt>
                <c:pt idx="20">
                  <c:v>33</c:v>
                </c:pt>
                <c:pt idx="21">
                  <c:v>33.700000000000003</c:v>
                </c:pt>
                <c:pt idx="22">
                  <c:v>33.5</c:v>
                </c:pt>
                <c:pt idx="23">
                  <c:v>32.450000000000003</c:v>
                </c:pt>
                <c:pt idx="24">
                  <c:v>32.75</c:v>
                </c:pt>
                <c:pt idx="25">
                  <c:v>34.5</c:v>
                </c:pt>
                <c:pt idx="26">
                  <c:v>38.4</c:v>
                </c:pt>
                <c:pt idx="27">
                  <c:v>34.25</c:v>
                </c:pt>
                <c:pt idx="28">
                  <c:v>33.5</c:v>
                </c:pt>
                <c:pt idx="29">
                  <c:v>34.200000000000003</c:v>
                </c:pt>
                <c:pt idx="30">
                  <c:v>32.6</c:v>
                </c:pt>
                <c:pt idx="31">
                  <c:v>34.4</c:v>
                </c:pt>
                <c:pt idx="32">
                  <c:v>31</c:v>
                </c:pt>
                <c:pt idx="33">
                  <c:v>32.450000000000003</c:v>
                </c:pt>
                <c:pt idx="34">
                  <c:v>34.5</c:v>
                </c:pt>
                <c:pt idx="35">
                  <c:v>31.95</c:v>
                </c:pt>
                <c:pt idx="36">
                  <c:v>30.5</c:v>
                </c:pt>
                <c:pt idx="37">
                  <c:v>32.25</c:v>
                </c:pt>
                <c:pt idx="38">
                  <c:v>32.4</c:v>
                </c:pt>
                <c:pt idx="39">
                  <c:v>33</c:v>
                </c:pt>
                <c:pt idx="40">
                  <c:v>35.5</c:v>
                </c:pt>
                <c:pt idx="41">
                  <c:v>35.9</c:v>
                </c:pt>
                <c:pt idx="42">
                  <c:v>38.5</c:v>
                </c:pt>
                <c:pt idx="43">
                  <c:v>37.299999999999997</c:v>
                </c:pt>
                <c:pt idx="44">
                  <c:v>38.549999999999997</c:v>
                </c:pt>
                <c:pt idx="45">
                  <c:v>38.200000000000003</c:v>
                </c:pt>
                <c:pt idx="46">
                  <c:v>39.9</c:v>
                </c:pt>
                <c:pt idx="47">
                  <c:v>40.65</c:v>
                </c:pt>
                <c:pt idx="48">
                  <c:v>38</c:v>
                </c:pt>
                <c:pt idx="49">
                  <c:v>43</c:v>
                </c:pt>
                <c:pt idx="50">
                  <c:v>44.5</c:v>
                </c:pt>
                <c:pt idx="51">
                  <c:v>45.5</c:v>
                </c:pt>
                <c:pt idx="52">
                  <c:v>51.05</c:v>
                </c:pt>
                <c:pt idx="53">
                  <c:v>57</c:v>
                </c:pt>
                <c:pt idx="54">
                  <c:v>54.2</c:v>
                </c:pt>
                <c:pt idx="55">
                  <c:v>59.5</c:v>
                </c:pt>
                <c:pt idx="56">
                  <c:v>58.5</c:v>
                </c:pt>
                <c:pt idx="57">
                  <c:v>60.45</c:v>
                </c:pt>
                <c:pt idx="58">
                  <c:v>56</c:v>
                </c:pt>
                <c:pt idx="59">
                  <c:v>51</c:v>
                </c:pt>
                <c:pt idx="60">
                  <c:v>50.45</c:v>
                </c:pt>
                <c:pt idx="61">
                  <c:v>56.5</c:v>
                </c:pt>
                <c:pt idx="62">
                  <c:v>58.85</c:v>
                </c:pt>
                <c:pt idx="63">
                  <c:v>57.5</c:v>
                </c:pt>
                <c:pt idx="64">
                  <c:v>59.4</c:v>
                </c:pt>
                <c:pt idx="65">
                  <c:v>62.2</c:v>
                </c:pt>
                <c:pt idx="66">
                  <c:v>64.5</c:v>
                </c:pt>
                <c:pt idx="67">
                  <c:v>63.3</c:v>
                </c:pt>
                <c:pt idx="68">
                  <c:v>60</c:v>
                </c:pt>
                <c:pt idx="69">
                  <c:v>61.5</c:v>
                </c:pt>
                <c:pt idx="70">
                  <c:v>59</c:v>
                </c:pt>
                <c:pt idx="71">
                  <c:v>59</c:v>
                </c:pt>
                <c:pt idx="72">
                  <c:v>54</c:v>
                </c:pt>
                <c:pt idx="73">
                  <c:v>59.5</c:v>
                </c:pt>
                <c:pt idx="74">
                  <c:v>58.1</c:v>
                </c:pt>
                <c:pt idx="75">
                  <c:v>56.5</c:v>
                </c:pt>
                <c:pt idx="76">
                  <c:v>57.2</c:v>
                </c:pt>
                <c:pt idx="77">
                  <c:v>50</c:v>
                </c:pt>
                <c:pt idx="78">
                  <c:v>45.1</c:v>
                </c:pt>
                <c:pt idx="79">
                  <c:v>44.5</c:v>
                </c:pt>
                <c:pt idx="80">
                  <c:v>42.5</c:v>
                </c:pt>
                <c:pt idx="81">
                  <c:v>42.5</c:v>
                </c:pt>
                <c:pt idx="82">
                  <c:v>#N/A</c:v>
                </c:pt>
                <c:pt idx="83">
                  <c:v>#N/A</c:v>
                </c:pt>
                <c:pt idx="84">
                  <c:v>#N/A</c:v>
                </c:pt>
                <c:pt idx="85">
                  <c:v>#N/A</c:v>
                </c:pt>
                <c:pt idx="86">
                  <c:v>#N/A</c:v>
                </c:pt>
                <c:pt idx="87">
                  <c:v>#N/A</c:v>
                </c:pt>
                <c:pt idx="88">
                  <c:v>#N/A</c:v>
                </c:pt>
                <c:pt idx="89">
                  <c:v>#N/A</c:v>
                </c:pt>
                <c:pt idx="90">
                  <c:v>#N/A</c:v>
                </c:pt>
              </c:numCache>
            </c:numRef>
          </c:val>
          <c:smooth val="0"/>
          <c:extLst>
            <c:ext xmlns:c16="http://schemas.microsoft.com/office/drawing/2014/chart" uri="{C3380CC4-5D6E-409C-BE32-E72D297353CC}">
              <c16:uniqueId val="{00000005-2BBE-454A-A52A-C1FA5D49E0CC}"/>
            </c:ext>
          </c:extLst>
        </c:ser>
        <c:dLbls>
          <c:showLegendKey val="0"/>
          <c:showVal val="0"/>
          <c:showCatName val="0"/>
          <c:showSerName val="0"/>
          <c:showPercent val="0"/>
          <c:showBubbleSize val="0"/>
        </c:dLbls>
        <c:smooth val="0"/>
        <c:axId val="115343744"/>
        <c:axId val="115345280"/>
        <c:extLst/>
      </c:lineChart>
      <c:dateAx>
        <c:axId val="115343744"/>
        <c:scaling>
          <c:orientation val="minMax"/>
          <c:max val="43830"/>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15345280"/>
        <c:crosses val="autoZero"/>
        <c:auto val="1"/>
        <c:lblOffset val="100"/>
        <c:baseTimeUnit val="months"/>
        <c:majorUnit val="12"/>
        <c:majorTimeUnit val="months"/>
        <c:minorUnit val="3"/>
        <c:minorTimeUnit val="months"/>
      </c:dateAx>
      <c:valAx>
        <c:axId val="115345280"/>
        <c:scaling>
          <c:orientation val="minMax"/>
        </c:scaling>
        <c:delete val="0"/>
        <c:axPos val="l"/>
        <c:majorGridlines>
          <c:spPr>
            <a:ln w="9525" cap="flat" cmpd="sng" algn="ctr">
              <a:noFill/>
              <a:round/>
            </a:ln>
            <a:effectLst/>
          </c:spPr>
        </c:majorGridlines>
        <c:numFmt formatCode="_(* #,##0.0_);_(* \(#,##0.0\);_(* &quot;-&quot;?_);_(@_)" sourceLinked="0"/>
        <c:majorTickMark val="none"/>
        <c:minorTickMark val="none"/>
        <c:tickLblPos val="nextTo"/>
        <c:spPr>
          <a:noFill/>
          <a:ln>
            <a:solidFill>
              <a:srgbClr val="002060">
                <a:alpha val="8000"/>
              </a:srgb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15343744"/>
        <c:crosses val="autoZero"/>
        <c:crossBetween val="between"/>
      </c:valAx>
      <c:spPr>
        <a:noFill/>
        <a:ln>
          <a:noFill/>
        </a:ln>
        <a:effectLst/>
      </c:spPr>
    </c:plotArea>
    <c:legend>
      <c:legendPos val="b"/>
      <c:layout>
        <c:manualLayout>
          <c:xMode val="edge"/>
          <c:yMode val="edge"/>
          <c:x val="0.10972623016717505"/>
          <c:y val="0.91881840856849428"/>
          <c:w val="0.82910721587591574"/>
          <c:h val="7.8125546806649182E-2"/>
        </c:manualLayout>
      </c:layout>
      <c:overlay val="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'PE band'!$P$3</c:f>
              <c:strCache>
                <c:ptCount val="1"/>
                <c:pt idx="0">
                  <c:v>Price</c:v>
                </c:pt>
              </c:strCache>
            </c:strRef>
          </c:tx>
          <c:spPr>
            <a:ln w="28575" cap="rnd">
              <a:solidFill>
                <a:schemeClr val="accent1"/>
              </a:solidFill>
              <a:round/>
            </a:ln>
            <a:effectLst/>
          </c:spPr>
          <c:marker>
            <c:symbol val="none"/>
          </c:marker>
          <c:cat>
            <c:numRef>
              <c:f>'PE band'!$J$7:$J$2784</c:f>
              <c:numCache>
                <c:formatCode>mmm\-yy</c:formatCode>
                <c:ptCount val="2778"/>
                <c:pt idx="27">
                  <c:v>40298</c:v>
                </c:pt>
                <c:pt idx="28">
                  <c:v>40329</c:v>
                </c:pt>
                <c:pt idx="29">
                  <c:v>40359</c:v>
                </c:pt>
                <c:pt idx="30">
                  <c:v>40389</c:v>
                </c:pt>
                <c:pt idx="31">
                  <c:v>40421</c:v>
                </c:pt>
                <c:pt idx="32">
                  <c:v>40451</c:v>
                </c:pt>
                <c:pt idx="33">
                  <c:v>40480</c:v>
                </c:pt>
                <c:pt idx="34">
                  <c:v>40512</c:v>
                </c:pt>
                <c:pt idx="35">
                  <c:v>40543</c:v>
                </c:pt>
                <c:pt idx="36">
                  <c:v>40574</c:v>
                </c:pt>
                <c:pt idx="37">
                  <c:v>40602</c:v>
                </c:pt>
                <c:pt idx="38">
                  <c:v>40633</c:v>
                </c:pt>
                <c:pt idx="39">
                  <c:v>40662</c:v>
                </c:pt>
                <c:pt idx="40">
                  <c:v>40694</c:v>
                </c:pt>
                <c:pt idx="41">
                  <c:v>40724</c:v>
                </c:pt>
                <c:pt idx="42">
                  <c:v>40753</c:v>
                </c:pt>
                <c:pt idx="43">
                  <c:v>40785</c:v>
                </c:pt>
                <c:pt idx="44">
                  <c:v>40816</c:v>
                </c:pt>
                <c:pt idx="45">
                  <c:v>40847</c:v>
                </c:pt>
                <c:pt idx="46">
                  <c:v>40877</c:v>
                </c:pt>
                <c:pt idx="47">
                  <c:v>40907</c:v>
                </c:pt>
                <c:pt idx="48">
                  <c:v>40939</c:v>
                </c:pt>
                <c:pt idx="49">
                  <c:v>40967</c:v>
                </c:pt>
                <c:pt idx="50">
                  <c:v>40998</c:v>
                </c:pt>
                <c:pt idx="51">
                  <c:v>41029</c:v>
                </c:pt>
                <c:pt idx="52">
                  <c:v>41060</c:v>
                </c:pt>
                <c:pt idx="53">
                  <c:v>41089</c:v>
                </c:pt>
                <c:pt idx="54">
                  <c:v>41121</c:v>
                </c:pt>
                <c:pt idx="55">
                  <c:v>41151</c:v>
                </c:pt>
                <c:pt idx="56">
                  <c:v>41180</c:v>
                </c:pt>
                <c:pt idx="57">
                  <c:v>41213</c:v>
                </c:pt>
                <c:pt idx="58">
                  <c:v>41243</c:v>
                </c:pt>
                <c:pt idx="59">
                  <c:v>41274</c:v>
                </c:pt>
                <c:pt idx="60">
                  <c:v>41305</c:v>
                </c:pt>
                <c:pt idx="61">
                  <c:v>41333</c:v>
                </c:pt>
                <c:pt idx="62">
                  <c:v>41361</c:v>
                </c:pt>
                <c:pt idx="63">
                  <c:v>41394</c:v>
                </c:pt>
                <c:pt idx="64">
                  <c:v>41425</c:v>
                </c:pt>
                <c:pt idx="65">
                  <c:v>41453</c:v>
                </c:pt>
                <c:pt idx="66">
                  <c:v>41486</c:v>
                </c:pt>
                <c:pt idx="67">
                  <c:v>41516</c:v>
                </c:pt>
                <c:pt idx="68">
                  <c:v>41547</c:v>
                </c:pt>
                <c:pt idx="69">
                  <c:v>41578</c:v>
                </c:pt>
                <c:pt idx="70">
                  <c:v>41607</c:v>
                </c:pt>
                <c:pt idx="71">
                  <c:v>41639</c:v>
                </c:pt>
                <c:pt idx="72">
                  <c:v>41670</c:v>
                </c:pt>
                <c:pt idx="73">
                  <c:v>41698</c:v>
                </c:pt>
                <c:pt idx="74">
                  <c:v>41729</c:v>
                </c:pt>
                <c:pt idx="75">
                  <c:v>41759</c:v>
                </c:pt>
                <c:pt idx="76">
                  <c:v>41789</c:v>
                </c:pt>
                <c:pt idx="77">
                  <c:v>41820</c:v>
                </c:pt>
                <c:pt idx="78">
                  <c:v>41851</c:v>
                </c:pt>
                <c:pt idx="79">
                  <c:v>41880</c:v>
                </c:pt>
                <c:pt idx="80">
                  <c:v>41912</c:v>
                </c:pt>
                <c:pt idx="81">
                  <c:v>41943</c:v>
                </c:pt>
                <c:pt idx="82">
                  <c:v>41971</c:v>
                </c:pt>
                <c:pt idx="83">
                  <c:v>42004</c:v>
                </c:pt>
                <c:pt idx="84">
                  <c:v>42034</c:v>
                </c:pt>
                <c:pt idx="85">
                  <c:v>42062</c:v>
                </c:pt>
                <c:pt idx="86">
                  <c:v>42094</c:v>
                </c:pt>
                <c:pt idx="87">
                  <c:v>42124</c:v>
                </c:pt>
                <c:pt idx="88">
                  <c:v>42153</c:v>
                </c:pt>
                <c:pt idx="89">
                  <c:v>42185</c:v>
                </c:pt>
                <c:pt idx="90">
                  <c:v>42215</c:v>
                </c:pt>
                <c:pt idx="91">
                  <c:v>42247</c:v>
                </c:pt>
                <c:pt idx="92">
                  <c:v>42277</c:v>
                </c:pt>
                <c:pt idx="93">
                  <c:v>42307</c:v>
                </c:pt>
                <c:pt idx="94">
                  <c:v>42338</c:v>
                </c:pt>
                <c:pt idx="95">
                  <c:v>42369</c:v>
                </c:pt>
                <c:pt idx="96">
                  <c:v>42398</c:v>
                </c:pt>
                <c:pt idx="97">
                  <c:v>42429</c:v>
                </c:pt>
                <c:pt idx="98">
                  <c:v>42460</c:v>
                </c:pt>
                <c:pt idx="99">
                  <c:v>42489</c:v>
                </c:pt>
                <c:pt idx="100">
                  <c:v>42521</c:v>
                </c:pt>
                <c:pt idx="101">
                  <c:v>42549</c:v>
                </c:pt>
                <c:pt idx="102">
                  <c:v>42582</c:v>
                </c:pt>
                <c:pt idx="103">
                  <c:v>42612</c:v>
                </c:pt>
                <c:pt idx="104">
                  <c:v>42643</c:v>
                </c:pt>
                <c:pt idx="105">
                  <c:v>42674</c:v>
                </c:pt>
                <c:pt idx="106">
                  <c:v>42704</c:v>
                </c:pt>
                <c:pt idx="107">
                  <c:v>42734</c:v>
                </c:pt>
                <c:pt idx="108">
                  <c:v>42766</c:v>
                </c:pt>
                <c:pt idx="109">
                  <c:v>42789</c:v>
                </c:pt>
                <c:pt idx="110">
                  <c:v>42822</c:v>
                </c:pt>
                <c:pt idx="111">
                  <c:v>42853</c:v>
                </c:pt>
                <c:pt idx="112">
                  <c:v>42886</c:v>
                </c:pt>
                <c:pt idx="113">
                  <c:v>42916</c:v>
                </c:pt>
                <c:pt idx="114">
                  <c:v>42947</c:v>
                </c:pt>
                <c:pt idx="115">
                  <c:v>42978</c:v>
                </c:pt>
                <c:pt idx="116">
                  <c:v>43007</c:v>
                </c:pt>
                <c:pt idx="117">
                  <c:v>43039</c:v>
                </c:pt>
                <c:pt idx="118">
                  <c:v>43069</c:v>
                </c:pt>
                <c:pt idx="119">
                  <c:v>43075</c:v>
                </c:pt>
                <c:pt idx="120">
                  <c:v>43131</c:v>
                </c:pt>
                <c:pt idx="121">
                  <c:v>43159</c:v>
                </c:pt>
                <c:pt idx="122">
                  <c:v>43190</c:v>
                </c:pt>
                <c:pt idx="123">
                  <c:v>43220</c:v>
                </c:pt>
                <c:pt idx="124">
                  <c:v>43251</c:v>
                </c:pt>
                <c:pt idx="125">
                  <c:v>43281</c:v>
                </c:pt>
                <c:pt idx="126">
                  <c:v>43312</c:v>
                </c:pt>
                <c:pt idx="127">
                  <c:v>43343</c:v>
                </c:pt>
                <c:pt idx="128">
                  <c:v>43373</c:v>
                </c:pt>
                <c:pt idx="129">
                  <c:v>43404</c:v>
                </c:pt>
                <c:pt idx="130">
                  <c:v>43434</c:v>
                </c:pt>
                <c:pt idx="131">
                  <c:v>43465</c:v>
                </c:pt>
                <c:pt idx="132">
                  <c:v>43496</c:v>
                </c:pt>
                <c:pt idx="133">
                  <c:v>43524</c:v>
                </c:pt>
                <c:pt idx="134">
                  <c:v>43555</c:v>
                </c:pt>
                <c:pt idx="135">
                  <c:v>43585</c:v>
                </c:pt>
                <c:pt idx="136">
                  <c:v>43616</c:v>
                </c:pt>
                <c:pt idx="137">
                  <c:v>43646</c:v>
                </c:pt>
                <c:pt idx="138">
                  <c:v>43677</c:v>
                </c:pt>
                <c:pt idx="139">
                  <c:v>43708</c:v>
                </c:pt>
                <c:pt idx="140">
                  <c:v>43738</c:v>
                </c:pt>
                <c:pt idx="141">
                  <c:v>43769</c:v>
                </c:pt>
                <c:pt idx="142">
                  <c:v>43799</c:v>
                </c:pt>
                <c:pt idx="143">
                  <c:v>43830</c:v>
                </c:pt>
                <c:pt idx="144">
                  <c:v>43861</c:v>
                </c:pt>
                <c:pt idx="145">
                  <c:v>43890</c:v>
                </c:pt>
                <c:pt idx="146">
                  <c:v>43921</c:v>
                </c:pt>
                <c:pt idx="147">
                  <c:v>43951</c:v>
                </c:pt>
                <c:pt idx="148">
                  <c:v>43982</c:v>
                </c:pt>
                <c:pt idx="149">
                  <c:v>44012</c:v>
                </c:pt>
                <c:pt idx="150">
                  <c:v>44043</c:v>
                </c:pt>
                <c:pt idx="151">
                  <c:v>44074</c:v>
                </c:pt>
                <c:pt idx="152">
                  <c:v>44104</c:v>
                </c:pt>
                <c:pt idx="153">
                  <c:v>44135</c:v>
                </c:pt>
                <c:pt idx="154">
                  <c:v>44165</c:v>
                </c:pt>
                <c:pt idx="155">
                  <c:v>44196</c:v>
                </c:pt>
                <c:pt idx="156">
                  <c:v>44227</c:v>
                </c:pt>
                <c:pt idx="157">
                  <c:v>44255</c:v>
                </c:pt>
                <c:pt idx="158">
                  <c:v>44286</c:v>
                </c:pt>
                <c:pt idx="159">
                  <c:v>44316</c:v>
                </c:pt>
                <c:pt idx="160">
                  <c:v>44347</c:v>
                </c:pt>
                <c:pt idx="161">
                  <c:v>44377</c:v>
                </c:pt>
                <c:pt idx="162">
                  <c:v>44408</c:v>
                </c:pt>
                <c:pt idx="163">
                  <c:v>44439</c:v>
                </c:pt>
                <c:pt idx="164">
                  <c:v>44469</c:v>
                </c:pt>
                <c:pt idx="165">
                  <c:v>44500</c:v>
                </c:pt>
                <c:pt idx="166">
                  <c:v>44530</c:v>
                </c:pt>
                <c:pt idx="167">
                  <c:v>44561</c:v>
                </c:pt>
                <c:pt idx="168">
                  <c:v>44592</c:v>
                </c:pt>
                <c:pt idx="169">
                  <c:v>44620</c:v>
                </c:pt>
                <c:pt idx="170">
                  <c:v>44651</c:v>
                </c:pt>
                <c:pt idx="171">
                  <c:v>44681</c:v>
                </c:pt>
                <c:pt idx="172">
                  <c:v>44712</c:v>
                </c:pt>
                <c:pt idx="173">
                  <c:v>44742</c:v>
                </c:pt>
              </c:numCache>
            </c:numRef>
          </c:cat>
          <c:val>
            <c:numRef>
              <c:f>'PE band'!$P$7:$P$2784</c:f>
              <c:numCache>
                <c:formatCode>#,##0.00</c:formatCode>
                <c:ptCount val="2778"/>
                <c:pt idx="27">
                  <c:v>40.5</c:v>
                </c:pt>
                <c:pt idx="28">
                  <c:v>39.375</c:v>
                </c:pt>
                <c:pt idx="29">
                  <c:v>47</c:v>
                </c:pt>
                <c:pt idx="30">
                  <c:v>47</c:v>
                </c:pt>
                <c:pt idx="31">
                  <c:v>45.35</c:v>
                </c:pt>
                <c:pt idx="32">
                  <c:v>49.85</c:v>
                </c:pt>
                <c:pt idx="33">
                  <c:v>44.3</c:v>
                </c:pt>
                <c:pt idx="34">
                  <c:v>41.5</c:v>
                </c:pt>
                <c:pt idx="35">
                  <c:v>42.55</c:v>
                </c:pt>
                <c:pt idx="36">
                  <c:v>44.85</c:v>
                </c:pt>
                <c:pt idx="37">
                  <c:v>46.85</c:v>
                </c:pt>
                <c:pt idx="38">
                  <c:v>47</c:v>
                </c:pt>
                <c:pt idx="39">
                  <c:v>48.15</c:v>
                </c:pt>
                <c:pt idx="40">
                  <c:v>45.75</c:v>
                </c:pt>
                <c:pt idx="41">
                  <c:v>40.1</c:v>
                </c:pt>
                <c:pt idx="42">
                  <c:v>40</c:v>
                </c:pt>
                <c:pt idx="43">
                  <c:v>39.25</c:v>
                </c:pt>
                <c:pt idx="44">
                  <c:v>38.5</c:v>
                </c:pt>
                <c:pt idx="45">
                  <c:v>37.5</c:v>
                </c:pt>
                <c:pt idx="46">
                  <c:v>37.200000000000003</c:v>
                </c:pt>
                <c:pt idx="47">
                  <c:v>37</c:v>
                </c:pt>
                <c:pt idx="48">
                  <c:v>34.85</c:v>
                </c:pt>
                <c:pt idx="49">
                  <c:v>31</c:v>
                </c:pt>
                <c:pt idx="50">
                  <c:v>31.3</c:v>
                </c:pt>
                <c:pt idx="51">
                  <c:v>30.5</c:v>
                </c:pt>
                <c:pt idx="52">
                  <c:v>27</c:v>
                </c:pt>
                <c:pt idx="53">
                  <c:v>27.65</c:v>
                </c:pt>
                <c:pt idx="54">
                  <c:v>25.95</c:v>
                </c:pt>
                <c:pt idx="55">
                  <c:v>30.35</c:v>
                </c:pt>
                <c:pt idx="56">
                  <c:v>37.5</c:v>
                </c:pt>
                <c:pt idx="57">
                  <c:v>34</c:v>
                </c:pt>
                <c:pt idx="58">
                  <c:v>33</c:v>
                </c:pt>
                <c:pt idx="59">
                  <c:v>33.700000000000003</c:v>
                </c:pt>
                <c:pt idx="60">
                  <c:v>33.5</c:v>
                </c:pt>
                <c:pt idx="61">
                  <c:v>32.450000000000003</c:v>
                </c:pt>
                <c:pt idx="62">
                  <c:v>32.75</c:v>
                </c:pt>
                <c:pt idx="63">
                  <c:v>34.5</c:v>
                </c:pt>
                <c:pt idx="64">
                  <c:v>38.4</c:v>
                </c:pt>
                <c:pt idx="65">
                  <c:v>34.25</c:v>
                </c:pt>
                <c:pt idx="66">
                  <c:v>33.5</c:v>
                </c:pt>
                <c:pt idx="67">
                  <c:v>34.200000000000003</c:v>
                </c:pt>
                <c:pt idx="68">
                  <c:v>32.6</c:v>
                </c:pt>
                <c:pt idx="69">
                  <c:v>34.4</c:v>
                </c:pt>
                <c:pt idx="70">
                  <c:v>31</c:v>
                </c:pt>
                <c:pt idx="71">
                  <c:v>32.450000000000003</c:v>
                </c:pt>
                <c:pt idx="72">
                  <c:v>34.5</c:v>
                </c:pt>
                <c:pt idx="73">
                  <c:v>31.95</c:v>
                </c:pt>
                <c:pt idx="74">
                  <c:v>30.5</c:v>
                </c:pt>
                <c:pt idx="75">
                  <c:v>32.25</c:v>
                </c:pt>
                <c:pt idx="76">
                  <c:v>32.4</c:v>
                </c:pt>
                <c:pt idx="77">
                  <c:v>33</c:v>
                </c:pt>
                <c:pt idx="78">
                  <c:v>35.5</c:v>
                </c:pt>
                <c:pt idx="79">
                  <c:v>35.9</c:v>
                </c:pt>
                <c:pt idx="80">
                  <c:v>38.5</c:v>
                </c:pt>
                <c:pt idx="81">
                  <c:v>37.299999999999997</c:v>
                </c:pt>
                <c:pt idx="82">
                  <c:v>38.549999999999997</c:v>
                </c:pt>
                <c:pt idx="83">
                  <c:v>38.200000000000003</c:v>
                </c:pt>
                <c:pt idx="84">
                  <c:v>39.9</c:v>
                </c:pt>
                <c:pt idx="85">
                  <c:v>40.65</c:v>
                </c:pt>
                <c:pt idx="86">
                  <c:v>38</c:v>
                </c:pt>
                <c:pt idx="87">
                  <c:v>43</c:v>
                </c:pt>
                <c:pt idx="88">
                  <c:v>44.5</c:v>
                </c:pt>
                <c:pt idx="89">
                  <c:v>45.5</c:v>
                </c:pt>
                <c:pt idx="90">
                  <c:v>51.05</c:v>
                </c:pt>
                <c:pt idx="91">
                  <c:v>57</c:v>
                </c:pt>
                <c:pt idx="92">
                  <c:v>54.2</c:v>
                </c:pt>
                <c:pt idx="93">
                  <c:v>59.5</c:v>
                </c:pt>
                <c:pt idx="94">
                  <c:v>58.5</c:v>
                </c:pt>
                <c:pt idx="95">
                  <c:v>60.45</c:v>
                </c:pt>
                <c:pt idx="96">
                  <c:v>56</c:v>
                </c:pt>
                <c:pt idx="97">
                  <c:v>51</c:v>
                </c:pt>
                <c:pt idx="98">
                  <c:v>50.45</c:v>
                </c:pt>
                <c:pt idx="99">
                  <c:v>56.5</c:v>
                </c:pt>
                <c:pt idx="100">
                  <c:v>58.85</c:v>
                </c:pt>
                <c:pt idx="101">
                  <c:v>57.5</c:v>
                </c:pt>
                <c:pt idx="102">
                  <c:v>59.4</c:v>
                </c:pt>
                <c:pt idx="103">
                  <c:v>62.2</c:v>
                </c:pt>
                <c:pt idx="104">
                  <c:v>64.5</c:v>
                </c:pt>
                <c:pt idx="105">
                  <c:v>63.3</c:v>
                </c:pt>
                <c:pt idx="106">
                  <c:v>60</c:v>
                </c:pt>
                <c:pt idx="107">
                  <c:v>61.5</c:v>
                </c:pt>
                <c:pt idx="108">
                  <c:v>59</c:v>
                </c:pt>
                <c:pt idx="109">
                  <c:v>59</c:v>
                </c:pt>
                <c:pt idx="110">
                  <c:v>54</c:v>
                </c:pt>
                <c:pt idx="111">
                  <c:v>59.5</c:v>
                </c:pt>
                <c:pt idx="112">
                  <c:v>58.1</c:v>
                </c:pt>
                <c:pt idx="113">
                  <c:v>56.5</c:v>
                </c:pt>
                <c:pt idx="114">
                  <c:v>57.2</c:v>
                </c:pt>
                <c:pt idx="115">
                  <c:v>50</c:v>
                </c:pt>
                <c:pt idx="116">
                  <c:v>45.1</c:v>
                </c:pt>
                <c:pt idx="117">
                  <c:v>44.5</c:v>
                </c:pt>
                <c:pt idx="118">
                  <c:v>42.5</c:v>
                </c:pt>
                <c:pt idx="119">
                  <c:v>42.5</c:v>
                </c:pt>
                <c:pt idx="120">
                  <c:v>#N/A</c:v>
                </c:pt>
                <c:pt idx="121">
                  <c:v>#N/A</c:v>
                </c:pt>
                <c:pt idx="122">
                  <c:v>#N/A</c:v>
                </c:pt>
                <c:pt idx="123">
                  <c:v>#N/A</c:v>
                </c:pt>
                <c:pt idx="124">
                  <c:v>#N/A</c:v>
                </c:pt>
                <c:pt idx="125">
                  <c:v>#N/A</c:v>
                </c:pt>
                <c:pt idx="126">
                  <c:v>#N/A</c:v>
                </c:pt>
                <c:pt idx="127">
                  <c:v>#N/A</c:v>
                </c:pt>
                <c:pt idx="128">
                  <c:v>#N/A</c:v>
                </c:pt>
              </c:numCache>
            </c:numRef>
          </c:val>
          <c:smooth val="0"/>
          <c:extLst>
            <c:ext xmlns:c16="http://schemas.microsoft.com/office/drawing/2014/chart" uri="{C3380CC4-5D6E-409C-BE32-E72D297353CC}">
              <c16:uniqueId val="{00000000-073B-424E-A1C0-8422742C3BEC}"/>
            </c:ext>
          </c:extLst>
        </c:ser>
        <c:dLbls>
          <c:showLegendKey val="0"/>
          <c:showVal val="0"/>
          <c:showCatName val="0"/>
          <c:showSerName val="0"/>
          <c:showPercent val="0"/>
          <c:showBubbleSize val="0"/>
        </c:dLbls>
        <c:smooth val="0"/>
        <c:axId val="115361280"/>
        <c:axId val="115362816"/>
      </c:lineChart>
      <c:dateAx>
        <c:axId val="1153612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62816"/>
        <c:crosses val="autoZero"/>
        <c:auto val="1"/>
        <c:lblOffset val="100"/>
        <c:baseTimeUnit val="months"/>
      </c:dateAx>
      <c:valAx>
        <c:axId val="115362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61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7379921259842513E-2"/>
          <c:y val="5.4236293379994166E-2"/>
          <c:w val="0.78322594050743655"/>
          <c:h val="0.75961067366579182"/>
        </c:manualLayout>
      </c:layout>
      <c:areaChart>
        <c:grouping val="standard"/>
        <c:varyColors val="0"/>
        <c:ser>
          <c:idx val="4"/>
          <c:order val="1"/>
          <c:tx>
            <c:strRef>
              <c:f>'ACL N0000'!$H$3</c:f>
              <c:strCache>
                <c:ptCount val="1"/>
                <c:pt idx="0">
                  <c:v>Volume (RHS)</c:v>
                </c:pt>
              </c:strCache>
            </c:strRef>
          </c:tx>
          <c:spPr>
            <a:solidFill>
              <a:srgbClr val="FFD966"/>
            </a:solidFill>
            <a:ln>
              <a:noFill/>
            </a:ln>
            <a:effectLst/>
          </c:spPr>
          <c:cat>
            <c:numRef>
              <c:f>'ACL N0000'!$B$1266:$B$1500</c:f>
              <c:numCache>
                <c:formatCode>m/d/yyyy</c:formatCode>
                <c:ptCount val="235"/>
                <c:pt idx="0">
                  <c:v>42226</c:v>
                </c:pt>
                <c:pt idx="1">
                  <c:v>42227</c:v>
                </c:pt>
                <c:pt idx="2">
                  <c:v>42228</c:v>
                </c:pt>
                <c:pt idx="3">
                  <c:v>42229</c:v>
                </c:pt>
                <c:pt idx="4">
                  <c:v>42230</c:v>
                </c:pt>
                <c:pt idx="5">
                  <c:v>42233</c:v>
                </c:pt>
                <c:pt idx="6">
                  <c:v>42234</c:v>
                </c:pt>
                <c:pt idx="7">
                  <c:v>42235</c:v>
                </c:pt>
                <c:pt idx="8">
                  <c:v>42236</c:v>
                </c:pt>
                <c:pt idx="9">
                  <c:v>42237</c:v>
                </c:pt>
                <c:pt idx="10">
                  <c:v>42240</c:v>
                </c:pt>
                <c:pt idx="11">
                  <c:v>42241</c:v>
                </c:pt>
                <c:pt idx="12">
                  <c:v>42242</c:v>
                </c:pt>
                <c:pt idx="13">
                  <c:v>42243</c:v>
                </c:pt>
                <c:pt idx="14">
                  <c:v>42244</c:v>
                </c:pt>
                <c:pt idx="15">
                  <c:v>42247</c:v>
                </c:pt>
                <c:pt idx="16">
                  <c:v>42248</c:v>
                </c:pt>
                <c:pt idx="17">
                  <c:v>42249</c:v>
                </c:pt>
                <c:pt idx="18">
                  <c:v>42250</c:v>
                </c:pt>
                <c:pt idx="19">
                  <c:v>42251</c:v>
                </c:pt>
                <c:pt idx="20">
                  <c:v>42254</c:v>
                </c:pt>
                <c:pt idx="21">
                  <c:v>42255</c:v>
                </c:pt>
                <c:pt idx="22">
                  <c:v>42256</c:v>
                </c:pt>
                <c:pt idx="23">
                  <c:v>42257</c:v>
                </c:pt>
                <c:pt idx="24">
                  <c:v>42258</c:v>
                </c:pt>
                <c:pt idx="25">
                  <c:v>42261</c:v>
                </c:pt>
                <c:pt idx="26">
                  <c:v>42262</c:v>
                </c:pt>
                <c:pt idx="27">
                  <c:v>42263</c:v>
                </c:pt>
                <c:pt idx="28">
                  <c:v>42264</c:v>
                </c:pt>
                <c:pt idx="30">
                  <c:v>42265</c:v>
                </c:pt>
                <c:pt idx="31">
                  <c:v>42268</c:v>
                </c:pt>
                <c:pt idx="32">
                  <c:v>42269</c:v>
                </c:pt>
                <c:pt idx="33">
                  <c:v>42270</c:v>
                </c:pt>
                <c:pt idx="34">
                  <c:v>42272</c:v>
                </c:pt>
                <c:pt idx="35">
                  <c:v>42275</c:v>
                </c:pt>
                <c:pt idx="36">
                  <c:v>42276</c:v>
                </c:pt>
                <c:pt idx="37">
                  <c:v>42277</c:v>
                </c:pt>
                <c:pt idx="38">
                  <c:v>42278</c:v>
                </c:pt>
                <c:pt idx="39">
                  <c:v>42279</c:v>
                </c:pt>
                <c:pt idx="40">
                  <c:v>42282</c:v>
                </c:pt>
                <c:pt idx="41">
                  <c:v>42283</c:v>
                </c:pt>
                <c:pt idx="42">
                  <c:v>42284</c:v>
                </c:pt>
                <c:pt idx="43">
                  <c:v>42285</c:v>
                </c:pt>
                <c:pt idx="44">
                  <c:v>42286</c:v>
                </c:pt>
                <c:pt idx="45">
                  <c:v>42289</c:v>
                </c:pt>
                <c:pt idx="46">
                  <c:v>42290</c:v>
                </c:pt>
                <c:pt idx="47">
                  <c:v>42291</c:v>
                </c:pt>
                <c:pt idx="48">
                  <c:v>42292</c:v>
                </c:pt>
                <c:pt idx="49">
                  <c:v>42293</c:v>
                </c:pt>
                <c:pt idx="50">
                  <c:v>42296</c:v>
                </c:pt>
                <c:pt idx="51">
                  <c:v>42297</c:v>
                </c:pt>
                <c:pt idx="52">
                  <c:v>42298</c:v>
                </c:pt>
                <c:pt idx="53">
                  <c:v>42299</c:v>
                </c:pt>
                <c:pt idx="54">
                  <c:v>42300</c:v>
                </c:pt>
                <c:pt idx="55">
                  <c:v>42303</c:v>
                </c:pt>
                <c:pt idx="56">
                  <c:v>42305</c:v>
                </c:pt>
                <c:pt idx="57">
                  <c:v>42306</c:v>
                </c:pt>
                <c:pt idx="58">
                  <c:v>42307</c:v>
                </c:pt>
                <c:pt idx="59">
                  <c:v>42310</c:v>
                </c:pt>
                <c:pt idx="60">
                  <c:v>42311</c:v>
                </c:pt>
                <c:pt idx="61">
                  <c:v>42312</c:v>
                </c:pt>
                <c:pt idx="62">
                  <c:v>42313</c:v>
                </c:pt>
                <c:pt idx="63">
                  <c:v>42314</c:v>
                </c:pt>
                <c:pt idx="64">
                  <c:v>42317</c:v>
                </c:pt>
                <c:pt idx="65">
                  <c:v>42319</c:v>
                </c:pt>
                <c:pt idx="66">
                  <c:v>42320</c:v>
                </c:pt>
                <c:pt idx="67">
                  <c:v>42321</c:v>
                </c:pt>
                <c:pt idx="68">
                  <c:v>42324</c:v>
                </c:pt>
                <c:pt idx="69">
                  <c:v>42325</c:v>
                </c:pt>
                <c:pt idx="70">
                  <c:v>42326</c:v>
                </c:pt>
                <c:pt idx="71">
                  <c:v>42327</c:v>
                </c:pt>
                <c:pt idx="72">
                  <c:v>42328</c:v>
                </c:pt>
                <c:pt idx="73">
                  <c:v>42331</c:v>
                </c:pt>
                <c:pt idx="74">
                  <c:v>42332</c:v>
                </c:pt>
                <c:pt idx="75">
                  <c:v>42334</c:v>
                </c:pt>
                <c:pt idx="76">
                  <c:v>42335</c:v>
                </c:pt>
                <c:pt idx="77">
                  <c:v>42338</c:v>
                </c:pt>
                <c:pt idx="78">
                  <c:v>42339</c:v>
                </c:pt>
                <c:pt idx="79">
                  <c:v>42340</c:v>
                </c:pt>
                <c:pt idx="80">
                  <c:v>42341</c:v>
                </c:pt>
                <c:pt idx="81">
                  <c:v>42342</c:v>
                </c:pt>
                <c:pt idx="82">
                  <c:v>42345</c:v>
                </c:pt>
                <c:pt idx="83">
                  <c:v>42346</c:v>
                </c:pt>
                <c:pt idx="84">
                  <c:v>42347</c:v>
                </c:pt>
                <c:pt idx="85">
                  <c:v>42348</c:v>
                </c:pt>
                <c:pt idx="86">
                  <c:v>42349</c:v>
                </c:pt>
                <c:pt idx="87">
                  <c:v>42352</c:v>
                </c:pt>
                <c:pt idx="88">
                  <c:v>42353</c:v>
                </c:pt>
                <c:pt idx="89">
                  <c:v>42354</c:v>
                </c:pt>
                <c:pt idx="90">
                  <c:v>42355</c:v>
                </c:pt>
                <c:pt idx="91">
                  <c:v>42356</c:v>
                </c:pt>
                <c:pt idx="92">
                  <c:v>42359</c:v>
                </c:pt>
                <c:pt idx="93">
                  <c:v>42360</c:v>
                </c:pt>
                <c:pt idx="94">
                  <c:v>42361</c:v>
                </c:pt>
                <c:pt idx="95">
                  <c:v>42366</c:v>
                </c:pt>
                <c:pt idx="96">
                  <c:v>42367</c:v>
                </c:pt>
                <c:pt idx="97">
                  <c:v>42368</c:v>
                </c:pt>
                <c:pt idx="98">
                  <c:v>42369</c:v>
                </c:pt>
                <c:pt idx="99">
                  <c:v>42373</c:v>
                </c:pt>
                <c:pt idx="100">
                  <c:v>42374</c:v>
                </c:pt>
                <c:pt idx="101">
                  <c:v>42375</c:v>
                </c:pt>
                <c:pt idx="102">
                  <c:v>42376</c:v>
                </c:pt>
                <c:pt idx="103">
                  <c:v>42377</c:v>
                </c:pt>
                <c:pt idx="104">
                  <c:v>42380</c:v>
                </c:pt>
                <c:pt idx="105">
                  <c:v>42381</c:v>
                </c:pt>
                <c:pt idx="106">
                  <c:v>42382</c:v>
                </c:pt>
                <c:pt idx="107">
                  <c:v>42383</c:v>
                </c:pt>
                <c:pt idx="108">
                  <c:v>42387</c:v>
                </c:pt>
                <c:pt idx="109">
                  <c:v>42388</c:v>
                </c:pt>
                <c:pt idx="110">
                  <c:v>42389</c:v>
                </c:pt>
                <c:pt idx="111">
                  <c:v>42390</c:v>
                </c:pt>
                <c:pt idx="112">
                  <c:v>42391</c:v>
                </c:pt>
                <c:pt idx="113">
                  <c:v>42394</c:v>
                </c:pt>
                <c:pt idx="114">
                  <c:v>42395</c:v>
                </c:pt>
                <c:pt idx="115">
                  <c:v>42396</c:v>
                </c:pt>
                <c:pt idx="116">
                  <c:v>42397</c:v>
                </c:pt>
                <c:pt idx="117">
                  <c:v>42398</c:v>
                </c:pt>
                <c:pt idx="118">
                  <c:v>42401</c:v>
                </c:pt>
                <c:pt idx="119">
                  <c:v>42402</c:v>
                </c:pt>
                <c:pt idx="120">
                  <c:v>42403</c:v>
                </c:pt>
                <c:pt idx="121">
                  <c:v>42405</c:v>
                </c:pt>
                <c:pt idx="122">
                  <c:v>42408</c:v>
                </c:pt>
                <c:pt idx="123">
                  <c:v>42409</c:v>
                </c:pt>
                <c:pt idx="124">
                  <c:v>42410</c:v>
                </c:pt>
                <c:pt idx="125">
                  <c:v>42411</c:v>
                </c:pt>
                <c:pt idx="126">
                  <c:v>42412</c:v>
                </c:pt>
                <c:pt idx="127">
                  <c:v>42415</c:v>
                </c:pt>
                <c:pt idx="128">
                  <c:v>42416</c:v>
                </c:pt>
                <c:pt idx="129">
                  <c:v>42417</c:v>
                </c:pt>
                <c:pt idx="130">
                  <c:v>42418</c:v>
                </c:pt>
                <c:pt idx="131">
                  <c:v>42419</c:v>
                </c:pt>
                <c:pt idx="132">
                  <c:v>42423</c:v>
                </c:pt>
                <c:pt idx="133">
                  <c:v>42424</c:v>
                </c:pt>
                <c:pt idx="134">
                  <c:v>42425</c:v>
                </c:pt>
                <c:pt idx="135">
                  <c:v>42426</c:v>
                </c:pt>
                <c:pt idx="136">
                  <c:v>42429</c:v>
                </c:pt>
                <c:pt idx="137">
                  <c:v>42430</c:v>
                </c:pt>
                <c:pt idx="138">
                  <c:v>42431</c:v>
                </c:pt>
                <c:pt idx="139">
                  <c:v>42432</c:v>
                </c:pt>
                <c:pt idx="140">
                  <c:v>42433</c:v>
                </c:pt>
                <c:pt idx="141">
                  <c:v>42437</c:v>
                </c:pt>
                <c:pt idx="142">
                  <c:v>42438</c:v>
                </c:pt>
                <c:pt idx="143">
                  <c:v>42439</c:v>
                </c:pt>
                <c:pt idx="144">
                  <c:v>42440</c:v>
                </c:pt>
                <c:pt idx="145">
                  <c:v>42443</c:v>
                </c:pt>
                <c:pt idx="146">
                  <c:v>42444</c:v>
                </c:pt>
                <c:pt idx="147">
                  <c:v>42445</c:v>
                </c:pt>
                <c:pt idx="148">
                  <c:v>42446</c:v>
                </c:pt>
                <c:pt idx="149">
                  <c:v>42447</c:v>
                </c:pt>
                <c:pt idx="150">
                  <c:v>42450</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42475</c:v>
                </c:pt>
                <c:pt idx="166">
                  <c:v>42478</c:v>
                </c:pt>
                <c:pt idx="167">
                  <c:v>42479</c:v>
                </c:pt>
                <c:pt idx="168">
                  <c:v>42480</c:v>
                </c:pt>
                <c:pt idx="169">
                  <c:v>42482</c:v>
                </c:pt>
                <c:pt idx="170">
                  <c:v>42485</c:v>
                </c:pt>
                <c:pt idx="171">
                  <c:v>42486</c:v>
                </c:pt>
                <c:pt idx="172">
                  <c:v>42487</c:v>
                </c:pt>
                <c:pt idx="173">
                  <c:v>42488</c:v>
                </c:pt>
                <c:pt idx="174">
                  <c:v>42489</c:v>
                </c:pt>
                <c:pt idx="175">
                  <c:v>42493</c:v>
                </c:pt>
                <c:pt idx="176">
                  <c:v>42494</c:v>
                </c:pt>
                <c:pt idx="177">
                  <c:v>42495</c:v>
                </c:pt>
                <c:pt idx="178">
                  <c:v>42496</c:v>
                </c:pt>
                <c:pt idx="179">
                  <c:v>42499</c:v>
                </c:pt>
                <c:pt idx="180">
                  <c:v>42500</c:v>
                </c:pt>
                <c:pt idx="181">
                  <c:v>42501</c:v>
                </c:pt>
                <c:pt idx="182">
                  <c:v>42502</c:v>
                </c:pt>
                <c:pt idx="183">
                  <c:v>42503</c:v>
                </c:pt>
                <c:pt idx="184">
                  <c:v>42506</c:v>
                </c:pt>
                <c:pt idx="185">
                  <c:v>42507</c:v>
                </c:pt>
                <c:pt idx="186">
                  <c:v>42508</c:v>
                </c:pt>
                <c:pt idx="187">
                  <c:v>42509</c:v>
                </c:pt>
                <c:pt idx="188">
                  <c:v>42510</c:v>
                </c:pt>
                <c:pt idx="189">
                  <c:v>42514</c:v>
                </c:pt>
                <c:pt idx="190">
                  <c:v>42515</c:v>
                </c:pt>
                <c:pt idx="191">
                  <c:v>42516</c:v>
                </c:pt>
                <c:pt idx="192">
                  <c:v>42517</c:v>
                </c:pt>
                <c:pt idx="193">
                  <c:v>42520</c:v>
                </c:pt>
                <c:pt idx="194">
                  <c:v>42521</c:v>
                </c:pt>
                <c:pt idx="195">
                  <c:v>42522</c:v>
                </c:pt>
                <c:pt idx="196">
                  <c:v>42523</c:v>
                </c:pt>
                <c:pt idx="197">
                  <c:v>42524</c:v>
                </c:pt>
                <c:pt idx="198">
                  <c:v>42527</c:v>
                </c:pt>
                <c:pt idx="199">
                  <c:v>42528</c:v>
                </c:pt>
                <c:pt idx="200">
                  <c:v>42529</c:v>
                </c:pt>
                <c:pt idx="201">
                  <c:v>42530</c:v>
                </c:pt>
                <c:pt idx="202">
                  <c:v>42531</c:v>
                </c:pt>
                <c:pt idx="203">
                  <c:v>42534</c:v>
                </c:pt>
                <c:pt idx="204">
                  <c:v>42535</c:v>
                </c:pt>
                <c:pt idx="205">
                  <c:v>42536</c:v>
                </c:pt>
                <c:pt idx="206">
                  <c:v>42537</c:v>
                </c:pt>
                <c:pt idx="207">
                  <c:v>42538</c:v>
                </c:pt>
                <c:pt idx="208">
                  <c:v>42541</c:v>
                </c:pt>
                <c:pt idx="209">
                  <c:v>42542</c:v>
                </c:pt>
                <c:pt idx="210">
                  <c:v>42543</c:v>
                </c:pt>
                <c:pt idx="211">
                  <c:v>42544</c:v>
                </c:pt>
                <c:pt idx="212">
                  <c:v>42545</c:v>
                </c:pt>
                <c:pt idx="213">
                  <c:v>42548</c:v>
                </c:pt>
                <c:pt idx="214">
                  <c:v>42549</c:v>
                </c:pt>
                <c:pt idx="215">
                  <c:v>42555</c:v>
                </c:pt>
                <c:pt idx="216">
                  <c:v>42556</c:v>
                </c:pt>
                <c:pt idx="217">
                  <c:v>42558</c:v>
                </c:pt>
                <c:pt idx="218">
                  <c:v>42559</c:v>
                </c:pt>
                <c:pt idx="219">
                  <c:v>42562</c:v>
                </c:pt>
                <c:pt idx="220">
                  <c:v>42563</c:v>
                </c:pt>
                <c:pt idx="221">
                  <c:v>42564</c:v>
                </c:pt>
                <c:pt idx="222">
                  <c:v>42565</c:v>
                </c:pt>
                <c:pt idx="223">
                  <c:v>42566</c:v>
                </c:pt>
                <c:pt idx="224">
                  <c:v>42569</c:v>
                </c:pt>
                <c:pt idx="225">
                  <c:v>42571</c:v>
                </c:pt>
                <c:pt idx="226">
                  <c:v>42572</c:v>
                </c:pt>
                <c:pt idx="227">
                  <c:v>42573</c:v>
                </c:pt>
                <c:pt idx="228">
                  <c:v>42576</c:v>
                </c:pt>
                <c:pt idx="229">
                  <c:v>42577</c:v>
                </c:pt>
                <c:pt idx="230">
                  <c:v>42578</c:v>
                </c:pt>
                <c:pt idx="231">
                  <c:v>42579</c:v>
                </c:pt>
                <c:pt idx="232">
                  <c:v>42580</c:v>
                </c:pt>
                <c:pt idx="233">
                  <c:v>42583</c:v>
                </c:pt>
                <c:pt idx="234">
                  <c:v>42584</c:v>
                </c:pt>
              </c:numCache>
            </c:numRef>
          </c:cat>
          <c:val>
            <c:numRef>
              <c:f>'ACL N0000'!$H$1266:$H$1500</c:f>
              <c:numCache>
                <c:formatCode>General</c:formatCode>
                <c:ptCount val="235"/>
                <c:pt idx="0">
                  <c:v>126894</c:v>
                </c:pt>
                <c:pt idx="1">
                  <c:v>194508</c:v>
                </c:pt>
                <c:pt idx="2">
                  <c:v>65981</c:v>
                </c:pt>
                <c:pt idx="3">
                  <c:v>43827</c:v>
                </c:pt>
                <c:pt idx="4">
                  <c:v>85990</c:v>
                </c:pt>
                <c:pt idx="5">
                  <c:v>549569</c:v>
                </c:pt>
                <c:pt idx="6">
                  <c:v>138156</c:v>
                </c:pt>
                <c:pt idx="7">
                  <c:v>62979</c:v>
                </c:pt>
                <c:pt idx="8">
                  <c:v>99805</c:v>
                </c:pt>
                <c:pt idx="9">
                  <c:v>50569</c:v>
                </c:pt>
                <c:pt idx="10">
                  <c:v>60715</c:v>
                </c:pt>
                <c:pt idx="11">
                  <c:v>146067</c:v>
                </c:pt>
                <c:pt idx="12">
                  <c:v>19117</c:v>
                </c:pt>
                <c:pt idx="13">
                  <c:v>100303</c:v>
                </c:pt>
                <c:pt idx="14">
                  <c:v>167886</c:v>
                </c:pt>
                <c:pt idx="15">
                  <c:v>65240</c:v>
                </c:pt>
                <c:pt idx="16">
                  <c:v>177979</c:v>
                </c:pt>
                <c:pt idx="17">
                  <c:v>66204</c:v>
                </c:pt>
                <c:pt idx="18">
                  <c:v>14550</c:v>
                </c:pt>
                <c:pt idx="19">
                  <c:v>8508</c:v>
                </c:pt>
                <c:pt idx="20">
                  <c:v>35628</c:v>
                </c:pt>
                <c:pt idx="21">
                  <c:v>35531</c:v>
                </c:pt>
                <c:pt idx="22">
                  <c:v>17016</c:v>
                </c:pt>
                <c:pt idx="23">
                  <c:v>54009</c:v>
                </c:pt>
                <c:pt idx="24">
                  <c:v>59943</c:v>
                </c:pt>
                <c:pt idx="25">
                  <c:v>68420</c:v>
                </c:pt>
                <c:pt idx="26">
                  <c:v>77888</c:v>
                </c:pt>
                <c:pt idx="27">
                  <c:v>58797</c:v>
                </c:pt>
                <c:pt idx="28">
                  <c:v>419891</c:v>
                </c:pt>
                <c:pt idx="30">
                  <c:v>8292</c:v>
                </c:pt>
                <c:pt idx="31">
                  <c:v>25625</c:v>
                </c:pt>
                <c:pt idx="32">
                  <c:v>18730</c:v>
                </c:pt>
                <c:pt idx="33">
                  <c:v>7366</c:v>
                </c:pt>
                <c:pt idx="34">
                  <c:v>26580</c:v>
                </c:pt>
                <c:pt idx="35">
                  <c:v>22100</c:v>
                </c:pt>
                <c:pt idx="36">
                  <c:v>10007</c:v>
                </c:pt>
                <c:pt idx="37">
                  <c:v>16955</c:v>
                </c:pt>
                <c:pt idx="38">
                  <c:v>4500</c:v>
                </c:pt>
                <c:pt idx="39">
                  <c:v>216003</c:v>
                </c:pt>
                <c:pt idx="40">
                  <c:v>330564</c:v>
                </c:pt>
                <c:pt idx="41">
                  <c:v>276998</c:v>
                </c:pt>
                <c:pt idx="42">
                  <c:v>43917</c:v>
                </c:pt>
                <c:pt idx="43">
                  <c:v>37279</c:v>
                </c:pt>
                <c:pt idx="44">
                  <c:v>501869</c:v>
                </c:pt>
                <c:pt idx="45">
                  <c:v>56729</c:v>
                </c:pt>
                <c:pt idx="46">
                  <c:v>274108</c:v>
                </c:pt>
                <c:pt idx="47">
                  <c:v>41915</c:v>
                </c:pt>
                <c:pt idx="48">
                  <c:v>43376</c:v>
                </c:pt>
                <c:pt idx="49">
                  <c:v>82355</c:v>
                </c:pt>
                <c:pt idx="50">
                  <c:v>42129</c:v>
                </c:pt>
                <c:pt idx="51">
                  <c:v>29095</c:v>
                </c:pt>
                <c:pt idx="52">
                  <c:v>29376</c:v>
                </c:pt>
                <c:pt idx="53">
                  <c:v>35813</c:v>
                </c:pt>
                <c:pt idx="54">
                  <c:v>75982</c:v>
                </c:pt>
                <c:pt idx="55">
                  <c:v>42080</c:v>
                </c:pt>
                <c:pt idx="56">
                  <c:v>48540</c:v>
                </c:pt>
                <c:pt idx="57">
                  <c:v>22245</c:v>
                </c:pt>
                <c:pt idx="58">
                  <c:v>16210</c:v>
                </c:pt>
                <c:pt idx="59">
                  <c:v>9220</c:v>
                </c:pt>
                <c:pt idx="60">
                  <c:v>105647</c:v>
                </c:pt>
                <c:pt idx="61">
                  <c:v>53033</c:v>
                </c:pt>
                <c:pt idx="62">
                  <c:v>8192</c:v>
                </c:pt>
                <c:pt idx="63">
                  <c:v>9968</c:v>
                </c:pt>
                <c:pt idx="64">
                  <c:v>1800</c:v>
                </c:pt>
                <c:pt idx="65">
                  <c:v>17310</c:v>
                </c:pt>
                <c:pt idx="66">
                  <c:v>12890</c:v>
                </c:pt>
                <c:pt idx="67">
                  <c:v>12846</c:v>
                </c:pt>
                <c:pt idx="68">
                  <c:v>31630</c:v>
                </c:pt>
                <c:pt idx="69">
                  <c:v>23832</c:v>
                </c:pt>
                <c:pt idx="70">
                  <c:v>58189</c:v>
                </c:pt>
                <c:pt idx="71">
                  <c:v>132980</c:v>
                </c:pt>
                <c:pt idx="72">
                  <c:v>88662</c:v>
                </c:pt>
                <c:pt idx="73">
                  <c:v>102842</c:v>
                </c:pt>
                <c:pt idx="74">
                  <c:v>2352</c:v>
                </c:pt>
                <c:pt idx="75">
                  <c:v>18512</c:v>
                </c:pt>
                <c:pt idx="76">
                  <c:v>16465</c:v>
                </c:pt>
                <c:pt idx="77">
                  <c:v>6200</c:v>
                </c:pt>
                <c:pt idx="78">
                  <c:v>23000</c:v>
                </c:pt>
                <c:pt idx="79">
                  <c:v>31538</c:v>
                </c:pt>
                <c:pt idx="80">
                  <c:v>5136</c:v>
                </c:pt>
                <c:pt idx="81">
                  <c:v>12132</c:v>
                </c:pt>
                <c:pt idx="82">
                  <c:v>21910</c:v>
                </c:pt>
                <c:pt idx="83">
                  <c:v>66540</c:v>
                </c:pt>
                <c:pt idx="84">
                  <c:v>11751</c:v>
                </c:pt>
                <c:pt idx="85">
                  <c:v>60792</c:v>
                </c:pt>
                <c:pt idx="86">
                  <c:v>28726</c:v>
                </c:pt>
                <c:pt idx="87">
                  <c:v>22550</c:v>
                </c:pt>
                <c:pt idx="88">
                  <c:v>23465</c:v>
                </c:pt>
                <c:pt idx="89">
                  <c:v>20260</c:v>
                </c:pt>
                <c:pt idx="90">
                  <c:v>10134</c:v>
                </c:pt>
                <c:pt idx="91">
                  <c:v>130304</c:v>
                </c:pt>
                <c:pt idx="92">
                  <c:v>4500</c:v>
                </c:pt>
                <c:pt idx="93">
                  <c:v>10710</c:v>
                </c:pt>
                <c:pt idx="94">
                  <c:v>501</c:v>
                </c:pt>
                <c:pt idx="95">
                  <c:v>8325</c:v>
                </c:pt>
                <c:pt idx="96">
                  <c:v>2500</c:v>
                </c:pt>
                <c:pt idx="97">
                  <c:v>25825</c:v>
                </c:pt>
                <c:pt idx="98">
                  <c:v>15100</c:v>
                </c:pt>
                <c:pt idx="99">
                  <c:v>41256</c:v>
                </c:pt>
                <c:pt idx="100">
                  <c:v>19623</c:v>
                </c:pt>
                <c:pt idx="101">
                  <c:v>13255</c:v>
                </c:pt>
                <c:pt idx="102">
                  <c:v>10852</c:v>
                </c:pt>
                <c:pt idx="103">
                  <c:v>28375</c:v>
                </c:pt>
                <c:pt idx="104">
                  <c:v>29426</c:v>
                </c:pt>
                <c:pt idx="105">
                  <c:v>148935</c:v>
                </c:pt>
                <c:pt idx="106">
                  <c:v>49047</c:v>
                </c:pt>
                <c:pt idx="107">
                  <c:v>38034</c:v>
                </c:pt>
                <c:pt idx="108">
                  <c:v>20257</c:v>
                </c:pt>
                <c:pt idx="109">
                  <c:v>177886</c:v>
                </c:pt>
                <c:pt idx="110">
                  <c:v>15799</c:v>
                </c:pt>
                <c:pt idx="111">
                  <c:v>24052</c:v>
                </c:pt>
                <c:pt idx="112">
                  <c:v>44937</c:v>
                </c:pt>
                <c:pt idx="113">
                  <c:v>5713</c:v>
                </c:pt>
                <c:pt idx="114">
                  <c:v>2291</c:v>
                </c:pt>
                <c:pt idx="115">
                  <c:v>16530</c:v>
                </c:pt>
                <c:pt idx="116">
                  <c:v>13260</c:v>
                </c:pt>
                <c:pt idx="117">
                  <c:v>1670</c:v>
                </c:pt>
                <c:pt idx="118">
                  <c:v>10014</c:v>
                </c:pt>
                <c:pt idx="119">
                  <c:v>46051</c:v>
                </c:pt>
                <c:pt idx="120">
                  <c:v>7262</c:v>
                </c:pt>
                <c:pt idx="121">
                  <c:v>11082</c:v>
                </c:pt>
                <c:pt idx="122">
                  <c:v>7868</c:v>
                </c:pt>
                <c:pt idx="123">
                  <c:v>5050</c:v>
                </c:pt>
                <c:pt idx="124">
                  <c:v>6300</c:v>
                </c:pt>
                <c:pt idx="125">
                  <c:v>5177</c:v>
                </c:pt>
                <c:pt idx="126">
                  <c:v>8480</c:v>
                </c:pt>
                <c:pt idx="127">
                  <c:v>9380</c:v>
                </c:pt>
                <c:pt idx="128">
                  <c:v>10945</c:v>
                </c:pt>
                <c:pt idx="129">
                  <c:v>17022</c:v>
                </c:pt>
                <c:pt idx="130">
                  <c:v>56591</c:v>
                </c:pt>
                <c:pt idx="131">
                  <c:v>37096</c:v>
                </c:pt>
                <c:pt idx="132">
                  <c:v>55547</c:v>
                </c:pt>
                <c:pt idx="133">
                  <c:v>18192</c:v>
                </c:pt>
                <c:pt idx="134">
                  <c:v>1156</c:v>
                </c:pt>
                <c:pt idx="135">
                  <c:v>284951</c:v>
                </c:pt>
                <c:pt idx="136">
                  <c:v>96100</c:v>
                </c:pt>
                <c:pt idx="137">
                  <c:v>29145</c:v>
                </c:pt>
                <c:pt idx="138">
                  <c:v>32250</c:v>
                </c:pt>
                <c:pt idx="139">
                  <c:v>27975</c:v>
                </c:pt>
                <c:pt idx="140">
                  <c:v>3201</c:v>
                </c:pt>
                <c:pt idx="141">
                  <c:v>14242</c:v>
                </c:pt>
                <c:pt idx="142">
                  <c:v>13989</c:v>
                </c:pt>
                <c:pt idx="143">
                  <c:v>46306</c:v>
                </c:pt>
                <c:pt idx="144">
                  <c:v>5550</c:v>
                </c:pt>
                <c:pt idx="145">
                  <c:v>4600</c:v>
                </c:pt>
                <c:pt idx="146">
                  <c:v>4367</c:v>
                </c:pt>
                <c:pt idx="147">
                  <c:v>12420</c:v>
                </c:pt>
                <c:pt idx="148">
                  <c:v>6507</c:v>
                </c:pt>
                <c:pt idx="149">
                  <c:v>600</c:v>
                </c:pt>
                <c:pt idx="150">
                  <c:v>1000</c:v>
                </c:pt>
                <c:pt idx="151">
                  <c:v>0</c:v>
                </c:pt>
                <c:pt idx="152">
                  <c:v>0</c:v>
                </c:pt>
                <c:pt idx="153">
                  <c:v>1</c:v>
                </c:pt>
                <c:pt idx="154">
                  <c:v>19859</c:v>
                </c:pt>
                <c:pt idx="155">
                  <c:v>300</c:v>
                </c:pt>
                <c:pt idx="156">
                  <c:v>10677</c:v>
                </c:pt>
                <c:pt idx="157">
                  <c:v>8985</c:v>
                </c:pt>
                <c:pt idx="158">
                  <c:v>29782</c:v>
                </c:pt>
                <c:pt idx="159">
                  <c:v>10726</c:v>
                </c:pt>
                <c:pt idx="160">
                  <c:v>5144</c:v>
                </c:pt>
                <c:pt idx="161">
                  <c:v>61405</c:v>
                </c:pt>
                <c:pt idx="162">
                  <c:v>3667</c:v>
                </c:pt>
                <c:pt idx="163">
                  <c:v>1481</c:v>
                </c:pt>
                <c:pt idx="164">
                  <c:v>4994</c:v>
                </c:pt>
                <c:pt idx="165">
                  <c:v>10275</c:v>
                </c:pt>
                <c:pt idx="166">
                  <c:v>4850</c:v>
                </c:pt>
                <c:pt idx="167">
                  <c:v>6830</c:v>
                </c:pt>
                <c:pt idx="168">
                  <c:v>11768</c:v>
                </c:pt>
                <c:pt idx="169">
                  <c:v>18749</c:v>
                </c:pt>
                <c:pt idx="170">
                  <c:v>11770</c:v>
                </c:pt>
                <c:pt idx="171">
                  <c:v>2020</c:v>
                </c:pt>
                <c:pt idx="172">
                  <c:v>1554</c:v>
                </c:pt>
                <c:pt idx="173">
                  <c:v>7009</c:v>
                </c:pt>
                <c:pt idx="174">
                  <c:v>46324</c:v>
                </c:pt>
                <c:pt idx="175">
                  <c:v>9111</c:v>
                </c:pt>
                <c:pt idx="176">
                  <c:v>24919</c:v>
                </c:pt>
                <c:pt idx="177">
                  <c:v>525</c:v>
                </c:pt>
                <c:pt idx="178">
                  <c:v>7696</c:v>
                </c:pt>
                <c:pt idx="179">
                  <c:v>7300</c:v>
                </c:pt>
                <c:pt idx="180">
                  <c:v>60801</c:v>
                </c:pt>
                <c:pt idx="181">
                  <c:v>586853</c:v>
                </c:pt>
                <c:pt idx="182">
                  <c:v>639822</c:v>
                </c:pt>
                <c:pt idx="183">
                  <c:v>80065</c:v>
                </c:pt>
                <c:pt idx="184">
                  <c:v>35005</c:v>
                </c:pt>
                <c:pt idx="185">
                  <c:v>57533</c:v>
                </c:pt>
                <c:pt idx="186">
                  <c:v>245994</c:v>
                </c:pt>
                <c:pt idx="187">
                  <c:v>15790</c:v>
                </c:pt>
                <c:pt idx="188">
                  <c:v>15805</c:v>
                </c:pt>
                <c:pt idx="189">
                  <c:v>3913</c:v>
                </c:pt>
                <c:pt idx="190">
                  <c:v>15100</c:v>
                </c:pt>
                <c:pt idx="191">
                  <c:v>22083</c:v>
                </c:pt>
                <c:pt idx="192">
                  <c:v>3411</c:v>
                </c:pt>
                <c:pt idx="193">
                  <c:v>16211</c:v>
                </c:pt>
                <c:pt idx="194">
                  <c:v>21799</c:v>
                </c:pt>
                <c:pt idx="195">
                  <c:v>5554</c:v>
                </c:pt>
                <c:pt idx="196">
                  <c:v>3976</c:v>
                </c:pt>
                <c:pt idx="197">
                  <c:v>9606</c:v>
                </c:pt>
                <c:pt idx="198">
                  <c:v>593</c:v>
                </c:pt>
                <c:pt idx="199">
                  <c:v>5268</c:v>
                </c:pt>
                <c:pt idx="200">
                  <c:v>12585</c:v>
                </c:pt>
                <c:pt idx="201">
                  <c:v>1285</c:v>
                </c:pt>
                <c:pt idx="202">
                  <c:v>2550</c:v>
                </c:pt>
                <c:pt idx="203">
                  <c:v>92616</c:v>
                </c:pt>
                <c:pt idx="204">
                  <c:v>11440</c:v>
                </c:pt>
                <c:pt idx="205">
                  <c:v>6451</c:v>
                </c:pt>
                <c:pt idx="206">
                  <c:v>15480</c:v>
                </c:pt>
                <c:pt idx="207">
                  <c:v>4483</c:v>
                </c:pt>
                <c:pt idx="208">
                  <c:v>6979</c:v>
                </c:pt>
                <c:pt idx="209">
                  <c:v>22532</c:v>
                </c:pt>
                <c:pt idx="210">
                  <c:v>1553</c:v>
                </c:pt>
                <c:pt idx="211">
                  <c:v>114643</c:v>
                </c:pt>
                <c:pt idx="212">
                  <c:v>28730</c:v>
                </c:pt>
                <c:pt idx="213">
                  <c:v>305150</c:v>
                </c:pt>
                <c:pt idx="214">
                  <c:v>95379</c:v>
                </c:pt>
                <c:pt idx="215">
                  <c:v>12725</c:v>
                </c:pt>
                <c:pt idx="216">
                  <c:v>1000</c:v>
                </c:pt>
                <c:pt idx="217">
                  <c:v>702</c:v>
                </c:pt>
                <c:pt idx="218">
                  <c:v>42239</c:v>
                </c:pt>
                <c:pt idx="219">
                  <c:v>8260</c:v>
                </c:pt>
                <c:pt idx="220">
                  <c:v>4866</c:v>
                </c:pt>
                <c:pt idx="221">
                  <c:v>54702</c:v>
                </c:pt>
                <c:pt idx="222">
                  <c:v>135133</c:v>
                </c:pt>
                <c:pt idx="223">
                  <c:v>11130</c:v>
                </c:pt>
                <c:pt idx="224">
                  <c:v>107907</c:v>
                </c:pt>
                <c:pt idx="225">
                  <c:v>21790</c:v>
                </c:pt>
                <c:pt idx="226">
                  <c:v>1061</c:v>
                </c:pt>
                <c:pt idx="227">
                  <c:v>2567</c:v>
                </c:pt>
                <c:pt idx="228">
                  <c:v>13019</c:v>
                </c:pt>
                <c:pt idx="229">
                  <c:v>4409</c:v>
                </c:pt>
                <c:pt idx="230">
                  <c:v>44301</c:v>
                </c:pt>
                <c:pt idx="231">
                  <c:v>15874</c:v>
                </c:pt>
                <c:pt idx="232">
                  <c:v>29290</c:v>
                </c:pt>
                <c:pt idx="233">
                  <c:v>6370</c:v>
                </c:pt>
                <c:pt idx="234">
                  <c:v>93927</c:v>
                </c:pt>
              </c:numCache>
            </c:numRef>
          </c:val>
          <c:extLst>
            <c:ext xmlns:c16="http://schemas.microsoft.com/office/drawing/2014/chart" uri="{C3380CC4-5D6E-409C-BE32-E72D297353CC}">
              <c16:uniqueId val="{00000000-E2F9-49D4-A7AF-53CF9F363072}"/>
            </c:ext>
          </c:extLst>
        </c:ser>
        <c:dLbls>
          <c:showLegendKey val="0"/>
          <c:showVal val="0"/>
          <c:showCatName val="0"/>
          <c:showSerName val="0"/>
          <c:showPercent val="0"/>
          <c:showBubbleSize val="0"/>
        </c:dLbls>
        <c:axId val="116914432"/>
        <c:axId val="116912512"/>
      </c:areaChart>
      <c:lineChart>
        <c:grouping val="standard"/>
        <c:varyColors val="0"/>
        <c:ser>
          <c:idx val="3"/>
          <c:order val="0"/>
          <c:tx>
            <c:strRef>
              <c:f>'ACL N0000'!$G$3</c:f>
              <c:strCache>
                <c:ptCount val="1"/>
                <c:pt idx="0">
                  <c:v>Share price LKR (LHS)</c:v>
                </c:pt>
              </c:strCache>
            </c:strRef>
          </c:tx>
          <c:spPr>
            <a:ln w="28575" cap="rnd">
              <a:solidFill>
                <a:srgbClr val="002060"/>
              </a:solidFill>
              <a:round/>
            </a:ln>
            <a:effectLst/>
          </c:spPr>
          <c:marker>
            <c:symbol val="none"/>
          </c:marker>
          <c:cat>
            <c:numRef>
              <c:f>'ACL N0000'!$B$1266:$B$1500</c:f>
              <c:numCache>
                <c:formatCode>m/d/yyyy</c:formatCode>
                <c:ptCount val="235"/>
                <c:pt idx="0">
                  <c:v>42226</c:v>
                </c:pt>
                <c:pt idx="1">
                  <c:v>42227</c:v>
                </c:pt>
                <c:pt idx="2">
                  <c:v>42228</c:v>
                </c:pt>
                <c:pt idx="3">
                  <c:v>42229</c:v>
                </c:pt>
                <c:pt idx="4">
                  <c:v>42230</c:v>
                </c:pt>
                <c:pt idx="5">
                  <c:v>42233</c:v>
                </c:pt>
                <c:pt idx="6">
                  <c:v>42234</c:v>
                </c:pt>
                <c:pt idx="7">
                  <c:v>42235</c:v>
                </c:pt>
                <c:pt idx="8">
                  <c:v>42236</c:v>
                </c:pt>
                <c:pt idx="9">
                  <c:v>42237</c:v>
                </c:pt>
                <c:pt idx="10">
                  <c:v>42240</c:v>
                </c:pt>
                <c:pt idx="11">
                  <c:v>42241</c:v>
                </c:pt>
                <c:pt idx="12">
                  <c:v>42242</c:v>
                </c:pt>
                <c:pt idx="13">
                  <c:v>42243</c:v>
                </c:pt>
                <c:pt idx="14">
                  <c:v>42244</c:v>
                </c:pt>
                <c:pt idx="15">
                  <c:v>42247</c:v>
                </c:pt>
                <c:pt idx="16">
                  <c:v>42248</c:v>
                </c:pt>
                <c:pt idx="17">
                  <c:v>42249</c:v>
                </c:pt>
                <c:pt idx="18">
                  <c:v>42250</c:v>
                </c:pt>
                <c:pt idx="19">
                  <c:v>42251</c:v>
                </c:pt>
                <c:pt idx="20">
                  <c:v>42254</c:v>
                </c:pt>
                <c:pt idx="21">
                  <c:v>42255</c:v>
                </c:pt>
                <c:pt idx="22">
                  <c:v>42256</c:v>
                </c:pt>
                <c:pt idx="23">
                  <c:v>42257</c:v>
                </c:pt>
                <c:pt idx="24">
                  <c:v>42258</c:v>
                </c:pt>
                <c:pt idx="25">
                  <c:v>42261</c:v>
                </c:pt>
                <c:pt idx="26">
                  <c:v>42262</c:v>
                </c:pt>
                <c:pt idx="27">
                  <c:v>42263</c:v>
                </c:pt>
                <c:pt idx="28">
                  <c:v>42264</c:v>
                </c:pt>
                <c:pt idx="30">
                  <c:v>42265</c:v>
                </c:pt>
                <c:pt idx="31">
                  <c:v>42268</c:v>
                </c:pt>
                <c:pt idx="32">
                  <c:v>42269</c:v>
                </c:pt>
                <c:pt idx="33">
                  <c:v>42270</c:v>
                </c:pt>
                <c:pt idx="34">
                  <c:v>42272</c:v>
                </c:pt>
                <c:pt idx="35">
                  <c:v>42275</c:v>
                </c:pt>
                <c:pt idx="36">
                  <c:v>42276</c:v>
                </c:pt>
                <c:pt idx="37">
                  <c:v>42277</c:v>
                </c:pt>
                <c:pt idx="38">
                  <c:v>42278</c:v>
                </c:pt>
                <c:pt idx="39">
                  <c:v>42279</c:v>
                </c:pt>
                <c:pt idx="40">
                  <c:v>42282</c:v>
                </c:pt>
                <c:pt idx="41">
                  <c:v>42283</c:v>
                </c:pt>
                <c:pt idx="42">
                  <c:v>42284</c:v>
                </c:pt>
                <c:pt idx="43">
                  <c:v>42285</c:v>
                </c:pt>
                <c:pt idx="44">
                  <c:v>42286</c:v>
                </c:pt>
                <c:pt idx="45">
                  <c:v>42289</c:v>
                </c:pt>
                <c:pt idx="46">
                  <c:v>42290</c:v>
                </c:pt>
                <c:pt idx="47">
                  <c:v>42291</c:v>
                </c:pt>
                <c:pt idx="48">
                  <c:v>42292</c:v>
                </c:pt>
                <c:pt idx="49">
                  <c:v>42293</c:v>
                </c:pt>
                <c:pt idx="50">
                  <c:v>42296</c:v>
                </c:pt>
                <c:pt idx="51">
                  <c:v>42297</c:v>
                </c:pt>
                <c:pt idx="52">
                  <c:v>42298</c:v>
                </c:pt>
                <c:pt idx="53">
                  <c:v>42299</c:v>
                </c:pt>
                <c:pt idx="54">
                  <c:v>42300</c:v>
                </c:pt>
                <c:pt idx="55">
                  <c:v>42303</c:v>
                </c:pt>
                <c:pt idx="56">
                  <c:v>42305</c:v>
                </c:pt>
                <c:pt idx="57">
                  <c:v>42306</c:v>
                </c:pt>
                <c:pt idx="58">
                  <c:v>42307</c:v>
                </c:pt>
                <c:pt idx="59">
                  <c:v>42310</c:v>
                </c:pt>
                <c:pt idx="60">
                  <c:v>42311</c:v>
                </c:pt>
                <c:pt idx="61">
                  <c:v>42312</c:v>
                </c:pt>
                <c:pt idx="62">
                  <c:v>42313</c:v>
                </c:pt>
                <c:pt idx="63">
                  <c:v>42314</c:v>
                </c:pt>
                <c:pt idx="64">
                  <c:v>42317</c:v>
                </c:pt>
                <c:pt idx="65">
                  <c:v>42319</c:v>
                </c:pt>
                <c:pt idx="66">
                  <c:v>42320</c:v>
                </c:pt>
                <c:pt idx="67">
                  <c:v>42321</c:v>
                </c:pt>
                <c:pt idx="68">
                  <c:v>42324</c:v>
                </c:pt>
                <c:pt idx="69">
                  <c:v>42325</c:v>
                </c:pt>
                <c:pt idx="70">
                  <c:v>42326</c:v>
                </c:pt>
                <c:pt idx="71">
                  <c:v>42327</c:v>
                </c:pt>
                <c:pt idx="72">
                  <c:v>42328</c:v>
                </c:pt>
                <c:pt idx="73">
                  <c:v>42331</c:v>
                </c:pt>
                <c:pt idx="74">
                  <c:v>42332</c:v>
                </c:pt>
                <c:pt idx="75">
                  <c:v>42334</c:v>
                </c:pt>
                <c:pt idx="76">
                  <c:v>42335</c:v>
                </c:pt>
                <c:pt idx="77">
                  <c:v>42338</c:v>
                </c:pt>
                <c:pt idx="78">
                  <c:v>42339</c:v>
                </c:pt>
                <c:pt idx="79">
                  <c:v>42340</c:v>
                </c:pt>
                <c:pt idx="80">
                  <c:v>42341</c:v>
                </c:pt>
                <c:pt idx="81">
                  <c:v>42342</c:v>
                </c:pt>
                <c:pt idx="82">
                  <c:v>42345</c:v>
                </c:pt>
                <c:pt idx="83">
                  <c:v>42346</c:v>
                </c:pt>
                <c:pt idx="84">
                  <c:v>42347</c:v>
                </c:pt>
                <c:pt idx="85">
                  <c:v>42348</c:v>
                </c:pt>
                <c:pt idx="86">
                  <c:v>42349</c:v>
                </c:pt>
                <c:pt idx="87">
                  <c:v>42352</c:v>
                </c:pt>
                <c:pt idx="88">
                  <c:v>42353</c:v>
                </c:pt>
                <c:pt idx="89">
                  <c:v>42354</c:v>
                </c:pt>
                <c:pt idx="90">
                  <c:v>42355</c:v>
                </c:pt>
                <c:pt idx="91">
                  <c:v>42356</c:v>
                </c:pt>
                <c:pt idx="92">
                  <c:v>42359</c:v>
                </c:pt>
                <c:pt idx="93">
                  <c:v>42360</c:v>
                </c:pt>
                <c:pt idx="94">
                  <c:v>42361</c:v>
                </c:pt>
                <c:pt idx="95">
                  <c:v>42366</c:v>
                </c:pt>
                <c:pt idx="96">
                  <c:v>42367</c:v>
                </c:pt>
                <c:pt idx="97">
                  <c:v>42368</c:v>
                </c:pt>
                <c:pt idx="98">
                  <c:v>42369</c:v>
                </c:pt>
                <c:pt idx="99">
                  <c:v>42373</c:v>
                </c:pt>
                <c:pt idx="100">
                  <c:v>42374</c:v>
                </c:pt>
                <c:pt idx="101">
                  <c:v>42375</c:v>
                </c:pt>
                <c:pt idx="102">
                  <c:v>42376</c:v>
                </c:pt>
                <c:pt idx="103">
                  <c:v>42377</c:v>
                </c:pt>
                <c:pt idx="104">
                  <c:v>42380</c:v>
                </c:pt>
                <c:pt idx="105">
                  <c:v>42381</c:v>
                </c:pt>
                <c:pt idx="106">
                  <c:v>42382</c:v>
                </c:pt>
                <c:pt idx="107">
                  <c:v>42383</c:v>
                </c:pt>
                <c:pt idx="108">
                  <c:v>42387</c:v>
                </c:pt>
                <c:pt idx="109">
                  <c:v>42388</c:v>
                </c:pt>
                <c:pt idx="110">
                  <c:v>42389</c:v>
                </c:pt>
                <c:pt idx="111">
                  <c:v>42390</c:v>
                </c:pt>
                <c:pt idx="112">
                  <c:v>42391</c:v>
                </c:pt>
                <c:pt idx="113">
                  <c:v>42394</c:v>
                </c:pt>
                <c:pt idx="114">
                  <c:v>42395</c:v>
                </c:pt>
                <c:pt idx="115">
                  <c:v>42396</c:v>
                </c:pt>
                <c:pt idx="116">
                  <c:v>42397</c:v>
                </c:pt>
                <c:pt idx="117">
                  <c:v>42398</c:v>
                </c:pt>
                <c:pt idx="118">
                  <c:v>42401</c:v>
                </c:pt>
                <c:pt idx="119">
                  <c:v>42402</c:v>
                </c:pt>
                <c:pt idx="120">
                  <c:v>42403</c:v>
                </c:pt>
                <c:pt idx="121">
                  <c:v>42405</c:v>
                </c:pt>
                <c:pt idx="122">
                  <c:v>42408</c:v>
                </c:pt>
                <c:pt idx="123">
                  <c:v>42409</c:v>
                </c:pt>
                <c:pt idx="124">
                  <c:v>42410</c:v>
                </c:pt>
                <c:pt idx="125">
                  <c:v>42411</c:v>
                </c:pt>
                <c:pt idx="126">
                  <c:v>42412</c:v>
                </c:pt>
                <c:pt idx="127">
                  <c:v>42415</c:v>
                </c:pt>
                <c:pt idx="128">
                  <c:v>42416</c:v>
                </c:pt>
                <c:pt idx="129">
                  <c:v>42417</c:v>
                </c:pt>
                <c:pt idx="130">
                  <c:v>42418</c:v>
                </c:pt>
                <c:pt idx="131">
                  <c:v>42419</c:v>
                </c:pt>
                <c:pt idx="132">
                  <c:v>42423</c:v>
                </c:pt>
                <c:pt idx="133">
                  <c:v>42424</c:v>
                </c:pt>
                <c:pt idx="134">
                  <c:v>42425</c:v>
                </c:pt>
                <c:pt idx="135">
                  <c:v>42426</c:v>
                </c:pt>
                <c:pt idx="136">
                  <c:v>42429</c:v>
                </c:pt>
                <c:pt idx="137">
                  <c:v>42430</c:v>
                </c:pt>
                <c:pt idx="138">
                  <c:v>42431</c:v>
                </c:pt>
                <c:pt idx="139">
                  <c:v>42432</c:v>
                </c:pt>
                <c:pt idx="140">
                  <c:v>42433</c:v>
                </c:pt>
                <c:pt idx="141">
                  <c:v>42437</c:v>
                </c:pt>
                <c:pt idx="142">
                  <c:v>42438</c:v>
                </c:pt>
                <c:pt idx="143">
                  <c:v>42439</c:v>
                </c:pt>
                <c:pt idx="144">
                  <c:v>42440</c:v>
                </c:pt>
                <c:pt idx="145">
                  <c:v>42443</c:v>
                </c:pt>
                <c:pt idx="146">
                  <c:v>42444</c:v>
                </c:pt>
                <c:pt idx="147">
                  <c:v>42445</c:v>
                </c:pt>
                <c:pt idx="148">
                  <c:v>42446</c:v>
                </c:pt>
                <c:pt idx="149">
                  <c:v>42447</c:v>
                </c:pt>
                <c:pt idx="150">
                  <c:v>42450</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42475</c:v>
                </c:pt>
                <c:pt idx="166">
                  <c:v>42478</c:v>
                </c:pt>
                <c:pt idx="167">
                  <c:v>42479</c:v>
                </c:pt>
                <c:pt idx="168">
                  <c:v>42480</c:v>
                </c:pt>
                <c:pt idx="169">
                  <c:v>42482</c:v>
                </c:pt>
                <c:pt idx="170">
                  <c:v>42485</c:v>
                </c:pt>
                <c:pt idx="171">
                  <c:v>42486</c:v>
                </c:pt>
                <c:pt idx="172">
                  <c:v>42487</c:v>
                </c:pt>
                <c:pt idx="173">
                  <c:v>42488</c:v>
                </c:pt>
                <c:pt idx="174">
                  <c:v>42489</c:v>
                </c:pt>
                <c:pt idx="175">
                  <c:v>42493</c:v>
                </c:pt>
                <c:pt idx="176">
                  <c:v>42494</c:v>
                </c:pt>
                <c:pt idx="177">
                  <c:v>42495</c:v>
                </c:pt>
                <c:pt idx="178">
                  <c:v>42496</c:v>
                </c:pt>
                <c:pt idx="179">
                  <c:v>42499</c:v>
                </c:pt>
                <c:pt idx="180">
                  <c:v>42500</c:v>
                </c:pt>
                <c:pt idx="181">
                  <c:v>42501</c:v>
                </c:pt>
                <c:pt idx="182">
                  <c:v>42502</c:v>
                </c:pt>
                <c:pt idx="183">
                  <c:v>42503</c:v>
                </c:pt>
                <c:pt idx="184">
                  <c:v>42506</c:v>
                </c:pt>
                <c:pt idx="185">
                  <c:v>42507</c:v>
                </c:pt>
                <c:pt idx="186">
                  <c:v>42508</c:v>
                </c:pt>
                <c:pt idx="187">
                  <c:v>42509</c:v>
                </c:pt>
                <c:pt idx="188">
                  <c:v>42510</c:v>
                </c:pt>
                <c:pt idx="189">
                  <c:v>42514</c:v>
                </c:pt>
                <c:pt idx="190">
                  <c:v>42515</c:v>
                </c:pt>
                <c:pt idx="191">
                  <c:v>42516</c:v>
                </c:pt>
                <c:pt idx="192">
                  <c:v>42517</c:v>
                </c:pt>
                <c:pt idx="193">
                  <c:v>42520</c:v>
                </c:pt>
                <c:pt idx="194">
                  <c:v>42521</c:v>
                </c:pt>
                <c:pt idx="195">
                  <c:v>42522</c:v>
                </c:pt>
                <c:pt idx="196">
                  <c:v>42523</c:v>
                </c:pt>
                <c:pt idx="197">
                  <c:v>42524</c:v>
                </c:pt>
                <c:pt idx="198">
                  <c:v>42527</c:v>
                </c:pt>
                <c:pt idx="199">
                  <c:v>42528</c:v>
                </c:pt>
                <c:pt idx="200">
                  <c:v>42529</c:v>
                </c:pt>
                <c:pt idx="201">
                  <c:v>42530</c:v>
                </c:pt>
                <c:pt idx="202">
                  <c:v>42531</c:v>
                </c:pt>
                <c:pt idx="203">
                  <c:v>42534</c:v>
                </c:pt>
                <c:pt idx="204">
                  <c:v>42535</c:v>
                </c:pt>
                <c:pt idx="205">
                  <c:v>42536</c:v>
                </c:pt>
                <c:pt idx="206">
                  <c:v>42537</c:v>
                </c:pt>
                <c:pt idx="207">
                  <c:v>42538</c:v>
                </c:pt>
                <c:pt idx="208">
                  <c:v>42541</c:v>
                </c:pt>
                <c:pt idx="209">
                  <c:v>42542</c:v>
                </c:pt>
                <c:pt idx="210">
                  <c:v>42543</c:v>
                </c:pt>
                <c:pt idx="211">
                  <c:v>42544</c:v>
                </c:pt>
                <c:pt idx="212">
                  <c:v>42545</c:v>
                </c:pt>
                <c:pt idx="213">
                  <c:v>42548</c:v>
                </c:pt>
                <c:pt idx="214">
                  <c:v>42549</c:v>
                </c:pt>
                <c:pt idx="215">
                  <c:v>42555</c:v>
                </c:pt>
                <c:pt idx="216">
                  <c:v>42556</c:v>
                </c:pt>
                <c:pt idx="217">
                  <c:v>42558</c:v>
                </c:pt>
                <c:pt idx="218">
                  <c:v>42559</c:v>
                </c:pt>
                <c:pt idx="219">
                  <c:v>42562</c:v>
                </c:pt>
                <c:pt idx="220">
                  <c:v>42563</c:v>
                </c:pt>
                <c:pt idx="221">
                  <c:v>42564</c:v>
                </c:pt>
                <c:pt idx="222">
                  <c:v>42565</c:v>
                </c:pt>
                <c:pt idx="223">
                  <c:v>42566</c:v>
                </c:pt>
                <c:pt idx="224">
                  <c:v>42569</c:v>
                </c:pt>
                <c:pt idx="225">
                  <c:v>42571</c:v>
                </c:pt>
                <c:pt idx="226">
                  <c:v>42572</c:v>
                </c:pt>
                <c:pt idx="227">
                  <c:v>42573</c:v>
                </c:pt>
                <c:pt idx="228">
                  <c:v>42576</c:v>
                </c:pt>
                <c:pt idx="229">
                  <c:v>42577</c:v>
                </c:pt>
                <c:pt idx="230">
                  <c:v>42578</c:v>
                </c:pt>
                <c:pt idx="231">
                  <c:v>42579</c:v>
                </c:pt>
                <c:pt idx="232">
                  <c:v>42580</c:v>
                </c:pt>
                <c:pt idx="233">
                  <c:v>42583</c:v>
                </c:pt>
                <c:pt idx="234">
                  <c:v>42584</c:v>
                </c:pt>
              </c:numCache>
            </c:numRef>
          </c:cat>
          <c:val>
            <c:numRef>
              <c:f>'ACL N0000'!$G$1266:$G$1500</c:f>
              <c:numCache>
                <c:formatCode>General</c:formatCode>
                <c:ptCount val="235"/>
                <c:pt idx="0">
                  <c:v>55</c:v>
                </c:pt>
                <c:pt idx="1">
                  <c:v>57.45</c:v>
                </c:pt>
                <c:pt idx="2">
                  <c:v>57</c:v>
                </c:pt>
                <c:pt idx="3">
                  <c:v>56.05</c:v>
                </c:pt>
                <c:pt idx="4">
                  <c:v>56.55</c:v>
                </c:pt>
                <c:pt idx="5">
                  <c:v>60.3</c:v>
                </c:pt>
                <c:pt idx="6">
                  <c:v>61.8</c:v>
                </c:pt>
                <c:pt idx="7">
                  <c:v>60.05</c:v>
                </c:pt>
                <c:pt idx="8">
                  <c:v>59.4</c:v>
                </c:pt>
                <c:pt idx="9">
                  <c:v>60</c:v>
                </c:pt>
                <c:pt idx="10">
                  <c:v>57.6</c:v>
                </c:pt>
                <c:pt idx="11">
                  <c:v>55.05</c:v>
                </c:pt>
                <c:pt idx="12">
                  <c:v>55.75</c:v>
                </c:pt>
                <c:pt idx="13">
                  <c:v>57</c:v>
                </c:pt>
                <c:pt idx="14">
                  <c:v>58.1</c:v>
                </c:pt>
                <c:pt idx="15">
                  <c:v>57</c:v>
                </c:pt>
                <c:pt idx="16">
                  <c:v>57.4</c:v>
                </c:pt>
                <c:pt idx="17">
                  <c:v>56.25</c:v>
                </c:pt>
                <c:pt idx="18">
                  <c:v>57</c:v>
                </c:pt>
                <c:pt idx="19">
                  <c:v>56.1</c:v>
                </c:pt>
                <c:pt idx="20">
                  <c:v>53.75</c:v>
                </c:pt>
                <c:pt idx="21">
                  <c:v>53.6</c:v>
                </c:pt>
                <c:pt idx="22">
                  <c:v>55.45</c:v>
                </c:pt>
                <c:pt idx="23">
                  <c:v>54</c:v>
                </c:pt>
                <c:pt idx="24">
                  <c:v>54</c:v>
                </c:pt>
                <c:pt idx="25">
                  <c:v>54</c:v>
                </c:pt>
                <c:pt idx="26">
                  <c:v>54.5</c:v>
                </c:pt>
                <c:pt idx="27">
                  <c:v>53.85</c:v>
                </c:pt>
                <c:pt idx="28">
                  <c:v>54.05</c:v>
                </c:pt>
                <c:pt idx="30">
                  <c:v>54.4</c:v>
                </c:pt>
                <c:pt idx="31">
                  <c:v>54.95</c:v>
                </c:pt>
                <c:pt idx="32">
                  <c:v>54.55</c:v>
                </c:pt>
                <c:pt idx="33">
                  <c:v>54.45</c:v>
                </c:pt>
                <c:pt idx="34">
                  <c:v>54.2</c:v>
                </c:pt>
                <c:pt idx="35">
                  <c:v>54</c:v>
                </c:pt>
                <c:pt idx="36">
                  <c:v>54.5</c:v>
                </c:pt>
                <c:pt idx="37">
                  <c:v>54.2</c:v>
                </c:pt>
                <c:pt idx="38">
                  <c:v>54.45</c:v>
                </c:pt>
                <c:pt idx="39">
                  <c:v>57.05</c:v>
                </c:pt>
                <c:pt idx="40">
                  <c:v>59.9</c:v>
                </c:pt>
                <c:pt idx="41">
                  <c:v>61.55</c:v>
                </c:pt>
                <c:pt idx="42">
                  <c:v>60.55</c:v>
                </c:pt>
                <c:pt idx="43">
                  <c:v>60.8</c:v>
                </c:pt>
                <c:pt idx="44">
                  <c:v>63.4</c:v>
                </c:pt>
                <c:pt idx="45">
                  <c:v>63.35</c:v>
                </c:pt>
                <c:pt idx="46">
                  <c:v>62.1</c:v>
                </c:pt>
                <c:pt idx="47">
                  <c:v>61.05</c:v>
                </c:pt>
                <c:pt idx="48">
                  <c:v>59.8</c:v>
                </c:pt>
                <c:pt idx="49">
                  <c:v>59.75</c:v>
                </c:pt>
                <c:pt idx="50">
                  <c:v>59.8</c:v>
                </c:pt>
                <c:pt idx="51">
                  <c:v>60.25</c:v>
                </c:pt>
                <c:pt idx="52">
                  <c:v>61</c:v>
                </c:pt>
                <c:pt idx="53">
                  <c:v>59.9</c:v>
                </c:pt>
                <c:pt idx="54">
                  <c:v>60.3</c:v>
                </c:pt>
                <c:pt idx="55">
                  <c:v>60.3</c:v>
                </c:pt>
                <c:pt idx="56">
                  <c:v>60</c:v>
                </c:pt>
                <c:pt idx="57">
                  <c:v>59.8</c:v>
                </c:pt>
                <c:pt idx="58">
                  <c:v>59.5</c:v>
                </c:pt>
                <c:pt idx="59">
                  <c:v>59.5</c:v>
                </c:pt>
                <c:pt idx="60">
                  <c:v>59.35</c:v>
                </c:pt>
                <c:pt idx="61">
                  <c:v>57.5</c:v>
                </c:pt>
                <c:pt idx="62">
                  <c:v>58.45</c:v>
                </c:pt>
                <c:pt idx="63">
                  <c:v>60</c:v>
                </c:pt>
                <c:pt idx="64">
                  <c:v>60</c:v>
                </c:pt>
                <c:pt idx="65">
                  <c:v>59.4</c:v>
                </c:pt>
                <c:pt idx="66">
                  <c:v>59.6</c:v>
                </c:pt>
                <c:pt idx="67">
                  <c:v>59.9</c:v>
                </c:pt>
                <c:pt idx="68">
                  <c:v>58.8</c:v>
                </c:pt>
                <c:pt idx="69">
                  <c:v>58.45</c:v>
                </c:pt>
                <c:pt idx="70">
                  <c:v>58.5</c:v>
                </c:pt>
                <c:pt idx="71">
                  <c:v>59.45</c:v>
                </c:pt>
                <c:pt idx="72">
                  <c:v>60</c:v>
                </c:pt>
                <c:pt idx="73">
                  <c:v>60</c:v>
                </c:pt>
                <c:pt idx="74">
                  <c:v>59.5</c:v>
                </c:pt>
                <c:pt idx="75">
                  <c:v>58.4</c:v>
                </c:pt>
                <c:pt idx="76">
                  <c:v>58.65</c:v>
                </c:pt>
                <c:pt idx="77">
                  <c:v>58.5</c:v>
                </c:pt>
                <c:pt idx="78">
                  <c:v>59.55</c:v>
                </c:pt>
                <c:pt idx="79">
                  <c:v>58.65</c:v>
                </c:pt>
                <c:pt idx="80">
                  <c:v>59</c:v>
                </c:pt>
                <c:pt idx="81">
                  <c:v>58.35</c:v>
                </c:pt>
                <c:pt idx="82">
                  <c:v>58.15</c:v>
                </c:pt>
                <c:pt idx="83">
                  <c:v>58.45</c:v>
                </c:pt>
                <c:pt idx="84">
                  <c:v>57.8</c:v>
                </c:pt>
                <c:pt idx="85">
                  <c:v>57.75</c:v>
                </c:pt>
                <c:pt idx="86">
                  <c:v>58.45</c:v>
                </c:pt>
                <c:pt idx="87">
                  <c:v>58.35</c:v>
                </c:pt>
                <c:pt idx="88">
                  <c:v>58.15</c:v>
                </c:pt>
                <c:pt idx="89">
                  <c:v>58.25</c:v>
                </c:pt>
                <c:pt idx="90">
                  <c:v>59.7</c:v>
                </c:pt>
                <c:pt idx="91">
                  <c:v>59.9</c:v>
                </c:pt>
                <c:pt idx="92">
                  <c:v>59.65</c:v>
                </c:pt>
                <c:pt idx="93">
                  <c:v>59.65</c:v>
                </c:pt>
                <c:pt idx="94">
                  <c:v>59.7</c:v>
                </c:pt>
                <c:pt idx="95">
                  <c:v>59.3</c:v>
                </c:pt>
                <c:pt idx="96">
                  <c:v>59.8</c:v>
                </c:pt>
                <c:pt idx="97">
                  <c:v>60.1</c:v>
                </c:pt>
                <c:pt idx="98">
                  <c:v>60.45</c:v>
                </c:pt>
                <c:pt idx="99">
                  <c:v>60.25</c:v>
                </c:pt>
                <c:pt idx="100">
                  <c:v>59.6</c:v>
                </c:pt>
                <c:pt idx="101">
                  <c:v>59.55</c:v>
                </c:pt>
                <c:pt idx="102">
                  <c:v>59.25</c:v>
                </c:pt>
                <c:pt idx="103">
                  <c:v>58.2</c:v>
                </c:pt>
                <c:pt idx="104">
                  <c:v>57</c:v>
                </c:pt>
                <c:pt idx="105">
                  <c:v>55.95</c:v>
                </c:pt>
                <c:pt idx="106">
                  <c:v>56.2</c:v>
                </c:pt>
                <c:pt idx="107">
                  <c:v>55.5</c:v>
                </c:pt>
                <c:pt idx="108">
                  <c:v>51.85</c:v>
                </c:pt>
                <c:pt idx="109">
                  <c:v>52.15</c:v>
                </c:pt>
                <c:pt idx="110">
                  <c:v>52.7</c:v>
                </c:pt>
                <c:pt idx="111">
                  <c:v>54.7</c:v>
                </c:pt>
                <c:pt idx="112">
                  <c:v>54.95</c:v>
                </c:pt>
                <c:pt idx="113">
                  <c:v>55.65</c:v>
                </c:pt>
                <c:pt idx="114">
                  <c:v>54.75</c:v>
                </c:pt>
                <c:pt idx="115">
                  <c:v>55.7</c:v>
                </c:pt>
                <c:pt idx="116">
                  <c:v>55.35</c:v>
                </c:pt>
                <c:pt idx="117">
                  <c:v>56</c:v>
                </c:pt>
                <c:pt idx="118">
                  <c:v>57.3</c:v>
                </c:pt>
                <c:pt idx="119">
                  <c:v>57.9</c:v>
                </c:pt>
                <c:pt idx="120">
                  <c:v>57.65</c:v>
                </c:pt>
                <c:pt idx="121">
                  <c:v>58.4</c:v>
                </c:pt>
                <c:pt idx="122">
                  <c:v>57.85</c:v>
                </c:pt>
                <c:pt idx="123">
                  <c:v>57.45</c:v>
                </c:pt>
                <c:pt idx="124">
                  <c:v>57.65</c:v>
                </c:pt>
                <c:pt idx="125">
                  <c:v>57</c:v>
                </c:pt>
                <c:pt idx="126">
                  <c:v>55.7</c:v>
                </c:pt>
                <c:pt idx="127">
                  <c:v>54.55</c:v>
                </c:pt>
                <c:pt idx="128">
                  <c:v>53.55</c:v>
                </c:pt>
                <c:pt idx="129">
                  <c:v>52.45</c:v>
                </c:pt>
                <c:pt idx="130">
                  <c:v>51.5</c:v>
                </c:pt>
                <c:pt idx="131">
                  <c:v>51.55</c:v>
                </c:pt>
                <c:pt idx="132">
                  <c:v>51.45</c:v>
                </c:pt>
                <c:pt idx="133">
                  <c:v>51.2</c:v>
                </c:pt>
                <c:pt idx="134">
                  <c:v>51.5</c:v>
                </c:pt>
                <c:pt idx="135">
                  <c:v>51.25</c:v>
                </c:pt>
                <c:pt idx="136">
                  <c:v>51</c:v>
                </c:pt>
                <c:pt idx="137">
                  <c:v>50</c:v>
                </c:pt>
                <c:pt idx="138">
                  <c:v>50</c:v>
                </c:pt>
                <c:pt idx="139">
                  <c:v>50.3</c:v>
                </c:pt>
                <c:pt idx="140">
                  <c:v>50.8</c:v>
                </c:pt>
                <c:pt idx="141">
                  <c:v>48.35</c:v>
                </c:pt>
                <c:pt idx="142">
                  <c:v>46.9</c:v>
                </c:pt>
                <c:pt idx="143">
                  <c:v>49.1</c:v>
                </c:pt>
                <c:pt idx="144">
                  <c:v>50.35</c:v>
                </c:pt>
                <c:pt idx="145">
                  <c:v>49.85</c:v>
                </c:pt>
                <c:pt idx="146">
                  <c:v>49.8</c:v>
                </c:pt>
                <c:pt idx="147">
                  <c:v>51.15</c:v>
                </c:pt>
                <c:pt idx="148">
                  <c:v>52.5</c:v>
                </c:pt>
                <c:pt idx="149">
                  <c:v>52.5</c:v>
                </c:pt>
                <c:pt idx="150">
                  <c:v>51.7</c:v>
                </c:pt>
                <c:pt idx="151">
                  <c:v>51.7</c:v>
                </c:pt>
                <c:pt idx="152">
                  <c:v>51.7</c:v>
                </c:pt>
                <c:pt idx="153">
                  <c:v>51.7</c:v>
                </c:pt>
                <c:pt idx="154">
                  <c:v>49.05</c:v>
                </c:pt>
                <c:pt idx="155">
                  <c:v>50.5</c:v>
                </c:pt>
                <c:pt idx="156">
                  <c:v>50.45</c:v>
                </c:pt>
                <c:pt idx="157">
                  <c:v>50.05</c:v>
                </c:pt>
                <c:pt idx="158">
                  <c:v>50.25</c:v>
                </c:pt>
                <c:pt idx="159">
                  <c:v>51.5</c:v>
                </c:pt>
                <c:pt idx="160">
                  <c:v>51.65</c:v>
                </c:pt>
                <c:pt idx="161">
                  <c:v>52.45</c:v>
                </c:pt>
                <c:pt idx="162">
                  <c:v>53.6</c:v>
                </c:pt>
                <c:pt idx="163">
                  <c:v>53.45</c:v>
                </c:pt>
                <c:pt idx="164">
                  <c:v>53.5</c:v>
                </c:pt>
                <c:pt idx="165">
                  <c:v>53.4</c:v>
                </c:pt>
                <c:pt idx="166">
                  <c:v>53.7</c:v>
                </c:pt>
                <c:pt idx="167">
                  <c:v>53.5</c:v>
                </c:pt>
                <c:pt idx="168">
                  <c:v>54.25</c:v>
                </c:pt>
                <c:pt idx="169">
                  <c:v>56.2</c:v>
                </c:pt>
                <c:pt idx="170">
                  <c:v>56</c:v>
                </c:pt>
                <c:pt idx="171">
                  <c:v>56.45</c:v>
                </c:pt>
                <c:pt idx="172">
                  <c:v>56.45</c:v>
                </c:pt>
                <c:pt idx="173">
                  <c:v>56.6</c:v>
                </c:pt>
                <c:pt idx="174">
                  <c:v>56.5</c:v>
                </c:pt>
                <c:pt idx="175">
                  <c:v>56.5</c:v>
                </c:pt>
                <c:pt idx="176">
                  <c:v>56.5</c:v>
                </c:pt>
                <c:pt idx="177">
                  <c:v>56.25</c:v>
                </c:pt>
                <c:pt idx="178">
                  <c:v>56.5</c:v>
                </c:pt>
                <c:pt idx="179">
                  <c:v>55.6</c:v>
                </c:pt>
                <c:pt idx="180">
                  <c:v>56.9</c:v>
                </c:pt>
                <c:pt idx="181">
                  <c:v>58.5</c:v>
                </c:pt>
                <c:pt idx="182">
                  <c:v>61.95</c:v>
                </c:pt>
                <c:pt idx="183">
                  <c:v>62.2</c:v>
                </c:pt>
                <c:pt idx="184">
                  <c:v>61.95</c:v>
                </c:pt>
                <c:pt idx="185">
                  <c:v>61.45</c:v>
                </c:pt>
                <c:pt idx="186">
                  <c:v>61.5</c:v>
                </c:pt>
                <c:pt idx="187">
                  <c:v>62.1</c:v>
                </c:pt>
                <c:pt idx="188">
                  <c:v>61.8</c:v>
                </c:pt>
                <c:pt idx="189">
                  <c:v>61.2</c:v>
                </c:pt>
                <c:pt idx="190">
                  <c:v>61.15</c:v>
                </c:pt>
                <c:pt idx="191">
                  <c:v>60.8</c:v>
                </c:pt>
                <c:pt idx="192">
                  <c:v>60.9</c:v>
                </c:pt>
                <c:pt idx="193">
                  <c:v>59.6</c:v>
                </c:pt>
                <c:pt idx="194">
                  <c:v>58.85</c:v>
                </c:pt>
                <c:pt idx="195">
                  <c:v>59.4</c:v>
                </c:pt>
                <c:pt idx="196">
                  <c:v>59.45</c:v>
                </c:pt>
                <c:pt idx="197">
                  <c:v>58.75</c:v>
                </c:pt>
                <c:pt idx="198">
                  <c:v>60</c:v>
                </c:pt>
                <c:pt idx="199">
                  <c:v>59.5</c:v>
                </c:pt>
                <c:pt idx="200">
                  <c:v>59.5</c:v>
                </c:pt>
                <c:pt idx="201">
                  <c:v>59</c:v>
                </c:pt>
                <c:pt idx="202">
                  <c:v>59.5</c:v>
                </c:pt>
                <c:pt idx="203">
                  <c:v>59.15</c:v>
                </c:pt>
                <c:pt idx="204">
                  <c:v>58.8</c:v>
                </c:pt>
                <c:pt idx="205">
                  <c:v>58.65</c:v>
                </c:pt>
                <c:pt idx="206">
                  <c:v>57.8</c:v>
                </c:pt>
                <c:pt idx="207">
                  <c:v>57.9</c:v>
                </c:pt>
                <c:pt idx="208">
                  <c:v>58.1</c:v>
                </c:pt>
                <c:pt idx="209">
                  <c:v>58</c:v>
                </c:pt>
                <c:pt idx="210">
                  <c:v>58.3</c:v>
                </c:pt>
                <c:pt idx="211">
                  <c:v>57.95</c:v>
                </c:pt>
                <c:pt idx="212">
                  <c:v>57.75</c:v>
                </c:pt>
                <c:pt idx="213">
                  <c:v>57</c:v>
                </c:pt>
                <c:pt idx="214">
                  <c:v>57.5</c:v>
                </c:pt>
                <c:pt idx="215">
                  <c:v>57.5</c:v>
                </c:pt>
                <c:pt idx="216">
                  <c:v>56</c:v>
                </c:pt>
                <c:pt idx="217">
                  <c:v>58.4</c:v>
                </c:pt>
                <c:pt idx="218">
                  <c:v>58.3</c:v>
                </c:pt>
                <c:pt idx="219">
                  <c:v>59.5</c:v>
                </c:pt>
                <c:pt idx="220">
                  <c:v>58.3</c:v>
                </c:pt>
                <c:pt idx="221">
                  <c:v>58.2</c:v>
                </c:pt>
                <c:pt idx="222">
                  <c:v>58.1</c:v>
                </c:pt>
                <c:pt idx="223">
                  <c:v>58</c:v>
                </c:pt>
                <c:pt idx="224">
                  <c:v>58</c:v>
                </c:pt>
                <c:pt idx="225">
                  <c:v>58</c:v>
                </c:pt>
                <c:pt idx="226">
                  <c:v>58</c:v>
                </c:pt>
                <c:pt idx="227">
                  <c:v>58.6</c:v>
                </c:pt>
                <c:pt idx="228">
                  <c:v>58.5</c:v>
                </c:pt>
                <c:pt idx="229">
                  <c:v>58.9</c:v>
                </c:pt>
                <c:pt idx="230">
                  <c:v>58.4</c:v>
                </c:pt>
                <c:pt idx="231">
                  <c:v>59</c:v>
                </c:pt>
                <c:pt idx="232">
                  <c:v>59.4</c:v>
                </c:pt>
                <c:pt idx="233">
                  <c:v>59.3</c:v>
                </c:pt>
                <c:pt idx="234">
                  <c:v>59.8</c:v>
                </c:pt>
              </c:numCache>
            </c:numRef>
          </c:val>
          <c:smooth val="0"/>
          <c:extLst>
            <c:ext xmlns:c16="http://schemas.microsoft.com/office/drawing/2014/chart" uri="{C3380CC4-5D6E-409C-BE32-E72D297353CC}">
              <c16:uniqueId val="{00000001-E2F9-49D4-A7AF-53CF9F363072}"/>
            </c:ext>
          </c:extLst>
        </c:ser>
        <c:dLbls>
          <c:showLegendKey val="0"/>
          <c:showVal val="0"/>
          <c:showCatName val="0"/>
          <c:showSerName val="0"/>
          <c:showPercent val="0"/>
          <c:showBubbleSize val="0"/>
        </c:dLbls>
        <c:marker val="1"/>
        <c:smooth val="0"/>
        <c:axId val="116896896"/>
        <c:axId val="116898432"/>
      </c:lineChart>
      <c:dateAx>
        <c:axId val="116896896"/>
        <c:scaling>
          <c:orientation val="minMax"/>
        </c:scaling>
        <c:delete val="0"/>
        <c:axPos val="b"/>
        <c:numFmt formatCode="[$-409]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16898432"/>
        <c:crosses val="autoZero"/>
        <c:auto val="1"/>
        <c:lblOffset val="100"/>
        <c:baseTimeUnit val="days"/>
        <c:majorUnit val="2"/>
        <c:majorTimeUnit val="months"/>
        <c:minorUnit val="1"/>
        <c:minorTimeUnit val="days"/>
      </c:dateAx>
      <c:valAx>
        <c:axId val="1168984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16896896"/>
        <c:crosses val="autoZero"/>
        <c:crossBetween val="between"/>
      </c:valAx>
      <c:valAx>
        <c:axId val="116912512"/>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16914432"/>
        <c:crosses val="max"/>
        <c:crossBetween val="between"/>
        <c:majorUnit val="200000"/>
        <c:dispUnits>
          <c:builtInUnit val="thousands"/>
          <c:dispUnitsLbl>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dispUnitsLbl>
        </c:dispUnits>
      </c:valAx>
      <c:dateAx>
        <c:axId val="116914432"/>
        <c:scaling>
          <c:orientation val="minMax"/>
        </c:scaling>
        <c:delete val="1"/>
        <c:axPos val="b"/>
        <c:numFmt formatCode="m/d/yyyy" sourceLinked="1"/>
        <c:majorTickMark val="out"/>
        <c:minorTickMark val="none"/>
        <c:tickLblPos val="nextTo"/>
        <c:crossAx val="116912512"/>
        <c:crosses val="autoZero"/>
        <c:auto val="1"/>
        <c:lblOffset val="100"/>
        <c:baseTimeUnit val="days"/>
      </c:dateAx>
      <c:spPr>
        <a:noFill/>
        <a:ln>
          <a:noFill/>
        </a:ln>
        <a:effectLst/>
      </c:spPr>
    </c:plotArea>
    <c:legend>
      <c:legendPos val="b"/>
      <c:layout>
        <c:manualLayout>
          <c:xMode val="edge"/>
          <c:yMode val="edge"/>
          <c:x val="0.1852762467191601"/>
          <c:y val="0.91066819772528429"/>
          <c:w val="0.61833617672790897"/>
          <c:h val="8.9331802274715655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7379921259842513E-2"/>
          <c:y val="5.4236293379994166E-2"/>
          <c:w val="0.76174386822336859"/>
          <c:h val="0.68736267126286699"/>
        </c:manualLayout>
      </c:layout>
      <c:areaChart>
        <c:grouping val="standard"/>
        <c:varyColors val="0"/>
        <c:ser>
          <c:idx val="4"/>
          <c:order val="1"/>
          <c:tx>
            <c:strRef>
              <c:f>'ACL N0000'!$H$3</c:f>
              <c:strCache>
                <c:ptCount val="1"/>
                <c:pt idx="0">
                  <c:v>Volume (RHS)</c:v>
                </c:pt>
              </c:strCache>
            </c:strRef>
          </c:tx>
          <c:spPr>
            <a:solidFill>
              <a:srgbClr val="FFC000"/>
            </a:solidFill>
            <a:ln w="25400">
              <a:solidFill>
                <a:srgbClr val="FFC000"/>
              </a:solidFill>
            </a:ln>
            <a:effectLst/>
          </c:spPr>
          <c:cat>
            <c:numRef>
              <c:f>'ACL N0000'!$B$1583:$B$1828</c:f>
              <c:numCache>
                <c:formatCode>[$-409]d\-mmm\-yy;@</c:formatCode>
                <c:ptCount val="246"/>
                <c:pt idx="0">
                  <c:v>42705</c:v>
                </c:pt>
                <c:pt idx="1">
                  <c:v>42706</c:v>
                </c:pt>
                <c:pt idx="2">
                  <c:v>42709</c:v>
                </c:pt>
                <c:pt idx="3">
                  <c:v>42710</c:v>
                </c:pt>
                <c:pt idx="4">
                  <c:v>42711</c:v>
                </c:pt>
                <c:pt idx="5">
                  <c:v>42712</c:v>
                </c:pt>
                <c:pt idx="6">
                  <c:v>42713</c:v>
                </c:pt>
                <c:pt idx="7">
                  <c:v>42718</c:v>
                </c:pt>
                <c:pt idx="8">
                  <c:v>42719</c:v>
                </c:pt>
                <c:pt idx="9">
                  <c:v>42720</c:v>
                </c:pt>
                <c:pt idx="10">
                  <c:v>42723</c:v>
                </c:pt>
                <c:pt idx="11">
                  <c:v>42724</c:v>
                </c:pt>
                <c:pt idx="12">
                  <c:v>42725</c:v>
                </c:pt>
                <c:pt idx="13">
                  <c:v>42726</c:v>
                </c:pt>
                <c:pt idx="14">
                  <c:v>42727</c:v>
                </c:pt>
                <c:pt idx="15">
                  <c:v>42731</c:v>
                </c:pt>
                <c:pt idx="16">
                  <c:v>42732</c:v>
                </c:pt>
                <c:pt idx="17">
                  <c:v>42733</c:v>
                </c:pt>
                <c:pt idx="18">
                  <c:v>42734</c:v>
                </c:pt>
                <c:pt idx="19">
                  <c:v>42737</c:v>
                </c:pt>
                <c:pt idx="20">
                  <c:v>42738</c:v>
                </c:pt>
                <c:pt idx="21">
                  <c:v>42739</c:v>
                </c:pt>
                <c:pt idx="22">
                  <c:v>42740</c:v>
                </c:pt>
                <c:pt idx="23">
                  <c:v>42741</c:v>
                </c:pt>
                <c:pt idx="24">
                  <c:v>42744</c:v>
                </c:pt>
                <c:pt idx="25">
                  <c:v>42745</c:v>
                </c:pt>
                <c:pt idx="26">
                  <c:v>42746</c:v>
                </c:pt>
                <c:pt idx="27">
                  <c:v>42748</c:v>
                </c:pt>
                <c:pt idx="28">
                  <c:v>42751</c:v>
                </c:pt>
                <c:pt idx="29">
                  <c:v>42752</c:v>
                </c:pt>
                <c:pt idx="30">
                  <c:v>42753</c:v>
                </c:pt>
                <c:pt idx="31">
                  <c:v>42754</c:v>
                </c:pt>
                <c:pt idx="32">
                  <c:v>42755</c:v>
                </c:pt>
                <c:pt idx="33">
                  <c:v>42758</c:v>
                </c:pt>
                <c:pt idx="34">
                  <c:v>42759</c:v>
                </c:pt>
                <c:pt idx="35">
                  <c:v>42760</c:v>
                </c:pt>
                <c:pt idx="36">
                  <c:v>42761</c:v>
                </c:pt>
                <c:pt idx="37">
                  <c:v>42762</c:v>
                </c:pt>
                <c:pt idx="38">
                  <c:v>42765</c:v>
                </c:pt>
                <c:pt idx="39">
                  <c:v>42766</c:v>
                </c:pt>
                <c:pt idx="40">
                  <c:v>42767</c:v>
                </c:pt>
                <c:pt idx="41">
                  <c:v>42768</c:v>
                </c:pt>
                <c:pt idx="42">
                  <c:v>42769</c:v>
                </c:pt>
                <c:pt idx="43">
                  <c:v>42772</c:v>
                </c:pt>
                <c:pt idx="44">
                  <c:v>42773</c:v>
                </c:pt>
                <c:pt idx="45">
                  <c:v>42774</c:v>
                </c:pt>
                <c:pt idx="46">
                  <c:v>42775</c:v>
                </c:pt>
                <c:pt idx="47">
                  <c:v>42779</c:v>
                </c:pt>
                <c:pt idx="48">
                  <c:v>42780</c:v>
                </c:pt>
                <c:pt idx="49">
                  <c:v>42781</c:v>
                </c:pt>
                <c:pt idx="50">
                  <c:v>42782</c:v>
                </c:pt>
                <c:pt idx="51">
                  <c:v>42783</c:v>
                </c:pt>
                <c:pt idx="52">
                  <c:v>42786</c:v>
                </c:pt>
                <c:pt idx="53">
                  <c:v>42787</c:v>
                </c:pt>
                <c:pt idx="54">
                  <c:v>42788</c:v>
                </c:pt>
                <c:pt idx="55">
                  <c:v>42789</c:v>
                </c:pt>
                <c:pt idx="56">
                  <c:v>42793</c:v>
                </c:pt>
                <c:pt idx="57">
                  <c:v>42794</c:v>
                </c:pt>
                <c:pt idx="58">
                  <c:v>42795</c:v>
                </c:pt>
                <c:pt idx="59">
                  <c:v>42796</c:v>
                </c:pt>
                <c:pt idx="60">
                  <c:v>42797</c:v>
                </c:pt>
                <c:pt idx="61">
                  <c:v>42800</c:v>
                </c:pt>
                <c:pt idx="62">
                  <c:v>42801</c:v>
                </c:pt>
                <c:pt idx="63">
                  <c:v>42802</c:v>
                </c:pt>
                <c:pt idx="64">
                  <c:v>42803</c:v>
                </c:pt>
                <c:pt idx="65">
                  <c:v>42804</c:v>
                </c:pt>
                <c:pt idx="66">
                  <c:v>42807</c:v>
                </c:pt>
                <c:pt idx="67">
                  <c:v>42808</c:v>
                </c:pt>
                <c:pt idx="68">
                  <c:v>42809</c:v>
                </c:pt>
                <c:pt idx="69">
                  <c:v>42810</c:v>
                </c:pt>
                <c:pt idx="70">
                  <c:v>42811</c:v>
                </c:pt>
                <c:pt idx="71">
                  <c:v>42814</c:v>
                </c:pt>
                <c:pt idx="72">
                  <c:v>42815</c:v>
                </c:pt>
                <c:pt idx="73">
                  <c:v>42816</c:v>
                </c:pt>
                <c:pt idx="74">
                  <c:v>42817</c:v>
                </c:pt>
                <c:pt idx="75">
                  <c:v>42818</c:v>
                </c:pt>
                <c:pt idx="76">
                  <c:v>42821</c:v>
                </c:pt>
                <c:pt idx="77">
                  <c:v>42822</c:v>
                </c:pt>
                <c:pt idx="78">
                  <c:v>42823</c:v>
                </c:pt>
                <c:pt idx="79">
                  <c:v>42824</c:v>
                </c:pt>
                <c:pt idx="80">
                  <c:v>42825</c:v>
                </c:pt>
                <c:pt idx="81">
                  <c:v>42828</c:v>
                </c:pt>
                <c:pt idx="82">
                  <c:v>42829</c:v>
                </c:pt>
                <c:pt idx="83">
                  <c:v>42830</c:v>
                </c:pt>
                <c:pt idx="84">
                  <c:v>42831</c:v>
                </c:pt>
                <c:pt idx="85">
                  <c:v>42832</c:v>
                </c:pt>
                <c:pt idx="86">
                  <c:v>42836</c:v>
                </c:pt>
                <c:pt idx="87">
                  <c:v>42837</c:v>
                </c:pt>
                <c:pt idx="88">
                  <c:v>42842</c:v>
                </c:pt>
                <c:pt idx="89">
                  <c:v>42843</c:v>
                </c:pt>
                <c:pt idx="90">
                  <c:v>42844</c:v>
                </c:pt>
                <c:pt idx="91">
                  <c:v>42845</c:v>
                </c:pt>
                <c:pt idx="92">
                  <c:v>42846</c:v>
                </c:pt>
                <c:pt idx="93">
                  <c:v>42849</c:v>
                </c:pt>
                <c:pt idx="94">
                  <c:v>42850</c:v>
                </c:pt>
                <c:pt idx="95">
                  <c:v>42851</c:v>
                </c:pt>
                <c:pt idx="96">
                  <c:v>42852</c:v>
                </c:pt>
                <c:pt idx="97">
                  <c:v>42853</c:v>
                </c:pt>
                <c:pt idx="98">
                  <c:v>42857</c:v>
                </c:pt>
                <c:pt idx="99">
                  <c:v>42858</c:v>
                </c:pt>
                <c:pt idx="100">
                  <c:v>42859</c:v>
                </c:pt>
                <c:pt idx="101">
                  <c:v>42860</c:v>
                </c:pt>
                <c:pt idx="102">
                  <c:v>42863</c:v>
                </c:pt>
                <c:pt idx="103">
                  <c:v>42864</c:v>
                </c:pt>
                <c:pt idx="104">
                  <c:v>42867</c:v>
                </c:pt>
                <c:pt idx="105">
                  <c:v>42870</c:v>
                </c:pt>
                <c:pt idx="106">
                  <c:v>42871</c:v>
                </c:pt>
                <c:pt idx="107">
                  <c:v>42872</c:v>
                </c:pt>
                <c:pt idx="108">
                  <c:v>42873</c:v>
                </c:pt>
                <c:pt idx="109">
                  <c:v>42874</c:v>
                </c:pt>
                <c:pt idx="110">
                  <c:v>42877</c:v>
                </c:pt>
                <c:pt idx="111">
                  <c:v>42878</c:v>
                </c:pt>
                <c:pt idx="112">
                  <c:v>42879</c:v>
                </c:pt>
                <c:pt idx="113">
                  <c:v>42880</c:v>
                </c:pt>
                <c:pt idx="114">
                  <c:v>42881</c:v>
                </c:pt>
                <c:pt idx="115">
                  <c:v>42884</c:v>
                </c:pt>
                <c:pt idx="116">
                  <c:v>42885</c:v>
                </c:pt>
                <c:pt idx="117">
                  <c:v>42886</c:v>
                </c:pt>
                <c:pt idx="118">
                  <c:v>42887</c:v>
                </c:pt>
                <c:pt idx="119">
                  <c:v>42888</c:v>
                </c:pt>
                <c:pt idx="120">
                  <c:v>42891</c:v>
                </c:pt>
                <c:pt idx="121">
                  <c:v>42892</c:v>
                </c:pt>
                <c:pt idx="122">
                  <c:v>42893</c:v>
                </c:pt>
                <c:pt idx="123">
                  <c:v>42895</c:v>
                </c:pt>
                <c:pt idx="124">
                  <c:v>42898</c:v>
                </c:pt>
                <c:pt idx="125">
                  <c:v>42899</c:v>
                </c:pt>
                <c:pt idx="126">
                  <c:v>42900</c:v>
                </c:pt>
                <c:pt idx="127">
                  <c:v>42901</c:v>
                </c:pt>
                <c:pt idx="128">
                  <c:v>42902</c:v>
                </c:pt>
                <c:pt idx="129">
                  <c:v>42905</c:v>
                </c:pt>
                <c:pt idx="130">
                  <c:v>42906</c:v>
                </c:pt>
                <c:pt idx="131">
                  <c:v>42907</c:v>
                </c:pt>
                <c:pt idx="132">
                  <c:v>42908</c:v>
                </c:pt>
                <c:pt idx="133">
                  <c:v>42909</c:v>
                </c:pt>
                <c:pt idx="134">
                  <c:v>42913</c:v>
                </c:pt>
                <c:pt idx="135">
                  <c:v>42914</c:v>
                </c:pt>
                <c:pt idx="136">
                  <c:v>42915</c:v>
                </c:pt>
                <c:pt idx="137">
                  <c:v>42916</c:v>
                </c:pt>
                <c:pt idx="138">
                  <c:v>42919</c:v>
                </c:pt>
                <c:pt idx="139">
                  <c:v>42920</c:v>
                </c:pt>
                <c:pt idx="140">
                  <c:v>42921</c:v>
                </c:pt>
                <c:pt idx="141">
                  <c:v>42922</c:v>
                </c:pt>
                <c:pt idx="142">
                  <c:v>42922</c:v>
                </c:pt>
                <c:pt idx="143">
                  <c:v>42923</c:v>
                </c:pt>
                <c:pt idx="144">
                  <c:v>42926</c:v>
                </c:pt>
                <c:pt idx="145">
                  <c:v>42927</c:v>
                </c:pt>
                <c:pt idx="146">
                  <c:v>42928</c:v>
                </c:pt>
                <c:pt idx="147">
                  <c:v>42929</c:v>
                </c:pt>
                <c:pt idx="148">
                  <c:v>42930</c:v>
                </c:pt>
                <c:pt idx="149">
                  <c:v>42933</c:v>
                </c:pt>
                <c:pt idx="150">
                  <c:v>42934</c:v>
                </c:pt>
                <c:pt idx="151">
                  <c:v>42935</c:v>
                </c:pt>
                <c:pt idx="152">
                  <c:v>42936</c:v>
                </c:pt>
                <c:pt idx="153">
                  <c:v>42937</c:v>
                </c:pt>
                <c:pt idx="154">
                  <c:v>42940</c:v>
                </c:pt>
                <c:pt idx="155">
                  <c:v>42941</c:v>
                </c:pt>
                <c:pt idx="156">
                  <c:v>42942</c:v>
                </c:pt>
                <c:pt idx="157">
                  <c:v>42943</c:v>
                </c:pt>
                <c:pt idx="158">
                  <c:v>42944</c:v>
                </c:pt>
                <c:pt idx="159">
                  <c:v>42947</c:v>
                </c:pt>
                <c:pt idx="160">
                  <c:v>42948</c:v>
                </c:pt>
                <c:pt idx="161">
                  <c:v>42949</c:v>
                </c:pt>
                <c:pt idx="162">
                  <c:v>42950</c:v>
                </c:pt>
                <c:pt idx="163">
                  <c:v>42951</c:v>
                </c:pt>
                <c:pt idx="164">
                  <c:v>42955</c:v>
                </c:pt>
                <c:pt idx="165">
                  <c:v>42956</c:v>
                </c:pt>
                <c:pt idx="166">
                  <c:v>42957</c:v>
                </c:pt>
                <c:pt idx="167">
                  <c:v>42958</c:v>
                </c:pt>
                <c:pt idx="168">
                  <c:v>42961</c:v>
                </c:pt>
                <c:pt idx="169">
                  <c:v>42962</c:v>
                </c:pt>
                <c:pt idx="170">
                  <c:v>42963</c:v>
                </c:pt>
                <c:pt idx="171">
                  <c:v>42964</c:v>
                </c:pt>
                <c:pt idx="172">
                  <c:v>42965</c:v>
                </c:pt>
                <c:pt idx="173">
                  <c:v>42968</c:v>
                </c:pt>
                <c:pt idx="174">
                  <c:v>42969</c:v>
                </c:pt>
                <c:pt idx="175">
                  <c:v>42970</c:v>
                </c:pt>
                <c:pt idx="176">
                  <c:v>42971</c:v>
                </c:pt>
                <c:pt idx="177">
                  <c:v>42971</c:v>
                </c:pt>
                <c:pt idx="178">
                  <c:v>42972</c:v>
                </c:pt>
                <c:pt idx="179">
                  <c:v>42975</c:v>
                </c:pt>
                <c:pt idx="180">
                  <c:v>42976</c:v>
                </c:pt>
                <c:pt idx="181">
                  <c:v>42977</c:v>
                </c:pt>
                <c:pt idx="182">
                  <c:v>42978</c:v>
                </c:pt>
                <c:pt idx="183">
                  <c:v>42982</c:v>
                </c:pt>
                <c:pt idx="184">
                  <c:v>42984</c:v>
                </c:pt>
                <c:pt idx="185">
                  <c:v>42985</c:v>
                </c:pt>
                <c:pt idx="186">
                  <c:v>42986</c:v>
                </c:pt>
                <c:pt idx="187">
                  <c:v>42989</c:v>
                </c:pt>
                <c:pt idx="188">
                  <c:v>42990</c:v>
                </c:pt>
                <c:pt idx="189">
                  <c:v>42991</c:v>
                </c:pt>
                <c:pt idx="190">
                  <c:v>42992</c:v>
                </c:pt>
                <c:pt idx="191">
                  <c:v>42993</c:v>
                </c:pt>
                <c:pt idx="192">
                  <c:v>42996</c:v>
                </c:pt>
                <c:pt idx="193">
                  <c:v>42997</c:v>
                </c:pt>
                <c:pt idx="194">
                  <c:v>42998</c:v>
                </c:pt>
                <c:pt idx="195">
                  <c:v>42999</c:v>
                </c:pt>
                <c:pt idx="196">
                  <c:v>43000</c:v>
                </c:pt>
                <c:pt idx="197">
                  <c:v>43003</c:v>
                </c:pt>
                <c:pt idx="198">
                  <c:v>43004</c:v>
                </c:pt>
                <c:pt idx="199">
                  <c:v>43005</c:v>
                </c:pt>
                <c:pt idx="200">
                  <c:v>43006</c:v>
                </c:pt>
                <c:pt idx="201">
                  <c:v>43007</c:v>
                </c:pt>
                <c:pt idx="202">
                  <c:v>43010</c:v>
                </c:pt>
                <c:pt idx="203">
                  <c:v>43011</c:v>
                </c:pt>
                <c:pt idx="204">
                  <c:v>43012</c:v>
                </c:pt>
                <c:pt idx="205">
                  <c:v>43014</c:v>
                </c:pt>
                <c:pt idx="206">
                  <c:v>43017</c:v>
                </c:pt>
                <c:pt idx="207">
                  <c:v>43018</c:v>
                </c:pt>
                <c:pt idx="208">
                  <c:v>43019</c:v>
                </c:pt>
                <c:pt idx="209">
                  <c:v>43020</c:v>
                </c:pt>
                <c:pt idx="210">
                  <c:v>43021</c:v>
                </c:pt>
                <c:pt idx="211">
                  <c:v>43024</c:v>
                </c:pt>
                <c:pt idx="212">
                  <c:v>43025</c:v>
                </c:pt>
                <c:pt idx="213">
                  <c:v>43027</c:v>
                </c:pt>
                <c:pt idx="214">
                  <c:v>43028</c:v>
                </c:pt>
                <c:pt idx="215">
                  <c:v>43031</c:v>
                </c:pt>
                <c:pt idx="216">
                  <c:v>43032</c:v>
                </c:pt>
                <c:pt idx="217">
                  <c:v>43033</c:v>
                </c:pt>
                <c:pt idx="218">
                  <c:v>43034</c:v>
                </c:pt>
                <c:pt idx="219">
                  <c:v>43035</c:v>
                </c:pt>
                <c:pt idx="220">
                  <c:v>43038</c:v>
                </c:pt>
                <c:pt idx="221">
                  <c:v>43039</c:v>
                </c:pt>
                <c:pt idx="222">
                  <c:v>43040</c:v>
                </c:pt>
                <c:pt idx="223">
                  <c:v>43041</c:v>
                </c:pt>
                <c:pt idx="224">
                  <c:v>43045</c:v>
                </c:pt>
                <c:pt idx="225">
                  <c:v>43046</c:v>
                </c:pt>
                <c:pt idx="226">
                  <c:v>43047</c:v>
                </c:pt>
                <c:pt idx="227">
                  <c:v>43048</c:v>
                </c:pt>
                <c:pt idx="228">
                  <c:v>43049</c:v>
                </c:pt>
                <c:pt idx="229">
                  <c:v>43052</c:v>
                </c:pt>
                <c:pt idx="230">
                  <c:v>43053</c:v>
                </c:pt>
                <c:pt idx="231">
                  <c:v>43054</c:v>
                </c:pt>
                <c:pt idx="232">
                  <c:v>43055</c:v>
                </c:pt>
                <c:pt idx="233">
                  <c:v>43056</c:v>
                </c:pt>
                <c:pt idx="234">
                  <c:v>43059</c:v>
                </c:pt>
                <c:pt idx="235">
                  <c:v>43060</c:v>
                </c:pt>
                <c:pt idx="236">
                  <c:v>43061</c:v>
                </c:pt>
                <c:pt idx="237">
                  <c:v>43062</c:v>
                </c:pt>
                <c:pt idx="238">
                  <c:v>43063</c:v>
                </c:pt>
                <c:pt idx="239">
                  <c:v>43066</c:v>
                </c:pt>
                <c:pt idx="240">
                  <c:v>43067</c:v>
                </c:pt>
                <c:pt idx="241">
                  <c:v>43068</c:v>
                </c:pt>
                <c:pt idx="242">
                  <c:v>43069</c:v>
                </c:pt>
                <c:pt idx="243">
                  <c:v>43073</c:v>
                </c:pt>
                <c:pt idx="244">
                  <c:v>43074</c:v>
                </c:pt>
                <c:pt idx="245">
                  <c:v>43075</c:v>
                </c:pt>
              </c:numCache>
            </c:numRef>
          </c:cat>
          <c:val>
            <c:numRef>
              <c:f>'ACL N0000'!$H$1583:$H$1828</c:f>
              <c:numCache>
                <c:formatCode>General</c:formatCode>
                <c:ptCount val="246"/>
                <c:pt idx="0">
                  <c:v>37648</c:v>
                </c:pt>
                <c:pt idx="1">
                  <c:v>3058</c:v>
                </c:pt>
                <c:pt idx="2">
                  <c:v>1160</c:v>
                </c:pt>
                <c:pt idx="3">
                  <c:v>2170</c:v>
                </c:pt>
                <c:pt idx="4">
                  <c:v>116778</c:v>
                </c:pt>
                <c:pt idx="5">
                  <c:v>44322</c:v>
                </c:pt>
                <c:pt idx="6">
                  <c:v>714</c:v>
                </c:pt>
                <c:pt idx="7">
                  <c:v>40105</c:v>
                </c:pt>
                <c:pt idx="8">
                  <c:v>200000</c:v>
                </c:pt>
                <c:pt idx="9">
                  <c:v>215</c:v>
                </c:pt>
                <c:pt idx="10">
                  <c:v>1101</c:v>
                </c:pt>
                <c:pt idx="11">
                  <c:v>551</c:v>
                </c:pt>
                <c:pt idx="12">
                  <c:v>10708</c:v>
                </c:pt>
                <c:pt idx="13">
                  <c:v>1800</c:v>
                </c:pt>
                <c:pt idx="14">
                  <c:v>1030</c:v>
                </c:pt>
                <c:pt idx="15">
                  <c:v>2304</c:v>
                </c:pt>
                <c:pt idx="16">
                  <c:v>466</c:v>
                </c:pt>
                <c:pt idx="17">
                  <c:v>200</c:v>
                </c:pt>
                <c:pt idx="18">
                  <c:v>9600</c:v>
                </c:pt>
                <c:pt idx="19">
                  <c:v>820</c:v>
                </c:pt>
                <c:pt idx="20">
                  <c:v>17642</c:v>
                </c:pt>
                <c:pt idx="21">
                  <c:v>5259</c:v>
                </c:pt>
                <c:pt idx="22">
                  <c:v>0</c:v>
                </c:pt>
                <c:pt idx="23">
                  <c:v>6000</c:v>
                </c:pt>
                <c:pt idx="24">
                  <c:v>27116</c:v>
                </c:pt>
                <c:pt idx="25">
                  <c:v>4642</c:v>
                </c:pt>
                <c:pt idx="26">
                  <c:v>64050</c:v>
                </c:pt>
                <c:pt idx="27">
                  <c:v>14044</c:v>
                </c:pt>
                <c:pt idx="28">
                  <c:v>310</c:v>
                </c:pt>
                <c:pt idx="29">
                  <c:v>14092</c:v>
                </c:pt>
                <c:pt idx="30">
                  <c:v>12800</c:v>
                </c:pt>
                <c:pt idx="31">
                  <c:v>2000</c:v>
                </c:pt>
                <c:pt idx="32">
                  <c:v>70</c:v>
                </c:pt>
                <c:pt idx="33">
                  <c:v>10128</c:v>
                </c:pt>
                <c:pt idx="34">
                  <c:v>18173</c:v>
                </c:pt>
                <c:pt idx="35">
                  <c:v>2515</c:v>
                </c:pt>
                <c:pt idx="36">
                  <c:v>73470</c:v>
                </c:pt>
                <c:pt idx="37">
                  <c:v>12024</c:v>
                </c:pt>
                <c:pt idx="38">
                  <c:v>831</c:v>
                </c:pt>
                <c:pt idx="39">
                  <c:v>7954</c:v>
                </c:pt>
                <c:pt idx="40">
                  <c:v>0</c:v>
                </c:pt>
                <c:pt idx="41">
                  <c:v>1370</c:v>
                </c:pt>
                <c:pt idx="42">
                  <c:v>2480</c:v>
                </c:pt>
                <c:pt idx="43">
                  <c:v>13916</c:v>
                </c:pt>
                <c:pt idx="44">
                  <c:v>15105</c:v>
                </c:pt>
                <c:pt idx="45">
                  <c:v>1</c:v>
                </c:pt>
                <c:pt idx="46">
                  <c:v>3764</c:v>
                </c:pt>
                <c:pt idx="47">
                  <c:v>301</c:v>
                </c:pt>
                <c:pt idx="48">
                  <c:v>29679</c:v>
                </c:pt>
                <c:pt idx="49">
                  <c:v>101321</c:v>
                </c:pt>
                <c:pt idx="50">
                  <c:v>12200</c:v>
                </c:pt>
                <c:pt idx="51">
                  <c:v>0</c:v>
                </c:pt>
                <c:pt idx="52">
                  <c:v>15212</c:v>
                </c:pt>
                <c:pt idx="53">
                  <c:v>3590</c:v>
                </c:pt>
                <c:pt idx="54">
                  <c:v>308</c:v>
                </c:pt>
                <c:pt idx="55">
                  <c:v>564</c:v>
                </c:pt>
                <c:pt idx="56">
                  <c:v>3013</c:v>
                </c:pt>
                <c:pt idx="57">
                  <c:v>31311</c:v>
                </c:pt>
                <c:pt idx="58">
                  <c:v>5868</c:v>
                </c:pt>
                <c:pt idx="59">
                  <c:v>101</c:v>
                </c:pt>
                <c:pt idx="60">
                  <c:v>3900</c:v>
                </c:pt>
                <c:pt idx="61">
                  <c:v>1810</c:v>
                </c:pt>
                <c:pt idx="62">
                  <c:v>6700</c:v>
                </c:pt>
                <c:pt idx="63">
                  <c:v>14123</c:v>
                </c:pt>
                <c:pt idx="64">
                  <c:v>2803</c:v>
                </c:pt>
                <c:pt idx="65">
                  <c:v>4287</c:v>
                </c:pt>
                <c:pt idx="66">
                  <c:v>2100</c:v>
                </c:pt>
                <c:pt idx="67">
                  <c:v>12917</c:v>
                </c:pt>
                <c:pt idx="68">
                  <c:v>3016</c:v>
                </c:pt>
                <c:pt idx="69">
                  <c:v>5</c:v>
                </c:pt>
                <c:pt idx="70">
                  <c:v>2932</c:v>
                </c:pt>
                <c:pt idx="71">
                  <c:v>6723</c:v>
                </c:pt>
                <c:pt idx="72">
                  <c:v>2518</c:v>
                </c:pt>
                <c:pt idx="73">
                  <c:v>15117</c:v>
                </c:pt>
                <c:pt idx="74">
                  <c:v>1975</c:v>
                </c:pt>
                <c:pt idx="75">
                  <c:v>104</c:v>
                </c:pt>
                <c:pt idx="76">
                  <c:v>500</c:v>
                </c:pt>
                <c:pt idx="77">
                  <c:v>1361</c:v>
                </c:pt>
                <c:pt idx="78">
                  <c:v>11971</c:v>
                </c:pt>
                <c:pt idx="79">
                  <c:v>500</c:v>
                </c:pt>
                <c:pt idx="80">
                  <c:v>1</c:v>
                </c:pt>
                <c:pt idx="81">
                  <c:v>934</c:v>
                </c:pt>
                <c:pt idx="82">
                  <c:v>3011</c:v>
                </c:pt>
                <c:pt idx="83">
                  <c:v>7386</c:v>
                </c:pt>
                <c:pt idx="84">
                  <c:v>4098</c:v>
                </c:pt>
                <c:pt idx="85">
                  <c:v>5050</c:v>
                </c:pt>
                <c:pt idx="86">
                  <c:v>1341</c:v>
                </c:pt>
                <c:pt idx="87">
                  <c:v>11361</c:v>
                </c:pt>
                <c:pt idx="88">
                  <c:v>10751</c:v>
                </c:pt>
                <c:pt idx="89">
                  <c:v>245</c:v>
                </c:pt>
                <c:pt idx="90">
                  <c:v>4880</c:v>
                </c:pt>
                <c:pt idx="91">
                  <c:v>23129</c:v>
                </c:pt>
                <c:pt idx="92">
                  <c:v>7036</c:v>
                </c:pt>
                <c:pt idx="93">
                  <c:v>9960</c:v>
                </c:pt>
                <c:pt idx="94">
                  <c:v>10227</c:v>
                </c:pt>
                <c:pt idx="95">
                  <c:v>3905</c:v>
                </c:pt>
                <c:pt idx="96">
                  <c:v>6150</c:v>
                </c:pt>
                <c:pt idx="97">
                  <c:v>17067</c:v>
                </c:pt>
                <c:pt idx="98">
                  <c:v>82374</c:v>
                </c:pt>
                <c:pt idx="99">
                  <c:v>41126</c:v>
                </c:pt>
                <c:pt idx="100">
                  <c:v>84100</c:v>
                </c:pt>
                <c:pt idx="101">
                  <c:v>389719</c:v>
                </c:pt>
                <c:pt idx="102">
                  <c:v>65027</c:v>
                </c:pt>
                <c:pt idx="103">
                  <c:v>27642</c:v>
                </c:pt>
                <c:pt idx="104">
                  <c:v>43555</c:v>
                </c:pt>
                <c:pt idx="105">
                  <c:v>33700</c:v>
                </c:pt>
                <c:pt idx="106">
                  <c:v>14050</c:v>
                </c:pt>
                <c:pt idx="107">
                  <c:v>149215</c:v>
                </c:pt>
                <c:pt idx="108">
                  <c:v>111724</c:v>
                </c:pt>
                <c:pt idx="109">
                  <c:v>9627</c:v>
                </c:pt>
                <c:pt idx="110">
                  <c:v>43316</c:v>
                </c:pt>
                <c:pt idx="111">
                  <c:v>3617</c:v>
                </c:pt>
                <c:pt idx="112">
                  <c:v>17625</c:v>
                </c:pt>
                <c:pt idx="113">
                  <c:v>157403</c:v>
                </c:pt>
                <c:pt idx="114">
                  <c:v>22107</c:v>
                </c:pt>
                <c:pt idx="115">
                  <c:v>204910</c:v>
                </c:pt>
                <c:pt idx="116">
                  <c:v>14987</c:v>
                </c:pt>
                <c:pt idx="117">
                  <c:v>128171</c:v>
                </c:pt>
                <c:pt idx="118">
                  <c:v>3138</c:v>
                </c:pt>
                <c:pt idx="119">
                  <c:v>3151</c:v>
                </c:pt>
                <c:pt idx="120">
                  <c:v>6072</c:v>
                </c:pt>
                <c:pt idx="121">
                  <c:v>22633</c:v>
                </c:pt>
                <c:pt idx="122">
                  <c:v>100</c:v>
                </c:pt>
                <c:pt idx="123">
                  <c:v>24102</c:v>
                </c:pt>
                <c:pt idx="124">
                  <c:v>11099</c:v>
                </c:pt>
                <c:pt idx="125">
                  <c:v>29949</c:v>
                </c:pt>
                <c:pt idx="126">
                  <c:v>13581</c:v>
                </c:pt>
                <c:pt idx="127">
                  <c:v>15604</c:v>
                </c:pt>
                <c:pt idx="128">
                  <c:v>59006</c:v>
                </c:pt>
                <c:pt idx="129">
                  <c:v>14949</c:v>
                </c:pt>
                <c:pt idx="130">
                  <c:v>6729</c:v>
                </c:pt>
                <c:pt idx="131">
                  <c:v>103416</c:v>
                </c:pt>
                <c:pt idx="132">
                  <c:v>196463</c:v>
                </c:pt>
                <c:pt idx="133">
                  <c:v>8710</c:v>
                </c:pt>
                <c:pt idx="134">
                  <c:v>11166</c:v>
                </c:pt>
                <c:pt idx="135">
                  <c:v>3187</c:v>
                </c:pt>
                <c:pt idx="136">
                  <c:v>1340</c:v>
                </c:pt>
                <c:pt idx="137">
                  <c:v>28810</c:v>
                </c:pt>
                <c:pt idx="138">
                  <c:v>37409</c:v>
                </c:pt>
                <c:pt idx="139">
                  <c:v>2840</c:v>
                </c:pt>
                <c:pt idx="140">
                  <c:v>21358</c:v>
                </c:pt>
                <c:pt idx="141">
                  <c:v>10600</c:v>
                </c:pt>
                <c:pt idx="142">
                  <c:v>500000</c:v>
                </c:pt>
                <c:pt idx="143">
                  <c:v>2810</c:v>
                </c:pt>
                <c:pt idx="144">
                  <c:v>5550</c:v>
                </c:pt>
                <c:pt idx="145">
                  <c:v>53250</c:v>
                </c:pt>
                <c:pt idx="146">
                  <c:v>6001</c:v>
                </c:pt>
                <c:pt idx="147">
                  <c:v>10175</c:v>
                </c:pt>
                <c:pt idx="148">
                  <c:v>3652</c:v>
                </c:pt>
                <c:pt idx="149">
                  <c:v>9176</c:v>
                </c:pt>
                <c:pt idx="150">
                  <c:v>27192</c:v>
                </c:pt>
                <c:pt idx="151">
                  <c:v>46058</c:v>
                </c:pt>
                <c:pt idx="152">
                  <c:v>2109</c:v>
                </c:pt>
                <c:pt idx="153">
                  <c:v>1302</c:v>
                </c:pt>
                <c:pt idx="154">
                  <c:v>7788</c:v>
                </c:pt>
                <c:pt idx="155">
                  <c:v>9730</c:v>
                </c:pt>
                <c:pt idx="156">
                  <c:v>32539</c:v>
                </c:pt>
                <c:pt idx="157">
                  <c:v>15400</c:v>
                </c:pt>
                <c:pt idx="158">
                  <c:v>100</c:v>
                </c:pt>
                <c:pt idx="159">
                  <c:v>10205</c:v>
                </c:pt>
                <c:pt idx="160">
                  <c:v>820</c:v>
                </c:pt>
                <c:pt idx="161">
                  <c:v>12059</c:v>
                </c:pt>
                <c:pt idx="162">
                  <c:v>2</c:v>
                </c:pt>
                <c:pt idx="163">
                  <c:v>11086</c:v>
                </c:pt>
                <c:pt idx="164">
                  <c:v>6377</c:v>
                </c:pt>
                <c:pt idx="165">
                  <c:v>7743</c:v>
                </c:pt>
                <c:pt idx="166">
                  <c:v>52</c:v>
                </c:pt>
                <c:pt idx="167">
                  <c:v>8630</c:v>
                </c:pt>
                <c:pt idx="168">
                  <c:v>4311</c:v>
                </c:pt>
                <c:pt idx="169">
                  <c:v>14325</c:v>
                </c:pt>
                <c:pt idx="170">
                  <c:v>41662</c:v>
                </c:pt>
                <c:pt idx="171">
                  <c:v>8588</c:v>
                </c:pt>
                <c:pt idx="172">
                  <c:v>3989</c:v>
                </c:pt>
                <c:pt idx="173">
                  <c:v>40026</c:v>
                </c:pt>
                <c:pt idx="174">
                  <c:v>419006</c:v>
                </c:pt>
                <c:pt idx="175">
                  <c:v>4947</c:v>
                </c:pt>
                <c:pt idx="176">
                  <c:v>26781</c:v>
                </c:pt>
                <c:pt idx="177">
                  <c:v>709500</c:v>
                </c:pt>
                <c:pt idx="178">
                  <c:v>1087</c:v>
                </c:pt>
                <c:pt idx="179">
                  <c:v>1255</c:v>
                </c:pt>
                <c:pt idx="180">
                  <c:v>7100</c:v>
                </c:pt>
                <c:pt idx="181">
                  <c:v>20925</c:v>
                </c:pt>
                <c:pt idx="182">
                  <c:v>21</c:v>
                </c:pt>
                <c:pt idx="183">
                  <c:v>1494</c:v>
                </c:pt>
                <c:pt idx="184">
                  <c:v>5526</c:v>
                </c:pt>
                <c:pt idx="185">
                  <c:v>3466</c:v>
                </c:pt>
                <c:pt idx="186">
                  <c:v>4173</c:v>
                </c:pt>
                <c:pt idx="187">
                  <c:v>81995</c:v>
                </c:pt>
                <c:pt idx="188">
                  <c:v>18332</c:v>
                </c:pt>
                <c:pt idx="189">
                  <c:v>3529</c:v>
                </c:pt>
                <c:pt idx="190">
                  <c:v>111</c:v>
                </c:pt>
                <c:pt idx="191">
                  <c:v>3032</c:v>
                </c:pt>
                <c:pt idx="192">
                  <c:v>3162</c:v>
                </c:pt>
                <c:pt idx="193">
                  <c:v>927</c:v>
                </c:pt>
                <c:pt idx="194">
                  <c:v>630</c:v>
                </c:pt>
                <c:pt idx="195">
                  <c:v>17076</c:v>
                </c:pt>
                <c:pt idx="196">
                  <c:v>34883</c:v>
                </c:pt>
                <c:pt idx="197">
                  <c:v>70756</c:v>
                </c:pt>
                <c:pt idx="198">
                  <c:v>465</c:v>
                </c:pt>
                <c:pt idx="199">
                  <c:v>13660</c:v>
                </c:pt>
                <c:pt idx="200">
                  <c:v>6105</c:v>
                </c:pt>
                <c:pt idx="201">
                  <c:v>13856</c:v>
                </c:pt>
                <c:pt idx="202">
                  <c:v>2842</c:v>
                </c:pt>
                <c:pt idx="203">
                  <c:v>828229</c:v>
                </c:pt>
                <c:pt idx="204">
                  <c:v>114282</c:v>
                </c:pt>
                <c:pt idx="205">
                  <c:v>21947</c:v>
                </c:pt>
                <c:pt idx="206">
                  <c:v>11015</c:v>
                </c:pt>
                <c:pt idx="207">
                  <c:v>14660</c:v>
                </c:pt>
                <c:pt idx="208">
                  <c:v>3951</c:v>
                </c:pt>
                <c:pt idx="209">
                  <c:v>28603</c:v>
                </c:pt>
                <c:pt idx="210">
                  <c:v>166464</c:v>
                </c:pt>
                <c:pt idx="211">
                  <c:v>7980</c:v>
                </c:pt>
                <c:pt idx="212">
                  <c:v>1125</c:v>
                </c:pt>
                <c:pt idx="213">
                  <c:v>21511</c:v>
                </c:pt>
                <c:pt idx="214">
                  <c:v>26319</c:v>
                </c:pt>
                <c:pt idx="215">
                  <c:v>57625</c:v>
                </c:pt>
                <c:pt idx="216">
                  <c:v>45810</c:v>
                </c:pt>
                <c:pt idx="217">
                  <c:v>487264</c:v>
                </c:pt>
                <c:pt idx="218">
                  <c:v>20471</c:v>
                </c:pt>
                <c:pt idx="219">
                  <c:v>5705</c:v>
                </c:pt>
                <c:pt idx="220">
                  <c:v>4961</c:v>
                </c:pt>
                <c:pt idx="221">
                  <c:v>5502</c:v>
                </c:pt>
                <c:pt idx="222">
                  <c:v>450</c:v>
                </c:pt>
                <c:pt idx="223">
                  <c:v>9568</c:v>
                </c:pt>
                <c:pt idx="224">
                  <c:v>4810</c:v>
                </c:pt>
                <c:pt idx="225">
                  <c:v>5210</c:v>
                </c:pt>
                <c:pt idx="226">
                  <c:v>14060</c:v>
                </c:pt>
                <c:pt idx="227">
                  <c:v>19608</c:v>
                </c:pt>
                <c:pt idx="228">
                  <c:v>54644</c:v>
                </c:pt>
                <c:pt idx="229">
                  <c:v>31985</c:v>
                </c:pt>
                <c:pt idx="230">
                  <c:v>1030</c:v>
                </c:pt>
                <c:pt idx="231">
                  <c:v>9600</c:v>
                </c:pt>
                <c:pt idx="232">
                  <c:v>117784</c:v>
                </c:pt>
                <c:pt idx="233">
                  <c:v>12279</c:v>
                </c:pt>
                <c:pt idx="234">
                  <c:v>9711</c:v>
                </c:pt>
                <c:pt idx="235">
                  <c:v>370</c:v>
                </c:pt>
                <c:pt idx="236">
                  <c:v>500</c:v>
                </c:pt>
                <c:pt idx="237">
                  <c:v>1998</c:v>
                </c:pt>
                <c:pt idx="238">
                  <c:v>41</c:v>
                </c:pt>
                <c:pt idx="239">
                  <c:v>536</c:v>
                </c:pt>
                <c:pt idx="240">
                  <c:v>1722</c:v>
                </c:pt>
                <c:pt idx="241">
                  <c:v>14206</c:v>
                </c:pt>
                <c:pt idx="242">
                  <c:v>0</c:v>
                </c:pt>
                <c:pt idx="243">
                  <c:v>29</c:v>
                </c:pt>
                <c:pt idx="244">
                  <c:v>1550</c:v>
                </c:pt>
                <c:pt idx="245">
                  <c:v>625</c:v>
                </c:pt>
              </c:numCache>
            </c:numRef>
          </c:val>
          <c:extLst>
            <c:ext xmlns:c16="http://schemas.microsoft.com/office/drawing/2014/chart" uri="{C3380CC4-5D6E-409C-BE32-E72D297353CC}">
              <c16:uniqueId val="{00000000-1039-4B30-87C8-E86FC49C44A8}"/>
            </c:ext>
          </c:extLst>
        </c:ser>
        <c:dLbls>
          <c:showLegendKey val="0"/>
          <c:showVal val="0"/>
          <c:showCatName val="0"/>
          <c:showSerName val="0"/>
          <c:showPercent val="0"/>
          <c:showBubbleSize val="0"/>
        </c:dLbls>
        <c:axId val="117363840"/>
        <c:axId val="117353472"/>
      </c:areaChart>
      <c:lineChart>
        <c:grouping val="standard"/>
        <c:varyColors val="0"/>
        <c:ser>
          <c:idx val="3"/>
          <c:order val="0"/>
          <c:tx>
            <c:strRef>
              <c:f>'ACL N0000'!$G$3</c:f>
              <c:strCache>
                <c:ptCount val="1"/>
                <c:pt idx="0">
                  <c:v>Share price LKR (LHS)</c:v>
                </c:pt>
              </c:strCache>
            </c:strRef>
          </c:tx>
          <c:spPr>
            <a:ln w="28575" cap="rnd">
              <a:solidFill>
                <a:srgbClr val="002060"/>
              </a:solidFill>
              <a:round/>
            </a:ln>
            <a:effectLst/>
          </c:spPr>
          <c:marker>
            <c:symbol val="none"/>
          </c:marker>
          <c:cat>
            <c:numRef>
              <c:f>'ACL N0000'!$B$1583:$B$1828</c:f>
              <c:numCache>
                <c:formatCode>[$-409]d\-mmm\-yy;@</c:formatCode>
                <c:ptCount val="246"/>
                <c:pt idx="0">
                  <c:v>42705</c:v>
                </c:pt>
                <c:pt idx="1">
                  <c:v>42706</c:v>
                </c:pt>
                <c:pt idx="2">
                  <c:v>42709</c:v>
                </c:pt>
                <c:pt idx="3">
                  <c:v>42710</c:v>
                </c:pt>
                <c:pt idx="4">
                  <c:v>42711</c:v>
                </c:pt>
                <c:pt idx="5">
                  <c:v>42712</c:v>
                </c:pt>
                <c:pt idx="6">
                  <c:v>42713</c:v>
                </c:pt>
                <c:pt idx="7">
                  <c:v>42718</c:v>
                </c:pt>
                <c:pt idx="8">
                  <c:v>42719</c:v>
                </c:pt>
                <c:pt idx="9">
                  <c:v>42720</c:v>
                </c:pt>
                <c:pt idx="10">
                  <c:v>42723</c:v>
                </c:pt>
                <c:pt idx="11">
                  <c:v>42724</c:v>
                </c:pt>
                <c:pt idx="12">
                  <c:v>42725</c:v>
                </c:pt>
                <c:pt idx="13">
                  <c:v>42726</c:v>
                </c:pt>
                <c:pt idx="14">
                  <c:v>42727</c:v>
                </c:pt>
                <c:pt idx="15">
                  <c:v>42731</c:v>
                </c:pt>
                <c:pt idx="16">
                  <c:v>42732</c:v>
                </c:pt>
                <c:pt idx="17">
                  <c:v>42733</c:v>
                </c:pt>
                <c:pt idx="18">
                  <c:v>42734</c:v>
                </c:pt>
                <c:pt idx="19">
                  <c:v>42737</c:v>
                </c:pt>
                <c:pt idx="20">
                  <c:v>42738</c:v>
                </c:pt>
                <c:pt idx="21">
                  <c:v>42739</c:v>
                </c:pt>
                <c:pt idx="22">
                  <c:v>42740</c:v>
                </c:pt>
                <c:pt idx="23">
                  <c:v>42741</c:v>
                </c:pt>
                <c:pt idx="24">
                  <c:v>42744</c:v>
                </c:pt>
                <c:pt idx="25">
                  <c:v>42745</c:v>
                </c:pt>
                <c:pt idx="26">
                  <c:v>42746</c:v>
                </c:pt>
                <c:pt idx="27">
                  <c:v>42748</c:v>
                </c:pt>
                <c:pt idx="28">
                  <c:v>42751</c:v>
                </c:pt>
                <c:pt idx="29">
                  <c:v>42752</c:v>
                </c:pt>
                <c:pt idx="30">
                  <c:v>42753</c:v>
                </c:pt>
                <c:pt idx="31">
                  <c:v>42754</c:v>
                </c:pt>
                <c:pt idx="32">
                  <c:v>42755</c:v>
                </c:pt>
                <c:pt idx="33">
                  <c:v>42758</c:v>
                </c:pt>
                <c:pt idx="34">
                  <c:v>42759</c:v>
                </c:pt>
                <c:pt idx="35">
                  <c:v>42760</c:v>
                </c:pt>
                <c:pt idx="36">
                  <c:v>42761</c:v>
                </c:pt>
                <c:pt idx="37">
                  <c:v>42762</c:v>
                </c:pt>
                <c:pt idx="38">
                  <c:v>42765</c:v>
                </c:pt>
                <c:pt idx="39">
                  <c:v>42766</c:v>
                </c:pt>
                <c:pt idx="40">
                  <c:v>42767</c:v>
                </c:pt>
                <c:pt idx="41">
                  <c:v>42768</c:v>
                </c:pt>
                <c:pt idx="42">
                  <c:v>42769</c:v>
                </c:pt>
                <c:pt idx="43">
                  <c:v>42772</c:v>
                </c:pt>
                <c:pt idx="44">
                  <c:v>42773</c:v>
                </c:pt>
                <c:pt idx="45">
                  <c:v>42774</c:v>
                </c:pt>
                <c:pt idx="46">
                  <c:v>42775</c:v>
                </c:pt>
                <c:pt idx="47">
                  <c:v>42779</c:v>
                </c:pt>
                <c:pt idx="48">
                  <c:v>42780</c:v>
                </c:pt>
                <c:pt idx="49">
                  <c:v>42781</c:v>
                </c:pt>
                <c:pt idx="50">
                  <c:v>42782</c:v>
                </c:pt>
                <c:pt idx="51">
                  <c:v>42783</c:v>
                </c:pt>
                <c:pt idx="52">
                  <c:v>42786</c:v>
                </c:pt>
                <c:pt idx="53">
                  <c:v>42787</c:v>
                </c:pt>
                <c:pt idx="54">
                  <c:v>42788</c:v>
                </c:pt>
                <c:pt idx="55">
                  <c:v>42789</c:v>
                </c:pt>
                <c:pt idx="56">
                  <c:v>42793</c:v>
                </c:pt>
                <c:pt idx="57">
                  <c:v>42794</c:v>
                </c:pt>
                <c:pt idx="58">
                  <c:v>42795</c:v>
                </c:pt>
                <c:pt idx="59">
                  <c:v>42796</c:v>
                </c:pt>
                <c:pt idx="60">
                  <c:v>42797</c:v>
                </c:pt>
                <c:pt idx="61">
                  <c:v>42800</c:v>
                </c:pt>
                <c:pt idx="62">
                  <c:v>42801</c:v>
                </c:pt>
                <c:pt idx="63">
                  <c:v>42802</c:v>
                </c:pt>
                <c:pt idx="64">
                  <c:v>42803</c:v>
                </c:pt>
                <c:pt idx="65">
                  <c:v>42804</c:v>
                </c:pt>
                <c:pt idx="66">
                  <c:v>42807</c:v>
                </c:pt>
                <c:pt idx="67">
                  <c:v>42808</c:v>
                </c:pt>
                <c:pt idx="68">
                  <c:v>42809</c:v>
                </c:pt>
                <c:pt idx="69">
                  <c:v>42810</c:v>
                </c:pt>
                <c:pt idx="70">
                  <c:v>42811</c:v>
                </c:pt>
                <c:pt idx="71">
                  <c:v>42814</c:v>
                </c:pt>
                <c:pt idx="72">
                  <c:v>42815</c:v>
                </c:pt>
                <c:pt idx="73">
                  <c:v>42816</c:v>
                </c:pt>
                <c:pt idx="74">
                  <c:v>42817</c:v>
                </c:pt>
                <c:pt idx="75">
                  <c:v>42818</c:v>
                </c:pt>
                <c:pt idx="76">
                  <c:v>42821</c:v>
                </c:pt>
                <c:pt idx="77">
                  <c:v>42822</c:v>
                </c:pt>
                <c:pt idx="78">
                  <c:v>42823</c:v>
                </c:pt>
                <c:pt idx="79">
                  <c:v>42824</c:v>
                </c:pt>
                <c:pt idx="80">
                  <c:v>42825</c:v>
                </c:pt>
                <c:pt idx="81">
                  <c:v>42828</c:v>
                </c:pt>
                <c:pt idx="82">
                  <c:v>42829</c:v>
                </c:pt>
                <c:pt idx="83">
                  <c:v>42830</c:v>
                </c:pt>
                <c:pt idx="84">
                  <c:v>42831</c:v>
                </c:pt>
                <c:pt idx="85">
                  <c:v>42832</c:v>
                </c:pt>
                <c:pt idx="86">
                  <c:v>42836</c:v>
                </c:pt>
                <c:pt idx="87">
                  <c:v>42837</c:v>
                </c:pt>
                <c:pt idx="88">
                  <c:v>42842</c:v>
                </c:pt>
                <c:pt idx="89">
                  <c:v>42843</c:v>
                </c:pt>
                <c:pt idx="90">
                  <c:v>42844</c:v>
                </c:pt>
                <c:pt idx="91">
                  <c:v>42845</c:v>
                </c:pt>
                <c:pt idx="92">
                  <c:v>42846</c:v>
                </c:pt>
                <c:pt idx="93">
                  <c:v>42849</c:v>
                </c:pt>
                <c:pt idx="94">
                  <c:v>42850</c:v>
                </c:pt>
                <c:pt idx="95">
                  <c:v>42851</c:v>
                </c:pt>
                <c:pt idx="96">
                  <c:v>42852</c:v>
                </c:pt>
                <c:pt idx="97">
                  <c:v>42853</c:v>
                </c:pt>
                <c:pt idx="98">
                  <c:v>42857</c:v>
                </c:pt>
                <c:pt idx="99">
                  <c:v>42858</c:v>
                </c:pt>
                <c:pt idx="100">
                  <c:v>42859</c:v>
                </c:pt>
                <c:pt idx="101">
                  <c:v>42860</c:v>
                </c:pt>
                <c:pt idx="102">
                  <c:v>42863</c:v>
                </c:pt>
                <c:pt idx="103">
                  <c:v>42864</c:v>
                </c:pt>
                <c:pt idx="104">
                  <c:v>42867</c:v>
                </c:pt>
                <c:pt idx="105">
                  <c:v>42870</c:v>
                </c:pt>
                <c:pt idx="106">
                  <c:v>42871</c:v>
                </c:pt>
                <c:pt idx="107">
                  <c:v>42872</c:v>
                </c:pt>
                <c:pt idx="108">
                  <c:v>42873</c:v>
                </c:pt>
                <c:pt idx="109">
                  <c:v>42874</c:v>
                </c:pt>
                <c:pt idx="110">
                  <c:v>42877</c:v>
                </c:pt>
                <c:pt idx="111">
                  <c:v>42878</c:v>
                </c:pt>
                <c:pt idx="112">
                  <c:v>42879</c:v>
                </c:pt>
                <c:pt idx="113">
                  <c:v>42880</c:v>
                </c:pt>
                <c:pt idx="114">
                  <c:v>42881</c:v>
                </c:pt>
                <c:pt idx="115">
                  <c:v>42884</c:v>
                </c:pt>
                <c:pt idx="116">
                  <c:v>42885</c:v>
                </c:pt>
                <c:pt idx="117">
                  <c:v>42886</c:v>
                </c:pt>
                <c:pt idx="118">
                  <c:v>42887</c:v>
                </c:pt>
                <c:pt idx="119">
                  <c:v>42888</c:v>
                </c:pt>
                <c:pt idx="120">
                  <c:v>42891</c:v>
                </c:pt>
                <c:pt idx="121">
                  <c:v>42892</c:v>
                </c:pt>
                <c:pt idx="122">
                  <c:v>42893</c:v>
                </c:pt>
                <c:pt idx="123">
                  <c:v>42895</c:v>
                </c:pt>
                <c:pt idx="124">
                  <c:v>42898</c:v>
                </c:pt>
                <c:pt idx="125">
                  <c:v>42899</c:v>
                </c:pt>
                <c:pt idx="126">
                  <c:v>42900</c:v>
                </c:pt>
                <c:pt idx="127">
                  <c:v>42901</c:v>
                </c:pt>
                <c:pt idx="128">
                  <c:v>42902</c:v>
                </c:pt>
                <c:pt idx="129">
                  <c:v>42905</c:v>
                </c:pt>
                <c:pt idx="130">
                  <c:v>42906</c:v>
                </c:pt>
                <c:pt idx="131">
                  <c:v>42907</c:v>
                </c:pt>
                <c:pt idx="132">
                  <c:v>42908</c:v>
                </c:pt>
                <c:pt idx="133">
                  <c:v>42909</c:v>
                </c:pt>
                <c:pt idx="134">
                  <c:v>42913</c:v>
                </c:pt>
                <c:pt idx="135">
                  <c:v>42914</c:v>
                </c:pt>
                <c:pt idx="136">
                  <c:v>42915</c:v>
                </c:pt>
                <c:pt idx="137">
                  <c:v>42916</c:v>
                </c:pt>
                <c:pt idx="138">
                  <c:v>42919</c:v>
                </c:pt>
                <c:pt idx="139">
                  <c:v>42920</c:v>
                </c:pt>
                <c:pt idx="140">
                  <c:v>42921</c:v>
                </c:pt>
                <c:pt idx="141">
                  <c:v>42922</c:v>
                </c:pt>
                <c:pt idx="142">
                  <c:v>42922</c:v>
                </c:pt>
                <c:pt idx="143">
                  <c:v>42923</c:v>
                </c:pt>
                <c:pt idx="144">
                  <c:v>42926</c:v>
                </c:pt>
                <c:pt idx="145">
                  <c:v>42927</c:v>
                </c:pt>
                <c:pt idx="146">
                  <c:v>42928</c:v>
                </c:pt>
                <c:pt idx="147">
                  <c:v>42929</c:v>
                </c:pt>
                <c:pt idx="148">
                  <c:v>42930</c:v>
                </c:pt>
                <c:pt idx="149">
                  <c:v>42933</c:v>
                </c:pt>
                <c:pt idx="150">
                  <c:v>42934</c:v>
                </c:pt>
                <c:pt idx="151">
                  <c:v>42935</c:v>
                </c:pt>
                <c:pt idx="152">
                  <c:v>42936</c:v>
                </c:pt>
                <c:pt idx="153">
                  <c:v>42937</c:v>
                </c:pt>
                <c:pt idx="154">
                  <c:v>42940</c:v>
                </c:pt>
                <c:pt idx="155">
                  <c:v>42941</c:v>
                </c:pt>
                <c:pt idx="156">
                  <c:v>42942</c:v>
                </c:pt>
                <c:pt idx="157">
                  <c:v>42943</c:v>
                </c:pt>
                <c:pt idx="158">
                  <c:v>42944</c:v>
                </c:pt>
                <c:pt idx="159">
                  <c:v>42947</c:v>
                </c:pt>
                <c:pt idx="160">
                  <c:v>42948</c:v>
                </c:pt>
                <c:pt idx="161">
                  <c:v>42949</c:v>
                </c:pt>
                <c:pt idx="162">
                  <c:v>42950</c:v>
                </c:pt>
                <c:pt idx="163">
                  <c:v>42951</c:v>
                </c:pt>
                <c:pt idx="164">
                  <c:v>42955</c:v>
                </c:pt>
                <c:pt idx="165">
                  <c:v>42956</c:v>
                </c:pt>
                <c:pt idx="166">
                  <c:v>42957</c:v>
                </c:pt>
                <c:pt idx="167">
                  <c:v>42958</c:v>
                </c:pt>
                <c:pt idx="168">
                  <c:v>42961</c:v>
                </c:pt>
                <c:pt idx="169">
                  <c:v>42962</c:v>
                </c:pt>
                <c:pt idx="170">
                  <c:v>42963</c:v>
                </c:pt>
                <c:pt idx="171">
                  <c:v>42964</c:v>
                </c:pt>
                <c:pt idx="172">
                  <c:v>42965</c:v>
                </c:pt>
                <c:pt idx="173">
                  <c:v>42968</c:v>
                </c:pt>
                <c:pt idx="174">
                  <c:v>42969</c:v>
                </c:pt>
                <c:pt idx="175">
                  <c:v>42970</c:v>
                </c:pt>
                <c:pt idx="176">
                  <c:v>42971</c:v>
                </c:pt>
                <c:pt idx="177">
                  <c:v>42971</c:v>
                </c:pt>
                <c:pt idx="178">
                  <c:v>42972</c:v>
                </c:pt>
                <c:pt idx="179">
                  <c:v>42975</c:v>
                </c:pt>
                <c:pt idx="180">
                  <c:v>42976</c:v>
                </c:pt>
                <c:pt idx="181">
                  <c:v>42977</c:v>
                </c:pt>
                <c:pt idx="182">
                  <c:v>42978</c:v>
                </c:pt>
                <c:pt idx="183">
                  <c:v>42982</c:v>
                </c:pt>
                <c:pt idx="184">
                  <c:v>42984</c:v>
                </c:pt>
                <c:pt idx="185">
                  <c:v>42985</c:v>
                </c:pt>
                <c:pt idx="186">
                  <c:v>42986</c:v>
                </c:pt>
                <c:pt idx="187">
                  <c:v>42989</c:v>
                </c:pt>
                <c:pt idx="188">
                  <c:v>42990</c:v>
                </c:pt>
                <c:pt idx="189">
                  <c:v>42991</c:v>
                </c:pt>
                <c:pt idx="190">
                  <c:v>42992</c:v>
                </c:pt>
                <c:pt idx="191">
                  <c:v>42993</c:v>
                </c:pt>
                <c:pt idx="192">
                  <c:v>42996</c:v>
                </c:pt>
                <c:pt idx="193">
                  <c:v>42997</c:v>
                </c:pt>
                <c:pt idx="194">
                  <c:v>42998</c:v>
                </c:pt>
                <c:pt idx="195">
                  <c:v>42999</c:v>
                </c:pt>
                <c:pt idx="196">
                  <c:v>43000</c:v>
                </c:pt>
                <c:pt idx="197">
                  <c:v>43003</c:v>
                </c:pt>
                <c:pt idx="198">
                  <c:v>43004</c:v>
                </c:pt>
                <c:pt idx="199">
                  <c:v>43005</c:v>
                </c:pt>
                <c:pt idx="200">
                  <c:v>43006</c:v>
                </c:pt>
                <c:pt idx="201">
                  <c:v>43007</c:v>
                </c:pt>
                <c:pt idx="202">
                  <c:v>43010</c:v>
                </c:pt>
                <c:pt idx="203">
                  <c:v>43011</c:v>
                </c:pt>
                <c:pt idx="204">
                  <c:v>43012</c:v>
                </c:pt>
                <c:pt idx="205">
                  <c:v>43014</c:v>
                </c:pt>
                <c:pt idx="206">
                  <c:v>43017</c:v>
                </c:pt>
                <c:pt idx="207">
                  <c:v>43018</c:v>
                </c:pt>
                <c:pt idx="208">
                  <c:v>43019</c:v>
                </c:pt>
                <c:pt idx="209">
                  <c:v>43020</c:v>
                </c:pt>
                <c:pt idx="210">
                  <c:v>43021</c:v>
                </c:pt>
                <c:pt idx="211">
                  <c:v>43024</c:v>
                </c:pt>
                <c:pt idx="212">
                  <c:v>43025</c:v>
                </c:pt>
                <c:pt idx="213">
                  <c:v>43027</c:v>
                </c:pt>
                <c:pt idx="214">
                  <c:v>43028</c:v>
                </c:pt>
                <c:pt idx="215">
                  <c:v>43031</c:v>
                </c:pt>
                <c:pt idx="216">
                  <c:v>43032</c:v>
                </c:pt>
                <c:pt idx="217">
                  <c:v>43033</c:v>
                </c:pt>
                <c:pt idx="218">
                  <c:v>43034</c:v>
                </c:pt>
                <c:pt idx="219">
                  <c:v>43035</c:v>
                </c:pt>
                <c:pt idx="220">
                  <c:v>43038</c:v>
                </c:pt>
                <c:pt idx="221">
                  <c:v>43039</c:v>
                </c:pt>
                <c:pt idx="222">
                  <c:v>43040</c:v>
                </c:pt>
                <c:pt idx="223">
                  <c:v>43041</c:v>
                </c:pt>
                <c:pt idx="224">
                  <c:v>43045</c:v>
                </c:pt>
                <c:pt idx="225">
                  <c:v>43046</c:v>
                </c:pt>
                <c:pt idx="226">
                  <c:v>43047</c:v>
                </c:pt>
                <c:pt idx="227">
                  <c:v>43048</c:v>
                </c:pt>
                <c:pt idx="228">
                  <c:v>43049</c:v>
                </c:pt>
                <c:pt idx="229">
                  <c:v>43052</c:v>
                </c:pt>
                <c:pt idx="230">
                  <c:v>43053</c:v>
                </c:pt>
                <c:pt idx="231">
                  <c:v>43054</c:v>
                </c:pt>
                <c:pt idx="232">
                  <c:v>43055</c:v>
                </c:pt>
                <c:pt idx="233">
                  <c:v>43056</c:v>
                </c:pt>
                <c:pt idx="234">
                  <c:v>43059</c:v>
                </c:pt>
                <c:pt idx="235">
                  <c:v>43060</c:v>
                </c:pt>
                <c:pt idx="236">
                  <c:v>43061</c:v>
                </c:pt>
                <c:pt idx="237">
                  <c:v>43062</c:v>
                </c:pt>
                <c:pt idx="238">
                  <c:v>43063</c:v>
                </c:pt>
                <c:pt idx="239">
                  <c:v>43066</c:v>
                </c:pt>
                <c:pt idx="240">
                  <c:v>43067</c:v>
                </c:pt>
                <c:pt idx="241">
                  <c:v>43068</c:v>
                </c:pt>
                <c:pt idx="242">
                  <c:v>43069</c:v>
                </c:pt>
                <c:pt idx="243">
                  <c:v>43073</c:v>
                </c:pt>
                <c:pt idx="244">
                  <c:v>43074</c:v>
                </c:pt>
                <c:pt idx="245">
                  <c:v>43075</c:v>
                </c:pt>
              </c:numCache>
            </c:numRef>
          </c:cat>
          <c:val>
            <c:numRef>
              <c:f>'ACL N0000'!$G$1583:$G$1828</c:f>
              <c:numCache>
                <c:formatCode>General</c:formatCode>
                <c:ptCount val="246"/>
                <c:pt idx="0">
                  <c:v>61.9</c:v>
                </c:pt>
                <c:pt idx="1">
                  <c:v>60.3</c:v>
                </c:pt>
                <c:pt idx="2">
                  <c:v>61.5</c:v>
                </c:pt>
                <c:pt idx="3">
                  <c:v>60.9</c:v>
                </c:pt>
                <c:pt idx="4">
                  <c:v>60</c:v>
                </c:pt>
                <c:pt idx="5">
                  <c:v>60</c:v>
                </c:pt>
                <c:pt idx="6">
                  <c:v>59.9</c:v>
                </c:pt>
                <c:pt idx="7">
                  <c:v>59.6</c:v>
                </c:pt>
                <c:pt idx="8">
                  <c:v>60</c:v>
                </c:pt>
                <c:pt idx="9">
                  <c:v>59.4</c:v>
                </c:pt>
                <c:pt idx="10">
                  <c:v>59.9</c:v>
                </c:pt>
                <c:pt idx="11">
                  <c:v>59.8</c:v>
                </c:pt>
                <c:pt idx="12">
                  <c:v>60</c:v>
                </c:pt>
                <c:pt idx="13">
                  <c:v>60</c:v>
                </c:pt>
                <c:pt idx="14">
                  <c:v>59.8</c:v>
                </c:pt>
                <c:pt idx="15">
                  <c:v>59.8</c:v>
                </c:pt>
                <c:pt idx="16">
                  <c:v>60.7</c:v>
                </c:pt>
                <c:pt idx="17">
                  <c:v>61.5</c:v>
                </c:pt>
                <c:pt idx="18">
                  <c:v>60.5</c:v>
                </c:pt>
                <c:pt idx="19">
                  <c:v>60.5</c:v>
                </c:pt>
                <c:pt idx="20">
                  <c:v>60</c:v>
                </c:pt>
                <c:pt idx="21">
                  <c:v>60</c:v>
                </c:pt>
                <c:pt idx="22">
                  <c:v>60</c:v>
                </c:pt>
                <c:pt idx="23">
                  <c:v>59.9</c:v>
                </c:pt>
                <c:pt idx="24">
                  <c:v>60</c:v>
                </c:pt>
                <c:pt idx="25">
                  <c:v>60.2</c:v>
                </c:pt>
                <c:pt idx="26">
                  <c:v>60.3</c:v>
                </c:pt>
                <c:pt idx="27">
                  <c:v>60.6</c:v>
                </c:pt>
                <c:pt idx="28">
                  <c:v>61</c:v>
                </c:pt>
                <c:pt idx="29">
                  <c:v>60</c:v>
                </c:pt>
                <c:pt idx="30">
                  <c:v>60</c:v>
                </c:pt>
                <c:pt idx="31">
                  <c:v>60</c:v>
                </c:pt>
                <c:pt idx="32">
                  <c:v>60</c:v>
                </c:pt>
                <c:pt idx="33">
                  <c:v>60</c:v>
                </c:pt>
                <c:pt idx="34">
                  <c:v>59.5</c:v>
                </c:pt>
                <c:pt idx="35">
                  <c:v>59.2</c:v>
                </c:pt>
                <c:pt idx="36">
                  <c:v>60</c:v>
                </c:pt>
                <c:pt idx="37">
                  <c:v>59</c:v>
                </c:pt>
                <c:pt idx="38">
                  <c:v>59</c:v>
                </c:pt>
                <c:pt idx="39">
                  <c:v>59</c:v>
                </c:pt>
                <c:pt idx="40">
                  <c:v>59</c:v>
                </c:pt>
                <c:pt idx="41">
                  <c:v>58</c:v>
                </c:pt>
                <c:pt idx="42">
                  <c:v>58.8</c:v>
                </c:pt>
                <c:pt idx="43">
                  <c:v>57</c:v>
                </c:pt>
                <c:pt idx="44">
                  <c:v>57.7</c:v>
                </c:pt>
                <c:pt idx="45">
                  <c:v>57.7</c:v>
                </c:pt>
                <c:pt idx="46">
                  <c:v>57.3</c:v>
                </c:pt>
                <c:pt idx="47">
                  <c:v>59.5</c:v>
                </c:pt>
                <c:pt idx="48">
                  <c:v>60</c:v>
                </c:pt>
                <c:pt idx="49">
                  <c:v>60</c:v>
                </c:pt>
                <c:pt idx="50">
                  <c:v>60</c:v>
                </c:pt>
                <c:pt idx="51">
                  <c:v>60</c:v>
                </c:pt>
                <c:pt idx="52">
                  <c:v>59</c:v>
                </c:pt>
                <c:pt idx="53">
                  <c:v>58</c:v>
                </c:pt>
                <c:pt idx="54">
                  <c:v>59</c:v>
                </c:pt>
                <c:pt idx="55">
                  <c:v>58.2</c:v>
                </c:pt>
                <c:pt idx="56">
                  <c:v>58.2</c:v>
                </c:pt>
                <c:pt idx="57">
                  <c:v>57.8</c:v>
                </c:pt>
                <c:pt idx="58">
                  <c:v>57.7</c:v>
                </c:pt>
                <c:pt idx="59">
                  <c:v>57.6</c:v>
                </c:pt>
                <c:pt idx="60">
                  <c:v>57.2</c:v>
                </c:pt>
                <c:pt idx="61">
                  <c:v>56.3</c:v>
                </c:pt>
                <c:pt idx="62">
                  <c:v>56.5</c:v>
                </c:pt>
                <c:pt idx="63">
                  <c:v>55.3</c:v>
                </c:pt>
                <c:pt idx="64">
                  <c:v>55</c:v>
                </c:pt>
                <c:pt idx="65">
                  <c:v>55</c:v>
                </c:pt>
                <c:pt idx="66">
                  <c:v>55</c:v>
                </c:pt>
                <c:pt idx="67">
                  <c:v>54.1</c:v>
                </c:pt>
                <c:pt idx="68">
                  <c:v>54.5</c:v>
                </c:pt>
                <c:pt idx="69">
                  <c:v>54.5</c:v>
                </c:pt>
                <c:pt idx="70">
                  <c:v>54</c:v>
                </c:pt>
                <c:pt idx="71">
                  <c:v>53.2</c:v>
                </c:pt>
                <c:pt idx="72">
                  <c:v>54.8</c:v>
                </c:pt>
                <c:pt idx="73">
                  <c:v>54.3</c:v>
                </c:pt>
                <c:pt idx="74">
                  <c:v>54.1</c:v>
                </c:pt>
                <c:pt idx="75">
                  <c:v>54.5</c:v>
                </c:pt>
                <c:pt idx="76">
                  <c:v>54.5</c:v>
                </c:pt>
                <c:pt idx="77">
                  <c:v>54</c:v>
                </c:pt>
                <c:pt idx="78">
                  <c:v>54.5</c:v>
                </c:pt>
                <c:pt idx="79">
                  <c:v>54.5</c:v>
                </c:pt>
                <c:pt idx="80">
                  <c:v>54.5</c:v>
                </c:pt>
                <c:pt idx="81">
                  <c:v>54.5</c:v>
                </c:pt>
                <c:pt idx="82">
                  <c:v>54.7</c:v>
                </c:pt>
                <c:pt idx="83">
                  <c:v>55.1</c:v>
                </c:pt>
                <c:pt idx="84">
                  <c:v>57</c:v>
                </c:pt>
                <c:pt idx="85">
                  <c:v>56.5</c:v>
                </c:pt>
                <c:pt idx="86">
                  <c:v>56.2</c:v>
                </c:pt>
                <c:pt idx="87">
                  <c:v>59.3</c:v>
                </c:pt>
                <c:pt idx="88">
                  <c:v>58.2</c:v>
                </c:pt>
                <c:pt idx="89">
                  <c:v>58.2</c:v>
                </c:pt>
                <c:pt idx="90">
                  <c:v>58.3</c:v>
                </c:pt>
                <c:pt idx="91">
                  <c:v>60</c:v>
                </c:pt>
                <c:pt idx="92">
                  <c:v>61</c:v>
                </c:pt>
                <c:pt idx="93">
                  <c:v>60</c:v>
                </c:pt>
                <c:pt idx="94">
                  <c:v>58.5</c:v>
                </c:pt>
                <c:pt idx="95">
                  <c:v>60</c:v>
                </c:pt>
                <c:pt idx="96">
                  <c:v>60</c:v>
                </c:pt>
                <c:pt idx="97">
                  <c:v>59.5</c:v>
                </c:pt>
                <c:pt idx="98">
                  <c:v>60.5</c:v>
                </c:pt>
                <c:pt idx="99">
                  <c:v>61</c:v>
                </c:pt>
                <c:pt idx="100">
                  <c:v>61.1</c:v>
                </c:pt>
                <c:pt idx="101">
                  <c:v>64.400000000000006</c:v>
                </c:pt>
                <c:pt idx="102">
                  <c:v>63.7</c:v>
                </c:pt>
                <c:pt idx="103">
                  <c:v>63</c:v>
                </c:pt>
                <c:pt idx="104">
                  <c:v>63</c:v>
                </c:pt>
                <c:pt idx="105">
                  <c:v>62.4</c:v>
                </c:pt>
                <c:pt idx="106">
                  <c:v>61.5</c:v>
                </c:pt>
                <c:pt idx="107">
                  <c:v>62</c:v>
                </c:pt>
                <c:pt idx="108">
                  <c:v>63</c:v>
                </c:pt>
                <c:pt idx="109">
                  <c:v>62.7</c:v>
                </c:pt>
                <c:pt idx="110">
                  <c:v>62.8</c:v>
                </c:pt>
                <c:pt idx="111">
                  <c:v>62.7</c:v>
                </c:pt>
                <c:pt idx="112">
                  <c:v>63</c:v>
                </c:pt>
                <c:pt idx="113">
                  <c:v>63</c:v>
                </c:pt>
                <c:pt idx="114">
                  <c:v>62.5</c:v>
                </c:pt>
                <c:pt idx="115">
                  <c:v>62.5</c:v>
                </c:pt>
                <c:pt idx="116">
                  <c:v>62.2</c:v>
                </c:pt>
                <c:pt idx="117">
                  <c:v>58.1</c:v>
                </c:pt>
                <c:pt idx="118">
                  <c:v>58.9</c:v>
                </c:pt>
                <c:pt idx="119">
                  <c:v>58.6</c:v>
                </c:pt>
                <c:pt idx="120">
                  <c:v>58.1</c:v>
                </c:pt>
                <c:pt idx="121">
                  <c:v>58</c:v>
                </c:pt>
                <c:pt idx="122">
                  <c:v>59.4</c:v>
                </c:pt>
                <c:pt idx="123">
                  <c:v>58.5</c:v>
                </c:pt>
                <c:pt idx="124">
                  <c:v>58</c:v>
                </c:pt>
                <c:pt idx="125">
                  <c:v>58</c:v>
                </c:pt>
                <c:pt idx="126">
                  <c:v>57.6</c:v>
                </c:pt>
                <c:pt idx="127">
                  <c:v>58</c:v>
                </c:pt>
                <c:pt idx="128">
                  <c:v>57</c:v>
                </c:pt>
                <c:pt idx="129">
                  <c:v>57</c:v>
                </c:pt>
                <c:pt idx="130">
                  <c:v>57</c:v>
                </c:pt>
                <c:pt idx="131">
                  <c:v>57</c:v>
                </c:pt>
                <c:pt idx="132">
                  <c:v>56.9</c:v>
                </c:pt>
                <c:pt idx="133">
                  <c:v>56.8</c:v>
                </c:pt>
                <c:pt idx="134">
                  <c:v>57</c:v>
                </c:pt>
                <c:pt idx="135">
                  <c:v>57</c:v>
                </c:pt>
                <c:pt idx="136">
                  <c:v>57</c:v>
                </c:pt>
                <c:pt idx="137">
                  <c:v>56.5</c:v>
                </c:pt>
                <c:pt idx="138">
                  <c:v>56.3</c:v>
                </c:pt>
                <c:pt idx="139">
                  <c:v>56.7</c:v>
                </c:pt>
                <c:pt idx="140">
                  <c:v>57</c:v>
                </c:pt>
                <c:pt idx="141">
                  <c:v>56.8</c:v>
                </c:pt>
                <c:pt idx="142">
                  <c:v>56.8</c:v>
                </c:pt>
                <c:pt idx="143">
                  <c:v>57</c:v>
                </c:pt>
                <c:pt idx="144">
                  <c:v>57</c:v>
                </c:pt>
                <c:pt idx="145">
                  <c:v>57.5</c:v>
                </c:pt>
                <c:pt idx="146">
                  <c:v>58.3</c:v>
                </c:pt>
                <c:pt idx="147">
                  <c:v>58</c:v>
                </c:pt>
                <c:pt idx="148">
                  <c:v>58</c:v>
                </c:pt>
                <c:pt idx="149">
                  <c:v>58</c:v>
                </c:pt>
                <c:pt idx="150">
                  <c:v>58.5</c:v>
                </c:pt>
                <c:pt idx="151">
                  <c:v>57.2</c:v>
                </c:pt>
                <c:pt idx="152">
                  <c:v>57.6</c:v>
                </c:pt>
                <c:pt idx="153">
                  <c:v>57.6</c:v>
                </c:pt>
                <c:pt idx="154">
                  <c:v>56.6</c:v>
                </c:pt>
                <c:pt idx="155">
                  <c:v>56.9</c:v>
                </c:pt>
                <c:pt idx="156">
                  <c:v>57</c:v>
                </c:pt>
                <c:pt idx="157">
                  <c:v>57.1</c:v>
                </c:pt>
                <c:pt idx="158">
                  <c:v>57</c:v>
                </c:pt>
                <c:pt idx="159">
                  <c:v>57.2</c:v>
                </c:pt>
                <c:pt idx="160">
                  <c:v>57</c:v>
                </c:pt>
                <c:pt idx="161">
                  <c:v>56.6</c:v>
                </c:pt>
                <c:pt idx="162">
                  <c:v>56.6</c:v>
                </c:pt>
                <c:pt idx="163">
                  <c:v>56.4</c:v>
                </c:pt>
                <c:pt idx="164">
                  <c:v>56.4</c:v>
                </c:pt>
                <c:pt idx="165">
                  <c:v>56.1</c:v>
                </c:pt>
                <c:pt idx="166">
                  <c:v>56.1</c:v>
                </c:pt>
                <c:pt idx="167">
                  <c:v>54</c:v>
                </c:pt>
                <c:pt idx="168">
                  <c:v>54.1</c:v>
                </c:pt>
                <c:pt idx="169">
                  <c:v>52.1</c:v>
                </c:pt>
                <c:pt idx="170">
                  <c:v>50</c:v>
                </c:pt>
                <c:pt idx="171">
                  <c:v>49.5</c:v>
                </c:pt>
                <c:pt idx="172">
                  <c:v>49.6</c:v>
                </c:pt>
                <c:pt idx="173">
                  <c:v>49</c:v>
                </c:pt>
                <c:pt idx="174">
                  <c:v>49</c:v>
                </c:pt>
                <c:pt idx="175">
                  <c:v>49.8</c:v>
                </c:pt>
                <c:pt idx="176">
                  <c:v>50</c:v>
                </c:pt>
                <c:pt idx="177">
                  <c:v>50</c:v>
                </c:pt>
                <c:pt idx="178">
                  <c:v>50.1</c:v>
                </c:pt>
                <c:pt idx="179">
                  <c:v>50</c:v>
                </c:pt>
                <c:pt idx="180">
                  <c:v>49.1</c:v>
                </c:pt>
                <c:pt idx="181">
                  <c:v>50</c:v>
                </c:pt>
                <c:pt idx="182">
                  <c:v>50</c:v>
                </c:pt>
                <c:pt idx="183">
                  <c:v>49</c:v>
                </c:pt>
                <c:pt idx="184">
                  <c:v>48.1</c:v>
                </c:pt>
                <c:pt idx="185">
                  <c:v>48</c:v>
                </c:pt>
                <c:pt idx="186">
                  <c:v>47.9</c:v>
                </c:pt>
                <c:pt idx="187">
                  <c:v>47.5</c:v>
                </c:pt>
                <c:pt idx="188">
                  <c:v>46.1</c:v>
                </c:pt>
                <c:pt idx="189">
                  <c:v>46.1</c:v>
                </c:pt>
                <c:pt idx="190">
                  <c:v>46.7</c:v>
                </c:pt>
                <c:pt idx="191">
                  <c:v>46.2</c:v>
                </c:pt>
                <c:pt idx="192">
                  <c:v>47</c:v>
                </c:pt>
                <c:pt idx="193">
                  <c:v>46.9</c:v>
                </c:pt>
                <c:pt idx="194">
                  <c:v>47</c:v>
                </c:pt>
                <c:pt idx="195">
                  <c:v>46.2</c:v>
                </c:pt>
                <c:pt idx="196">
                  <c:v>46</c:v>
                </c:pt>
                <c:pt idx="197">
                  <c:v>45.5</c:v>
                </c:pt>
                <c:pt idx="198">
                  <c:v>45.3</c:v>
                </c:pt>
                <c:pt idx="199">
                  <c:v>45.1</c:v>
                </c:pt>
                <c:pt idx="200">
                  <c:v>45</c:v>
                </c:pt>
                <c:pt idx="201">
                  <c:v>45.1</c:v>
                </c:pt>
                <c:pt idx="202">
                  <c:v>44.5</c:v>
                </c:pt>
                <c:pt idx="203">
                  <c:v>42.9</c:v>
                </c:pt>
                <c:pt idx="204">
                  <c:v>43</c:v>
                </c:pt>
                <c:pt idx="205">
                  <c:v>43</c:v>
                </c:pt>
                <c:pt idx="206">
                  <c:v>42.7</c:v>
                </c:pt>
                <c:pt idx="207">
                  <c:v>42.5</c:v>
                </c:pt>
                <c:pt idx="208">
                  <c:v>42.2</c:v>
                </c:pt>
                <c:pt idx="209">
                  <c:v>42.1</c:v>
                </c:pt>
                <c:pt idx="210">
                  <c:v>42.1</c:v>
                </c:pt>
                <c:pt idx="211">
                  <c:v>42</c:v>
                </c:pt>
                <c:pt idx="212">
                  <c:v>42</c:v>
                </c:pt>
                <c:pt idx="213">
                  <c:v>42</c:v>
                </c:pt>
                <c:pt idx="214">
                  <c:v>42</c:v>
                </c:pt>
                <c:pt idx="215">
                  <c:v>43.8</c:v>
                </c:pt>
                <c:pt idx="216">
                  <c:v>43.7</c:v>
                </c:pt>
                <c:pt idx="217">
                  <c:v>46.7</c:v>
                </c:pt>
                <c:pt idx="218">
                  <c:v>46</c:v>
                </c:pt>
                <c:pt idx="219">
                  <c:v>44.5</c:v>
                </c:pt>
                <c:pt idx="220">
                  <c:v>44</c:v>
                </c:pt>
                <c:pt idx="221">
                  <c:v>44.5</c:v>
                </c:pt>
                <c:pt idx="222">
                  <c:v>44.4</c:v>
                </c:pt>
                <c:pt idx="223">
                  <c:v>44.7</c:v>
                </c:pt>
                <c:pt idx="224">
                  <c:v>44.1</c:v>
                </c:pt>
                <c:pt idx="225">
                  <c:v>44</c:v>
                </c:pt>
                <c:pt idx="226">
                  <c:v>45</c:v>
                </c:pt>
                <c:pt idx="227">
                  <c:v>44.1</c:v>
                </c:pt>
                <c:pt idx="228">
                  <c:v>45.5</c:v>
                </c:pt>
                <c:pt idx="229">
                  <c:v>45</c:v>
                </c:pt>
                <c:pt idx="230">
                  <c:v>44.1</c:v>
                </c:pt>
                <c:pt idx="231">
                  <c:v>43</c:v>
                </c:pt>
                <c:pt idx="232">
                  <c:v>45.5</c:v>
                </c:pt>
                <c:pt idx="233">
                  <c:v>43.8</c:v>
                </c:pt>
                <c:pt idx="234">
                  <c:v>44</c:v>
                </c:pt>
                <c:pt idx="235">
                  <c:v>44.6</c:v>
                </c:pt>
                <c:pt idx="236">
                  <c:v>44.2</c:v>
                </c:pt>
                <c:pt idx="237">
                  <c:v>43.9</c:v>
                </c:pt>
                <c:pt idx="238">
                  <c:v>43.9</c:v>
                </c:pt>
                <c:pt idx="239">
                  <c:v>43</c:v>
                </c:pt>
                <c:pt idx="240">
                  <c:v>42.2</c:v>
                </c:pt>
                <c:pt idx="241">
                  <c:v>42.5</c:v>
                </c:pt>
                <c:pt idx="242">
                  <c:v>42.5</c:v>
                </c:pt>
                <c:pt idx="243">
                  <c:v>42.5</c:v>
                </c:pt>
                <c:pt idx="244">
                  <c:v>42.7</c:v>
                </c:pt>
                <c:pt idx="245">
                  <c:v>42.5</c:v>
                </c:pt>
              </c:numCache>
            </c:numRef>
          </c:val>
          <c:smooth val="0"/>
          <c:extLst>
            <c:ext xmlns:c16="http://schemas.microsoft.com/office/drawing/2014/chart" uri="{C3380CC4-5D6E-409C-BE32-E72D297353CC}">
              <c16:uniqueId val="{00000001-1039-4B30-87C8-E86FC49C44A8}"/>
            </c:ext>
          </c:extLst>
        </c:ser>
        <c:dLbls>
          <c:showLegendKey val="0"/>
          <c:showVal val="0"/>
          <c:showCatName val="0"/>
          <c:showSerName val="0"/>
          <c:showPercent val="0"/>
          <c:showBubbleSize val="0"/>
        </c:dLbls>
        <c:marker val="1"/>
        <c:smooth val="0"/>
        <c:axId val="117350400"/>
        <c:axId val="117351936"/>
      </c:lineChart>
      <c:dateAx>
        <c:axId val="117350400"/>
        <c:scaling>
          <c:orientation val="minMax"/>
        </c:scaling>
        <c:delete val="0"/>
        <c:axPos val="b"/>
        <c:numFmt formatCode="[$-409]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117351936"/>
        <c:crosses val="autoZero"/>
        <c:auto val="1"/>
        <c:lblOffset val="100"/>
        <c:baseTimeUnit val="days"/>
        <c:majorUnit val="4"/>
        <c:majorTimeUnit val="months"/>
        <c:minorUnit val="1"/>
        <c:minorTimeUnit val="days"/>
      </c:dateAx>
      <c:valAx>
        <c:axId val="117351936"/>
        <c:scaling>
          <c:orientation val="minMax"/>
          <c:min val="4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117350400"/>
        <c:crosses val="autoZero"/>
        <c:crossBetween val="between"/>
      </c:valAx>
      <c:valAx>
        <c:axId val="117353472"/>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117363840"/>
        <c:crosses val="max"/>
        <c:crossBetween val="between"/>
        <c:majorUnit val="200000"/>
        <c:dispUnits>
          <c:builtInUnit val="thousands"/>
          <c:dispUnitsLbl>
            <c:spPr>
              <a:noFill/>
              <a:ln>
                <a:noFill/>
              </a:ln>
              <a:effectLst/>
            </c:spPr>
            <c:txPr>
              <a:bodyPr rot="-54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dispUnitsLbl>
        </c:dispUnits>
      </c:valAx>
      <c:dateAx>
        <c:axId val="117363840"/>
        <c:scaling>
          <c:orientation val="minMax"/>
        </c:scaling>
        <c:delete val="1"/>
        <c:axPos val="b"/>
        <c:numFmt formatCode="[$-409]d\-mmm\-yy;@" sourceLinked="1"/>
        <c:majorTickMark val="out"/>
        <c:minorTickMark val="none"/>
        <c:tickLblPos val="nextTo"/>
        <c:crossAx val="117353472"/>
        <c:crosses val="autoZero"/>
        <c:auto val="1"/>
        <c:lblOffset val="100"/>
        <c:baseTimeUnit val="days"/>
      </c:dateAx>
      <c:spPr>
        <a:noFill/>
        <a:ln>
          <a:noFill/>
        </a:ln>
        <a:effectLst/>
      </c:spPr>
    </c:plotArea>
    <c:legend>
      <c:legendPos val="b"/>
      <c:layout>
        <c:manualLayout>
          <c:xMode val="edge"/>
          <c:yMode val="edge"/>
          <c:x val="2.4356593356864874E-2"/>
          <c:y val="0.90434904188327458"/>
          <c:w val="0.97564343711575874"/>
          <c:h val="8.9331802274715655E-2"/>
        </c:manualLayout>
      </c:layout>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8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7379921259842513E-2"/>
          <c:y val="5.4236293379994166E-2"/>
          <c:w val="0.78577294416677468"/>
          <c:h val="0.68922351252345482"/>
        </c:manualLayout>
      </c:layout>
      <c:lineChart>
        <c:grouping val="standard"/>
        <c:varyColors val="0"/>
        <c:ser>
          <c:idx val="3"/>
          <c:order val="0"/>
          <c:tx>
            <c:strRef>
              <c:f>'ASPIv ACL'!$E$3</c:f>
              <c:strCache>
                <c:ptCount val="1"/>
                <c:pt idx="0">
                  <c:v>ACL (LHS)</c:v>
                </c:pt>
              </c:strCache>
            </c:strRef>
          </c:tx>
          <c:spPr>
            <a:ln w="28575" cap="rnd">
              <a:solidFill>
                <a:srgbClr val="002060"/>
              </a:solidFill>
              <a:round/>
            </a:ln>
            <a:effectLst/>
          </c:spPr>
          <c:marker>
            <c:symbol val="none"/>
          </c:marker>
          <c:cat>
            <c:numRef>
              <c:f>'ASPIv ACL'!$B$1444:$B$1682</c:f>
              <c:numCache>
                <c:formatCode>[$-409]dd\-mmm\-yy;@</c:formatCode>
                <c:ptCount val="239"/>
                <c:pt idx="0">
                  <c:v>42265</c:v>
                </c:pt>
                <c:pt idx="1">
                  <c:v>42268</c:v>
                </c:pt>
                <c:pt idx="2">
                  <c:v>42269</c:v>
                </c:pt>
                <c:pt idx="3">
                  <c:v>42270</c:v>
                </c:pt>
                <c:pt idx="4">
                  <c:v>42272</c:v>
                </c:pt>
                <c:pt idx="5">
                  <c:v>42275</c:v>
                </c:pt>
                <c:pt idx="6">
                  <c:v>42276</c:v>
                </c:pt>
                <c:pt idx="7">
                  <c:v>42277</c:v>
                </c:pt>
                <c:pt idx="8">
                  <c:v>42278</c:v>
                </c:pt>
                <c:pt idx="9">
                  <c:v>42279</c:v>
                </c:pt>
                <c:pt idx="10">
                  <c:v>42282</c:v>
                </c:pt>
                <c:pt idx="11">
                  <c:v>42283</c:v>
                </c:pt>
                <c:pt idx="12">
                  <c:v>42284</c:v>
                </c:pt>
                <c:pt idx="13">
                  <c:v>42285</c:v>
                </c:pt>
                <c:pt idx="14">
                  <c:v>42286</c:v>
                </c:pt>
                <c:pt idx="15">
                  <c:v>42289</c:v>
                </c:pt>
                <c:pt idx="16">
                  <c:v>42290</c:v>
                </c:pt>
                <c:pt idx="17">
                  <c:v>42291</c:v>
                </c:pt>
                <c:pt idx="18">
                  <c:v>42292</c:v>
                </c:pt>
                <c:pt idx="19">
                  <c:v>42293</c:v>
                </c:pt>
                <c:pt idx="20">
                  <c:v>42296</c:v>
                </c:pt>
                <c:pt idx="21">
                  <c:v>42297</c:v>
                </c:pt>
                <c:pt idx="22">
                  <c:v>42298</c:v>
                </c:pt>
                <c:pt idx="23">
                  <c:v>42299</c:v>
                </c:pt>
                <c:pt idx="24">
                  <c:v>42300</c:v>
                </c:pt>
                <c:pt idx="25">
                  <c:v>42303</c:v>
                </c:pt>
                <c:pt idx="26">
                  <c:v>42305</c:v>
                </c:pt>
                <c:pt idx="27">
                  <c:v>42306</c:v>
                </c:pt>
                <c:pt idx="28">
                  <c:v>42307</c:v>
                </c:pt>
                <c:pt idx="29">
                  <c:v>42310</c:v>
                </c:pt>
                <c:pt idx="30">
                  <c:v>42311</c:v>
                </c:pt>
                <c:pt idx="31">
                  <c:v>42312</c:v>
                </c:pt>
                <c:pt idx="32">
                  <c:v>42313</c:v>
                </c:pt>
                <c:pt idx="33">
                  <c:v>42314</c:v>
                </c:pt>
                <c:pt idx="34">
                  <c:v>42317</c:v>
                </c:pt>
                <c:pt idx="35">
                  <c:v>42319</c:v>
                </c:pt>
                <c:pt idx="36">
                  <c:v>42320</c:v>
                </c:pt>
                <c:pt idx="37">
                  <c:v>42321</c:v>
                </c:pt>
                <c:pt idx="38">
                  <c:v>42324</c:v>
                </c:pt>
                <c:pt idx="39">
                  <c:v>42325</c:v>
                </c:pt>
                <c:pt idx="40">
                  <c:v>42326</c:v>
                </c:pt>
                <c:pt idx="41">
                  <c:v>42327</c:v>
                </c:pt>
                <c:pt idx="42">
                  <c:v>42328</c:v>
                </c:pt>
                <c:pt idx="43">
                  <c:v>42331</c:v>
                </c:pt>
                <c:pt idx="44">
                  <c:v>42332</c:v>
                </c:pt>
                <c:pt idx="45">
                  <c:v>42334</c:v>
                </c:pt>
                <c:pt idx="46">
                  <c:v>42335</c:v>
                </c:pt>
                <c:pt idx="47">
                  <c:v>42338</c:v>
                </c:pt>
                <c:pt idx="48">
                  <c:v>42339</c:v>
                </c:pt>
                <c:pt idx="49">
                  <c:v>42340</c:v>
                </c:pt>
                <c:pt idx="50">
                  <c:v>42341</c:v>
                </c:pt>
                <c:pt idx="51">
                  <c:v>42342</c:v>
                </c:pt>
                <c:pt idx="52">
                  <c:v>42345</c:v>
                </c:pt>
                <c:pt idx="53">
                  <c:v>42346</c:v>
                </c:pt>
                <c:pt idx="54">
                  <c:v>42347</c:v>
                </c:pt>
                <c:pt idx="55">
                  <c:v>42348</c:v>
                </c:pt>
                <c:pt idx="56">
                  <c:v>42349</c:v>
                </c:pt>
                <c:pt idx="57">
                  <c:v>42352</c:v>
                </c:pt>
                <c:pt idx="58">
                  <c:v>42353</c:v>
                </c:pt>
                <c:pt idx="59">
                  <c:v>42354</c:v>
                </c:pt>
                <c:pt idx="60">
                  <c:v>42355</c:v>
                </c:pt>
                <c:pt idx="61">
                  <c:v>42356</c:v>
                </c:pt>
                <c:pt idx="62">
                  <c:v>42359</c:v>
                </c:pt>
                <c:pt idx="63">
                  <c:v>42360</c:v>
                </c:pt>
                <c:pt idx="64">
                  <c:v>42361</c:v>
                </c:pt>
                <c:pt idx="65">
                  <c:v>42366</c:v>
                </c:pt>
                <c:pt idx="66">
                  <c:v>42367</c:v>
                </c:pt>
                <c:pt idx="67">
                  <c:v>42368</c:v>
                </c:pt>
                <c:pt idx="68">
                  <c:v>42369</c:v>
                </c:pt>
                <c:pt idx="69">
                  <c:v>42373</c:v>
                </c:pt>
                <c:pt idx="70">
                  <c:v>42374</c:v>
                </c:pt>
                <c:pt idx="71">
                  <c:v>42375</c:v>
                </c:pt>
                <c:pt idx="72">
                  <c:v>42376</c:v>
                </c:pt>
                <c:pt idx="73">
                  <c:v>42377</c:v>
                </c:pt>
                <c:pt idx="74">
                  <c:v>42380</c:v>
                </c:pt>
                <c:pt idx="75">
                  <c:v>42381</c:v>
                </c:pt>
                <c:pt idx="76">
                  <c:v>42382</c:v>
                </c:pt>
                <c:pt idx="77">
                  <c:v>42383</c:v>
                </c:pt>
                <c:pt idx="78">
                  <c:v>42387</c:v>
                </c:pt>
                <c:pt idx="79">
                  <c:v>42388</c:v>
                </c:pt>
                <c:pt idx="80">
                  <c:v>42389</c:v>
                </c:pt>
                <c:pt idx="81">
                  <c:v>42390</c:v>
                </c:pt>
                <c:pt idx="82">
                  <c:v>42391</c:v>
                </c:pt>
                <c:pt idx="83">
                  <c:v>42394</c:v>
                </c:pt>
                <c:pt idx="84">
                  <c:v>42395</c:v>
                </c:pt>
                <c:pt idx="85">
                  <c:v>42396</c:v>
                </c:pt>
                <c:pt idx="86">
                  <c:v>42397</c:v>
                </c:pt>
                <c:pt idx="87">
                  <c:v>42398</c:v>
                </c:pt>
                <c:pt idx="88">
                  <c:v>42401</c:v>
                </c:pt>
                <c:pt idx="89">
                  <c:v>42402</c:v>
                </c:pt>
                <c:pt idx="90">
                  <c:v>42403</c:v>
                </c:pt>
                <c:pt idx="91">
                  <c:v>42405</c:v>
                </c:pt>
                <c:pt idx="92">
                  <c:v>42408</c:v>
                </c:pt>
                <c:pt idx="93">
                  <c:v>42409</c:v>
                </c:pt>
                <c:pt idx="94">
                  <c:v>42410</c:v>
                </c:pt>
                <c:pt idx="95">
                  <c:v>42411</c:v>
                </c:pt>
                <c:pt idx="96">
                  <c:v>42412</c:v>
                </c:pt>
                <c:pt idx="97">
                  <c:v>42415</c:v>
                </c:pt>
                <c:pt idx="98">
                  <c:v>42416</c:v>
                </c:pt>
                <c:pt idx="99">
                  <c:v>42417</c:v>
                </c:pt>
                <c:pt idx="100">
                  <c:v>42418</c:v>
                </c:pt>
                <c:pt idx="101">
                  <c:v>42419</c:v>
                </c:pt>
                <c:pt idx="102">
                  <c:v>42423</c:v>
                </c:pt>
                <c:pt idx="103">
                  <c:v>42424</c:v>
                </c:pt>
                <c:pt idx="104">
                  <c:v>42425</c:v>
                </c:pt>
                <c:pt idx="105">
                  <c:v>42426</c:v>
                </c:pt>
                <c:pt idx="106">
                  <c:v>42429</c:v>
                </c:pt>
                <c:pt idx="107">
                  <c:v>42430</c:v>
                </c:pt>
                <c:pt idx="108">
                  <c:v>42431</c:v>
                </c:pt>
                <c:pt idx="109">
                  <c:v>42432</c:v>
                </c:pt>
                <c:pt idx="110">
                  <c:v>42433</c:v>
                </c:pt>
                <c:pt idx="111">
                  <c:v>42437</c:v>
                </c:pt>
                <c:pt idx="112">
                  <c:v>42438</c:v>
                </c:pt>
                <c:pt idx="113">
                  <c:v>42439</c:v>
                </c:pt>
                <c:pt idx="114">
                  <c:v>42440</c:v>
                </c:pt>
                <c:pt idx="115">
                  <c:v>42443</c:v>
                </c:pt>
                <c:pt idx="116">
                  <c:v>42444</c:v>
                </c:pt>
                <c:pt idx="117">
                  <c:v>42445</c:v>
                </c:pt>
                <c:pt idx="118">
                  <c:v>42446</c:v>
                </c:pt>
                <c:pt idx="119">
                  <c:v>42447</c:v>
                </c:pt>
                <c:pt idx="120">
                  <c:v>42450</c:v>
                </c:pt>
                <c:pt idx="121">
                  <c:v>42452</c:v>
                </c:pt>
                <c:pt idx="122">
                  <c:v>42453</c:v>
                </c:pt>
                <c:pt idx="123">
                  <c:v>42457</c:v>
                </c:pt>
                <c:pt idx="124">
                  <c:v>42458</c:v>
                </c:pt>
                <c:pt idx="125">
                  <c:v>42459</c:v>
                </c:pt>
                <c:pt idx="126">
                  <c:v>42460</c:v>
                </c:pt>
                <c:pt idx="127">
                  <c:v>42461</c:v>
                </c:pt>
                <c:pt idx="128">
                  <c:v>42464</c:v>
                </c:pt>
                <c:pt idx="129">
                  <c:v>42465</c:v>
                </c:pt>
                <c:pt idx="130">
                  <c:v>42466</c:v>
                </c:pt>
                <c:pt idx="131">
                  <c:v>42467</c:v>
                </c:pt>
                <c:pt idx="132">
                  <c:v>42468</c:v>
                </c:pt>
                <c:pt idx="133">
                  <c:v>42471</c:v>
                </c:pt>
                <c:pt idx="134">
                  <c:v>42472</c:v>
                </c:pt>
                <c:pt idx="135">
                  <c:v>42475</c:v>
                </c:pt>
                <c:pt idx="136">
                  <c:v>42478</c:v>
                </c:pt>
                <c:pt idx="137">
                  <c:v>42479</c:v>
                </c:pt>
                <c:pt idx="138">
                  <c:v>42480</c:v>
                </c:pt>
                <c:pt idx="139">
                  <c:v>42482</c:v>
                </c:pt>
                <c:pt idx="140">
                  <c:v>42485</c:v>
                </c:pt>
                <c:pt idx="141">
                  <c:v>42486</c:v>
                </c:pt>
                <c:pt idx="142">
                  <c:v>42487</c:v>
                </c:pt>
                <c:pt idx="143">
                  <c:v>42488</c:v>
                </c:pt>
                <c:pt idx="144">
                  <c:v>42489</c:v>
                </c:pt>
                <c:pt idx="145">
                  <c:v>42493</c:v>
                </c:pt>
                <c:pt idx="146">
                  <c:v>42494</c:v>
                </c:pt>
                <c:pt idx="147">
                  <c:v>42495</c:v>
                </c:pt>
                <c:pt idx="148">
                  <c:v>42496</c:v>
                </c:pt>
                <c:pt idx="149">
                  <c:v>42499</c:v>
                </c:pt>
                <c:pt idx="150">
                  <c:v>42500</c:v>
                </c:pt>
                <c:pt idx="151">
                  <c:v>42501</c:v>
                </c:pt>
                <c:pt idx="152">
                  <c:v>42502</c:v>
                </c:pt>
                <c:pt idx="153">
                  <c:v>42503</c:v>
                </c:pt>
                <c:pt idx="154">
                  <c:v>42506</c:v>
                </c:pt>
                <c:pt idx="155">
                  <c:v>42507</c:v>
                </c:pt>
                <c:pt idx="156">
                  <c:v>42508</c:v>
                </c:pt>
                <c:pt idx="157">
                  <c:v>42509</c:v>
                </c:pt>
                <c:pt idx="158">
                  <c:v>42510</c:v>
                </c:pt>
                <c:pt idx="159">
                  <c:v>42514</c:v>
                </c:pt>
                <c:pt idx="160">
                  <c:v>42515</c:v>
                </c:pt>
                <c:pt idx="161">
                  <c:v>42516</c:v>
                </c:pt>
                <c:pt idx="162">
                  <c:v>42517</c:v>
                </c:pt>
                <c:pt idx="163">
                  <c:v>42520</c:v>
                </c:pt>
                <c:pt idx="164">
                  <c:v>42521</c:v>
                </c:pt>
                <c:pt idx="165">
                  <c:v>42522</c:v>
                </c:pt>
                <c:pt idx="166">
                  <c:v>42523</c:v>
                </c:pt>
                <c:pt idx="167">
                  <c:v>42524</c:v>
                </c:pt>
                <c:pt idx="168">
                  <c:v>42527</c:v>
                </c:pt>
                <c:pt idx="169">
                  <c:v>42528</c:v>
                </c:pt>
                <c:pt idx="170">
                  <c:v>42529</c:v>
                </c:pt>
                <c:pt idx="171">
                  <c:v>42530</c:v>
                </c:pt>
                <c:pt idx="172">
                  <c:v>42531</c:v>
                </c:pt>
                <c:pt idx="173">
                  <c:v>42534</c:v>
                </c:pt>
                <c:pt idx="174">
                  <c:v>42535</c:v>
                </c:pt>
                <c:pt idx="175">
                  <c:v>42536</c:v>
                </c:pt>
                <c:pt idx="176">
                  <c:v>42537</c:v>
                </c:pt>
                <c:pt idx="177">
                  <c:v>42538</c:v>
                </c:pt>
                <c:pt idx="178">
                  <c:v>42541</c:v>
                </c:pt>
                <c:pt idx="179">
                  <c:v>42542</c:v>
                </c:pt>
                <c:pt idx="180">
                  <c:v>42543</c:v>
                </c:pt>
                <c:pt idx="181">
                  <c:v>42544</c:v>
                </c:pt>
                <c:pt idx="182">
                  <c:v>42545</c:v>
                </c:pt>
                <c:pt idx="183">
                  <c:v>42548</c:v>
                </c:pt>
                <c:pt idx="184">
                  <c:v>42549</c:v>
                </c:pt>
                <c:pt idx="185">
                  <c:v>42550</c:v>
                </c:pt>
                <c:pt idx="186">
                  <c:v>42551</c:v>
                </c:pt>
                <c:pt idx="187">
                  <c:v>42552</c:v>
                </c:pt>
                <c:pt idx="188">
                  <c:v>42555</c:v>
                </c:pt>
                <c:pt idx="189">
                  <c:v>42556</c:v>
                </c:pt>
                <c:pt idx="190">
                  <c:v>42558</c:v>
                </c:pt>
                <c:pt idx="191">
                  <c:v>42559</c:v>
                </c:pt>
                <c:pt idx="192">
                  <c:v>42562</c:v>
                </c:pt>
                <c:pt idx="193">
                  <c:v>42563</c:v>
                </c:pt>
                <c:pt idx="194">
                  <c:v>42564</c:v>
                </c:pt>
                <c:pt idx="195">
                  <c:v>42565</c:v>
                </c:pt>
                <c:pt idx="196">
                  <c:v>42566</c:v>
                </c:pt>
                <c:pt idx="197">
                  <c:v>42569</c:v>
                </c:pt>
                <c:pt idx="198">
                  <c:v>42571</c:v>
                </c:pt>
                <c:pt idx="199">
                  <c:v>42572</c:v>
                </c:pt>
                <c:pt idx="200">
                  <c:v>42573</c:v>
                </c:pt>
                <c:pt idx="201">
                  <c:v>42576</c:v>
                </c:pt>
                <c:pt idx="202">
                  <c:v>42577</c:v>
                </c:pt>
                <c:pt idx="203">
                  <c:v>42578</c:v>
                </c:pt>
                <c:pt idx="204">
                  <c:v>42579</c:v>
                </c:pt>
                <c:pt idx="205">
                  <c:v>42580</c:v>
                </c:pt>
                <c:pt idx="206">
                  <c:v>42583</c:v>
                </c:pt>
                <c:pt idx="207">
                  <c:v>42584</c:v>
                </c:pt>
                <c:pt idx="208">
                  <c:v>42585</c:v>
                </c:pt>
                <c:pt idx="209">
                  <c:v>42586</c:v>
                </c:pt>
                <c:pt idx="210">
                  <c:v>42587</c:v>
                </c:pt>
                <c:pt idx="211">
                  <c:v>42590</c:v>
                </c:pt>
                <c:pt idx="212">
                  <c:v>42591</c:v>
                </c:pt>
                <c:pt idx="213">
                  <c:v>42592</c:v>
                </c:pt>
                <c:pt idx="214">
                  <c:v>42593</c:v>
                </c:pt>
                <c:pt idx="215">
                  <c:v>42594</c:v>
                </c:pt>
                <c:pt idx="216">
                  <c:v>42597</c:v>
                </c:pt>
                <c:pt idx="217">
                  <c:v>42598</c:v>
                </c:pt>
                <c:pt idx="218">
                  <c:v>42600</c:v>
                </c:pt>
                <c:pt idx="219">
                  <c:v>42601</c:v>
                </c:pt>
                <c:pt idx="220">
                  <c:v>42604</c:v>
                </c:pt>
                <c:pt idx="221">
                  <c:v>42605</c:v>
                </c:pt>
                <c:pt idx="222">
                  <c:v>42606</c:v>
                </c:pt>
                <c:pt idx="223">
                  <c:v>42607</c:v>
                </c:pt>
                <c:pt idx="224">
                  <c:v>42608</c:v>
                </c:pt>
                <c:pt idx="225">
                  <c:v>42611</c:v>
                </c:pt>
                <c:pt idx="226">
                  <c:v>42612</c:v>
                </c:pt>
                <c:pt idx="227">
                  <c:v>42613</c:v>
                </c:pt>
                <c:pt idx="228">
                  <c:v>42614</c:v>
                </c:pt>
                <c:pt idx="229">
                  <c:v>42615</c:v>
                </c:pt>
                <c:pt idx="230">
                  <c:v>42618</c:v>
                </c:pt>
                <c:pt idx="231">
                  <c:v>42619</c:v>
                </c:pt>
                <c:pt idx="232">
                  <c:v>42620</c:v>
                </c:pt>
                <c:pt idx="233">
                  <c:v>42621</c:v>
                </c:pt>
                <c:pt idx="234">
                  <c:v>42622</c:v>
                </c:pt>
                <c:pt idx="235">
                  <c:v>42626</c:v>
                </c:pt>
                <c:pt idx="236">
                  <c:v>42627</c:v>
                </c:pt>
                <c:pt idx="237">
                  <c:v>42628</c:v>
                </c:pt>
                <c:pt idx="238">
                  <c:v>42632</c:v>
                </c:pt>
              </c:numCache>
            </c:numRef>
          </c:cat>
          <c:val>
            <c:numRef>
              <c:f>'ASPIv ACL'!$E$1444:$E$1682</c:f>
              <c:numCache>
                <c:formatCode>General</c:formatCode>
                <c:ptCount val="239"/>
                <c:pt idx="0">
                  <c:v>54.4</c:v>
                </c:pt>
                <c:pt idx="1">
                  <c:v>54.95</c:v>
                </c:pt>
                <c:pt idx="2">
                  <c:v>54.55</c:v>
                </c:pt>
                <c:pt idx="3">
                  <c:v>54.45</c:v>
                </c:pt>
                <c:pt idx="4">
                  <c:v>54.2</c:v>
                </c:pt>
                <c:pt idx="5">
                  <c:v>54</c:v>
                </c:pt>
                <c:pt idx="6">
                  <c:v>54.5</c:v>
                </c:pt>
                <c:pt idx="7">
                  <c:v>54.2</c:v>
                </c:pt>
                <c:pt idx="8">
                  <c:v>54.45</c:v>
                </c:pt>
                <c:pt idx="9">
                  <c:v>57.05</c:v>
                </c:pt>
                <c:pt idx="10">
                  <c:v>59.9</c:v>
                </c:pt>
                <c:pt idx="11">
                  <c:v>61.55</c:v>
                </c:pt>
                <c:pt idx="12">
                  <c:v>60.55</c:v>
                </c:pt>
                <c:pt idx="13">
                  <c:v>60.8</c:v>
                </c:pt>
                <c:pt idx="14">
                  <c:v>63.4</c:v>
                </c:pt>
                <c:pt idx="15">
                  <c:v>63.35</c:v>
                </c:pt>
                <c:pt idx="16">
                  <c:v>62.1</c:v>
                </c:pt>
                <c:pt idx="17">
                  <c:v>61.05</c:v>
                </c:pt>
                <c:pt idx="18">
                  <c:v>59.8</c:v>
                </c:pt>
                <c:pt idx="19">
                  <c:v>59.75</c:v>
                </c:pt>
                <c:pt idx="20">
                  <c:v>59.8</c:v>
                </c:pt>
                <c:pt idx="21">
                  <c:v>60.25</c:v>
                </c:pt>
                <c:pt idx="22">
                  <c:v>61</c:v>
                </c:pt>
                <c:pt idx="23">
                  <c:v>59.9</c:v>
                </c:pt>
                <c:pt idx="24">
                  <c:v>60.3</c:v>
                </c:pt>
                <c:pt idx="25">
                  <c:v>60.3</c:v>
                </c:pt>
                <c:pt idx="26">
                  <c:v>60</c:v>
                </c:pt>
                <c:pt idx="27">
                  <c:v>59.8</c:v>
                </c:pt>
                <c:pt idx="28">
                  <c:v>59.5</c:v>
                </c:pt>
                <c:pt idx="29">
                  <c:v>59.5</c:v>
                </c:pt>
                <c:pt idx="30">
                  <c:v>59.35</c:v>
                </c:pt>
                <c:pt idx="31">
                  <c:v>57.5</c:v>
                </c:pt>
                <c:pt idx="32">
                  <c:v>58.45</c:v>
                </c:pt>
                <c:pt idx="33">
                  <c:v>60</c:v>
                </c:pt>
                <c:pt idx="34">
                  <c:v>60</c:v>
                </c:pt>
                <c:pt idx="35">
                  <c:v>59.4</c:v>
                </c:pt>
                <c:pt idx="36">
                  <c:v>59.6</c:v>
                </c:pt>
                <c:pt idx="37">
                  <c:v>59.9</c:v>
                </c:pt>
                <c:pt idx="38">
                  <c:v>58.8</c:v>
                </c:pt>
                <c:pt idx="39">
                  <c:v>58.45</c:v>
                </c:pt>
                <c:pt idx="40">
                  <c:v>58.5</c:v>
                </c:pt>
                <c:pt idx="41">
                  <c:v>59.45</c:v>
                </c:pt>
                <c:pt idx="42">
                  <c:v>60</c:v>
                </c:pt>
                <c:pt idx="43">
                  <c:v>60</c:v>
                </c:pt>
                <c:pt idx="44">
                  <c:v>59.5</c:v>
                </c:pt>
                <c:pt idx="45">
                  <c:v>58.4</c:v>
                </c:pt>
                <c:pt idx="46">
                  <c:v>58.65</c:v>
                </c:pt>
                <c:pt idx="47">
                  <c:v>58.5</c:v>
                </c:pt>
                <c:pt idx="48">
                  <c:v>59.55</c:v>
                </c:pt>
                <c:pt idx="49">
                  <c:v>58.65</c:v>
                </c:pt>
                <c:pt idx="50">
                  <c:v>59</c:v>
                </c:pt>
                <c:pt idx="51">
                  <c:v>58.35</c:v>
                </c:pt>
                <c:pt idx="52">
                  <c:v>58.15</c:v>
                </c:pt>
                <c:pt idx="53">
                  <c:v>58.45</c:v>
                </c:pt>
                <c:pt idx="54">
                  <c:v>57.8</c:v>
                </c:pt>
                <c:pt idx="55">
                  <c:v>57.75</c:v>
                </c:pt>
                <c:pt idx="56">
                  <c:v>58.45</c:v>
                </c:pt>
                <c:pt idx="57">
                  <c:v>58.35</c:v>
                </c:pt>
                <c:pt idx="58">
                  <c:v>58.15</c:v>
                </c:pt>
                <c:pt idx="59">
                  <c:v>58.25</c:v>
                </c:pt>
                <c:pt idx="60">
                  <c:v>59.7</c:v>
                </c:pt>
                <c:pt idx="61">
                  <c:v>59.9</c:v>
                </c:pt>
                <c:pt idx="62">
                  <c:v>59.65</c:v>
                </c:pt>
                <c:pt idx="63">
                  <c:v>59.65</c:v>
                </c:pt>
                <c:pt idx="64">
                  <c:v>59.7</c:v>
                </c:pt>
                <c:pt idx="65">
                  <c:v>59.3</c:v>
                </c:pt>
                <c:pt idx="66">
                  <c:v>59.8</c:v>
                </c:pt>
                <c:pt idx="67">
                  <c:v>60.1</c:v>
                </c:pt>
                <c:pt idx="68">
                  <c:v>60.45</c:v>
                </c:pt>
                <c:pt idx="69">
                  <c:v>60.25</c:v>
                </c:pt>
                <c:pt idx="70">
                  <c:v>59.6</c:v>
                </c:pt>
                <c:pt idx="71">
                  <c:v>59.55</c:v>
                </c:pt>
                <c:pt idx="72">
                  <c:v>59.25</c:v>
                </c:pt>
                <c:pt idx="73">
                  <c:v>58.2</c:v>
                </c:pt>
                <c:pt idx="74">
                  <c:v>57</c:v>
                </c:pt>
                <c:pt idx="75">
                  <c:v>55.95</c:v>
                </c:pt>
                <c:pt idx="76">
                  <c:v>56.2</c:v>
                </c:pt>
                <c:pt idx="77">
                  <c:v>55.5</c:v>
                </c:pt>
                <c:pt idx="78">
                  <c:v>51.85</c:v>
                </c:pt>
                <c:pt idx="79">
                  <c:v>52.15</c:v>
                </c:pt>
                <c:pt idx="80">
                  <c:v>52.7</c:v>
                </c:pt>
                <c:pt idx="81">
                  <c:v>54.7</c:v>
                </c:pt>
                <c:pt idx="82">
                  <c:v>54.95</c:v>
                </c:pt>
                <c:pt idx="83">
                  <c:v>55.65</c:v>
                </c:pt>
                <c:pt idx="84">
                  <c:v>54.75</c:v>
                </c:pt>
                <c:pt idx="85">
                  <c:v>55.7</c:v>
                </c:pt>
                <c:pt idx="86">
                  <c:v>55.35</c:v>
                </c:pt>
                <c:pt idx="87">
                  <c:v>56</c:v>
                </c:pt>
                <c:pt idx="88">
                  <c:v>57.3</c:v>
                </c:pt>
                <c:pt idx="89">
                  <c:v>57.9</c:v>
                </c:pt>
                <c:pt idx="90">
                  <c:v>57.65</c:v>
                </c:pt>
                <c:pt idx="91">
                  <c:v>58.4</c:v>
                </c:pt>
                <c:pt idx="92">
                  <c:v>57.85</c:v>
                </c:pt>
                <c:pt idx="93">
                  <c:v>57.45</c:v>
                </c:pt>
                <c:pt idx="94">
                  <c:v>57.65</c:v>
                </c:pt>
                <c:pt idx="95">
                  <c:v>57</c:v>
                </c:pt>
                <c:pt idx="96">
                  <c:v>55.7</c:v>
                </c:pt>
                <c:pt idx="97">
                  <c:v>54.55</c:v>
                </c:pt>
                <c:pt idx="98">
                  <c:v>53.55</c:v>
                </c:pt>
                <c:pt idx="99">
                  <c:v>52.45</c:v>
                </c:pt>
                <c:pt idx="100">
                  <c:v>51.5</c:v>
                </c:pt>
                <c:pt idx="101">
                  <c:v>51.55</c:v>
                </c:pt>
                <c:pt idx="102">
                  <c:v>51.45</c:v>
                </c:pt>
                <c:pt idx="103">
                  <c:v>51.2</c:v>
                </c:pt>
                <c:pt idx="104">
                  <c:v>51.5</c:v>
                </c:pt>
                <c:pt idx="105">
                  <c:v>51.25</c:v>
                </c:pt>
                <c:pt idx="106">
                  <c:v>51</c:v>
                </c:pt>
                <c:pt idx="107">
                  <c:v>50</c:v>
                </c:pt>
                <c:pt idx="108">
                  <c:v>50</c:v>
                </c:pt>
                <c:pt idx="109">
                  <c:v>50.3</c:v>
                </c:pt>
                <c:pt idx="110">
                  <c:v>50.8</c:v>
                </c:pt>
                <c:pt idx="111">
                  <c:v>48.35</c:v>
                </c:pt>
                <c:pt idx="112">
                  <c:v>46.9</c:v>
                </c:pt>
                <c:pt idx="113">
                  <c:v>49.1</c:v>
                </c:pt>
                <c:pt idx="114">
                  <c:v>50.35</c:v>
                </c:pt>
                <c:pt idx="115">
                  <c:v>49.85</c:v>
                </c:pt>
                <c:pt idx="116">
                  <c:v>49.8</c:v>
                </c:pt>
                <c:pt idx="117">
                  <c:v>51.15</c:v>
                </c:pt>
                <c:pt idx="118">
                  <c:v>52.5</c:v>
                </c:pt>
                <c:pt idx="119">
                  <c:v>52.5</c:v>
                </c:pt>
                <c:pt idx="120">
                  <c:v>51.7</c:v>
                </c:pt>
                <c:pt idx="121">
                  <c:v>51.7</c:v>
                </c:pt>
                <c:pt idx="122">
                  <c:v>51.7</c:v>
                </c:pt>
                <c:pt idx="123">
                  <c:v>51.7</c:v>
                </c:pt>
                <c:pt idx="124">
                  <c:v>49.05</c:v>
                </c:pt>
                <c:pt idx="125">
                  <c:v>50.5</c:v>
                </c:pt>
                <c:pt idx="126">
                  <c:v>50.45</c:v>
                </c:pt>
                <c:pt idx="127">
                  <c:v>50.05</c:v>
                </c:pt>
                <c:pt idx="128">
                  <c:v>50.25</c:v>
                </c:pt>
                <c:pt idx="129">
                  <c:v>51.5</c:v>
                </c:pt>
                <c:pt idx="130">
                  <c:v>51.65</c:v>
                </c:pt>
                <c:pt idx="131">
                  <c:v>52.45</c:v>
                </c:pt>
                <c:pt idx="132">
                  <c:v>53.6</c:v>
                </c:pt>
                <c:pt idx="133">
                  <c:v>53.45</c:v>
                </c:pt>
                <c:pt idx="134">
                  <c:v>53.5</c:v>
                </c:pt>
                <c:pt idx="135">
                  <c:v>53.4</c:v>
                </c:pt>
                <c:pt idx="136">
                  <c:v>53.7</c:v>
                </c:pt>
                <c:pt idx="137">
                  <c:v>53.5</c:v>
                </c:pt>
                <c:pt idx="138">
                  <c:v>54.25</c:v>
                </c:pt>
                <c:pt idx="139">
                  <c:v>56.2</c:v>
                </c:pt>
                <c:pt idx="140">
                  <c:v>56</c:v>
                </c:pt>
                <c:pt idx="141">
                  <c:v>56.45</c:v>
                </c:pt>
                <c:pt idx="142">
                  <c:v>56.45</c:v>
                </c:pt>
                <c:pt idx="143">
                  <c:v>56.6</c:v>
                </c:pt>
                <c:pt idx="144">
                  <c:v>56.5</c:v>
                </c:pt>
                <c:pt idx="145">
                  <c:v>56.5</c:v>
                </c:pt>
                <c:pt idx="146">
                  <c:v>56.5</c:v>
                </c:pt>
                <c:pt idx="147">
                  <c:v>56.25</c:v>
                </c:pt>
                <c:pt idx="148">
                  <c:v>56.5</c:v>
                </c:pt>
                <c:pt idx="149">
                  <c:v>55.6</c:v>
                </c:pt>
                <c:pt idx="150">
                  <c:v>56.9</c:v>
                </c:pt>
                <c:pt idx="151">
                  <c:v>58.5</c:v>
                </c:pt>
                <c:pt idx="152">
                  <c:v>61.95</c:v>
                </c:pt>
                <c:pt idx="153">
                  <c:v>62.2</c:v>
                </c:pt>
                <c:pt idx="154">
                  <c:v>61.95</c:v>
                </c:pt>
                <c:pt idx="155">
                  <c:v>61.45</c:v>
                </c:pt>
                <c:pt idx="156">
                  <c:v>61.5</c:v>
                </c:pt>
                <c:pt idx="157">
                  <c:v>62.1</c:v>
                </c:pt>
                <c:pt idx="158">
                  <c:v>61.8</c:v>
                </c:pt>
                <c:pt idx="159">
                  <c:v>61.2</c:v>
                </c:pt>
                <c:pt idx="160">
                  <c:v>61.15</c:v>
                </c:pt>
                <c:pt idx="161">
                  <c:v>60.8</c:v>
                </c:pt>
                <c:pt idx="162">
                  <c:v>60.9</c:v>
                </c:pt>
                <c:pt idx="163">
                  <c:v>59.6</c:v>
                </c:pt>
                <c:pt idx="164">
                  <c:v>58.85</c:v>
                </c:pt>
                <c:pt idx="165">
                  <c:v>59.4</c:v>
                </c:pt>
                <c:pt idx="166">
                  <c:v>59.45</c:v>
                </c:pt>
                <c:pt idx="167">
                  <c:v>58.75</c:v>
                </c:pt>
                <c:pt idx="168">
                  <c:v>60</c:v>
                </c:pt>
                <c:pt idx="169">
                  <c:v>59.5</c:v>
                </c:pt>
                <c:pt idx="170">
                  <c:v>59.5</c:v>
                </c:pt>
                <c:pt idx="171">
                  <c:v>59</c:v>
                </c:pt>
                <c:pt idx="172">
                  <c:v>59.5</c:v>
                </c:pt>
                <c:pt idx="173">
                  <c:v>59.15</c:v>
                </c:pt>
                <c:pt idx="174">
                  <c:v>58.8</c:v>
                </c:pt>
                <c:pt idx="175">
                  <c:v>58.65</c:v>
                </c:pt>
                <c:pt idx="176">
                  <c:v>57.8</c:v>
                </c:pt>
                <c:pt idx="177">
                  <c:v>57.9</c:v>
                </c:pt>
                <c:pt idx="178">
                  <c:v>58.1</c:v>
                </c:pt>
                <c:pt idx="179">
                  <c:v>58</c:v>
                </c:pt>
                <c:pt idx="180">
                  <c:v>58.3</c:v>
                </c:pt>
                <c:pt idx="181">
                  <c:v>57.95</c:v>
                </c:pt>
                <c:pt idx="182">
                  <c:v>57.75</c:v>
                </c:pt>
                <c:pt idx="183">
                  <c:v>57</c:v>
                </c:pt>
                <c:pt idx="184">
                  <c:v>57.5</c:v>
                </c:pt>
                <c:pt idx="185">
                  <c:v>57.5</c:v>
                </c:pt>
                <c:pt idx="186">
                  <c:v>57.5</c:v>
                </c:pt>
                <c:pt idx="187">
                  <c:v>57.5</c:v>
                </c:pt>
                <c:pt idx="188">
                  <c:v>57.5</c:v>
                </c:pt>
                <c:pt idx="189">
                  <c:v>56</c:v>
                </c:pt>
                <c:pt idx="190">
                  <c:v>58.4</c:v>
                </c:pt>
                <c:pt idx="191">
                  <c:v>58.3</c:v>
                </c:pt>
                <c:pt idx="192">
                  <c:v>59.5</c:v>
                </c:pt>
                <c:pt idx="193">
                  <c:v>58.3</c:v>
                </c:pt>
                <c:pt idx="194">
                  <c:v>58.2</c:v>
                </c:pt>
                <c:pt idx="195">
                  <c:v>58.1</c:v>
                </c:pt>
                <c:pt idx="196">
                  <c:v>58</c:v>
                </c:pt>
                <c:pt idx="197">
                  <c:v>58</c:v>
                </c:pt>
                <c:pt idx="198">
                  <c:v>58</c:v>
                </c:pt>
                <c:pt idx="199">
                  <c:v>58</c:v>
                </c:pt>
                <c:pt idx="200">
                  <c:v>58.6</c:v>
                </c:pt>
                <c:pt idx="201">
                  <c:v>58.5</c:v>
                </c:pt>
                <c:pt idx="202">
                  <c:v>58.9</c:v>
                </c:pt>
                <c:pt idx="203">
                  <c:v>58.4</c:v>
                </c:pt>
                <c:pt idx="204">
                  <c:v>59</c:v>
                </c:pt>
                <c:pt idx="205">
                  <c:v>59.4</c:v>
                </c:pt>
                <c:pt idx="206">
                  <c:v>59.3</c:v>
                </c:pt>
                <c:pt idx="207">
                  <c:v>59.8</c:v>
                </c:pt>
                <c:pt idx="208">
                  <c:v>59.8</c:v>
                </c:pt>
                <c:pt idx="209">
                  <c:v>59.4</c:v>
                </c:pt>
                <c:pt idx="210">
                  <c:v>58.9</c:v>
                </c:pt>
                <c:pt idx="211">
                  <c:v>58.3</c:v>
                </c:pt>
                <c:pt idx="212">
                  <c:v>59</c:v>
                </c:pt>
                <c:pt idx="213">
                  <c:v>58.9</c:v>
                </c:pt>
                <c:pt idx="214">
                  <c:v>58.6</c:v>
                </c:pt>
                <c:pt idx="215">
                  <c:v>58.6</c:v>
                </c:pt>
                <c:pt idx="216">
                  <c:v>58.9</c:v>
                </c:pt>
                <c:pt idx="217">
                  <c:v>58.9</c:v>
                </c:pt>
                <c:pt idx="218">
                  <c:v>58.9</c:v>
                </c:pt>
                <c:pt idx="219">
                  <c:v>58.4</c:v>
                </c:pt>
                <c:pt idx="220">
                  <c:v>59.2</c:v>
                </c:pt>
                <c:pt idx="221">
                  <c:v>63.2</c:v>
                </c:pt>
                <c:pt idx="222">
                  <c:v>62.9</c:v>
                </c:pt>
                <c:pt idx="223">
                  <c:v>62</c:v>
                </c:pt>
                <c:pt idx="224">
                  <c:v>62</c:v>
                </c:pt>
                <c:pt idx="225">
                  <c:v>62.2</c:v>
                </c:pt>
                <c:pt idx="226">
                  <c:v>62.2</c:v>
                </c:pt>
                <c:pt idx="227">
                  <c:v>63.5</c:v>
                </c:pt>
                <c:pt idx="228">
                  <c:v>63.8</c:v>
                </c:pt>
                <c:pt idx="229">
                  <c:v>63.3</c:v>
                </c:pt>
                <c:pt idx="230">
                  <c:v>63.7</c:v>
                </c:pt>
                <c:pt idx="231">
                  <c:v>63.7</c:v>
                </c:pt>
                <c:pt idx="232">
                  <c:v>63</c:v>
                </c:pt>
                <c:pt idx="233">
                  <c:v>63.2</c:v>
                </c:pt>
                <c:pt idx="234">
                  <c:v>62.6</c:v>
                </c:pt>
                <c:pt idx="235">
                  <c:v>62.6</c:v>
                </c:pt>
                <c:pt idx="236">
                  <c:v>62.9</c:v>
                </c:pt>
                <c:pt idx="237">
                  <c:v>62.7</c:v>
                </c:pt>
                <c:pt idx="238">
                  <c:v>62.5</c:v>
                </c:pt>
              </c:numCache>
            </c:numRef>
          </c:val>
          <c:smooth val="0"/>
          <c:extLst>
            <c:ext xmlns:c16="http://schemas.microsoft.com/office/drawing/2014/chart" uri="{C3380CC4-5D6E-409C-BE32-E72D297353CC}">
              <c16:uniqueId val="{00000000-3A59-453D-A8F9-50641BEEB578}"/>
            </c:ext>
          </c:extLst>
        </c:ser>
        <c:dLbls>
          <c:showLegendKey val="0"/>
          <c:showVal val="0"/>
          <c:showCatName val="0"/>
          <c:showSerName val="0"/>
          <c:showPercent val="0"/>
          <c:showBubbleSize val="0"/>
        </c:dLbls>
        <c:marker val="1"/>
        <c:smooth val="0"/>
        <c:axId val="126090624"/>
        <c:axId val="122553472"/>
      </c:lineChart>
      <c:lineChart>
        <c:grouping val="standard"/>
        <c:varyColors val="0"/>
        <c:ser>
          <c:idx val="4"/>
          <c:order val="1"/>
          <c:tx>
            <c:strRef>
              <c:f>'ASPIv ACL'!$C$3</c:f>
              <c:strCache>
                <c:ptCount val="1"/>
                <c:pt idx="0">
                  <c:v>ASPI (RHS)</c:v>
                </c:pt>
              </c:strCache>
            </c:strRef>
          </c:tx>
          <c:spPr>
            <a:ln w="28575" cap="rnd">
              <a:solidFill>
                <a:srgbClr val="FFC000"/>
              </a:solidFill>
              <a:round/>
            </a:ln>
            <a:effectLst/>
          </c:spPr>
          <c:marker>
            <c:symbol val="none"/>
          </c:marker>
          <c:cat>
            <c:numRef>
              <c:f>'ASPIv ACL'!$B$1444:$B$1682</c:f>
              <c:numCache>
                <c:formatCode>[$-409]dd\-mmm\-yy;@</c:formatCode>
                <c:ptCount val="239"/>
                <c:pt idx="0">
                  <c:v>42265</c:v>
                </c:pt>
                <c:pt idx="1">
                  <c:v>42268</c:v>
                </c:pt>
                <c:pt idx="2">
                  <c:v>42269</c:v>
                </c:pt>
                <c:pt idx="3">
                  <c:v>42270</c:v>
                </c:pt>
                <c:pt idx="4">
                  <c:v>42272</c:v>
                </c:pt>
                <c:pt idx="5">
                  <c:v>42275</c:v>
                </c:pt>
                <c:pt idx="6">
                  <c:v>42276</c:v>
                </c:pt>
                <c:pt idx="7">
                  <c:v>42277</c:v>
                </c:pt>
                <c:pt idx="8">
                  <c:v>42278</c:v>
                </c:pt>
                <c:pt idx="9">
                  <c:v>42279</c:v>
                </c:pt>
                <c:pt idx="10">
                  <c:v>42282</c:v>
                </c:pt>
                <c:pt idx="11">
                  <c:v>42283</c:v>
                </c:pt>
                <c:pt idx="12">
                  <c:v>42284</c:v>
                </c:pt>
                <c:pt idx="13">
                  <c:v>42285</c:v>
                </c:pt>
                <c:pt idx="14">
                  <c:v>42286</c:v>
                </c:pt>
                <c:pt idx="15">
                  <c:v>42289</c:v>
                </c:pt>
                <c:pt idx="16">
                  <c:v>42290</c:v>
                </c:pt>
                <c:pt idx="17">
                  <c:v>42291</c:v>
                </c:pt>
                <c:pt idx="18">
                  <c:v>42292</c:v>
                </c:pt>
                <c:pt idx="19">
                  <c:v>42293</c:v>
                </c:pt>
                <c:pt idx="20">
                  <c:v>42296</c:v>
                </c:pt>
                <c:pt idx="21">
                  <c:v>42297</c:v>
                </c:pt>
                <c:pt idx="22">
                  <c:v>42298</c:v>
                </c:pt>
                <c:pt idx="23">
                  <c:v>42299</c:v>
                </c:pt>
                <c:pt idx="24">
                  <c:v>42300</c:v>
                </c:pt>
                <c:pt idx="25">
                  <c:v>42303</c:v>
                </c:pt>
                <c:pt idx="26">
                  <c:v>42305</c:v>
                </c:pt>
                <c:pt idx="27">
                  <c:v>42306</c:v>
                </c:pt>
                <c:pt idx="28">
                  <c:v>42307</c:v>
                </c:pt>
                <c:pt idx="29">
                  <c:v>42310</c:v>
                </c:pt>
                <c:pt idx="30">
                  <c:v>42311</c:v>
                </c:pt>
                <c:pt idx="31">
                  <c:v>42312</c:v>
                </c:pt>
                <c:pt idx="32">
                  <c:v>42313</c:v>
                </c:pt>
                <c:pt idx="33">
                  <c:v>42314</c:v>
                </c:pt>
                <c:pt idx="34">
                  <c:v>42317</c:v>
                </c:pt>
                <c:pt idx="35">
                  <c:v>42319</c:v>
                </c:pt>
                <c:pt idx="36">
                  <c:v>42320</c:v>
                </c:pt>
                <c:pt idx="37">
                  <c:v>42321</c:v>
                </c:pt>
                <c:pt idx="38">
                  <c:v>42324</c:v>
                </c:pt>
                <c:pt idx="39">
                  <c:v>42325</c:v>
                </c:pt>
                <c:pt idx="40">
                  <c:v>42326</c:v>
                </c:pt>
                <c:pt idx="41">
                  <c:v>42327</c:v>
                </c:pt>
                <c:pt idx="42">
                  <c:v>42328</c:v>
                </c:pt>
                <c:pt idx="43">
                  <c:v>42331</c:v>
                </c:pt>
                <c:pt idx="44">
                  <c:v>42332</c:v>
                </c:pt>
                <c:pt idx="45">
                  <c:v>42334</c:v>
                </c:pt>
                <c:pt idx="46">
                  <c:v>42335</c:v>
                </c:pt>
                <c:pt idx="47">
                  <c:v>42338</c:v>
                </c:pt>
                <c:pt idx="48">
                  <c:v>42339</c:v>
                </c:pt>
                <c:pt idx="49">
                  <c:v>42340</c:v>
                </c:pt>
                <c:pt idx="50">
                  <c:v>42341</c:v>
                </c:pt>
                <c:pt idx="51">
                  <c:v>42342</c:v>
                </c:pt>
                <c:pt idx="52">
                  <c:v>42345</c:v>
                </c:pt>
                <c:pt idx="53">
                  <c:v>42346</c:v>
                </c:pt>
                <c:pt idx="54">
                  <c:v>42347</c:v>
                </c:pt>
                <c:pt idx="55">
                  <c:v>42348</c:v>
                </c:pt>
                <c:pt idx="56">
                  <c:v>42349</c:v>
                </c:pt>
                <c:pt idx="57">
                  <c:v>42352</c:v>
                </c:pt>
                <c:pt idx="58">
                  <c:v>42353</c:v>
                </c:pt>
                <c:pt idx="59">
                  <c:v>42354</c:v>
                </c:pt>
                <c:pt idx="60">
                  <c:v>42355</c:v>
                </c:pt>
                <c:pt idx="61">
                  <c:v>42356</c:v>
                </c:pt>
                <c:pt idx="62">
                  <c:v>42359</c:v>
                </c:pt>
                <c:pt idx="63">
                  <c:v>42360</c:v>
                </c:pt>
                <c:pt idx="64">
                  <c:v>42361</c:v>
                </c:pt>
                <c:pt idx="65">
                  <c:v>42366</c:v>
                </c:pt>
                <c:pt idx="66">
                  <c:v>42367</c:v>
                </c:pt>
                <c:pt idx="67">
                  <c:v>42368</c:v>
                </c:pt>
                <c:pt idx="68">
                  <c:v>42369</c:v>
                </c:pt>
                <c:pt idx="69">
                  <c:v>42373</c:v>
                </c:pt>
                <c:pt idx="70">
                  <c:v>42374</c:v>
                </c:pt>
                <c:pt idx="71">
                  <c:v>42375</c:v>
                </c:pt>
                <c:pt idx="72">
                  <c:v>42376</c:v>
                </c:pt>
                <c:pt idx="73">
                  <c:v>42377</c:v>
                </c:pt>
                <c:pt idx="74">
                  <c:v>42380</c:v>
                </c:pt>
                <c:pt idx="75">
                  <c:v>42381</c:v>
                </c:pt>
                <c:pt idx="76">
                  <c:v>42382</c:v>
                </c:pt>
                <c:pt idx="77">
                  <c:v>42383</c:v>
                </c:pt>
                <c:pt idx="78">
                  <c:v>42387</c:v>
                </c:pt>
                <c:pt idx="79">
                  <c:v>42388</c:v>
                </c:pt>
                <c:pt idx="80">
                  <c:v>42389</c:v>
                </c:pt>
                <c:pt idx="81">
                  <c:v>42390</c:v>
                </c:pt>
                <c:pt idx="82">
                  <c:v>42391</c:v>
                </c:pt>
                <c:pt idx="83">
                  <c:v>42394</c:v>
                </c:pt>
                <c:pt idx="84">
                  <c:v>42395</c:v>
                </c:pt>
                <c:pt idx="85">
                  <c:v>42396</c:v>
                </c:pt>
                <c:pt idx="86">
                  <c:v>42397</c:v>
                </c:pt>
                <c:pt idx="87">
                  <c:v>42398</c:v>
                </c:pt>
                <c:pt idx="88">
                  <c:v>42401</c:v>
                </c:pt>
                <c:pt idx="89">
                  <c:v>42402</c:v>
                </c:pt>
                <c:pt idx="90">
                  <c:v>42403</c:v>
                </c:pt>
                <c:pt idx="91">
                  <c:v>42405</c:v>
                </c:pt>
                <c:pt idx="92">
                  <c:v>42408</c:v>
                </c:pt>
                <c:pt idx="93">
                  <c:v>42409</c:v>
                </c:pt>
                <c:pt idx="94">
                  <c:v>42410</c:v>
                </c:pt>
                <c:pt idx="95">
                  <c:v>42411</c:v>
                </c:pt>
                <c:pt idx="96">
                  <c:v>42412</c:v>
                </c:pt>
                <c:pt idx="97">
                  <c:v>42415</c:v>
                </c:pt>
                <c:pt idx="98">
                  <c:v>42416</c:v>
                </c:pt>
                <c:pt idx="99">
                  <c:v>42417</c:v>
                </c:pt>
                <c:pt idx="100">
                  <c:v>42418</c:v>
                </c:pt>
                <c:pt idx="101">
                  <c:v>42419</c:v>
                </c:pt>
                <c:pt idx="102">
                  <c:v>42423</c:v>
                </c:pt>
                <c:pt idx="103">
                  <c:v>42424</c:v>
                </c:pt>
                <c:pt idx="104">
                  <c:v>42425</c:v>
                </c:pt>
                <c:pt idx="105">
                  <c:v>42426</c:v>
                </c:pt>
                <c:pt idx="106">
                  <c:v>42429</c:v>
                </c:pt>
                <c:pt idx="107">
                  <c:v>42430</c:v>
                </c:pt>
                <c:pt idx="108">
                  <c:v>42431</c:v>
                </c:pt>
                <c:pt idx="109">
                  <c:v>42432</c:v>
                </c:pt>
                <c:pt idx="110">
                  <c:v>42433</c:v>
                </c:pt>
                <c:pt idx="111">
                  <c:v>42437</c:v>
                </c:pt>
                <c:pt idx="112">
                  <c:v>42438</c:v>
                </c:pt>
                <c:pt idx="113">
                  <c:v>42439</c:v>
                </c:pt>
                <c:pt idx="114">
                  <c:v>42440</c:v>
                </c:pt>
                <c:pt idx="115">
                  <c:v>42443</c:v>
                </c:pt>
                <c:pt idx="116">
                  <c:v>42444</c:v>
                </c:pt>
                <c:pt idx="117">
                  <c:v>42445</c:v>
                </c:pt>
                <c:pt idx="118">
                  <c:v>42446</c:v>
                </c:pt>
                <c:pt idx="119">
                  <c:v>42447</c:v>
                </c:pt>
                <c:pt idx="120">
                  <c:v>42450</c:v>
                </c:pt>
                <c:pt idx="121">
                  <c:v>42452</c:v>
                </c:pt>
                <c:pt idx="122">
                  <c:v>42453</c:v>
                </c:pt>
                <c:pt idx="123">
                  <c:v>42457</c:v>
                </c:pt>
                <c:pt idx="124">
                  <c:v>42458</c:v>
                </c:pt>
                <c:pt idx="125">
                  <c:v>42459</c:v>
                </c:pt>
                <c:pt idx="126">
                  <c:v>42460</c:v>
                </c:pt>
                <c:pt idx="127">
                  <c:v>42461</c:v>
                </c:pt>
                <c:pt idx="128">
                  <c:v>42464</c:v>
                </c:pt>
                <c:pt idx="129">
                  <c:v>42465</c:v>
                </c:pt>
                <c:pt idx="130">
                  <c:v>42466</c:v>
                </c:pt>
                <c:pt idx="131">
                  <c:v>42467</c:v>
                </c:pt>
                <c:pt idx="132">
                  <c:v>42468</c:v>
                </c:pt>
                <c:pt idx="133">
                  <c:v>42471</c:v>
                </c:pt>
                <c:pt idx="134">
                  <c:v>42472</c:v>
                </c:pt>
                <c:pt idx="135">
                  <c:v>42475</c:v>
                </c:pt>
                <c:pt idx="136">
                  <c:v>42478</c:v>
                </c:pt>
                <c:pt idx="137">
                  <c:v>42479</c:v>
                </c:pt>
                <c:pt idx="138">
                  <c:v>42480</c:v>
                </c:pt>
                <c:pt idx="139">
                  <c:v>42482</c:v>
                </c:pt>
                <c:pt idx="140">
                  <c:v>42485</c:v>
                </c:pt>
                <c:pt idx="141">
                  <c:v>42486</c:v>
                </c:pt>
                <c:pt idx="142">
                  <c:v>42487</c:v>
                </c:pt>
                <c:pt idx="143">
                  <c:v>42488</c:v>
                </c:pt>
                <c:pt idx="144">
                  <c:v>42489</c:v>
                </c:pt>
                <c:pt idx="145">
                  <c:v>42493</c:v>
                </c:pt>
                <c:pt idx="146">
                  <c:v>42494</c:v>
                </c:pt>
                <c:pt idx="147">
                  <c:v>42495</c:v>
                </c:pt>
                <c:pt idx="148">
                  <c:v>42496</c:v>
                </c:pt>
                <c:pt idx="149">
                  <c:v>42499</c:v>
                </c:pt>
                <c:pt idx="150">
                  <c:v>42500</c:v>
                </c:pt>
                <c:pt idx="151">
                  <c:v>42501</c:v>
                </c:pt>
                <c:pt idx="152">
                  <c:v>42502</c:v>
                </c:pt>
                <c:pt idx="153">
                  <c:v>42503</c:v>
                </c:pt>
                <c:pt idx="154">
                  <c:v>42506</c:v>
                </c:pt>
                <c:pt idx="155">
                  <c:v>42507</c:v>
                </c:pt>
                <c:pt idx="156">
                  <c:v>42508</c:v>
                </c:pt>
                <c:pt idx="157">
                  <c:v>42509</c:v>
                </c:pt>
                <c:pt idx="158">
                  <c:v>42510</c:v>
                </c:pt>
                <c:pt idx="159">
                  <c:v>42514</c:v>
                </c:pt>
                <c:pt idx="160">
                  <c:v>42515</c:v>
                </c:pt>
                <c:pt idx="161">
                  <c:v>42516</c:v>
                </c:pt>
                <c:pt idx="162">
                  <c:v>42517</c:v>
                </c:pt>
                <c:pt idx="163">
                  <c:v>42520</c:v>
                </c:pt>
                <c:pt idx="164">
                  <c:v>42521</c:v>
                </c:pt>
                <c:pt idx="165">
                  <c:v>42522</c:v>
                </c:pt>
                <c:pt idx="166">
                  <c:v>42523</c:v>
                </c:pt>
                <c:pt idx="167">
                  <c:v>42524</c:v>
                </c:pt>
                <c:pt idx="168">
                  <c:v>42527</c:v>
                </c:pt>
                <c:pt idx="169">
                  <c:v>42528</c:v>
                </c:pt>
                <c:pt idx="170">
                  <c:v>42529</c:v>
                </c:pt>
                <c:pt idx="171">
                  <c:v>42530</c:v>
                </c:pt>
                <c:pt idx="172">
                  <c:v>42531</c:v>
                </c:pt>
                <c:pt idx="173">
                  <c:v>42534</c:v>
                </c:pt>
                <c:pt idx="174">
                  <c:v>42535</c:v>
                </c:pt>
                <c:pt idx="175">
                  <c:v>42536</c:v>
                </c:pt>
                <c:pt idx="176">
                  <c:v>42537</c:v>
                </c:pt>
                <c:pt idx="177">
                  <c:v>42538</c:v>
                </c:pt>
                <c:pt idx="178">
                  <c:v>42541</c:v>
                </c:pt>
                <c:pt idx="179">
                  <c:v>42542</c:v>
                </c:pt>
                <c:pt idx="180">
                  <c:v>42543</c:v>
                </c:pt>
                <c:pt idx="181">
                  <c:v>42544</c:v>
                </c:pt>
                <c:pt idx="182">
                  <c:v>42545</c:v>
                </c:pt>
                <c:pt idx="183">
                  <c:v>42548</c:v>
                </c:pt>
                <c:pt idx="184">
                  <c:v>42549</c:v>
                </c:pt>
                <c:pt idx="185">
                  <c:v>42550</c:v>
                </c:pt>
                <c:pt idx="186">
                  <c:v>42551</c:v>
                </c:pt>
                <c:pt idx="187">
                  <c:v>42552</c:v>
                </c:pt>
                <c:pt idx="188">
                  <c:v>42555</c:v>
                </c:pt>
                <c:pt idx="189">
                  <c:v>42556</c:v>
                </c:pt>
                <c:pt idx="190">
                  <c:v>42558</c:v>
                </c:pt>
                <c:pt idx="191">
                  <c:v>42559</c:v>
                </c:pt>
                <c:pt idx="192">
                  <c:v>42562</c:v>
                </c:pt>
                <c:pt idx="193">
                  <c:v>42563</c:v>
                </c:pt>
                <c:pt idx="194">
                  <c:v>42564</c:v>
                </c:pt>
                <c:pt idx="195">
                  <c:v>42565</c:v>
                </c:pt>
                <c:pt idx="196">
                  <c:v>42566</c:v>
                </c:pt>
                <c:pt idx="197">
                  <c:v>42569</c:v>
                </c:pt>
                <c:pt idx="198">
                  <c:v>42571</c:v>
                </c:pt>
                <c:pt idx="199">
                  <c:v>42572</c:v>
                </c:pt>
                <c:pt idx="200">
                  <c:v>42573</c:v>
                </c:pt>
                <c:pt idx="201">
                  <c:v>42576</c:v>
                </c:pt>
                <c:pt idx="202">
                  <c:v>42577</c:v>
                </c:pt>
                <c:pt idx="203">
                  <c:v>42578</c:v>
                </c:pt>
                <c:pt idx="204">
                  <c:v>42579</c:v>
                </c:pt>
                <c:pt idx="205">
                  <c:v>42580</c:v>
                </c:pt>
                <c:pt idx="206">
                  <c:v>42583</c:v>
                </c:pt>
                <c:pt idx="207">
                  <c:v>42584</c:v>
                </c:pt>
                <c:pt idx="208">
                  <c:v>42585</c:v>
                </c:pt>
                <c:pt idx="209">
                  <c:v>42586</c:v>
                </c:pt>
                <c:pt idx="210">
                  <c:v>42587</c:v>
                </c:pt>
                <c:pt idx="211">
                  <c:v>42590</c:v>
                </c:pt>
                <c:pt idx="212">
                  <c:v>42591</c:v>
                </c:pt>
                <c:pt idx="213">
                  <c:v>42592</c:v>
                </c:pt>
                <c:pt idx="214">
                  <c:v>42593</c:v>
                </c:pt>
                <c:pt idx="215">
                  <c:v>42594</c:v>
                </c:pt>
                <c:pt idx="216">
                  <c:v>42597</c:v>
                </c:pt>
                <c:pt idx="217">
                  <c:v>42598</c:v>
                </c:pt>
                <c:pt idx="218">
                  <c:v>42600</c:v>
                </c:pt>
                <c:pt idx="219">
                  <c:v>42601</c:v>
                </c:pt>
                <c:pt idx="220">
                  <c:v>42604</c:v>
                </c:pt>
                <c:pt idx="221">
                  <c:v>42605</c:v>
                </c:pt>
                <c:pt idx="222">
                  <c:v>42606</c:v>
                </c:pt>
                <c:pt idx="223">
                  <c:v>42607</c:v>
                </c:pt>
                <c:pt idx="224">
                  <c:v>42608</c:v>
                </c:pt>
                <c:pt idx="225">
                  <c:v>42611</c:v>
                </c:pt>
                <c:pt idx="226">
                  <c:v>42612</c:v>
                </c:pt>
                <c:pt idx="227">
                  <c:v>42613</c:v>
                </c:pt>
                <c:pt idx="228">
                  <c:v>42614</c:v>
                </c:pt>
                <c:pt idx="229">
                  <c:v>42615</c:v>
                </c:pt>
                <c:pt idx="230">
                  <c:v>42618</c:v>
                </c:pt>
                <c:pt idx="231">
                  <c:v>42619</c:v>
                </c:pt>
                <c:pt idx="232">
                  <c:v>42620</c:v>
                </c:pt>
                <c:pt idx="233">
                  <c:v>42621</c:v>
                </c:pt>
                <c:pt idx="234">
                  <c:v>42622</c:v>
                </c:pt>
                <c:pt idx="235">
                  <c:v>42626</c:v>
                </c:pt>
                <c:pt idx="236">
                  <c:v>42627</c:v>
                </c:pt>
                <c:pt idx="237">
                  <c:v>42628</c:v>
                </c:pt>
                <c:pt idx="238">
                  <c:v>42632</c:v>
                </c:pt>
              </c:numCache>
            </c:numRef>
          </c:cat>
          <c:val>
            <c:numRef>
              <c:f>'ASPIv ACL'!$C$1444:$C$1682</c:f>
              <c:numCache>
                <c:formatCode>General</c:formatCode>
                <c:ptCount val="239"/>
                <c:pt idx="0">
                  <c:v>7107.87</c:v>
                </c:pt>
                <c:pt idx="1">
                  <c:v>7104.37</c:v>
                </c:pt>
                <c:pt idx="2">
                  <c:v>7118.38</c:v>
                </c:pt>
                <c:pt idx="3">
                  <c:v>7114.83</c:v>
                </c:pt>
                <c:pt idx="4">
                  <c:v>7110.8</c:v>
                </c:pt>
                <c:pt idx="5">
                  <c:v>7078.64</c:v>
                </c:pt>
                <c:pt idx="6">
                  <c:v>7085.38</c:v>
                </c:pt>
                <c:pt idx="7">
                  <c:v>7050.87</c:v>
                </c:pt>
                <c:pt idx="8">
                  <c:v>7080.48</c:v>
                </c:pt>
                <c:pt idx="9">
                  <c:v>7105.54</c:v>
                </c:pt>
                <c:pt idx="10">
                  <c:v>7089.06</c:v>
                </c:pt>
                <c:pt idx="11">
                  <c:v>7085.93</c:v>
                </c:pt>
                <c:pt idx="12">
                  <c:v>7085.45</c:v>
                </c:pt>
                <c:pt idx="13">
                  <c:v>7085.65</c:v>
                </c:pt>
                <c:pt idx="14">
                  <c:v>7096.06</c:v>
                </c:pt>
                <c:pt idx="15">
                  <c:v>7100</c:v>
                </c:pt>
                <c:pt idx="16">
                  <c:v>7078.45</c:v>
                </c:pt>
                <c:pt idx="17">
                  <c:v>7040.32</c:v>
                </c:pt>
                <c:pt idx="18">
                  <c:v>7030.45</c:v>
                </c:pt>
                <c:pt idx="19">
                  <c:v>7020.74</c:v>
                </c:pt>
                <c:pt idx="20">
                  <c:v>7017.35</c:v>
                </c:pt>
                <c:pt idx="21">
                  <c:v>7041.26</c:v>
                </c:pt>
                <c:pt idx="22">
                  <c:v>7055.67</c:v>
                </c:pt>
                <c:pt idx="23">
                  <c:v>7068.85</c:v>
                </c:pt>
                <c:pt idx="24">
                  <c:v>7081.49</c:v>
                </c:pt>
                <c:pt idx="25">
                  <c:v>7083.48</c:v>
                </c:pt>
                <c:pt idx="26">
                  <c:v>7094.09</c:v>
                </c:pt>
                <c:pt idx="27">
                  <c:v>7070.13</c:v>
                </c:pt>
                <c:pt idx="28">
                  <c:v>7042.06</c:v>
                </c:pt>
                <c:pt idx="29">
                  <c:v>7029.07</c:v>
                </c:pt>
                <c:pt idx="30">
                  <c:v>7000.41</c:v>
                </c:pt>
                <c:pt idx="31">
                  <c:v>7003.57</c:v>
                </c:pt>
                <c:pt idx="32">
                  <c:v>7017.39</c:v>
                </c:pt>
                <c:pt idx="33">
                  <c:v>7059.48</c:v>
                </c:pt>
                <c:pt idx="34">
                  <c:v>7050.21</c:v>
                </c:pt>
                <c:pt idx="35">
                  <c:v>7019.23</c:v>
                </c:pt>
                <c:pt idx="36">
                  <c:v>7006.35</c:v>
                </c:pt>
                <c:pt idx="37">
                  <c:v>7001.81</c:v>
                </c:pt>
                <c:pt idx="38">
                  <c:v>6965.98</c:v>
                </c:pt>
                <c:pt idx="39">
                  <c:v>6977.95</c:v>
                </c:pt>
                <c:pt idx="40">
                  <c:v>6981.97</c:v>
                </c:pt>
                <c:pt idx="41">
                  <c:v>7020.18</c:v>
                </c:pt>
                <c:pt idx="42">
                  <c:v>7017.44</c:v>
                </c:pt>
                <c:pt idx="43">
                  <c:v>7055.84</c:v>
                </c:pt>
                <c:pt idx="44">
                  <c:v>7009.99</c:v>
                </c:pt>
                <c:pt idx="45">
                  <c:v>6963.37</c:v>
                </c:pt>
                <c:pt idx="46">
                  <c:v>6961.41</c:v>
                </c:pt>
                <c:pt idx="47">
                  <c:v>6909.15</c:v>
                </c:pt>
                <c:pt idx="48">
                  <c:v>6895.19</c:v>
                </c:pt>
                <c:pt idx="49">
                  <c:v>6862.79</c:v>
                </c:pt>
                <c:pt idx="50">
                  <c:v>6880.66</c:v>
                </c:pt>
                <c:pt idx="51">
                  <c:v>6869.56</c:v>
                </c:pt>
                <c:pt idx="52">
                  <c:v>6869.56</c:v>
                </c:pt>
                <c:pt idx="53">
                  <c:v>6849.09</c:v>
                </c:pt>
                <c:pt idx="54">
                  <c:v>6841.55</c:v>
                </c:pt>
                <c:pt idx="55">
                  <c:v>6823.91</c:v>
                </c:pt>
                <c:pt idx="56">
                  <c:v>6832.35</c:v>
                </c:pt>
                <c:pt idx="57">
                  <c:v>6803.08</c:v>
                </c:pt>
                <c:pt idx="58">
                  <c:v>6820.77</c:v>
                </c:pt>
                <c:pt idx="59">
                  <c:v>6833.51</c:v>
                </c:pt>
                <c:pt idx="60">
                  <c:v>6859.99</c:v>
                </c:pt>
                <c:pt idx="61">
                  <c:v>6884.69</c:v>
                </c:pt>
                <c:pt idx="62">
                  <c:v>6881.75</c:v>
                </c:pt>
                <c:pt idx="63">
                  <c:v>6854.57</c:v>
                </c:pt>
                <c:pt idx="64">
                  <c:v>6858.64</c:v>
                </c:pt>
                <c:pt idx="65">
                  <c:v>6828.51</c:v>
                </c:pt>
                <c:pt idx="66">
                  <c:v>6847.74</c:v>
                </c:pt>
                <c:pt idx="67">
                  <c:v>6870.63</c:v>
                </c:pt>
                <c:pt idx="68">
                  <c:v>6894.5</c:v>
                </c:pt>
                <c:pt idx="69">
                  <c:v>6867.62</c:v>
                </c:pt>
                <c:pt idx="70">
                  <c:v>6845.3</c:v>
                </c:pt>
                <c:pt idx="71">
                  <c:v>6817.65</c:v>
                </c:pt>
                <c:pt idx="72">
                  <c:v>6775.27</c:v>
                </c:pt>
                <c:pt idx="73">
                  <c:v>6726.28</c:v>
                </c:pt>
                <c:pt idx="74">
                  <c:v>6650.32</c:v>
                </c:pt>
                <c:pt idx="75">
                  <c:v>6534.35</c:v>
                </c:pt>
                <c:pt idx="76">
                  <c:v>6554.37</c:v>
                </c:pt>
                <c:pt idx="77">
                  <c:v>6446.2</c:v>
                </c:pt>
                <c:pt idx="78">
                  <c:v>6324.61</c:v>
                </c:pt>
                <c:pt idx="79">
                  <c:v>6283.24</c:v>
                </c:pt>
                <c:pt idx="80">
                  <c:v>6261.18</c:v>
                </c:pt>
                <c:pt idx="81">
                  <c:v>6349.71</c:v>
                </c:pt>
                <c:pt idx="82">
                  <c:v>6382.24</c:v>
                </c:pt>
                <c:pt idx="83">
                  <c:v>6354.83</c:v>
                </c:pt>
                <c:pt idx="84">
                  <c:v>6322.87</c:v>
                </c:pt>
                <c:pt idx="85">
                  <c:v>6316.46</c:v>
                </c:pt>
                <c:pt idx="86">
                  <c:v>6319.89</c:v>
                </c:pt>
                <c:pt idx="87">
                  <c:v>6340.05</c:v>
                </c:pt>
                <c:pt idx="88">
                  <c:v>6363.18</c:v>
                </c:pt>
                <c:pt idx="89">
                  <c:v>6425.96</c:v>
                </c:pt>
                <c:pt idx="90">
                  <c:v>6402.8</c:v>
                </c:pt>
                <c:pt idx="91">
                  <c:v>6404.64</c:v>
                </c:pt>
                <c:pt idx="92">
                  <c:v>6401.66</c:v>
                </c:pt>
                <c:pt idx="93">
                  <c:v>6372.71</c:v>
                </c:pt>
                <c:pt idx="94">
                  <c:v>6364.4</c:v>
                </c:pt>
                <c:pt idx="95">
                  <c:v>6314.82</c:v>
                </c:pt>
                <c:pt idx="96">
                  <c:v>6283</c:v>
                </c:pt>
                <c:pt idx="97">
                  <c:v>6266.17</c:v>
                </c:pt>
                <c:pt idx="98">
                  <c:v>6254.16</c:v>
                </c:pt>
                <c:pt idx="99">
                  <c:v>6220.82</c:v>
                </c:pt>
                <c:pt idx="100">
                  <c:v>6208.89</c:v>
                </c:pt>
                <c:pt idx="101">
                  <c:v>6250.78</c:v>
                </c:pt>
                <c:pt idx="102">
                  <c:v>6228.99</c:v>
                </c:pt>
                <c:pt idx="103">
                  <c:v>6217.64</c:v>
                </c:pt>
                <c:pt idx="104">
                  <c:v>6202.64</c:v>
                </c:pt>
                <c:pt idx="105">
                  <c:v>6203.98</c:v>
                </c:pt>
                <c:pt idx="106">
                  <c:v>6191.81</c:v>
                </c:pt>
                <c:pt idx="107">
                  <c:v>6113.4</c:v>
                </c:pt>
                <c:pt idx="108">
                  <c:v>6078.41</c:v>
                </c:pt>
                <c:pt idx="109">
                  <c:v>6060.91</c:v>
                </c:pt>
                <c:pt idx="110">
                  <c:v>6057.22</c:v>
                </c:pt>
                <c:pt idx="111">
                  <c:v>5934.72</c:v>
                </c:pt>
                <c:pt idx="112">
                  <c:v>5862.35</c:v>
                </c:pt>
                <c:pt idx="113">
                  <c:v>5948.23</c:v>
                </c:pt>
                <c:pt idx="114">
                  <c:v>6019.95</c:v>
                </c:pt>
                <c:pt idx="115">
                  <c:v>5979.43</c:v>
                </c:pt>
                <c:pt idx="116">
                  <c:v>5970.4</c:v>
                </c:pt>
                <c:pt idx="117">
                  <c:v>6021.37</c:v>
                </c:pt>
                <c:pt idx="118">
                  <c:v>6068.17</c:v>
                </c:pt>
                <c:pt idx="119">
                  <c:v>6057.79</c:v>
                </c:pt>
                <c:pt idx="120">
                  <c:v>6088.57</c:v>
                </c:pt>
                <c:pt idx="121">
                  <c:v>6073.5</c:v>
                </c:pt>
                <c:pt idx="122">
                  <c:v>6092.45</c:v>
                </c:pt>
                <c:pt idx="123">
                  <c:v>6062.05</c:v>
                </c:pt>
                <c:pt idx="124">
                  <c:v>6031.85</c:v>
                </c:pt>
                <c:pt idx="125">
                  <c:v>6040.99</c:v>
                </c:pt>
                <c:pt idx="126">
                  <c:v>6071.88</c:v>
                </c:pt>
                <c:pt idx="127">
                  <c:v>6083.01</c:v>
                </c:pt>
                <c:pt idx="128">
                  <c:v>6079.15</c:v>
                </c:pt>
                <c:pt idx="129">
                  <c:v>6159.02</c:v>
                </c:pt>
                <c:pt idx="130">
                  <c:v>6165.11</c:v>
                </c:pt>
                <c:pt idx="131">
                  <c:v>6230.19</c:v>
                </c:pt>
                <c:pt idx="132">
                  <c:v>6275.62</c:v>
                </c:pt>
                <c:pt idx="133">
                  <c:v>6275.62</c:v>
                </c:pt>
                <c:pt idx="134">
                  <c:v>6353.2</c:v>
                </c:pt>
                <c:pt idx="135">
                  <c:v>6401.32</c:v>
                </c:pt>
                <c:pt idx="136">
                  <c:v>6382.31</c:v>
                </c:pt>
                <c:pt idx="137">
                  <c:v>6387.85</c:v>
                </c:pt>
                <c:pt idx="138">
                  <c:v>6423.13</c:v>
                </c:pt>
                <c:pt idx="139">
                  <c:v>6422.65</c:v>
                </c:pt>
                <c:pt idx="140">
                  <c:v>6379.53</c:v>
                </c:pt>
                <c:pt idx="141">
                  <c:v>6405.29</c:v>
                </c:pt>
                <c:pt idx="142">
                  <c:v>6434.24</c:v>
                </c:pt>
                <c:pt idx="143">
                  <c:v>6442.53</c:v>
                </c:pt>
                <c:pt idx="144">
                  <c:v>6516.26</c:v>
                </c:pt>
                <c:pt idx="145">
                  <c:v>6583.1</c:v>
                </c:pt>
                <c:pt idx="146">
                  <c:v>6568.85</c:v>
                </c:pt>
                <c:pt idx="147">
                  <c:v>6578.34</c:v>
                </c:pt>
                <c:pt idx="148">
                  <c:v>6592.45</c:v>
                </c:pt>
                <c:pt idx="149">
                  <c:v>6594.8</c:v>
                </c:pt>
                <c:pt idx="150">
                  <c:v>6637.74</c:v>
                </c:pt>
                <c:pt idx="151">
                  <c:v>6661.45</c:v>
                </c:pt>
                <c:pt idx="152">
                  <c:v>6656.12</c:v>
                </c:pt>
                <c:pt idx="153">
                  <c:v>6679.84</c:v>
                </c:pt>
                <c:pt idx="154">
                  <c:v>6708.4</c:v>
                </c:pt>
                <c:pt idx="155">
                  <c:v>6670.79</c:v>
                </c:pt>
                <c:pt idx="156">
                  <c:v>6680.15</c:v>
                </c:pt>
                <c:pt idx="157">
                  <c:v>6648.13</c:v>
                </c:pt>
                <c:pt idx="158">
                  <c:v>6633.27</c:v>
                </c:pt>
                <c:pt idx="159">
                  <c:v>6570.58</c:v>
                </c:pt>
                <c:pt idx="160">
                  <c:v>6583.49</c:v>
                </c:pt>
                <c:pt idx="161">
                  <c:v>6568.76</c:v>
                </c:pt>
                <c:pt idx="162">
                  <c:v>6571.21</c:v>
                </c:pt>
                <c:pt idx="163">
                  <c:v>6552.85</c:v>
                </c:pt>
                <c:pt idx="164">
                  <c:v>6550.51</c:v>
                </c:pt>
                <c:pt idx="165">
                  <c:v>6542.75</c:v>
                </c:pt>
                <c:pt idx="166">
                  <c:v>6523.84</c:v>
                </c:pt>
                <c:pt idx="167">
                  <c:v>6519.23</c:v>
                </c:pt>
                <c:pt idx="168">
                  <c:v>6518.98</c:v>
                </c:pt>
                <c:pt idx="169">
                  <c:v>6524</c:v>
                </c:pt>
                <c:pt idx="170">
                  <c:v>6526.12</c:v>
                </c:pt>
                <c:pt idx="171">
                  <c:v>6528.03</c:v>
                </c:pt>
                <c:pt idx="172">
                  <c:v>6530.5</c:v>
                </c:pt>
                <c:pt idx="173">
                  <c:v>6538.25</c:v>
                </c:pt>
                <c:pt idx="174">
                  <c:v>6518.08</c:v>
                </c:pt>
                <c:pt idx="175">
                  <c:v>6500.64</c:v>
                </c:pt>
                <c:pt idx="176">
                  <c:v>6435.77</c:v>
                </c:pt>
                <c:pt idx="177">
                  <c:v>6465.99</c:v>
                </c:pt>
                <c:pt idx="178">
                  <c:v>6461.12</c:v>
                </c:pt>
                <c:pt idx="179">
                  <c:v>6446.88</c:v>
                </c:pt>
                <c:pt idx="180">
                  <c:v>6420.8</c:v>
                </c:pt>
                <c:pt idx="181">
                  <c:v>6398.06</c:v>
                </c:pt>
                <c:pt idx="182">
                  <c:v>6370.11</c:v>
                </c:pt>
                <c:pt idx="183">
                  <c:v>6318.21</c:v>
                </c:pt>
                <c:pt idx="184">
                  <c:v>6307.4</c:v>
                </c:pt>
                <c:pt idx="185">
                  <c:v>6290.89</c:v>
                </c:pt>
                <c:pt idx="186">
                  <c:v>6283.27</c:v>
                </c:pt>
                <c:pt idx="187">
                  <c:v>6287.09</c:v>
                </c:pt>
                <c:pt idx="188">
                  <c:v>6254.77</c:v>
                </c:pt>
                <c:pt idx="189">
                  <c:v>6280.39</c:v>
                </c:pt>
                <c:pt idx="190">
                  <c:v>6310.69</c:v>
                </c:pt>
                <c:pt idx="191">
                  <c:v>6366.31</c:v>
                </c:pt>
                <c:pt idx="192">
                  <c:v>6372.24</c:v>
                </c:pt>
                <c:pt idx="193">
                  <c:v>6401.31</c:v>
                </c:pt>
                <c:pt idx="194">
                  <c:v>6402.78</c:v>
                </c:pt>
                <c:pt idx="195">
                  <c:v>6401.9</c:v>
                </c:pt>
                <c:pt idx="196">
                  <c:v>6422.69</c:v>
                </c:pt>
                <c:pt idx="197">
                  <c:v>6415.81</c:v>
                </c:pt>
                <c:pt idx="198">
                  <c:v>6414.49</c:v>
                </c:pt>
                <c:pt idx="199">
                  <c:v>6417.46</c:v>
                </c:pt>
                <c:pt idx="200">
                  <c:v>6428.77</c:v>
                </c:pt>
                <c:pt idx="201">
                  <c:v>6397.09</c:v>
                </c:pt>
                <c:pt idx="202">
                  <c:v>6387.85</c:v>
                </c:pt>
                <c:pt idx="203">
                  <c:v>6382.42</c:v>
                </c:pt>
                <c:pt idx="204">
                  <c:v>6392.15</c:v>
                </c:pt>
                <c:pt idx="205">
                  <c:v>6393.87</c:v>
                </c:pt>
                <c:pt idx="206">
                  <c:v>6410.42</c:v>
                </c:pt>
                <c:pt idx="207">
                  <c:v>6503.3</c:v>
                </c:pt>
                <c:pt idx="208">
                  <c:v>6511.58</c:v>
                </c:pt>
                <c:pt idx="209">
                  <c:v>6478.25</c:v>
                </c:pt>
                <c:pt idx="210">
                  <c:v>6517.13</c:v>
                </c:pt>
                <c:pt idx="211">
                  <c:v>6506.93</c:v>
                </c:pt>
                <c:pt idx="212" formatCode="#,##0.00">
                  <c:v>6510.11</c:v>
                </c:pt>
                <c:pt idx="213" formatCode="#,##0.00">
                  <c:v>6543.75</c:v>
                </c:pt>
                <c:pt idx="214" formatCode="#,##0.00">
                  <c:v>6514.77</c:v>
                </c:pt>
                <c:pt idx="215" formatCode="#,##0.00">
                  <c:v>6522.14</c:v>
                </c:pt>
                <c:pt idx="216" formatCode="#,##0.00">
                  <c:v>6582.6</c:v>
                </c:pt>
                <c:pt idx="217" formatCode="#,##0.00">
                  <c:v>6577.95</c:v>
                </c:pt>
                <c:pt idx="218" formatCode="#,##0.00">
                  <c:v>6593.25</c:v>
                </c:pt>
                <c:pt idx="219" formatCode="#,##0.00">
                  <c:v>6602.24</c:v>
                </c:pt>
                <c:pt idx="220" formatCode="#,##0.00">
                  <c:v>6594.59</c:v>
                </c:pt>
                <c:pt idx="221" formatCode="#,##0.00">
                  <c:v>6603.76</c:v>
                </c:pt>
                <c:pt idx="222" formatCode="#,##0.00">
                  <c:v>6588.3</c:v>
                </c:pt>
                <c:pt idx="223" formatCode="#,##0.00">
                  <c:v>6589.71</c:v>
                </c:pt>
                <c:pt idx="224" formatCode="#,##0.00">
                  <c:v>6550.91</c:v>
                </c:pt>
                <c:pt idx="225" formatCode="#,##0.00">
                  <c:v>6540.19</c:v>
                </c:pt>
                <c:pt idx="226" formatCode="#,##0.00">
                  <c:v>6541.8</c:v>
                </c:pt>
                <c:pt idx="227" formatCode="#,##0.00">
                  <c:v>6528.21</c:v>
                </c:pt>
                <c:pt idx="228" formatCode="#,##0.00">
                  <c:v>6540.29</c:v>
                </c:pt>
                <c:pt idx="229" formatCode="#,##0.00">
                  <c:v>6539.09</c:v>
                </c:pt>
                <c:pt idx="230" formatCode="#,##0.00">
                  <c:v>6523.47</c:v>
                </c:pt>
                <c:pt idx="231" formatCode="#,##0.00">
                  <c:v>6524.46</c:v>
                </c:pt>
                <c:pt idx="232" formatCode="#,##0.00">
                  <c:v>6507.98</c:v>
                </c:pt>
                <c:pt idx="233" formatCode="#,##0.00">
                  <c:v>6501.89</c:v>
                </c:pt>
                <c:pt idx="234" formatCode="#,##0.00">
                  <c:v>6494.86</c:v>
                </c:pt>
                <c:pt idx="235" formatCode="#,##0.00">
                  <c:v>6508.09</c:v>
                </c:pt>
                <c:pt idx="236" formatCode="#,##0.00">
                  <c:v>6492.74</c:v>
                </c:pt>
                <c:pt idx="237" formatCode="#,##0.00">
                  <c:v>6472.47</c:v>
                </c:pt>
                <c:pt idx="238" formatCode="#,##0.00">
                  <c:v>6450.44</c:v>
                </c:pt>
              </c:numCache>
            </c:numRef>
          </c:val>
          <c:smooth val="0"/>
          <c:extLst>
            <c:ext xmlns:c16="http://schemas.microsoft.com/office/drawing/2014/chart" uri="{C3380CC4-5D6E-409C-BE32-E72D297353CC}">
              <c16:uniqueId val="{00000001-3A59-453D-A8F9-50641BEEB578}"/>
            </c:ext>
          </c:extLst>
        </c:ser>
        <c:dLbls>
          <c:showLegendKey val="0"/>
          <c:showVal val="0"/>
          <c:showCatName val="0"/>
          <c:showSerName val="0"/>
          <c:showPercent val="0"/>
          <c:showBubbleSize val="0"/>
        </c:dLbls>
        <c:marker val="1"/>
        <c:smooth val="0"/>
        <c:axId val="122577280"/>
        <c:axId val="122555008"/>
      </c:lineChart>
      <c:dateAx>
        <c:axId val="126090624"/>
        <c:scaling>
          <c:orientation val="minMax"/>
        </c:scaling>
        <c:delete val="0"/>
        <c:axPos val="b"/>
        <c:numFmt formatCode="[$-409]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2553472"/>
        <c:crosses val="autoZero"/>
        <c:auto val="1"/>
        <c:lblOffset val="100"/>
        <c:baseTimeUnit val="days"/>
        <c:majorUnit val="2"/>
        <c:majorTimeUnit val="months"/>
        <c:minorUnit val="1"/>
        <c:minorTimeUnit val="days"/>
      </c:dateAx>
      <c:valAx>
        <c:axId val="122553472"/>
        <c:scaling>
          <c:orientation val="minMax"/>
          <c:min val="45"/>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090624"/>
        <c:crosses val="autoZero"/>
        <c:crossBetween val="between"/>
      </c:valAx>
      <c:valAx>
        <c:axId val="122555008"/>
        <c:scaling>
          <c:orientation val="minMax"/>
          <c:max val="7500"/>
          <c:min val="550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2577280"/>
        <c:crosses val="max"/>
        <c:crossBetween val="between"/>
      </c:valAx>
      <c:dateAx>
        <c:axId val="122577280"/>
        <c:scaling>
          <c:orientation val="minMax"/>
        </c:scaling>
        <c:delete val="1"/>
        <c:axPos val="b"/>
        <c:numFmt formatCode="[$-409]dd\-mmm\-yy;@" sourceLinked="1"/>
        <c:majorTickMark val="out"/>
        <c:minorTickMark val="none"/>
        <c:tickLblPos val="nextTo"/>
        <c:crossAx val="122555008"/>
        <c:crosses val="autoZero"/>
        <c:auto val="1"/>
        <c:lblOffset val="100"/>
        <c:baseTimeUnit val="days"/>
        <c:majorUnit val="1"/>
        <c:minorUnit val="1"/>
      </c:dateAx>
      <c:spPr>
        <a:noFill/>
        <a:ln>
          <a:noFill/>
        </a:ln>
        <a:effectLst/>
      </c:spPr>
    </c:plotArea>
    <c:legend>
      <c:legendPos val="b"/>
      <c:layout>
        <c:manualLayout>
          <c:xMode val="edge"/>
          <c:yMode val="edge"/>
          <c:x val="0.1852762467191601"/>
          <c:y val="0.91066819772528429"/>
          <c:w val="0.50096850393700787"/>
          <c:h val="8.9331802274715655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9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7379921259842513E-2"/>
          <c:y val="5.4236293379994166E-2"/>
          <c:w val="0.78322594050743655"/>
          <c:h val="0.75961067366579182"/>
        </c:manualLayout>
      </c:layout>
      <c:lineChart>
        <c:grouping val="standard"/>
        <c:varyColors val="0"/>
        <c:ser>
          <c:idx val="3"/>
          <c:order val="0"/>
          <c:tx>
            <c:strRef>
              <c:f>'ASPIv ACL'!$E$3</c:f>
              <c:strCache>
                <c:ptCount val="1"/>
                <c:pt idx="0">
                  <c:v>ACL (LHS)</c:v>
                </c:pt>
              </c:strCache>
            </c:strRef>
          </c:tx>
          <c:spPr>
            <a:ln w="28575" cap="rnd">
              <a:solidFill>
                <a:srgbClr val="002060"/>
              </a:solidFill>
              <a:round/>
            </a:ln>
            <a:effectLst/>
          </c:spPr>
          <c:marker>
            <c:symbol val="none"/>
          </c:marker>
          <c:cat>
            <c:numRef>
              <c:f>'ASPIv ACL'!$B$1414:$B$1656</c:f>
              <c:numCache>
                <c:formatCode>[$-409]dd\-mmm\-yy;@</c:formatCode>
                <c:ptCount val="243"/>
                <c:pt idx="0">
                  <c:v>42226</c:v>
                </c:pt>
                <c:pt idx="1">
                  <c:v>42227</c:v>
                </c:pt>
                <c:pt idx="2">
                  <c:v>42228</c:v>
                </c:pt>
                <c:pt idx="3">
                  <c:v>42229</c:v>
                </c:pt>
                <c:pt idx="4">
                  <c:v>42230</c:v>
                </c:pt>
                <c:pt idx="5">
                  <c:v>42233</c:v>
                </c:pt>
                <c:pt idx="6">
                  <c:v>42234</c:v>
                </c:pt>
                <c:pt idx="7">
                  <c:v>42235</c:v>
                </c:pt>
                <c:pt idx="8">
                  <c:v>42236</c:v>
                </c:pt>
                <c:pt idx="9">
                  <c:v>42237</c:v>
                </c:pt>
                <c:pt idx="10">
                  <c:v>42240</c:v>
                </c:pt>
                <c:pt idx="11">
                  <c:v>42241</c:v>
                </c:pt>
                <c:pt idx="12">
                  <c:v>42242</c:v>
                </c:pt>
                <c:pt idx="13">
                  <c:v>42243</c:v>
                </c:pt>
                <c:pt idx="14">
                  <c:v>42244</c:v>
                </c:pt>
                <c:pt idx="15">
                  <c:v>42247</c:v>
                </c:pt>
                <c:pt idx="16">
                  <c:v>42248</c:v>
                </c:pt>
                <c:pt idx="17">
                  <c:v>42249</c:v>
                </c:pt>
                <c:pt idx="18">
                  <c:v>42250</c:v>
                </c:pt>
                <c:pt idx="19">
                  <c:v>42251</c:v>
                </c:pt>
                <c:pt idx="20">
                  <c:v>42254</c:v>
                </c:pt>
                <c:pt idx="21">
                  <c:v>42255</c:v>
                </c:pt>
                <c:pt idx="22">
                  <c:v>42256</c:v>
                </c:pt>
                <c:pt idx="23">
                  <c:v>42257</c:v>
                </c:pt>
                <c:pt idx="24">
                  <c:v>42258</c:v>
                </c:pt>
                <c:pt idx="25">
                  <c:v>42261</c:v>
                </c:pt>
                <c:pt idx="26">
                  <c:v>42262</c:v>
                </c:pt>
                <c:pt idx="27">
                  <c:v>42263</c:v>
                </c:pt>
                <c:pt idx="28">
                  <c:v>42264</c:v>
                </c:pt>
                <c:pt idx="30">
                  <c:v>42265</c:v>
                </c:pt>
                <c:pt idx="31">
                  <c:v>42268</c:v>
                </c:pt>
                <c:pt idx="32">
                  <c:v>42269</c:v>
                </c:pt>
                <c:pt idx="33">
                  <c:v>42270</c:v>
                </c:pt>
                <c:pt idx="34">
                  <c:v>42272</c:v>
                </c:pt>
                <c:pt idx="35">
                  <c:v>42275</c:v>
                </c:pt>
                <c:pt idx="36">
                  <c:v>42276</c:v>
                </c:pt>
                <c:pt idx="37">
                  <c:v>42277</c:v>
                </c:pt>
                <c:pt idx="38">
                  <c:v>42278</c:v>
                </c:pt>
                <c:pt idx="39">
                  <c:v>42279</c:v>
                </c:pt>
                <c:pt idx="40">
                  <c:v>42282</c:v>
                </c:pt>
                <c:pt idx="41">
                  <c:v>42283</c:v>
                </c:pt>
                <c:pt idx="42">
                  <c:v>42284</c:v>
                </c:pt>
                <c:pt idx="43">
                  <c:v>42285</c:v>
                </c:pt>
                <c:pt idx="44">
                  <c:v>42286</c:v>
                </c:pt>
                <c:pt idx="45">
                  <c:v>42289</c:v>
                </c:pt>
                <c:pt idx="46">
                  <c:v>42290</c:v>
                </c:pt>
                <c:pt idx="47">
                  <c:v>42291</c:v>
                </c:pt>
                <c:pt idx="48">
                  <c:v>42292</c:v>
                </c:pt>
                <c:pt idx="49">
                  <c:v>42293</c:v>
                </c:pt>
                <c:pt idx="50">
                  <c:v>42296</c:v>
                </c:pt>
                <c:pt idx="51">
                  <c:v>42297</c:v>
                </c:pt>
                <c:pt idx="52">
                  <c:v>42298</c:v>
                </c:pt>
                <c:pt idx="53">
                  <c:v>42299</c:v>
                </c:pt>
                <c:pt idx="54">
                  <c:v>42300</c:v>
                </c:pt>
                <c:pt idx="55">
                  <c:v>42303</c:v>
                </c:pt>
                <c:pt idx="56">
                  <c:v>42305</c:v>
                </c:pt>
                <c:pt idx="57">
                  <c:v>42306</c:v>
                </c:pt>
                <c:pt idx="58">
                  <c:v>42307</c:v>
                </c:pt>
                <c:pt idx="59">
                  <c:v>42310</c:v>
                </c:pt>
                <c:pt idx="60">
                  <c:v>42311</c:v>
                </c:pt>
                <c:pt idx="61">
                  <c:v>42312</c:v>
                </c:pt>
                <c:pt idx="62">
                  <c:v>42313</c:v>
                </c:pt>
                <c:pt idx="63">
                  <c:v>42314</c:v>
                </c:pt>
                <c:pt idx="64">
                  <c:v>42317</c:v>
                </c:pt>
                <c:pt idx="65">
                  <c:v>42319</c:v>
                </c:pt>
                <c:pt idx="66">
                  <c:v>42320</c:v>
                </c:pt>
                <c:pt idx="67">
                  <c:v>42321</c:v>
                </c:pt>
                <c:pt idx="68">
                  <c:v>42324</c:v>
                </c:pt>
                <c:pt idx="69">
                  <c:v>42325</c:v>
                </c:pt>
                <c:pt idx="70">
                  <c:v>42326</c:v>
                </c:pt>
                <c:pt idx="71">
                  <c:v>42327</c:v>
                </c:pt>
                <c:pt idx="72">
                  <c:v>42328</c:v>
                </c:pt>
                <c:pt idx="73">
                  <c:v>42331</c:v>
                </c:pt>
                <c:pt idx="74">
                  <c:v>42332</c:v>
                </c:pt>
                <c:pt idx="75">
                  <c:v>42334</c:v>
                </c:pt>
                <c:pt idx="76">
                  <c:v>42335</c:v>
                </c:pt>
                <c:pt idx="77">
                  <c:v>42338</c:v>
                </c:pt>
                <c:pt idx="78">
                  <c:v>42339</c:v>
                </c:pt>
                <c:pt idx="79">
                  <c:v>42340</c:v>
                </c:pt>
                <c:pt idx="80">
                  <c:v>42341</c:v>
                </c:pt>
                <c:pt idx="81">
                  <c:v>42342</c:v>
                </c:pt>
                <c:pt idx="82">
                  <c:v>42345</c:v>
                </c:pt>
                <c:pt idx="83">
                  <c:v>42346</c:v>
                </c:pt>
                <c:pt idx="84">
                  <c:v>42347</c:v>
                </c:pt>
                <c:pt idx="85">
                  <c:v>42348</c:v>
                </c:pt>
                <c:pt idx="86">
                  <c:v>42349</c:v>
                </c:pt>
                <c:pt idx="87">
                  <c:v>42352</c:v>
                </c:pt>
                <c:pt idx="88">
                  <c:v>42353</c:v>
                </c:pt>
                <c:pt idx="89">
                  <c:v>42354</c:v>
                </c:pt>
                <c:pt idx="90">
                  <c:v>42355</c:v>
                </c:pt>
                <c:pt idx="91">
                  <c:v>42356</c:v>
                </c:pt>
                <c:pt idx="92">
                  <c:v>42359</c:v>
                </c:pt>
                <c:pt idx="93">
                  <c:v>42360</c:v>
                </c:pt>
                <c:pt idx="94">
                  <c:v>42361</c:v>
                </c:pt>
                <c:pt idx="95">
                  <c:v>42366</c:v>
                </c:pt>
                <c:pt idx="96">
                  <c:v>42367</c:v>
                </c:pt>
                <c:pt idx="97">
                  <c:v>42368</c:v>
                </c:pt>
                <c:pt idx="98">
                  <c:v>42369</c:v>
                </c:pt>
                <c:pt idx="99">
                  <c:v>42373</c:v>
                </c:pt>
                <c:pt idx="100">
                  <c:v>42374</c:v>
                </c:pt>
                <c:pt idx="101">
                  <c:v>42375</c:v>
                </c:pt>
                <c:pt idx="102">
                  <c:v>42376</c:v>
                </c:pt>
                <c:pt idx="103">
                  <c:v>42377</c:v>
                </c:pt>
                <c:pt idx="104">
                  <c:v>42380</c:v>
                </c:pt>
                <c:pt idx="105">
                  <c:v>42381</c:v>
                </c:pt>
                <c:pt idx="106">
                  <c:v>42382</c:v>
                </c:pt>
                <c:pt idx="107">
                  <c:v>42383</c:v>
                </c:pt>
                <c:pt idx="108">
                  <c:v>42387</c:v>
                </c:pt>
                <c:pt idx="109">
                  <c:v>42388</c:v>
                </c:pt>
                <c:pt idx="110">
                  <c:v>42389</c:v>
                </c:pt>
                <c:pt idx="111">
                  <c:v>42390</c:v>
                </c:pt>
                <c:pt idx="112">
                  <c:v>42391</c:v>
                </c:pt>
                <c:pt idx="113">
                  <c:v>42394</c:v>
                </c:pt>
                <c:pt idx="114">
                  <c:v>42395</c:v>
                </c:pt>
                <c:pt idx="115">
                  <c:v>42396</c:v>
                </c:pt>
                <c:pt idx="116">
                  <c:v>42397</c:v>
                </c:pt>
                <c:pt idx="117">
                  <c:v>42398</c:v>
                </c:pt>
                <c:pt idx="118">
                  <c:v>42401</c:v>
                </c:pt>
                <c:pt idx="119">
                  <c:v>42402</c:v>
                </c:pt>
                <c:pt idx="120">
                  <c:v>42403</c:v>
                </c:pt>
                <c:pt idx="121">
                  <c:v>42405</c:v>
                </c:pt>
                <c:pt idx="122">
                  <c:v>42408</c:v>
                </c:pt>
                <c:pt idx="123">
                  <c:v>42409</c:v>
                </c:pt>
                <c:pt idx="124">
                  <c:v>42410</c:v>
                </c:pt>
                <c:pt idx="125">
                  <c:v>42411</c:v>
                </c:pt>
                <c:pt idx="126">
                  <c:v>42412</c:v>
                </c:pt>
                <c:pt idx="127">
                  <c:v>42415</c:v>
                </c:pt>
                <c:pt idx="128">
                  <c:v>42416</c:v>
                </c:pt>
                <c:pt idx="129">
                  <c:v>42417</c:v>
                </c:pt>
                <c:pt idx="130">
                  <c:v>42418</c:v>
                </c:pt>
                <c:pt idx="131">
                  <c:v>42419</c:v>
                </c:pt>
                <c:pt idx="132">
                  <c:v>42423</c:v>
                </c:pt>
                <c:pt idx="133">
                  <c:v>42424</c:v>
                </c:pt>
                <c:pt idx="134">
                  <c:v>42425</c:v>
                </c:pt>
                <c:pt idx="135">
                  <c:v>42426</c:v>
                </c:pt>
                <c:pt idx="136">
                  <c:v>42429</c:v>
                </c:pt>
                <c:pt idx="137">
                  <c:v>42430</c:v>
                </c:pt>
                <c:pt idx="138">
                  <c:v>42431</c:v>
                </c:pt>
                <c:pt idx="139">
                  <c:v>42432</c:v>
                </c:pt>
                <c:pt idx="140">
                  <c:v>42433</c:v>
                </c:pt>
                <c:pt idx="141">
                  <c:v>42437</c:v>
                </c:pt>
                <c:pt idx="142">
                  <c:v>42438</c:v>
                </c:pt>
                <c:pt idx="143">
                  <c:v>42439</c:v>
                </c:pt>
                <c:pt idx="144">
                  <c:v>42440</c:v>
                </c:pt>
                <c:pt idx="145">
                  <c:v>42443</c:v>
                </c:pt>
                <c:pt idx="146">
                  <c:v>42444</c:v>
                </c:pt>
                <c:pt idx="147">
                  <c:v>42445</c:v>
                </c:pt>
                <c:pt idx="148">
                  <c:v>42446</c:v>
                </c:pt>
                <c:pt idx="149">
                  <c:v>42447</c:v>
                </c:pt>
                <c:pt idx="150">
                  <c:v>42450</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42475</c:v>
                </c:pt>
                <c:pt idx="166">
                  <c:v>42478</c:v>
                </c:pt>
                <c:pt idx="167">
                  <c:v>42479</c:v>
                </c:pt>
                <c:pt idx="168">
                  <c:v>42480</c:v>
                </c:pt>
                <c:pt idx="169">
                  <c:v>42482</c:v>
                </c:pt>
                <c:pt idx="170">
                  <c:v>42485</c:v>
                </c:pt>
                <c:pt idx="171">
                  <c:v>42486</c:v>
                </c:pt>
                <c:pt idx="172">
                  <c:v>42487</c:v>
                </c:pt>
                <c:pt idx="173">
                  <c:v>42488</c:v>
                </c:pt>
                <c:pt idx="174">
                  <c:v>42489</c:v>
                </c:pt>
                <c:pt idx="175">
                  <c:v>42493</c:v>
                </c:pt>
                <c:pt idx="176">
                  <c:v>42494</c:v>
                </c:pt>
                <c:pt idx="177">
                  <c:v>42495</c:v>
                </c:pt>
                <c:pt idx="178">
                  <c:v>42496</c:v>
                </c:pt>
                <c:pt idx="179">
                  <c:v>42499</c:v>
                </c:pt>
                <c:pt idx="180">
                  <c:v>42500</c:v>
                </c:pt>
                <c:pt idx="181">
                  <c:v>42501</c:v>
                </c:pt>
                <c:pt idx="182">
                  <c:v>42502</c:v>
                </c:pt>
                <c:pt idx="183">
                  <c:v>42503</c:v>
                </c:pt>
                <c:pt idx="184">
                  <c:v>42506</c:v>
                </c:pt>
                <c:pt idx="185">
                  <c:v>42507</c:v>
                </c:pt>
                <c:pt idx="186">
                  <c:v>42508</c:v>
                </c:pt>
                <c:pt idx="187">
                  <c:v>42509</c:v>
                </c:pt>
                <c:pt idx="188">
                  <c:v>42510</c:v>
                </c:pt>
                <c:pt idx="189">
                  <c:v>42514</c:v>
                </c:pt>
                <c:pt idx="190">
                  <c:v>42515</c:v>
                </c:pt>
                <c:pt idx="191">
                  <c:v>42516</c:v>
                </c:pt>
                <c:pt idx="192">
                  <c:v>42517</c:v>
                </c:pt>
                <c:pt idx="193">
                  <c:v>42520</c:v>
                </c:pt>
                <c:pt idx="194">
                  <c:v>42521</c:v>
                </c:pt>
                <c:pt idx="195">
                  <c:v>42522</c:v>
                </c:pt>
                <c:pt idx="196">
                  <c:v>42523</c:v>
                </c:pt>
                <c:pt idx="197">
                  <c:v>42524</c:v>
                </c:pt>
                <c:pt idx="198">
                  <c:v>42527</c:v>
                </c:pt>
                <c:pt idx="199">
                  <c:v>42528</c:v>
                </c:pt>
                <c:pt idx="200">
                  <c:v>42529</c:v>
                </c:pt>
                <c:pt idx="201">
                  <c:v>42530</c:v>
                </c:pt>
                <c:pt idx="202">
                  <c:v>42531</c:v>
                </c:pt>
                <c:pt idx="203">
                  <c:v>42534</c:v>
                </c:pt>
                <c:pt idx="204">
                  <c:v>42535</c:v>
                </c:pt>
                <c:pt idx="205">
                  <c:v>42536</c:v>
                </c:pt>
                <c:pt idx="206">
                  <c:v>42537</c:v>
                </c:pt>
                <c:pt idx="207">
                  <c:v>42538</c:v>
                </c:pt>
                <c:pt idx="208">
                  <c:v>42541</c:v>
                </c:pt>
                <c:pt idx="209">
                  <c:v>42542</c:v>
                </c:pt>
                <c:pt idx="210">
                  <c:v>42543</c:v>
                </c:pt>
                <c:pt idx="211">
                  <c:v>42544</c:v>
                </c:pt>
                <c:pt idx="212">
                  <c:v>42545</c:v>
                </c:pt>
                <c:pt idx="213">
                  <c:v>42548</c:v>
                </c:pt>
                <c:pt idx="214">
                  <c:v>42549</c:v>
                </c:pt>
                <c:pt idx="215">
                  <c:v>42550</c:v>
                </c:pt>
                <c:pt idx="216">
                  <c:v>42551</c:v>
                </c:pt>
                <c:pt idx="217">
                  <c:v>42552</c:v>
                </c:pt>
                <c:pt idx="218">
                  <c:v>42555</c:v>
                </c:pt>
                <c:pt idx="219">
                  <c:v>42556</c:v>
                </c:pt>
                <c:pt idx="220">
                  <c:v>42558</c:v>
                </c:pt>
                <c:pt idx="221">
                  <c:v>42559</c:v>
                </c:pt>
                <c:pt idx="222">
                  <c:v>42562</c:v>
                </c:pt>
                <c:pt idx="223">
                  <c:v>42563</c:v>
                </c:pt>
                <c:pt idx="224">
                  <c:v>42564</c:v>
                </c:pt>
                <c:pt idx="225">
                  <c:v>42565</c:v>
                </c:pt>
                <c:pt idx="226">
                  <c:v>42566</c:v>
                </c:pt>
                <c:pt idx="227">
                  <c:v>42569</c:v>
                </c:pt>
                <c:pt idx="228">
                  <c:v>42571</c:v>
                </c:pt>
                <c:pt idx="229">
                  <c:v>42572</c:v>
                </c:pt>
                <c:pt idx="230">
                  <c:v>42573</c:v>
                </c:pt>
                <c:pt idx="231">
                  <c:v>42576</c:v>
                </c:pt>
                <c:pt idx="232">
                  <c:v>42577</c:v>
                </c:pt>
                <c:pt idx="233">
                  <c:v>42578</c:v>
                </c:pt>
                <c:pt idx="234">
                  <c:v>42579</c:v>
                </c:pt>
                <c:pt idx="235">
                  <c:v>42580</c:v>
                </c:pt>
                <c:pt idx="236">
                  <c:v>42583</c:v>
                </c:pt>
                <c:pt idx="237">
                  <c:v>42584</c:v>
                </c:pt>
                <c:pt idx="238">
                  <c:v>42585</c:v>
                </c:pt>
                <c:pt idx="239">
                  <c:v>42586</c:v>
                </c:pt>
                <c:pt idx="240">
                  <c:v>42587</c:v>
                </c:pt>
                <c:pt idx="241">
                  <c:v>42590</c:v>
                </c:pt>
                <c:pt idx="242">
                  <c:v>42591</c:v>
                </c:pt>
              </c:numCache>
            </c:numRef>
          </c:cat>
          <c:val>
            <c:numRef>
              <c:f>'ASPIv ACL'!$E$1414:$E$1656</c:f>
              <c:numCache>
                <c:formatCode>General</c:formatCode>
                <c:ptCount val="243"/>
                <c:pt idx="0">
                  <c:v>55</c:v>
                </c:pt>
                <c:pt idx="1">
                  <c:v>57.45</c:v>
                </c:pt>
                <c:pt idx="2">
                  <c:v>57</c:v>
                </c:pt>
                <c:pt idx="3">
                  <c:v>56.05</c:v>
                </c:pt>
                <c:pt idx="4">
                  <c:v>56.55</c:v>
                </c:pt>
                <c:pt idx="5">
                  <c:v>60.3</c:v>
                </c:pt>
                <c:pt idx="6">
                  <c:v>61.8</c:v>
                </c:pt>
                <c:pt idx="7">
                  <c:v>60.05</c:v>
                </c:pt>
                <c:pt idx="8">
                  <c:v>59.4</c:v>
                </c:pt>
                <c:pt idx="9">
                  <c:v>60</c:v>
                </c:pt>
                <c:pt idx="10">
                  <c:v>57.6</c:v>
                </c:pt>
                <c:pt idx="11">
                  <c:v>55.05</c:v>
                </c:pt>
                <c:pt idx="12">
                  <c:v>55.75</c:v>
                </c:pt>
                <c:pt idx="13">
                  <c:v>57</c:v>
                </c:pt>
                <c:pt idx="14">
                  <c:v>58.1</c:v>
                </c:pt>
                <c:pt idx="15">
                  <c:v>57</c:v>
                </c:pt>
                <c:pt idx="16">
                  <c:v>57.4</c:v>
                </c:pt>
                <c:pt idx="17">
                  <c:v>56.25</c:v>
                </c:pt>
                <c:pt idx="18">
                  <c:v>57</c:v>
                </c:pt>
                <c:pt idx="19">
                  <c:v>56.1</c:v>
                </c:pt>
                <c:pt idx="20">
                  <c:v>53.75</c:v>
                </c:pt>
                <c:pt idx="21">
                  <c:v>53.6</c:v>
                </c:pt>
                <c:pt idx="22">
                  <c:v>55.45</c:v>
                </c:pt>
                <c:pt idx="23">
                  <c:v>54</c:v>
                </c:pt>
                <c:pt idx="24">
                  <c:v>54</c:v>
                </c:pt>
                <c:pt idx="25">
                  <c:v>54</c:v>
                </c:pt>
                <c:pt idx="26">
                  <c:v>54.5</c:v>
                </c:pt>
                <c:pt idx="27">
                  <c:v>53.85</c:v>
                </c:pt>
                <c:pt idx="28">
                  <c:v>54.05</c:v>
                </c:pt>
                <c:pt idx="30">
                  <c:v>54.4</c:v>
                </c:pt>
                <c:pt idx="31">
                  <c:v>54.95</c:v>
                </c:pt>
                <c:pt idx="32">
                  <c:v>54.55</c:v>
                </c:pt>
                <c:pt idx="33">
                  <c:v>54.45</c:v>
                </c:pt>
                <c:pt idx="34">
                  <c:v>54.2</c:v>
                </c:pt>
                <c:pt idx="35">
                  <c:v>54</c:v>
                </c:pt>
                <c:pt idx="36">
                  <c:v>54.5</c:v>
                </c:pt>
                <c:pt idx="37">
                  <c:v>54.2</c:v>
                </c:pt>
                <c:pt idx="38">
                  <c:v>54.45</c:v>
                </c:pt>
                <c:pt idx="39">
                  <c:v>57.05</c:v>
                </c:pt>
                <c:pt idx="40">
                  <c:v>59.9</c:v>
                </c:pt>
                <c:pt idx="41">
                  <c:v>61.55</c:v>
                </c:pt>
                <c:pt idx="42">
                  <c:v>60.55</c:v>
                </c:pt>
                <c:pt idx="43">
                  <c:v>60.8</c:v>
                </c:pt>
                <c:pt idx="44">
                  <c:v>63.4</c:v>
                </c:pt>
                <c:pt idx="45">
                  <c:v>63.35</c:v>
                </c:pt>
                <c:pt idx="46">
                  <c:v>62.1</c:v>
                </c:pt>
                <c:pt idx="47">
                  <c:v>61.05</c:v>
                </c:pt>
                <c:pt idx="48">
                  <c:v>59.8</c:v>
                </c:pt>
                <c:pt idx="49">
                  <c:v>59.75</c:v>
                </c:pt>
                <c:pt idx="50">
                  <c:v>59.8</c:v>
                </c:pt>
                <c:pt idx="51">
                  <c:v>60.25</c:v>
                </c:pt>
                <c:pt idx="52">
                  <c:v>61</c:v>
                </c:pt>
                <c:pt idx="53">
                  <c:v>59.9</c:v>
                </c:pt>
                <c:pt idx="54">
                  <c:v>60.3</c:v>
                </c:pt>
                <c:pt idx="55">
                  <c:v>60.3</c:v>
                </c:pt>
                <c:pt idx="56">
                  <c:v>60</c:v>
                </c:pt>
                <c:pt idx="57">
                  <c:v>59.8</c:v>
                </c:pt>
                <c:pt idx="58">
                  <c:v>59.5</c:v>
                </c:pt>
                <c:pt idx="59">
                  <c:v>59.5</c:v>
                </c:pt>
                <c:pt idx="60">
                  <c:v>59.35</c:v>
                </c:pt>
                <c:pt idx="61">
                  <c:v>57.5</c:v>
                </c:pt>
                <c:pt idx="62">
                  <c:v>58.45</c:v>
                </c:pt>
                <c:pt idx="63">
                  <c:v>60</c:v>
                </c:pt>
                <c:pt idx="64">
                  <c:v>60</c:v>
                </c:pt>
                <c:pt idx="65">
                  <c:v>59.4</c:v>
                </c:pt>
                <c:pt idx="66">
                  <c:v>59.6</c:v>
                </c:pt>
                <c:pt idx="67">
                  <c:v>59.9</c:v>
                </c:pt>
                <c:pt idx="68">
                  <c:v>58.8</c:v>
                </c:pt>
                <c:pt idx="69">
                  <c:v>58.45</c:v>
                </c:pt>
                <c:pt idx="70">
                  <c:v>58.5</c:v>
                </c:pt>
                <c:pt idx="71">
                  <c:v>59.45</c:v>
                </c:pt>
                <c:pt idx="72">
                  <c:v>60</c:v>
                </c:pt>
                <c:pt idx="73">
                  <c:v>60</c:v>
                </c:pt>
                <c:pt idx="74">
                  <c:v>59.5</c:v>
                </c:pt>
                <c:pt idx="75">
                  <c:v>58.4</c:v>
                </c:pt>
                <c:pt idx="76">
                  <c:v>58.65</c:v>
                </c:pt>
                <c:pt idx="77">
                  <c:v>58.5</c:v>
                </c:pt>
                <c:pt idx="78">
                  <c:v>59.55</c:v>
                </c:pt>
                <c:pt idx="79">
                  <c:v>58.65</c:v>
                </c:pt>
                <c:pt idx="80">
                  <c:v>59</c:v>
                </c:pt>
                <c:pt idx="81">
                  <c:v>58.35</c:v>
                </c:pt>
                <c:pt idx="82">
                  <c:v>58.15</c:v>
                </c:pt>
                <c:pt idx="83">
                  <c:v>58.45</c:v>
                </c:pt>
                <c:pt idx="84">
                  <c:v>57.8</c:v>
                </c:pt>
                <c:pt idx="85">
                  <c:v>57.75</c:v>
                </c:pt>
                <c:pt idx="86">
                  <c:v>58.45</c:v>
                </c:pt>
                <c:pt idx="87">
                  <c:v>58.35</c:v>
                </c:pt>
                <c:pt idx="88">
                  <c:v>58.15</c:v>
                </c:pt>
                <c:pt idx="89">
                  <c:v>58.25</c:v>
                </c:pt>
                <c:pt idx="90">
                  <c:v>59.7</c:v>
                </c:pt>
                <c:pt idx="91">
                  <c:v>59.9</c:v>
                </c:pt>
                <c:pt idx="92">
                  <c:v>59.65</c:v>
                </c:pt>
                <c:pt idx="93">
                  <c:v>59.65</c:v>
                </c:pt>
                <c:pt idx="94">
                  <c:v>59.7</c:v>
                </c:pt>
                <c:pt idx="95">
                  <c:v>59.3</c:v>
                </c:pt>
                <c:pt idx="96">
                  <c:v>59.8</c:v>
                </c:pt>
                <c:pt idx="97">
                  <c:v>60.1</c:v>
                </c:pt>
                <c:pt idx="98">
                  <c:v>60.45</c:v>
                </c:pt>
                <c:pt idx="99">
                  <c:v>60.25</c:v>
                </c:pt>
                <c:pt idx="100">
                  <c:v>59.6</c:v>
                </c:pt>
                <c:pt idx="101">
                  <c:v>59.55</c:v>
                </c:pt>
                <c:pt idx="102">
                  <c:v>59.25</c:v>
                </c:pt>
                <c:pt idx="103">
                  <c:v>58.2</c:v>
                </c:pt>
                <c:pt idx="104">
                  <c:v>57</c:v>
                </c:pt>
                <c:pt idx="105">
                  <c:v>55.95</c:v>
                </c:pt>
                <c:pt idx="106">
                  <c:v>56.2</c:v>
                </c:pt>
                <c:pt idx="107">
                  <c:v>55.5</c:v>
                </c:pt>
                <c:pt idx="108">
                  <c:v>51.85</c:v>
                </c:pt>
                <c:pt idx="109">
                  <c:v>52.15</c:v>
                </c:pt>
                <c:pt idx="110">
                  <c:v>52.7</c:v>
                </c:pt>
                <c:pt idx="111">
                  <c:v>54.7</c:v>
                </c:pt>
                <c:pt idx="112">
                  <c:v>54.95</c:v>
                </c:pt>
                <c:pt idx="113">
                  <c:v>55.65</c:v>
                </c:pt>
                <c:pt idx="114">
                  <c:v>54.75</c:v>
                </c:pt>
                <c:pt idx="115">
                  <c:v>55.7</c:v>
                </c:pt>
                <c:pt idx="116">
                  <c:v>55.35</c:v>
                </c:pt>
                <c:pt idx="117">
                  <c:v>56</c:v>
                </c:pt>
                <c:pt idx="118">
                  <c:v>57.3</c:v>
                </c:pt>
                <c:pt idx="119">
                  <c:v>57.9</c:v>
                </c:pt>
                <c:pt idx="120">
                  <c:v>57.65</c:v>
                </c:pt>
                <c:pt idx="121">
                  <c:v>58.4</c:v>
                </c:pt>
                <c:pt idx="122">
                  <c:v>57.85</c:v>
                </c:pt>
                <c:pt idx="123">
                  <c:v>57.45</c:v>
                </c:pt>
                <c:pt idx="124">
                  <c:v>57.65</c:v>
                </c:pt>
                <c:pt idx="125">
                  <c:v>57</c:v>
                </c:pt>
                <c:pt idx="126">
                  <c:v>55.7</c:v>
                </c:pt>
                <c:pt idx="127">
                  <c:v>54.55</c:v>
                </c:pt>
                <c:pt idx="128">
                  <c:v>53.55</c:v>
                </c:pt>
                <c:pt idx="129">
                  <c:v>52.45</c:v>
                </c:pt>
                <c:pt idx="130">
                  <c:v>51.5</c:v>
                </c:pt>
                <c:pt idx="131">
                  <c:v>51.55</c:v>
                </c:pt>
                <c:pt idx="132">
                  <c:v>51.45</c:v>
                </c:pt>
                <c:pt idx="133">
                  <c:v>51.2</c:v>
                </c:pt>
                <c:pt idx="134">
                  <c:v>51.5</c:v>
                </c:pt>
                <c:pt idx="135">
                  <c:v>51.25</c:v>
                </c:pt>
                <c:pt idx="136">
                  <c:v>51</c:v>
                </c:pt>
                <c:pt idx="137">
                  <c:v>50</c:v>
                </c:pt>
                <c:pt idx="138">
                  <c:v>50</c:v>
                </c:pt>
                <c:pt idx="139">
                  <c:v>50.3</c:v>
                </c:pt>
                <c:pt idx="140">
                  <c:v>50.8</c:v>
                </c:pt>
                <c:pt idx="141">
                  <c:v>48.35</c:v>
                </c:pt>
                <c:pt idx="142">
                  <c:v>46.9</c:v>
                </c:pt>
                <c:pt idx="143">
                  <c:v>49.1</c:v>
                </c:pt>
                <c:pt idx="144">
                  <c:v>50.35</c:v>
                </c:pt>
                <c:pt idx="145">
                  <c:v>49.85</c:v>
                </c:pt>
                <c:pt idx="146">
                  <c:v>49.8</c:v>
                </c:pt>
                <c:pt idx="147">
                  <c:v>51.15</c:v>
                </c:pt>
                <c:pt idx="148">
                  <c:v>52.5</c:v>
                </c:pt>
                <c:pt idx="149">
                  <c:v>52.5</c:v>
                </c:pt>
                <c:pt idx="150">
                  <c:v>51.7</c:v>
                </c:pt>
                <c:pt idx="151">
                  <c:v>51.7</c:v>
                </c:pt>
                <c:pt idx="152">
                  <c:v>51.7</c:v>
                </c:pt>
                <c:pt idx="153">
                  <c:v>51.7</c:v>
                </c:pt>
                <c:pt idx="154">
                  <c:v>49.05</c:v>
                </c:pt>
                <c:pt idx="155">
                  <c:v>50.5</c:v>
                </c:pt>
                <c:pt idx="156">
                  <c:v>50.45</c:v>
                </c:pt>
                <c:pt idx="157">
                  <c:v>50.05</c:v>
                </c:pt>
                <c:pt idx="158">
                  <c:v>50.25</c:v>
                </c:pt>
                <c:pt idx="159">
                  <c:v>51.5</c:v>
                </c:pt>
                <c:pt idx="160">
                  <c:v>51.65</c:v>
                </c:pt>
                <c:pt idx="161">
                  <c:v>52.45</c:v>
                </c:pt>
                <c:pt idx="162">
                  <c:v>53.6</c:v>
                </c:pt>
                <c:pt idx="163">
                  <c:v>53.45</c:v>
                </c:pt>
                <c:pt idx="164">
                  <c:v>53.5</c:v>
                </c:pt>
                <c:pt idx="165">
                  <c:v>53.4</c:v>
                </c:pt>
                <c:pt idx="166">
                  <c:v>53.7</c:v>
                </c:pt>
                <c:pt idx="167">
                  <c:v>53.5</c:v>
                </c:pt>
                <c:pt idx="168">
                  <c:v>54.25</c:v>
                </c:pt>
                <c:pt idx="169">
                  <c:v>56.2</c:v>
                </c:pt>
                <c:pt idx="170">
                  <c:v>56</c:v>
                </c:pt>
                <c:pt idx="171">
                  <c:v>56.45</c:v>
                </c:pt>
                <c:pt idx="172">
                  <c:v>56.45</c:v>
                </c:pt>
                <c:pt idx="173">
                  <c:v>56.6</c:v>
                </c:pt>
                <c:pt idx="174">
                  <c:v>56.5</c:v>
                </c:pt>
                <c:pt idx="175">
                  <c:v>56.5</c:v>
                </c:pt>
                <c:pt idx="176">
                  <c:v>56.5</c:v>
                </c:pt>
                <c:pt idx="177">
                  <c:v>56.25</c:v>
                </c:pt>
                <c:pt idx="178">
                  <c:v>56.5</c:v>
                </c:pt>
                <c:pt idx="179">
                  <c:v>55.6</c:v>
                </c:pt>
                <c:pt idx="180">
                  <c:v>56.9</c:v>
                </c:pt>
                <c:pt idx="181">
                  <c:v>58.5</c:v>
                </c:pt>
                <c:pt idx="182">
                  <c:v>61.95</c:v>
                </c:pt>
                <c:pt idx="183">
                  <c:v>62.2</c:v>
                </c:pt>
                <c:pt idx="184">
                  <c:v>61.95</c:v>
                </c:pt>
                <c:pt idx="185">
                  <c:v>61.45</c:v>
                </c:pt>
                <c:pt idx="186">
                  <c:v>61.5</c:v>
                </c:pt>
                <c:pt idx="187">
                  <c:v>62.1</c:v>
                </c:pt>
                <c:pt idx="188">
                  <c:v>61.8</c:v>
                </c:pt>
                <c:pt idx="189">
                  <c:v>61.2</c:v>
                </c:pt>
                <c:pt idx="190">
                  <c:v>61.15</c:v>
                </c:pt>
                <c:pt idx="191">
                  <c:v>60.8</c:v>
                </c:pt>
                <c:pt idx="192">
                  <c:v>60.9</c:v>
                </c:pt>
                <c:pt idx="193">
                  <c:v>59.6</c:v>
                </c:pt>
                <c:pt idx="194">
                  <c:v>58.85</c:v>
                </c:pt>
                <c:pt idx="195">
                  <c:v>59.4</c:v>
                </c:pt>
                <c:pt idx="196">
                  <c:v>59.45</c:v>
                </c:pt>
                <c:pt idx="197">
                  <c:v>58.75</c:v>
                </c:pt>
                <c:pt idx="198">
                  <c:v>60</c:v>
                </c:pt>
                <c:pt idx="199">
                  <c:v>59.5</c:v>
                </c:pt>
                <c:pt idx="200">
                  <c:v>59.5</c:v>
                </c:pt>
                <c:pt idx="201">
                  <c:v>59</c:v>
                </c:pt>
                <c:pt idx="202">
                  <c:v>59.5</c:v>
                </c:pt>
                <c:pt idx="203">
                  <c:v>59.15</c:v>
                </c:pt>
                <c:pt idx="204">
                  <c:v>58.8</c:v>
                </c:pt>
                <c:pt idx="205">
                  <c:v>58.65</c:v>
                </c:pt>
                <c:pt idx="206">
                  <c:v>57.8</c:v>
                </c:pt>
                <c:pt idx="207">
                  <c:v>57.9</c:v>
                </c:pt>
                <c:pt idx="208">
                  <c:v>58.1</c:v>
                </c:pt>
                <c:pt idx="209">
                  <c:v>58</c:v>
                </c:pt>
                <c:pt idx="210">
                  <c:v>58.3</c:v>
                </c:pt>
                <c:pt idx="211">
                  <c:v>57.95</c:v>
                </c:pt>
                <c:pt idx="212">
                  <c:v>57.75</c:v>
                </c:pt>
                <c:pt idx="213">
                  <c:v>57</c:v>
                </c:pt>
                <c:pt idx="214">
                  <c:v>57.5</c:v>
                </c:pt>
                <c:pt idx="215">
                  <c:v>57.5</c:v>
                </c:pt>
                <c:pt idx="216">
                  <c:v>57.5</c:v>
                </c:pt>
                <c:pt idx="217">
                  <c:v>57.5</c:v>
                </c:pt>
                <c:pt idx="218">
                  <c:v>57.5</c:v>
                </c:pt>
                <c:pt idx="219">
                  <c:v>56</c:v>
                </c:pt>
                <c:pt idx="220">
                  <c:v>58.4</c:v>
                </c:pt>
                <c:pt idx="221">
                  <c:v>58.3</c:v>
                </c:pt>
                <c:pt idx="222">
                  <c:v>59.5</c:v>
                </c:pt>
                <c:pt idx="223">
                  <c:v>58.3</c:v>
                </c:pt>
                <c:pt idx="224">
                  <c:v>58.2</c:v>
                </c:pt>
                <c:pt idx="225">
                  <c:v>58.1</c:v>
                </c:pt>
                <c:pt idx="226">
                  <c:v>58</c:v>
                </c:pt>
                <c:pt idx="227">
                  <c:v>58</c:v>
                </c:pt>
                <c:pt idx="228">
                  <c:v>58</c:v>
                </c:pt>
                <c:pt idx="229">
                  <c:v>58</c:v>
                </c:pt>
                <c:pt idx="230">
                  <c:v>58.6</c:v>
                </c:pt>
                <c:pt idx="231">
                  <c:v>58.5</c:v>
                </c:pt>
                <c:pt idx="232">
                  <c:v>58.9</c:v>
                </c:pt>
                <c:pt idx="233">
                  <c:v>58.4</c:v>
                </c:pt>
                <c:pt idx="234">
                  <c:v>59</c:v>
                </c:pt>
                <c:pt idx="235">
                  <c:v>59.4</c:v>
                </c:pt>
                <c:pt idx="236">
                  <c:v>59.3</c:v>
                </c:pt>
                <c:pt idx="237">
                  <c:v>59.8</c:v>
                </c:pt>
                <c:pt idx="238">
                  <c:v>59.8</c:v>
                </c:pt>
                <c:pt idx="239">
                  <c:v>59.4</c:v>
                </c:pt>
                <c:pt idx="240">
                  <c:v>58.9</c:v>
                </c:pt>
                <c:pt idx="241">
                  <c:v>58.3</c:v>
                </c:pt>
                <c:pt idx="242">
                  <c:v>59</c:v>
                </c:pt>
              </c:numCache>
            </c:numRef>
          </c:val>
          <c:smooth val="0"/>
          <c:extLst>
            <c:ext xmlns:c16="http://schemas.microsoft.com/office/drawing/2014/chart" uri="{C3380CC4-5D6E-409C-BE32-E72D297353CC}">
              <c16:uniqueId val="{00000000-EC8B-4E16-9063-34594086DA34}"/>
            </c:ext>
          </c:extLst>
        </c:ser>
        <c:dLbls>
          <c:showLegendKey val="0"/>
          <c:showVal val="0"/>
          <c:showCatName val="0"/>
          <c:showSerName val="0"/>
          <c:showPercent val="0"/>
          <c:showBubbleSize val="0"/>
        </c:dLbls>
        <c:marker val="1"/>
        <c:smooth val="0"/>
        <c:axId val="122649216"/>
        <c:axId val="122655104"/>
      </c:lineChart>
      <c:lineChart>
        <c:grouping val="standard"/>
        <c:varyColors val="0"/>
        <c:ser>
          <c:idx val="4"/>
          <c:order val="1"/>
          <c:tx>
            <c:strRef>
              <c:f>'ASPIv ACL'!$C$3</c:f>
              <c:strCache>
                <c:ptCount val="1"/>
                <c:pt idx="0">
                  <c:v>ASPI (RHS)</c:v>
                </c:pt>
              </c:strCache>
            </c:strRef>
          </c:tx>
          <c:spPr>
            <a:ln w="28575" cap="rnd">
              <a:solidFill>
                <a:srgbClr val="FFC000"/>
              </a:solidFill>
              <a:round/>
            </a:ln>
            <a:effectLst/>
          </c:spPr>
          <c:marker>
            <c:symbol val="none"/>
          </c:marker>
          <c:cat>
            <c:numRef>
              <c:f>'ASPIv ACL'!$B$1414:$B$1656</c:f>
              <c:numCache>
                <c:formatCode>[$-409]dd\-mmm\-yy;@</c:formatCode>
                <c:ptCount val="243"/>
                <c:pt idx="0">
                  <c:v>42226</c:v>
                </c:pt>
                <c:pt idx="1">
                  <c:v>42227</c:v>
                </c:pt>
                <c:pt idx="2">
                  <c:v>42228</c:v>
                </c:pt>
                <c:pt idx="3">
                  <c:v>42229</c:v>
                </c:pt>
                <c:pt idx="4">
                  <c:v>42230</c:v>
                </c:pt>
                <c:pt idx="5">
                  <c:v>42233</c:v>
                </c:pt>
                <c:pt idx="6">
                  <c:v>42234</c:v>
                </c:pt>
                <c:pt idx="7">
                  <c:v>42235</c:v>
                </c:pt>
                <c:pt idx="8">
                  <c:v>42236</c:v>
                </c:pt>
                <c:pt idx="9">
                  <c:v>42237</c:v>
                </c:pt>
                <c:pt idx="10">
                  <c:v>42240</c:v>
                </c:pt>
                <c:pt idx="11">
                  <c:v>42241</c:v>
                </c:pt>
                <c:pt idx="12">
                  <c:v>42242</c:v>
                </c:pt>
                <c:pt idx="13">
                  <c:v>42243</c:v>
                </c:pt>
                <c:pt idx="14">
                  <c:v>42244</c:v>
                </c:pt>
                <c:pt idx="15">
                  <c:v>42247</c:v>
                </c:pt>
                <c:pt idx="16">
                  <c:v>42248</c:v>
                </c:pt>
                <c:pt idx="17">
                  <c:v>42249</c:v>
                </c:pt>
                <c:pt idx="18">
                  <c:v>42250</c:v>
                </c:pt>
                <c:pt idx="19">
                  <c:v>42251</c:v>
                </c:pt>
                <c:pt idx="20">
                  <c:v>42254</c:v>
                </c:pt>
                <c:pt idx="21">
                  <c:v>42255</c:v>
                </c:pt>
                <c:pt idx="22">
                  <c:v>42256</c:v>
                </c:pt>
                <c:pt idx="23">
                  <c:v>42257</c:v>
                </c:pt>
                <c:pt idx="24">
                  <c:v>42258</c:v>
                </c:pt>
                <c:pt idx="25">
                  <c:v>42261</c:v>
                </c:pt>
                <c:pt idx="26">
                  <c:v>42262</c:v>
                </c:pt>
                <c:pt idx="27">
                  <c:v>42263</c:v>
                </c:pt>
                <c:pt idx="28">
                  <c:v>42264</c:v>
                </c:pt>
                <c:pt idx="30">
                  <c:v>42265</c:v>
                </c:pt>
                <c:pt idx="31">
                  <c:v>42268</c:v>
                </c:pt>
                <c:pt idx="32">
                  <c:v>42269</c:v>
                </c:pt>
                <c:pt idx="33">
                  <c:v>42270</c:v>
                </c:pt>
                <c:pt idx="34">
                  <c:v>42272</c:v>
                </c:pt>
                <c:pt idx="35">
                  <c:v>42275</c:v>
                </c:pt>
                <c:pt idx="36">
                  <c:v>42276</c:v>
                </c:pt>
                <c:pt idx="37">
                  <c:v>42277</c:v>
                </c:pt>
                <c:pt idx="38">
                  <c:v>42278</c:v>
                </c:pt>
                <c:pt idx="39">
                  <c:v>42279</c:v>
                </c:pt>
                <c:pt idx="40">
                  <c:v>42282</c:v>
                </c:pt>
                <c:pt idx="41">
                  <c:v>42283</c:v>
                </c:pt>
                <c:pt idx="42">
                  <c:v>42284</c:v>
                </c:pt>
                <c:pt idx="43">
                  <c:v>42285</c:v>
                </c:pt>
                <c:pt idx="44">
                  <c:v>42286</c:v>
                </c:pt>
                <c:pt idx="45">
                  <c:v>42289</c:v>
                </c:pt>
                <c:pt idx="46">
                  <c:v>42290</c:v>
                </c:pt>
                <c:pt idx="47">
                  <c:v>42291</c:v>
                </c:pt>
                <c:pt idx="48">
                  <c:v>42292</c:v>
                </c:pt>
                <c:pt idx="49">
                  <c:v>42293</c:v>
                </c:pt>
                <c:pt idx="50">
                  <c:v>42296</c:v>
                </c:pt>
                <c:pt idx="51">
                  <c:v>42297</c:v>
                </c:pt>
                <c:pt idx="52">
                  <c:v>42298</c:v>
                </c:pt>
                <c:pt idx="53">
                  <c:v>42299</c:v>
                </c:pt>
                <c:pt idx="54">
                  <c:v>42300</c:v>
                </c:pt>
                <c:pt idx="55">
                  <c:v>42303</c:v>
                </c:pt>
                <c:pt idx="56">
                  <c:v>42305</c:v>
                </c:pt>
                <c:pt idx="57">
                  <c:v>42306</c:v>
                </c:pt>
                <c:pt idx="58">
                  <c:v>42307</c:v>
                </c:pt>
                <c:pt idx="59">
                  <c:v>42310</c:v>
                </c:pt>
                <c:pt idx="60">
                  <c:v>42311</c:v>
                </c:pt>
                <c:pt idx="61">
                  <c:v>42312</c:v>
                </c:pt>
                <c:pt idx="62">
                  <c:v>42313</c:v>
                </c:pt>
                <c:pt idx="63">
                  <c:v>42314</c:v>
                </c:pt>
                <c:pt idx="64">
                  <c:v>42317</c:v>
                </c:pt>
                <c:pt idx="65">
                  <c:v>42319</c:v>
                </c:pt>
                <c:pt idx="66">
                  <c:v>42320</c:v>
                </c:pt>
                <c:pt idx="67">
                  <c:v>42321</c:v>
                </c:pt>
                <c:pt idx="68">
                  <c:v>42324</c:v>
                </c:pt>
                <c:pt idx="69">
                  <c:v>42325</c:v>
                </c:pt>
                <c:pt idx="70">
                  <c:v>42326</c:v>
                </c:pt>
                <c:pt idx="71">
                  <c:v>42327</c:v>
                </c:pt>
                <c:pt idx="72">
                  <c:v>42328</c:v>
                </c:pt>
                <c:pt idx="73">
                  <c:v>42331</c:v>
                </c:pt>
                <c:pt idx="74">
                  <c:v>42332</c:v>
                </c:pt>
                <c:pt idx="75">
                  <c:v>42334</c:v>
                </c:pt>
                <c:pt idx="76">
                  <c:v>42335</c:v>
                </c:pt>
                <c:pt idx="77">
                  <c:v>42338</c:v>
                </c:pt>
                <c:pt idx="78">
                  <c:v>42339</c:v>
                </c:pt>
                <c:pt idx="79">
                  <c:v>42340</c:v>
                </c:pt>
                <c:pt idx="80">
                  <c:v>42341</c:v>
                </c:pt>
                <c:pt idx="81">
                  <c:v>42342</c:v>
                </c:pt>
                <c:pt idx="82">
                  <c:v>42345</c:v>
                </c:pt>
                <c:pt idx="83">
                  <c:v>42346</c:v>
                </c:pt>
                <c:pt idx="84">
                  <c:v>42347</c:v>
                </c:pt>
                <c:pt idx="85">
                  <c:v>42348</c:v>
                </c:pt>
                <c:pt idx="86">
                  <c:v>42349</c:v>
                </c:pt>
                <c:pt idx="87">
                  <c:v>42352</c:v>
                </c:pt>
                <c:pt idx="88">
                  <c:v>42353</c:v>
                </c:pt>
                <c:pt idx="89">
                  <c:v>42354</c:v>
                </c:pt>
                <c:pt idx="90">
                  <c:v>42355</c:v>
                </c:pt>
                <c:pt idx="91">
                  <c:v>42356</c:v>
                </c:pt>
                <c:pt idx="92">
                  <c:v>42359</c:v>
                </c:pt>
                <c:pt idx="93">
                  <c:v>42360</c:v>
                </c:pt>
                <c:pt idx="94">
                  <c:v>42361</c:v>
                </c:pt>
                <c:pt idx="95">
                  <c:v>42366</c:v>
                </c:pt>
                <c:pt idx="96">
                  <c:v>42367</c:v>
                </c:pt>
                <c:pt idx="97">
                  <c:v>42368</c:v>
                </c:pt>
                <c:pt idx="98">
                  <c:v>42369</c:v>
                </c:pt>
                <c:pt idx="99">
                  <c:v>42373</c:v>
                </c:pt>
                <c:pt idx="100">
                  <c:v>42374</c:v>
                </c:pt>
                <c:pt idx="101">
                  <c:v>42375</c:v>
                </c:pt>
                <c:pt idx="102">
                  <c:v>42376</c:v>
                </c:pt>
                <c:pt idx="103">
                  <c:v>42377</c:v>
                </c:pt>
                <c:pt idx="104">
                  <c:v>42380</c:v>
                </c:pt>
                <c:pt idx="105">
                  <c:v>42381</c:v>
                </c:pt>
                <c:pt idx="106">
                  <c:v>42382</c:v>
                </c:pt>
                <c:pt idx="107">
                  <c:v>42383</c:v>
                </c:pt>
                <c:pt idx="108">
                  <c:v>42387</c:v>
                </c:pt>
                <c:pt idx="109">
                  <c:v>42388</c:v>
                </c:pt>
                <c:pt idx="110">
                  <c:v>42389</c:v>
                </c:pt>
                <c:pt idx="111">
                  <c:v>42390</c:v>
                </c:pt>
                <c:pt idx="112">
                  <c:v>42391</c:v>
                </c:pt>
                <c:pt idx="113">
                  <c:v>42394</c:v>
                </c:pt>
                <c:pt idx="114">
                  <c:v>42395</c:v>
                </c:pt>
                <c:pt idx="115">
                  <c:v>42396</c:v>
                </c:pt>
                <c:pt idx="116">
                  <c:v>42397</c:v>
                </c:pt>
                <c:pt idx="117">
                  <c:v>42398</c:v>
                </c:pt>
                <c:pt idx="118">
                  <c:v>42401</c:v>
                </c:pt>
                <c:pt idx="119">
                  <c:v>42402</c:v>
                </c:pt>
                <c:pt idx="120">
                  <c:v>42403</c:v>
                </c:pt>
                <c:pt idx="121">
                  <c:v>42405</c:v>
                </c:pt>
                <c:pt idx="122">
                  <c:v>42408</c:v>
                </c:pt>
                <c:pt idx="123">
                  <c:v>42409</c:v>
                </c:pt>
                <c:pt idx="124">
                  <c:v>42410</c:v>
                </c:pt>
                <c:pt idx="125">
                  <c:v>42411</c:v>
                </c:pt>
                <c:pt idx="126">
                  <c:v>42412</c:v>
                </c:pt>
                <c:pt idx="127">
                  <c:v>42415</c:v>
                </c:pt>
                <c:pt idx="128">
                  <c:v>42416</c:v>
                </c:pt>
                <c:pt idx="129">
                  <c:v>42417</c:v>
                </c:pt>
                <c:pt idx="130">
                  <c:v>42418</c:v>
                </c:pt>
                <c:pt idx="131">
                  <c:v>42419</c:v>
                </c:pt>
                <c:pt idx="132">
                  <c:v>42423</c:v>
                </c:pt>
                <c:pt idx="133">
                  <c:v>42424</c:v>
                </c:pt>
                <c:pt idx="134">
                  <c:v>42425</c:v>
                </c:pt>
                <c:pt idx="135">
                  <c:v>42426</c:v>
                </c:pt>
                <c:pt idx="136">
                  <c:v>42429</c:v>
                </c:pt>
                <c:pt idx="137">
                  <c:v>42430</c:v>
                </c:pt>
                <c:pt idx="138">
                  <c:v>42431</c:v>
                </c:pt>
                <c:pt idx="139">
                  <c:v>42432</c:v>
                </c:pt>
                <c:pt idx="140">
                  <c:v>42433</c:v>
                </c:pt>
                <c:pt idx="141">
                  <c:v>42437</c:v>
                </c:pt>
                <c:pt idx="142">
                  <c:v>42438</c:v>
                </c:pt>
                <c:pt idx="143">
                  <c:v>42439</c:v>
                </c:pt>
                <c:pt idx="144">
                  <c:v>42440</c:v>
                </c:pt>
                <c:pt idx="145">
                  <c:v>42443</c:v>
                </c:pt>
                <c:pt idx="146">
                  <c:v>42444</c:v>
                </c:pt>
                <c:pt idx="147">
                  <c:v>42445</c:v>
                </c:pt>
                <c:pt idx="148">
                  <c:v>42446</c:v>
                </c:pt>
                <c:pt idx="149">
                  <c:v>42447</c:v>
                </c:pt>
                <c:pt idx="150">
                  <c:v>42450</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42475</c:v>
                </c:pt>
                <c:pt idx="166">
                  <c:v>42478</c:v>
                </c:pt>
                <c:pt idx="167">
                  <c:v>42479</c:v>
                </c:pt>
                <c:pt idx="168">
                  <c:v>42480</c:v>
                </c:pt>
                <c:pt idx="169">
                  <c:v>42482</c:v>
                </c:pt>
                <c:pt idx="170">
                  <c:v>42485</c:v>
                </c:pt>
                <c:pt idx="171">
                  <c:v>42486</c:v>
                </c:pt>
                <c:pt idx="172">
                  <c:v>42487</c:v>
                </c:pt>
                <c:pt idx="173">
                  <c:v>42488</c:v>
                </c:pt>
                <c:pt idx="174">
                  <c:v>42489</c:v>
                </c:pt>
                <c:pt idx="175">
                  <c:v>42493</c:v>
                </c:pt>
                <c:pt idx="176">
                  <c:v>42494</c:v>
                </c:pt>
                <c:pt idx="177">
                  <c:v>42495</c:v>
                </c:pt>
                <c:pt idx="178">
                  <c:v>42496</c:v>
                </c:pt>
                <c:pt idx="179">
                  <c:v>42499</c:v>
                </c:pt>
                <c:pt idx="180">
                  <c:v>42500</c:v>
                </c:pt>
                <c:pt idx="181">
                  <c:v>42501</c:v>
                </c:pt>
                <c:pt idx="182">
                  <c:v>42502</c:v>
                </c:pt>
                <c:pt idx="183">
                  <c:v>42503</c:v>
                </c:pt>
                <c:pt idx="184">
                  <c:v>42506</c:v>
                </c:pt>
                <c:pt idx="185">
                  <c:v>42507</c:v>
                </c:pt>
                <c:pt idx="186">
                  <c:v>42508</c:v>
                </c:pt>
                <c:pt idx="187">
                  <c:v>42509</c:v>
                </c:pt>
                <c:pt idx="188">
                  <c:v>42510</c:v>
                </c:pt>
                <c:pt idx="189">
                  <c:v>42514</c:v>
                </c:pt>
                <c:pt idx="190">
                  <c:v>42515</c:v>
                </c:pt>
                <c:pt idx="191">
                  <c:v>42516</c:v>
                </c:pt>
                <c:pt idx="192">
                  <c:v>42517</c:v>
                </c:pt>
                <c:pt idx="193">
                  <c:v>42520</c:v>
                </c:pt>
                <c:pt idx="194">
                  <c:v>42521</c:v>
                </c:pt>
                <c:pt idx="195">
                  <c:v>42522</c:v>
                </c:pt>
                <c:pt idx="196">
                  <c:v>42523</c:v>
                </c:pt>
                <c:pt idx="197">
                  <c:v>42524</c:v>
                </c:pt>
                <c:pt idx="198">
                  <c:v>42527</c:v>
                </c:pt>
                <c:pt idx="199">
                  <c:v>42528</c:v>
                </c:pt>
                <c:pt idx="200">
                  <c:v>42529</c:v>
                </c:pt>
                <c:pt idx="201">
                  <c:v>42530</c:v>
                </c:pt>
                <c:pt idx="202">
                  <c:v>42531</c:v>
                </c:pt>
                <c:pt idx="203">
                  <c:v>42534</c:v>
                </c:pt>
                <c:pt idx="204">
                  <c:v>42535</c:v>
                </c:pt>
                <c:pt idx="205">
                  <c:v>42536</c:v>
                </c:pt>
                <c:pt idx="206">
                  <c:v>42537</c:v>
                </c:pt>
                <c:pt idx="207">
                  <c:v>42538</c:v>
                </c:pt>
                <c:pt idx="208">
                  <c:v>42541</c:v>
                </c:pt>
                <c:pt idx="209">
                  <c:v>42542</c:v>
                </c:pt>
                <c:pt idx="210">
                  <c:v>42543</c:v>
                </c:pt>
                <c:pt idx="211">
                  <c:v>42544</c:v>
                </c:pt>
                <c:pt idx="212">
                  <c:v>42545</c:v>
                </c:pt>
                <c:pt idx="213">
                  <c:v>42548</c:v>
                </c:pt>
                <c:pt idx="214">
                  <c:v>42549</c:v>
                </c:pt>
                <c:pt idx="215">
                  <c:v>42550</c:v>
                </c:pt>
                <c:pt idx="216">
                  <c:v>42551</c:v>
                </c:pt>
                <c:pt idx="217">
                  <c:v>42552</c:v>
                </c:pt>
                <c:pt idx="218">
                  <c:v>42555</c:v>
                </c:pt>
                <c:pt idx="219">
                  <c:v>42556</c:v>
                </c:pt>
                <c:pt idx="220">
                  <c:v>42558</c:v>
                </c:pt>
                <c:pt idx="221">
                  <c:v>42559</c:v>
                </c:pt>
                <c:pt idx="222">
                  <c:v>42562</c:v>
                </c:pt>
                <c:pt idx="223">
                  <c:v>42563</c:v>
                </c:pt>
                <c:pt idx="224">
                  <c:v>42564</c:v>
                </c:pt>
                <c:pt idx="225">
                  <c:v>42565</c:v>
                </c:pt>
                <c:pt idx="226">
                  <c:v>42566</c:v>
                </c:pt>
                <c:pt idx="227">
                  <c:v>42569</c:v>
                </c:pt>
                <c:pt idx="228">
                  <c:v>42571</c:v>
                </c:pt>
                <c:pt idx="229">
                  <c:v>42572</c:v>
                </c:pt>
                <c:pt idx="230">
                  <c:v>42573</c:v>
                </c:pt>
                <c:pt idx="231">
                  <c:v>42576</c:v>
                </c:pt>
                <c:pt idx="232">
                  <c:v>42577</c:v>
                </c:pt>
                <c:pt idx="233">
                  <c:v>42578</c:v>
                </c:pt>
                <c:pt idx="234">
                  <c:v>42579</c:v>
                </c:pt>
                <c:pt idx="235">
                  <c:v>42580</c:v>
                </c:pt>
                <c:pt idx="236">
                  <c:v>42583</c:v>
                </c:pt>
                <c:pt idx="237">
                  <c:v>42584</c:v>
                </c:pt>
                <c:pt idx="238">
                  <c:v>42585</c:v>
                </c:pt>
                <c:pt idx="239">
                  <c:v>42586</c:v>
                </c:pt>
                <c:pt idx="240">
                  <c:v>42587</c:v>
                </c:pt>
                <c:pt idx="241">
                  <c:v>42590</c:v>
                </c:pt>
                <c:pt idx="242">
                  <c:v>42591</c:v>
                </c:pt>
              </c:numCache>
            </c:numRef>
          </c:cat>
          <c:val>
            <c:numRef>
              <c:f>'ASPIv ACL'!$C$1414:$C$1656</c:f>
              <c:numCache>
                <c:formatCode>General</c:formatCode>
                <c:ptCount val="243"/>
                <c:pt idx="0">
                  <c:v>7377.94</c:v>
                </c:pt>
                <c:pt idx="1">
                  <c:v>7458.92</c:v>
                </c:pt>
                <c:pt idx="2">
                  <c:v>7471.9</c:v>
                </c:pt>
                <c:pt idx="3">
                  <c:v>7442.76</c:v>
                </c:pt>
                <c:pt idx="4">
                  <c:v>7462.34</c:v>
                </c:pt>
                <c:pt idx="5">
                  <c:v>7492.04</c:v>
                </c:pt>
                <c:pt idx="6">
                  <c:v>7498.7</c:v>
                </c:pt>
                <c:pt idx="7">
                  <c:v>7498.78</c:v>
                </c:pt>
                <c:pt idx="8">
                  <c:v>7449.82</c:v>
                </c:pt>
                <c:pt idx="9">
                  <c:v>7471.17</c:v>
                </c:pt>
                <c:pt idx="10">
                  <c:v>7331.09</c:v>
                </c:pt>
                <c:pt idx="11">
                  <c:v>7231.58</c:v>
                </c:pt>
                <c:pt idx="12">
                  <c:v>7240.1</c:v>
                </c:pt>
                <c:pt idx="13">
                  <c:v>7273.14</c:v>
                </c:pt>
                <c:pt idx="14">
                  <c:v>7350.52</c:v>
                </c:pt>
                <c:pt idx="15">
                  <c:v>7306.94</c:v>
                </c:pt>
                <c:pt idx="16">
                  <c:v>7298.75</c:v>
                </c:pt>
                <c:pt idx="17">
                  <c:v>7240.39</c:v>
                </c:pt>
                <c:pt idx="18">
                  <c:v>7245.5</c:v>
                </c:pt>
                <c:pt idx="19">
                  <c:v>7215.11</c:v>
                </c:pt>
                <c:pt idx="20">
                  <c:v>7149.7</c:v>
                </c:pt>
                <c:pt idx="21">
                  <c:v>7124.46</c:v>
                </c:pt>
                <c:pt idx="22">
                  <c:v>7183.25</c:v>
                </c:pt>
                <c:pt idx="23">
                  <c:v>7159.94</c:v>
                </c:pt>
                <c:pt idx="24">
                  <c:v>7153.49</c:v>
                </c:pt>
                <c:pt idx="25">
                  <c:v>7162.44</c:v>
                </c:pt>
                <c:pt idx="26">
                  <c:v>7152.43</c:v>
                </c:pt>
                <c:pt idx="27">
                  <c:v>7137.4</c:v>
                </c:pt>
                <c:pt idx="28">
                  <c:v>7113.51</c:v>
                </c:pt>
                <c:pt idx="30">
                  <c:v>7107.87</c:v>
                </c:pt>
                <c:pt idx="31">
                  <c:v>7104.37</c:v>
                </c:pt>
                <c:pt idx="32">
                  <c:v>7118.38</c:v>
                </c:pt>
                <c:pt idx="33">
                  <c:v>7114.83</c:v>
                </c:pt>
                <c:pt idx="34">
                  <c:v>7110.8</c:v>
                </c:pt>
                <c:pt idx="35">
                  <c:v>7078.64</c:v>
                </c:pt>
                <c:pt idx="36">
                  <c:v>7085.38</c:v>
                </c:pt>
                <c:pt idx="37">
                  <c:v>7050.87</c:v>
                </c:pt>
                <c:pt idx="38">
                  <c:v>7080.48</c:v>
                </c:pt>
                <c:pt idx="39">
                  <c:v>7105.54</c:v>
                </c:pt>
                <c:pt idx="40">
                  <c:v>7089.06</c:v>
                </c:pt>
                <c:pt idx="41">
                  <c:v>7085.93</c:v>
                </c:pt>
                <c:pt idx="42">
                  <c:v>7085.45</c:v>
                </c:pt>
                <c:pt idx="43">
                  <c:v>7085.65</c:v>
                </c:pt>
                <c:pt idx="44">
                  <c:v>7096.06</c:v>
                </c:pt>
                <c:pt idx="45">
                  <c:v>7100</c:v>
                </c:pt>
                <c:pt idx="46">
                  <c:v>7078.45</c:v>
                </c:pt>
                <c:pt idx="47">
                  <c:v>7040.32</c:v>
                </c:pt>
                <c:pt idx="48">
                  <c:v>7030.45</c:v>
                </c:pt>
                <c:pt idx="49">
                  <c:v>7020.74</c:v>
                </c:pt>
                <c:pt idx="50">
                  <c:v>7017.35</c:v>
                </c:pt>
                <c:pt idx="51">
                  <c:v>7041.26</c:v>
                </c:pt>
                <c:pt idx="52">
                  <c:v>7055.67</c:v>
                </c:pt>
                <c:pt idx="53">
                  <c:v>7068.85</c:v>
                </c:pt>
                <c:pt idx="54">
                  <c:v>7081.49</c:v>
                </c:pt>
                <c:pt idx="55">
                  <c:v>7083.48</c:v>
                </c:pt>
                <c:pt idx="56">
                  <c:v>7094.09</c:v>
                </c:pt>
                <c:pt idx="57">
                  <c:v>7070.13</c:v>
                </c:pt>
                <c:pt idx="58">
                  <c:v>7042.06</c:v>
                </c:pt>
                <c:pt idx="59">
                  <c:v>7029.07</c:v>
                </c:pt>
                <c:pt idx="60">
                  <c:v>7000.41</c:v>
                </c:pt>
                <c:pt idx="61">
                  <c:v>7003.57</c:v>
                </c:pt>
                <c:pt idx="62">
                  <c:v>7017.39</c:v>
                </c:pt>
                <c:pt idx="63">
                  <c:v>7059.48</c:v>
                </c:pt>
                <c:pt idx="64">
                  <c:v>7050.21</c:v>
                </c:pt>
                <c:pt idx="65">
                  <c:v>7019.23</c:v>
                </c:pt>
                <c:pt idx="66">
                  <c:v>7006.35</c:v>
                </c:pt>
                <c:pt idx="67">
                  <c:v>7001.81</c:v>
                </c:pt>
                <c:pt idx="68">
                  <c:v>6965.98</c:v>
                </c:pt>
                <c:pt idx="69">
                  <c:v>6977.95</c:v>
                </c:pt>
                <c:pt idx="70">
                  <c:v>6981.97</c:v>
                </c:pt>
                <c:pt idx="71">
                  <c:v>7020.18</c:v>
                </c:pt>
                <c:pt idx="72">
                  <c:v>7017.44</c:v>
                </c:pt>
                <c:pt idx="73">
                  <c:v>7055.84</c:v>
                </c:pt>
                <c:pt idx="74">
                  <c:v>7009.99</c:v>
                </c:pt>
                <c:pt idx="75">
                  <c:v>6963.37</c:v>
                </c:pt>
                <c:pt idx="76">
                  <c:v>6961.41</c:v>
                </c:pt>
                <c:pt idx="77">
                  <c:v>6909.15</c:v>
                </c:pt>
                <c:pt idx="78">
                  <c:v>6895.19</c:v>
                </c:pt>
                <c:pt idx="79">
                  <c:v>6862.79</c:v>
                </c:pt>
                <c:pt idx="80">
                  <c:v>6880.66</c:v>
                </c:pt>
                <c:pt idx="81">
                  <c:v>6869.56</c:v>
                </c:pt>
                <c:pt idx="82">
                  <c:v>6869.56</c:v>
                </c:pt>
                <c:pt idx="83">
                  <c:v>6849.09</c:v>
                </c:pt>
                <c:pt idx="84">
                  <c:v>6841.55</c:v>
                </c:pt>
                <c:pt idx="85">
                  <c:v>6823.91</c:v>
                </c:pt>
                <c:pt idx="86">
                  <c:v>6832.35</c:v>
                </c:pt>
                <c:pt idx="87">
                  <c:v>6803.08</c:v>
                </c:pt>
                <c:pt idx="88">
                  <c:v>6820.77</c:v>
                </c:pt>
                <c:pt idx="89">
                  <c:v>6833.51</c:v>
                </c:pt>
                <c:pt idx="90">
                  <c:v>6859.99</c:v>
                </c:pt>
                <c:pt idx="91">
                  <c:v>6884.69</c:v>
                </c:pt>
                <c:pt idx="92">
                  <c:v>6881.75</c:v>
                </c:pt>
                <c:pt idx="93">
                  <c:v>6854.57</c:v>
                </c:pt>
                <c:pt idx="94">
                  <c:v>6858.64</c:v>
                </c:pt>
                <c:pt idx="95">
                  <c:v>6828.51</c:v>
                </c:pt>
                <c:pt idx="96">
                  <c:v>6847.74</c:v>
                </c:pt>
                <c:pt idx="97">
                  <c:v>6870.63</c:v>
                </c:pt>
                <c:pt idx="98">
                  <c:v>6894.5</c:v>
                </c:pt>
                <c:pt idx="99">
                  <c:v>6867.62</c:v>
                </c:pt>
                <c:pt idx="100">
                  <c:v>6845.3</c:v>
                </c:pt>
                <c:pt idx="101">
                  <c:v>6817.65</c:v>
                </c:pt>
                <c:pt idx="102">
                  <c:v>6775.27</c:v>
                </c:pt>
                <c:pt idx="103">
                  <c:v>6726.28</c:v>
                </c:pt>
                <c:pt idx="104">
                  <c:v>6650.32</c:v>
                </c:pt>
                <c:pt idx="105">
                  <c:v>6534.35</c:v>
                </c:pt>
                <c:pt idx="106">
                  <c:v>6554.37</c:v>
                </c:pt>
                <c:pt idx="107">
                  <c:v>6446.2</c:v>
                </c:pt>
                <c:pt idx="108">
                  <c:v>6324.61</c:v>
                </c:pt>
                <c:pt idx="109">
                  <c:v>6283.24</c:v>
                </c:pt>
                <c:pt idx="110">
                  <c:v>6261.18</c:v>
                </c:pt>
                <c:pt idx="111">
                  <c:v>6349.71</c:v>
                </c:pt>
                <c:pt idx="112">
                  <c:v>6382.24</c:v>
                </c:pt>
                <c:pt idx="113">
                  <c:v>6354.83</c:v>
                </c:pt>
                <c:pt idx="114">
                  <c:v>6322.87</c:v>
                </c:pt>
                <c:pt idx="115">
                  <c:v>6316.46</c:v>
                </c:pt>
                <c:pt idx="116">
                  <c:v>6319.89</c:v>
                </c:pt>
                <c:pt idx="117">
                  <c:v>6340.05</c:v>
                </c:pt>
                <c:pt idx="118">
                  <c:v>6363.18</c:v>
                </c:pt>
                <c:pt idx="119">
                  <c:v>6425.96</c:v>
                </c:pt>
                <c:pt idx="120">
                  <c:v>6402.8</c:v>
                </c:pt>
                <c:pt idx="121">
                  <c:v>6404.64</c:v>
                </c:pt>
                <c:pt idx="122">
                  <c:v>6401.66</c:v>
                </c:pt>
                <c:pt idx="123">
                  <c:v>6372.71</c:v>
                </c:pt>
                <c:pt idx="124">
                  <c:v>6364.4</c:v>
                </c:pt>
                <c:pt idx="125">
                  <c:v>6314.82</c:v>
                </c:pt>
                <c:pt idx="126">
                  <c:v>6283</c:v>
                </c:pt>
                <c:pt idx="127">
                  <c:v>6266.17</c:v>
                </c:pt>
                <c:pt idx="128">
                  <c:v>6254.16</c:v>
                </c:pt>
                <c:pt idx="129">
                  <c:v>6220.82</c:v>
                </c:pt>
                <c:pt idx="130">
                  <c:v>6208.89</c:v>
                </c:pt>
                <c:pt idx="131">
                  <c:v>6250.78</c:v>
                </c:pt>
                <c:pt idx="132">
                  <c:v>6228.99</c:v>
                </c:pt>
                <c:pt idx="133">
                  <c:v>6217.64</c:v>
                </c:pt>
                <c:pt idx="134">
                  <c:v>6202.64</c:v>
                </c:pt>
                <c:pt idx="135">
                  <c:v>6203.98</c:v>
                </c:pt>
                <c:pt idx="136">
                  <c:v>6191.81</c:v>
                </c:pt>
                <c:pt idx="137">
                  <c:v>6113.4</c:v>
                </c:pt>
                <c:pt idx="138">
                  <c:v>6078.41</c:v>
                </c:pt>
                <c:pt idx="139">
                  <c:v>6060.91</c:v>
                </c:pt>
                <c:pt idx="140">
                  <c:v>6057.22</c:v>
                </c:pt>
                <c:pt idx="141">
                  <c:v>5934.72</c:v>
                </c:pt>
                <c:pt idx="142">
                  <c:v>5862.35</c:v>
                </c:pt>
                <c:pt idx="143">
                  <c:v>5948.23</c:v>
                </c:pt>
                <c:pt idx="144">
                  <c:v>6019.95</c:v>
                </c:pt>
                <c:pt idx="145">
                  <c:v>5979.43</c:v>
                </c:pt>
                <c:pt idx="146">
                  <c:v>5970.4</c:v>
                </c:pt>
                <c:pt idx="147">
                  <c:v>6021.37</c:v>
                </c:pt>
                <c:pt idx="148">
                  <c:v>6068.17</c:v>
                </c:pt>
                <c:pt idx="149">
                  <c:v>6057.79</c:v>
                </c:pt>
                <c:pt idx="150">
                  <c:v>6088.57</c:v>
                </c:pt>
                <c:pt idx="151">
                  <c:v>6073.5</c:v>
                </c:pt>
                <c:pt idx="152">
                  <c:v>6092.45</c:v>
                </c:pt>
                <c:pt idx="153">
                  <c:v>6062.05</c:v>
                </c:pt>
                <c:pt idx="154">
                  <c:v>6031.85</c:v>
                </c:pt>
                <c:pt idx="155">
                  <c:v>6040.99</c:v>
                </c:pt>
                <c:pt idx="156">
                  <c:v>6071.88</c:v>
                </c:pt>
                <c:pt idx="157">
                  <c:v>6083.01</c:v>
                </c:pt>
                <c:pt idx="158">
                  <c:v>6079.15</c:v>
                </c:pt>
                <c:pt idx="159">
                  <c:v>6159.02</c:v>
                </c:pt>
                <c:pt idx="160">
                  <c:v>6165.11</c:v>
                </c:pt>
                <c:pt idx="161">
                  <c:v>6230.19</c:v>
                </c:pt>
                <c:pt idx="162">
                  <c:v>6275.62</c:v>
                </c:pt>
                <c:pt idx="163">
                  <c:v>6275.62</c:v>
                </c:pt>
                <c:pt idx="164">
                  <c:v>6353.2</c:v>
                </c:pt>
                <c:pt idx="165">
                  <c:v>6401.32</c:v>
                </c:pt>
                <c:pt idx="166">
                  <c:v>6382.31</c:v>
                </c:pt>
                <c:pt idx="167">
                  <c:v>6387.85</c:v>
                </c:pt>
                <c:pt idx="168">
                  <c:v>6423.13</c:v>
                </c:pt>
                <c:pt idx="169">
                  <c:v>6422.65</c:v>
                </c:pt>
                <c:pt idx="170">
                  <c:v>6379.53</c:v>
                </c:pt>
                <c:pt idx="171">
                  <c:v>6405.29</c:v>
                </c:pt>
                <c:pt idx="172">
                  <c:v>6434.24</c:v>
                </c:pt>
                <c:pt idx="173">
                  <c:v>6442.53</c:v>
                </c:pt>
                <c:pt idx="174">
                  <c:v>6516.26</c:v>
                </c:pt>
                <c:pt idx="175">
                  <c:v>6583.1</c:v>
                </c:pt>
                <c:pt idx="176">
                  <c:v>6568.85</c:v>
                </c:pt>
                <c:pt idx="177">
                  <c:v>6578.34</c:v>
                </c:pt>
                <c:pt idx="178">
                  <c:v>6592.45</c:v>
                </c:pt>
                <c:pt idx="179">
                  <c:v>6594.8</c:v>
                </c:pt>
                <c:pt idx="180">
                  <c:v>6637.74</c:v>
                </c:pt>
                <c:pt idx="181">
                  <c:v>6661.45</c:v>
                </c:pt>
                <c:pt idx="182">
                  <c:v>6656.12</c:v>
                </c:pt>
                <c:pt idx="183">
                  <c:v>6679.84</c:v>
                </c:pt>
                <c:pt idx="184">
                  <c:v>6708.4</c:v>
                </c:pt>
                <c:pt idx="185">
                  <c:v>6670.79</c:v>
                </c:pt>
                <c:pt idx="186">
                  <c:v>6680.15</c:v>
                </c:pt>
                <c:pt idx="187">
                  <c:v>6648.13</c:v>
                </c:pt>
                <c:pt idx="188">
                  <c:v>6633.27</c:v>
                </c:pt>
                <c:pt idx="189">
                  <c:v>6570.58</c:v>
                </c:pt>
                <c:pt idx="190">
                  <c:v>6583.49</c:v>
                </c:pt>
                <c:pt idx="191">
                  <c:v>6568.76</c:v>
                </c:pt>
                <c:pt idx="192">
                  <c:v>6571.21</c:v>
                </c:pt>
                <c:pt idx="193">
                  <c:v>6552.85</c:v>
                </c:pt>
                <c:pt idx="194">
                  <c:v>6550.51</c:v>
                </c:pt>
                <c:pt idx="195">
                  <c:v>6542.75</c:v>
                </c:pt>
                <c:pt idx="196">
                  <c:v>6523.84</c:v>
                </c:pt>
                <c:pt idx="197">
                  <c:v>6519.23</c:v>
                </c:pt>
                <c:pt idx="198">
                  <c:v>6518.98</c:v>
                </c:pt>
                <c:pt idx="199">
                  <c:v>6524</c:v>
                </c:pt>
                <c:pt idx="200">
                  <c:v>6526.12</c:v>
                </c:pt>
                <c:pt idx="201">
                  <c:v>6528.03</c:v>
                </c:pt>
                <c:pt idx="202">
                  <c:v>6530.5</c:v>
                </c:pt>
                <c:pt idx="203">
                  <c:v>6538.25</c:v>
                </c:pt>
                <c:pt idx="204">
                  <c:v>6518.08</c:v>
                </c:pt>
                <c:pt idx="205">
                  <c:v>6500.64</c:v>
                </c:pt>
                <c:pt idx="206">
                  <c:v>6435.77</c:v>
                </c:pt>
                <c:pt idx="207">
                  <c:v>6465.99</c:v>
                </c:pt>
                <c:pt idx="208">
                  <c:v>6461.12</c:v>
                </c:pt>
                <c:pt idx="209">
                  <c:v>6446.88</c:v>
                </c:pt>
                <c:pt idx="210">
                  <c:v>6420.8</c:v>
                </c:pt>
                <c:pt idx="211">
                  <c:v>6398.06</c:v>
                </c:pt>
                <c:pt idx="212">
                  <c:v>6370.11</c:v>
                </c:pt>
                <c:pt idx="213">
                  <c:v>6318.21</c:v>
                </c:pt>
                <c:pt idx="214">
                  <c:v>6307.4</c:v>
                </c:pt>
                <c:pt idx="215">
                  <c:v>6290.89</c:v>
                </c:pt>
                <c:pt idx="216">
                  <c:v>6283.27</c:v>
                </c:pt>
                <c:pt idx="217">
                  <c:v>6287.09</c:v>
                </c:pt>
                <c:pt idx="218">
                  <c:v>6254.77</c:v>
                </c:pt>
                <c:pt idx="219">
                  <c:v>6280.39</c:v>
                </c:pt>
                <c:pt idx="220">
                  <c:v>6310.69</c:v>
                </c:pt>
                <c:pt idx="221">
                  <c:v>6366.31</c:v>
                </c:pt>
                <c:pt idx="222">
                  <c:v>6372.24</c:v>
                </c:pt>
                <c:pt idx="223">
                  <c:v>6401.31</c:v>
                </c:pt>
                <c:pt idx="224">
                  <c:v>6402.78</c:v>
                </c:pt>
                <c:pt idx="225">
                  <c:v>6401.9</c:v>
                </c:pt>
                <c:pt idx="226">
                  <c:v>6422.69</c:v>
                </c:pt>
                <c:pt idx="227">
                  <c:v>6415.81</c:v>
                </c:pt>
                <c:pt idx="228">
                  <c:v>6414.49</c:v>
                </c:pt>
                <c:pt idx="229">
                  <c:v>6417.46</c:v>
                </c:pt>
                <c:pt idx="230">
                  <c:v>6428.77</c:v>
                </c:pt>
                <c:pt idx="231">
                  <c:v>6397.09</c:v>
                </c:pt>
                <c:pt idx="232">
                  <c:v>6387.85</c:v>
                </c:pt>
                <c:pt idx="233">
                  <c:v>6382.42</c:v>
                </c:pt>
                <c:pt idx="234">
                  <c:v>6392.15</c:v>
                </c:pt>
                <c:pt idx="235">
                  <c:v>6393.87</c:v>
                </c:pt>
                <c:pt idx="236">
                  <c:v>6410.42</c:v>
                </c:pt>
                <c:pt idx="237">
                  <c:v>6503.3</c:v>
                </c:pt>
                <c:pt idx="238">
                  <c:v>6511.58</c:v>
                </c:pt>
                <c:pt idx="239">
                  <c:v>6478.25</c:v>
                </c:pt>
                <c:pt idx="240">
                  <c:v>6517.13</c:v>
                </c:pt>
                <c:pt idx="241">
                  <c:v>6506.93</c:v>
                </c:pt>
                <c:pt idx="242" formatCode="#,##0.00">
                  <c:v>6510.11</c:v>
                </c:pt>
              </c:numCache>
            </c:numRef>
          </c:val>
          <c:smooth val="0"/>
          <c:extLst>
            <c:ext xmlns:c16="http://schemas.microsoft.com/office/drawing/2014/chart" uri="{C3380CC4-5D6E-409C-BE32-E72D297353CC}">
              <c16:uniqueId val="{00000001-EC8B-4E16-9063-34594086DA34}"/>
            </c:ext>
          </c:extLst>
        </c:ser>
        <c:ser>
          <c:idx val="5"/>
          <c:order val="2"/>
          <c:tx>
            <c:strRef>
              <c:f>'ASPIv ACL'!$D$3</c:f>
              <c:strCache>
                <c:ptCount val="1"/>
                <c:pt idx="0">
                  <c:v>S&amp;P SL20 (RHS)</c:v>
                </c:pt>
              </c:strCache>
            </c:strRef>
          </c:tx>
          <c:spPr>
            <a:ln w="28575" cap="rnd">
              <a:solidFill>
                <a:srgbClr val="FFD966"/>
              </a:solidFill>
              <a:round/>
            </a:ln>
            <a:effectLst/>
          </c:spPr>
          <c:marker>
            <c:symbol val="none"/>
          </c:marker>
          <c:cat>
            <c:numRef>
              <c:f>'ASPIv ACL'!$B$1414:$B$1656</c:f>
              <c:numCache>
                <c:formatCode>[$-409]dd\-mmm\-yy;@</c:formatCode>
                <c:ptCount val="243"/>
                <c:pt idx="0">
                  <c:v>42226</c:v>
                </c:pt>
                <c:pt idx="1">
                  <c:v>42227</c:v>
                </c:pt>
                <c:pt idx="2">
                  <c:v>42228</c:v>
                </c:pt>
                <c:pt idx="3">
                  <c:v>42229</c:v>
                </c:pt>
                <c:pt idx="4">
                  <c:v>42230</c:v>
                </c:pt>
                <c:pt idx="5">
                  <c:v>42233</c:v>
                </c:pt>
                <c:pt idx="6">
                  <c:v>42234</c:v>
                </c:pt>
                <c:pt idx="7">
                  <c:v>42235</c:v>
                </c:pt>
                <c:pt idx="8">
                  <c:v>42236</c:v>
                </c:pt>
                <c:pt idx="9">
                  <c:v>42237</c:v>
                </c:pt>
                <c:pt idx="10">
                  <c:v>42240</c:v>
                </c:pt>
                <c:pt idx="11">
                  <c:v>42241</c:v>
                </c:pt>
                <c:pt idx="12">
                  <c:v>42242</c:v>
                </c:pt>
                <c:pt idx="13">
                  <c:v>42243</c:v>
                </c:pt>
                <c:pt idx="14">
                  <c:v>42244</c:v>
                </c:pt>
                <c:pt idx="15">
                  <c:v>42247</c:v>
                </c:pt>
                <c:pt idx="16">
                  <c:v>42248</c:v>
                </c:pt>
                <c:pt idx="17">
                  <c:v>42249</c:v>
                </c:pt>
                <c:pt idx="18">
                  <c:v>42250</c:v>
                </c:pt>
                <c:pt idx="19">
                  <c:v>42251</c:v>
                </c:pt>
                <c:pt idx="20">
                  <c:v>42254</c:v>
                </c:pt>
                <c:pt idx="21">
                  <c:v>42255</c:v>
                </c:pt>
                <c:pt idx="22">
                  <c:v>42256</c:v>
                </c:pt>
                <c:pt idx="23">
                  <c:v>42257</c:v>
                </c:pt>
                <c:pt idx="24">
                  <c:v>42258</c:v>
                </c:pt>
                <c:pt idx="25">
                  <c:v>42261</c:v>
                </c:pt>
                <c:pt idx="26">
                  <c:v>42262</c:v>
                </c:pt>
                <c:pt idx="27">
                  <c:v>42263</c:v>
                </c:pt>
                <c:pt idx="28">
                  <c:v>42264</c:v>
                </c:pt>
                <c:pt idx="30">
                  <c:v>42265</c:v>
                </c:pt>
                <c:pt idx="31">
                  <c:v>42268</c:v>
                </c:pt>
                <c:pt idx="32">
                  <c:v>42269</c:v>
                </c:pt>
                <c:pt idx="33">
                  <c:v>42270</c:v>
                </c:pt>
                <c:pt idx="34">
                  <c:v>42272</c:v>
                </c:pt>
                <c:pt idx="35">
                  <c:v>42275</c:v>
                </c:pt>
                <c:pt idx="36">
                  <c:v>42276</c:v>
                </c:pt>
                <c:pt idx="37">
                  <c:v>42277</c:v>
                </c:pt>
                <c:pt idx="38">
                  <c:v>42278</c:v>
                </c:pt>
                <c:pt idx="39">
                  <c:v>42279</c:v>
                </c:pt>
                <c:pt idx="40">
                  <c:v>42282</c:v>
                </c:pt>
                <c:pt idx="41">
                  <c:v>42283</c:v>
                </c:pt>
                <c:pt idx="42">
                  <c:v>42284</c:v>
                </c:pt>
                <c:pt idx="43">
                  <c:v>42285</c:v>
                </c:pt>
                <c:pt idx="44">
                  <c:v>42286</c:v>
                </c:pt>
                <c:pt idx="45">
                  <c:v>42289</c:v>
                </c:pt>
                <c:pt idx="46">
                  <c:v>42290</c:v>
                </c:pt>
                <c:pt idx="47">
                  <c:v>42291</c:v>
                </c:pt>
                <c:pt idx="48">
                  <c:v>42292</c:v>
                </c:pt>
                <c:pt idx="49">
                  <c:v>42293</c:v>
                </c:pt>
                <c:pt idx="50">
                  <c:v>42296</c:v>
                </c:pt>
                <c:pt idx="51">
                  <c:v>42297</c:v>
                </c:pt>
                <c:pt idx="52">
                  <c:v>42298</c:v>
                </c:pt>
                <c:pt idx="53">
                  <c:v>42299</c:v>
                </c:pt>
                <c:pt idx="54">
                  <c:v>42300</c:v>
                </c:pt>
                <c:pt idx="55">
                  <c:v>42303</c:v>
                </c:pt>
                <c:pt idx="56">
                  <c:v>42305</c:v>
                </c:pt>
                <c:pt idx="57">
                  <c:v>42306</c:v>
                </c:pt>
                <c:pt idx="58">
                  <c:v>42307</c:v>
                </c:pt>
                <c:pt idx="59">
                  <c:v>42310</c:v>
                </c:pt>
                <c:pt idx="60">
                  <c:v>42311</c:v>
                </c:pt>
                <c:pt idx="61">
                  <c:v>42312</c:v>
                </c:pt>
                <c:pt idx="62">
                  <c:v>42313</c:v>
                </c:pt>
                <c:pt idx="63">
                  <c:v>42314</c:v>
                </c:pt>
                <c:pt idx="64">
                  <c:v>42317</c:v>
                </c:pt>
                <c:pt idx="65">
                  <c:v>42319</c:v>
                </c:pt>
                <c:pt idx="66">
                  <c:v>42320</c:v>
                </c:pt>
                <c:pt idx="67">
                  <c:v>42321</c:v>
                </c:pt>
                <c:pt idx="68">
                  <c:v>42324</c:v>
                </c:pt>
                <c:pt idx="69">
                  <c:v>42325</c:v>
                </c:pt>
                <c:pt idx="70">
                  <c:v>42326</c:v>
                </c:pt>
                <c:pt idx="71">
                  <c:v>42327</c:v>
                </c:pt>
                <c:pt idx="72">
                  <c:v>42328</c:v>
                </c:pt>
                <c:pt idx="73">
                  <c:v>42331</c:v>
                </c:pt>
                <c:pt idx="74">
                  <c:v>42332</c:v>
                </c:pt>
                <c:pt idx="75">
                  <c:v>42334</c:v>
                </c:pt>
                <c:pt idx="76">
                  <c:v>42335</c:v>
                </c:pt>
                <c:pt idx="77">
                  <c:v>42338</c:v>
                </c:pt>
                <c:pt idx="78">
                  <c:v>42339</c:v>
                </c:pt>
                <c:pt idx="79">
                  <c:v>42340</c:v>
                </c:pt>
                <c:pt idx="80">
                  <c:v>42341</c:v>
                </c:pt>
                <c:pt idx="81">
                  <c:v>42342</c:v>
                </c:pt>
                <c:pt idx="82">
                  <c:v>42345</c:v>
                </c:pt>
                <c:pt idx="83">
                  <c:v>42346</c:v>
                </c:pt>
                <c:pt idx="84">
                  <c:v>42347</c:v>
                </c:pt>
                <c:pt idx="85">
                  <c:v>42348</c:v>
                </c:pt>
                <c:pt idx="86">
                  <c:v>42349</c:v>
                </c:pt>
                <c:pt idx="87">
                  <c:v>42352</c:v>
                </c:pt>
                <c:pt idx="88">
                  <c:v>42353</c:v>
                </c:pt>
                <c:pt idx="89">
                  <c:v>42354</c:v>
                </c:pt>
                <c:pt idx="90">
                  <c:v>42355</c:v>
                </c:pt>
                <c:pt idx="91">
                  <c:v>42356</c:v>
                </c:pt>
                <c:pt idx="92">
                  <c:v>42359</c:v>
                </c:pt>
                <c:pt idx="93">
                  <c:v>42360</c:v>
                </c:pt>
                <c:pt idx="94">
                  <c:v>42361</c:v>
                </c:pt>
                <c:pt idx="95">
                  <c:v>42366</c:v>
                </c:pt>
                <c:pt idx="96">
                  <c:v>42367</c:v>
                </c:pt>
                <c:pt idx="97">
                  <c:v>42368</c:v>
                </c:pt>
                <c:pt idx="98">
                  <c:v>42369</c:v>
                </c:pt>
                <c:pt idx="99">
                  <c:v>42373</c:v>
                </c:pt>
                <c:pt idx="100">
                  <c:v>42374</c:v>
                </c:pt>
                <c:pt idx="101">
                  <c:v>42375</c:v>
                </c:pt>
                <c:pt idx="102">
                  <c:v>42376</c:v>
                </c:pt>
                <c:pt idx="103">
                  <c:v>42377</c:v>
                </c:pt>
                <c:pt idx="104">
                  <c:v>42380</c:v>
                </c:pt>
                <c:pt idx="105">
                  <c:v>42381</c:v>
                </c:pt>
                <c:pt idx="106">
                  <c:v>42382</c:v>
                </c:pt>
                <c:pt idx="107">
                  <c:v>42383</c:v>
                </c:pt>
                <c:pt idx="108">
                  <c:v>42387</c:v>
                </c:pt>
                <c:pt idx="109">
                  <c:v>42388</c:v>
                </c:pt>
                <c:pt idx="110">
                  <c:v>42389</c:v>
                </c:pt>
                <c:pt idx="111">
                  <c:v>42390</c:v>
                </c:pt>
                <c:pt idx="112">
                  <c:v>42391</c:v>
                </c:pt>
                <c:pt idx="113">
                  <c:v>42394</c:v>
                </c:pt>
                <c:pt idx="114">
                  <c:v>42395</c:v>
                </c:pt>
                <c:pt idx="115">
                  <c:v>42396</c:v>
                </c:pt>
                <c:pt idx="116">
                  <c:v>42397</c:v>
                </c:pt>
                <c:pt idx="117">
                  <c:v>42398</c:v>
                </c:pt>
                <c:pt idx="118">
                  <c:v>42401</c:v>
                </c:pt>
                <c:pt idx="119">
                  <c:v>42402</c:v>
                </c:pt>
                <c:pt idx="120">
                  <c:v>42403</c:v>
                </c:pt>
                <c:pt idx="121">
                  <c:v>42405</c:v>
                </c:pt>
                <c:pt idx="122">
                  <c:v>42408</c:v>
                </c:pt>
                <c:pt idx="123">
                  <c:v>42409</c:v>
                </c:pt>
                <c:pt idx="124">
                  <c:v>42410</c:v>
                </c:pt>
                <c:pt idx="125">
                  <c:v>42411</c:v>
                </c:pt>
                <c:pt idx="126">
                  <c:v>42412</c:v>
                </c:pt>
                <c:pt idx="127">
                  <c:v>42415</c:v>
                </c:pt>
                <c:pt idx="128">
                  <c:v>42416</c:v>
                </c:pt>
                <c:pt idx="129">
                  <c:v>42417</c:v>
                </c:pt>
                <c:pt idx="130">
                  <c:v>42418</c:v>
                </c:pt>
                <c:pt idx="131">
                  <c:v>42419</c:v>
                </c:pt>
                <c:pt idx="132">
                  <c:v>42423</c:v>
                </c:pt>
                <c:pt idx="133">
                  <c:v>42424</c:v>
                </c:pt>
                <c:pt idx="134">
                  <c:v>42425</c:v>
                </c:pt>
                <c:pt idx="135">
                  <c:v>42426</c:v>
                </c:pt>
                <c:pt idx="136">
                  <c:v>42429</c:v>
                </c:pt>
                <c:pt idx="137">
                  <c:v>42430</c:v>
                </c:pt>
                <c:pt idx="138">
                  <c:v>42431</c:v>
                </c:pt>
                <c:pt idx="139">
                  <c:v>42432</c:v>
                </c:pt>
                <c:pt idx="140">
                  <c:v>42433</c:v>
                </c:pt>
                <c:pt idx="141">
                  <c:v>42437</c:v>
                </c:pt>
                <c:pt idx="142">
                  <c:v>42438</c:v>
                </c:pt>
                <c:pt idx="143">
                  <c:v>42439</c:v>
                </c:pt>
                <c:pt idx="144">
                  <c:v>42440</c:v>
                </c:pt>
                <c:pt idx="145">
                  <c:v>42443</c:v>
                </c:pt>
                <c:pt idx="146">
                  <c:v>42444</c:v>
                </c:pt>
                <c:pt idx="147">
                  <c:v>42445</c:v>
                </c:pt>
                <c:pt idx="148">
                  <c:v>42446</c:v>
                </c:pt>
                <c:pt idx="149">
                  <c:v>42447</c:v>
                </c:pt>
                <c:pt idx="150">
                  <c:v>42450</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42475</c:v>
                </c:pt>
                <c:pt idx="166">
                  <c:v>42478</c:v>
                </c:pt>
                <c:pt idx="167">
                  <c:v>42479</c:v>
                </c:pt>
                <c:pt idx="168">
                  <c:v>42480</c:v>
                </c:pt>
                <c:pt idx="169">
                  <c:v>42482</c:v>
                </c:pt>
                <c:pt idx="170">
                  <c:v>42485</c:v>
                </c:pt>
                <c:pt idx="171">
                  <c:v>42486</c:v>
                </c:pt>
                <c:pt idx="172">
                  <c:v>42487</c:v>
                </c:pt>
                <c:pt idx="173">
                  <c:v>42488</c:v>
                </c:pt>
                <c:pt idx="174">
                  <c:v>42489</c:v>
                </c:pt>
                <c:pt idx="175">
                  <c:v>42493</c:v>
                </c:pt>
                <c:pt idx="176">
                  <c:v>42494</c:v>
                </c:pt>
                <c:pt idx="177">
                  <c:v>42495</c:v>
                </c:pt>
                <c:pt idx="178">
                  <c:v>42496</c:v>
                </c:pt>
                <c:pt idx="179">
                  <c:v>42499</c:v>
                </c:pt>
                <c:pt idx="180">
                  <c:v>42500</c:v>
                </c:pt>
                <c:pt idx="181">
                  <c:v>42501</c:v>
                </c:pt>
                <c:pt idx="182">
                  <c:v>42502</c:v>
                </c:pt>
                <c:pt idx="183">
                  <c:v>42503</c:v>
                </c:pt>
                <c:pt idx="184">
                  <c:v>42506</c:v>
                </c:pt>
                <c:pt idx="185">
                  <c:v>42507</c:v>
                </c:pt>
                <c:pt idx="186">
                  <c:v>42508</c:v>
                </c:pt>
                <c:pt idx="187">
                  <c:v>42509</c:v>
                </c:pt>
                <c:pt idx="188">
                  <c:v>42510</c:v>
                </c:pt>
                <c:pt idx="189">
                  <c:v>42514</c:v>
                </c:pt>
                <c:pt idx="190">
                  <c:v>42515</c:v>
                </c:pt>
                <c:pt idx="191">
                  <c:v>42516</c:v>
                </c:pt>
                <c:pt idx="192">
                  <c:v>42517</c:v>
                </c:pt>
                <c:pt idx="193">
                  <c:v>42520</c:v>
                </c:pt>
                <c:pt idx="194">
                  <c:v>42521</c:v>
                </c:pt>
                <c:pt idx="195">
                  <c:v>42522</c:v>
                </c:pt>
                <c:pt idx="196">
                  <c:v>42523</c:v>
                </c:pt>
                <c:pt idx="197">
                  <c:v>42524</c:v>
                </c:pt>
                <c:pt idx="198">
                  <c:v>42527</c:v>
                </c:pt>
                <c:pt idx="199">
                  <c:v>42528</c:v>
                </c:pt>
                <c:pt idx="200">
                  <c:v>42529</c:v>
                </c:pt>
                <c:pt idx="201">
                  <c:v>42530</c:v>
                </c:pt>
                <c:pt idx="202">
                  <c:v>42531</c:v>
                </c:pt>
                <c:pt idx="203">
                  <c:v>42534</c:v>
                </c:pt>
                <c:pt idx="204">
                  <c:v>42535</c:v>
                </c:pt>
                <c:pt idx="205">
                  <c:v>42536</c:v>
                </c:pt>
                <c:pt idx="206">
                  <c:v>42537</c:v>
                </c:pt>
                <c:pt idx="207">
                  <c:v>42538</c:v>
                </c:pt>
                <c:pt idx="208">
                  <c:v>42541</c:v>
                </c:pt>
                <c:pt idx="209">
                  <c:v>42542</c:v>
                </c:pt>
                <c:pt idx="210">
                  <c:v>42543</c:v>
                </c:pt>
                <c:pt idx="211">
                  <c:v>42544</c:v>
                </c:pt>
                <c:pt idx="212">
                  <c:v>42545</c:v>
                </c:pt>
                <c:pt idx="213">
                  <c:v>42548</c:v>
                </c:pt>
                <c:pt idx="214">
                  <c:v>42549</c:v>
                </c:pt>
                <c:pt idx="215">
                  <c:v>42550</c:v>
                </c:pt>
                <c:pt idx="216">
                  <c:v>42551</c:v>
                </c:pt>
                <c:pt idx="217">
                  <c:v>42552</c:v>
                </c:pt>
                <c:pt idx="218">
                  <c:v>42555</c:v>
                </c:pt>
                <c:pt idx="219">
                  <c:v>42556</c:v>
                </c:pt>
                <c:pt idx="220">
                  <c:v>42558</c:v>
                </c:pt>
                <c:pt idx="221">
                  <c:v>42559</c:v>
                </c:pt>
                <c:pt idx="222">
                  <c:v>42562</c:v>
                </c:pt>
                <c:pt idx="223">
                  <c:v>42563</c:v>
                </c:pt>
                <c:pt idx="224">
                  <c:v>42564</c:v>
                </c:pt>
                <c:pt idx="225">
                  <c:v>42565</c:v>
                </c:pt>
                <c:pt idx="226">
                  <c:v>42566</c:v>
                </c:pt>
                <c:pt idx="227">
                  <c:v>42569</c:v>
                </c:pt>
                <c:pt idx="228">
                  <c:v>42571</c:v>
                </c:pt>
                <c:pt idx="229">
                  <c:v>42572</c:v>
                </c:pt>
                <c:pt idx="230">
                  <c:v>42573</c:v>
                </c:pt>
                <c:pt idx="231">
                  <c:v>42576</c:v>
                </c:pt>
                <c:pt idx="232">
                  <c:v>42577</c:v>
                </c:pt>
                <c:pt idx="233">
                  <c:v>42578</c:v>
                </c:pt>
                <c:pt idx="234">
                  <c:v>42579</c:v>
                </c:pt>
                <c:pt idx="235">
                  <c:v>42580</c:v>
                </c:pt>
                <c:pt idx="236">
                  <c:v>42583</c:v>
                </c:pt>
                <c:pt idx="237">
                  <c:v>42584</c:v>
                </c:pt>
                <c:pt idx="238">
                  <c:v>42585</c:v>
                </c:pt>
                <c:pt idx="239">
                  <c:v>42586</c:v>
                </c:pt>
                <c:pt idx="240">
                  <c:v>42587</c:v>
                </c:pt>
                <c:pt idx="241">
                  <c:v>42590</c:v>
                </c:pt>
                <c:pt idx="242">
                  <c:v>42591</c:v>
                </c:pt>
              </c:numCache>
            </c:numRef>
          </c:cat>
          <c:val>
            <c:numRef>
              <c:f>'ASPIv ACL'!$D$1414:$D$1656</c:f>
              <c:numCache>
                <c:formatCode>General</c:formatCode>
                <c:ptCount val="243"/>
                <c:pt idx="0">
                  <c:v>4104.3599999999997</c:v>
                </c:pt>
                <c:pt idx="1">
                  <c:v>4154.1499999999996</c:v>
                </c:pt>
                <c:pt idx="2">
                  <c:v>4152.75</c:v>
                </c:pt>
                <c:pt idx="3">
                  <c:v>4128.24</c:v>
                </c:pt>
                <c:pt idx="4">
                  <c:v>4148.92</c:v>
                </c:pt>
                <c:pt idx="5">
                  <c:v>4164.4799999999996</c:v>
                </c:pt>
                <c:pt idx="6">
                  <c:v>4157.71</c:v>
                </c:pt>
                <c:pt idx="7">
                  <c:v>4164.3100000000004</c:v>
                </c:pt>
                <c:pt idx="8">
                  <c:v>4137.59</c:v>
                </c:pt>
                <c:pt idx="9">
                  <c:v>4140.68</c:v>
                </c:pt>
                <c:pt idx="10">
                  <c:v>4053.67</c:v>
                </c:pt>
                <c:pt idx="11">
                  <c:v>3982.96</c:v>
                </c:pt>
                <c:pt idx="12">
                  <c:v>3968.57</c:v>
                </c:pt>
                <c:pt idx="13">
                  <c:v>3991.16</c:v>
                </c:pt>
                <c:pt idx="14">
                  <c:v>4049.15</c:v>
                </c:pt>
                <c:pt idx="15">
                  <c:v>4026.26</c:v>
                </c:pt>
                <c:pt idx="16">
                  <c:v>4007.32</c:v>
                </c:pt>
                <c:pt idx="17">
                  <c:v>3979.9</c:v>
                </c:pt>
                <c:pt idx="18">
                  <c:v>3978.84</c:v>
                </c:pt>
                <c:pt idx="19">
                  <c:v>3957.83</c:v>
                </c:pt>
                <c:pt idx="20">
                  <c:v>3931</c:v>
                </c:pt>
                <c:pt idx="21">
                  <c:v>3914.14</c:v>
                </c:pt>
                <c:pt idx="22">
                  <c:v>3937.08</c:v>
                </c:pt>
                <c:pt idx="23">
                  <c:v>3924.67</c:v>
                </c:pt>
                <c:pt idx="24">
                  <c:v>3914.27</c:v>
                </c:pt>
                <c:pt idx="25">
                  <c:v>3919.61</c:v>
                </c:pt>
                <c:pt idx="26">
                  <c:v>3915.13</c:v>
                </c:pt>
                <c:pt idx="27">
                  <c:v>3899.63</c:v>
                </c:pt>
                <c:pt idx="28">
                  <c:v>3885.08</c:v>
                </c:pt>
                <c:pt idx="30">
                  <c:v>3885.71</c:v>
                </c:pt>
                <c:pt idx="31">
                  <c:v>3881.04</c:v>
                </c:pt>
                <c:pt idx="32">
                  <c:v>3895.7</c:v>
                </c:pt>
                <c:pt idx="33">
                  <c:v>3891.82</c:v>
                </c:pt>
                <c:pt idx="34">
                  <c:v>3887.14</c:v>
                </c:pt>
                <c:pt idx="35">
                  <c:v>3869.55</c:v>
                </c:pt>
                <c:pt idx="36">
                  <c:v>3858.61</c:v>
                </c:pt>
                <c:pt idx="37">
                  <c:v>3826.15</c:v>
                </c:pt>
                <c:pt idx="38">
                  <c:v>3836.33</c:v>
                </c:pt>
                <c:pt idx="39">
                  <c:v>3840.75</c:v>
                </c:pt>
                <c:pt idx="40">
                  <c:v>3830.23</c:v>
                </c:pt>
                <c:pt idx="41">
                  <c:v>3827.31</c:v>
                </c:pt>
                <c:pt idx="42">
                  <c:v>3821.69</c:v>
                </c:pt>
                <c:pt idx="43">
                  <c:v>3818.6</c:v>
                </c:pt>
                <c:pt idx="44">
                  <c:v>3819.8</c:v>
                </c:pt>
                <c:pt idx="45">
                  <c:v>3816.22</c:v>
                </c:pt>
                <c:pt idx="46">
                  <c:v>3811.21</c:v>
                </c:pt>
                <c:pt idx="47">
                  <c:v>3781.17</c:v>
                </c:pt>
                <c:pt idx="48">
                  <c:v>3783.13</c:v>
                </c:pt>
                <c:pt idx="49">
                  <c:v>3773.71</c:v>
                </c:pt>
                <c:pt idx="50">
                  <c:v>3781.3</c:v>
                </c:pt>
                <c:pt idx="51">
                  <c:v>3796.86</c:v>
                </c:pt>
                <c:pt idx="52">
                  <c:v>3808.83</c:v>
                </c:pt>
                <c:pt idx="53">
                  <c:v>3819.07</c:v>
                </c:pt>
                <c:pt idx="54">
                  <c:v>3821.83</c:v>
                </c:pt>
                <c:pt idx="55">
                  <c:v>3827.83</c:v>
                </c:pt>
                <c:pt idx="56">
                  <c:v>3840</c:v>
                </c:pt>
                <c:pt idx="57">
                  <c:v>3827.89</c:v>
                </c:pt>
                <c:pt idx="58">
                  <c:v>3803</c:v>
                </c:pt>
                <c:pt idx="59">
                  <c:v>3795.5</c:v>
                </c:pt>
                <c:pt idx="60">
                  <c:v>3786.74</c:v>
                </c:pt>
                <c:pt idx="61">
                  <c:v>3784.61</c:v>
                </c:pt>
                <c:pt idx="62">
                  <c:v>3794.11</c:v>
                </c:pt>
                <c:pt idx="63">
                  <c:v>3824.62</c:v>
                </c:pt>
                <c:pt idx="64">
                  <c:v>3821.97</c:v>
                </c:pt>
                <c:pt idx="65">
                  <c:v>3790.61</c:v>
                </c:pt>
                <c:pt idx="66">
                  <c:v>3783.34</c:v>
                </c:pt>
                <c:pt idx="67">
                  <c:v>3787</c:v>
                </c:pt>
                <c:pt idx="68">
                  <c:v>3759.26</c:v>
                </c:pt>
                <c:pt idx="69">
                  <c:v>3763.3</c:v>
                </c:pt>
                <c:pt idx="70">
                  <c:v>3764.66</c:v>
                </c:pt>
                <c:pt idx="71">
                  <c:v>3781.25</c:v>
                </c:pt>
                <c:pt idx="72">
                  <c:v>3774.11</c:v>
                </c:pt>
                <c:pt idx="73">
                  <c:v>3782.72</c:v>
                </c:pt>
                <c:pt idx="74">
                  <c:v>3735.61</c:v>
                </c:pt>
                <c:pt idx="75">
                  <c:v>3705</c:v>
                </c:pt>
                <c:pt idx="76">
                  <c:v>3704.04</c:v>
                </c:pt>
                <c:pt idx="77">
                  <c:v>3657.69</c:v>
                </c:pt>
                <c:pt idx="78">
                  <c:v>3651.34</c:v>
                </c:pt>
                <c:pt idx="79">
                  <c:v>3637.75</c:v>
                </c:pt>
                <c:pt idx="80">
                  <c:v>3646.1</c:v>
                </c:pt>
                <c:pt idx="81">
                  <c:v>3638.56</c:v>
                </c:pt>
                <c:pt idx="82">
                  <c:v>3638.56</c:v>
                </c:pt>
                <c:pt idx="83">
                  <c:v>3624.39</c:v>
                </c:pt>
                <c:pt idx="84">
                  <c:v>3616.01</c:v>
                </c:pt>
                <c:pt idx="85">
                  <c:v>3612.57</c:v>
                </c:pt>
                <c:pt idx="86">
                  <c:v>3607.31</c:v>
                </c:pt>
                <c:pt idx="87">
                  <c:v>3585.63</c:v>
                </c:pt>
                <c:pt idx="88">
                  <c:v>3598.7</c:v>
                </c:pt>
                <c:pt idx="89">
                  <c:v>3597.07</c:v>
                </c:pt>
                <c:pt idx="90">
                  <c:v>3610.47</c:v>
                </c:pt>
                <c:pt idx="91">
                  <c:v>3623.91</c:v>
                </c:pt>
                <c:pt idx="92">
                  <c:v>3628.3</c:v>
                </c:pt>
                <c:pt idx="93">
                  <c:v>3605.25</c:v>
                </c:pt>
                <c:pt idx="94">
                  <c:v>3603.9</c:v>
                </c:pt>
                <c:pt idx="95">
                  <c:v>3588.64</c:v>
                </c:pt>
                <c:pt idx="96">
                  <c:v>3592.12</c:v>
                </c:pt>
                <c:pt idx="97">
                  <c:v>3605.07</c:v>
                </c:pt>
                <c:pt idx="98">
                  <c:v>3625.69</c:v>
                </c:pt>
                <c:pt idx="99">
                  <c:v>3598.88</c:v>
                </c:pt>
                <c:pt idx="100">
                  <c:v>3586.25</c:v>
                </c:pt>
                <c:pt idx="101">
                  <c:v>3573.18</c:v>
                </c:pt>
                <c:pt idx="102">
                  <c:v>3546.45</c:v>
                </c:pt>
                <c:pt idx="103">
                  <c:v>3514.41</c:v>
                </c:pt>
                <c:pt idx="104">
                  <c:v>3464.04</c:v>
                </c:pt>
                <c:pt idx="105">
                  <c:v>3393.04</c:v>
                </c:pt>
                <c:pt idx="106">
                  <c:v>3405.57</c:v>
                </c:pt>
                <c:pt idx="107">
                  <c:v>3340.13</c:v>
                </c:pt>
                <c:pt idx="108">
                  <c:v>3284.36</c:v>
                </c:pt>
                <c:pt idx="109">
                  <c:v>3261.3</c:v>
                </c:pt>
                <c:pt idx="110">
                  <c:v>3241.08</c:v>
                </c:pt>
                <c:pt idx="111">
                  <c:v>3293.49</c:v>
                </c:pt>
                <c:pt idx="112">
                  <c:v>3315.36</c:v>
                </c:pt>
                <c:pt idx="113">
                  <c:v>3298.66</c:v>
                </c:pt>
                <c:pt idx="114">
                  <c:v>3278.15</c:v>
                </c:pt>
                <c:pt idx="115">
                  <c:v>3275.42</c:v>
                </c:pt>
                <c:pt idx="116">
                  <c:v>3279.77</c:v>
                </c:pt>
                <c:pt idx="117">
                  <c:v>3302.01</c:v>
                </c:pt>
                <c:pt idx="118">
                  <c:v>3322.49</c:v>
                </c:pt>
                <c:pt idx="119">
                  <c:v>3357.42</c:v>
                </c:pt>
                <c:pt idx="120">
                  <c:v>3336.04</c:v>
                </c:pt>
                <c:pt idx="121">
                  <c:v>3338.97</c:v>
                </c:pt>
                <c:pt idx="122">
                  <c:v>3347.32</c:v>
                </c:pt>
                <c:pt idx="123">
                  <c:v>3333.63</c:v>
                </c:pt>
                <c:pt idx="124">
                  <c:v>3321.59</c:v>
                </c:pt>
                <c:pt idx="125">
                  <c:v>3287.02</c:v>
                </c:pt>
                <c:pt idx="126">
                  <c:v>3264.94</c:v>
                </c:pt>
                <c:pt idx="127">
                  <c:v>3256.68</c:v>
                </c:pt>
                <c:pt idx="128">
                  <c:v>3256.31</c:v>
                </c:pt>
                <c:pt idx="129">
                  <c:v>3236.43</c:v>
                </c:pt>
                <c:pt idx="130">
                  <c:v>3240.79</c:v>
                </c:pt>
                <c:pt idx="131">
                  <c:v>3265.14</c:v>
                </c:pt>
                <c:pt idx="132">
                  <c:v>3261.73</c:v>
                </c:pt>
                <c:pt idx="133">
                  <c:v>3259.97</c:v>
                </c:pt>
                <c:pt idx="134">
                  <c:v>3252.33</c:v>
                </c:pt>
                <c:pt idx="135">
                  <c:v>3247.69</c:v>
                </c:pt>
                <c:pt idx="136">
                  <c:v>3249.46</c:v>
                </c:pt>
                <c:pt idx="137">
                  <c:v>3229.23</c:v>
                </c:pt>
                <c:pt idx="138">
                  <c:v>3210.6</c:v>
                </c:pt>
                <c:pt idx="139">
                  <c:v>3206.1</c:v>
                </c:pt>
                <c:pt idx="140">
                  <c:v>3204.5</c:v>
                </c:pt>
                <c:pt idx="141">
                  <c:v>3144.85</c:v>
                </c:pt>
                <c:pt idx="142">
                  <c:v>3092.92</c:v>
                </c:pt>
                <c:pt idx="143">
                  <c:v>3133.56</c:v>
                </c:pt>
                <c:pt idx="144">
                  <c:v>3180.92</c:v>
                </c:pt>
                <c:pt idx="145">
                  <c:v>3158.23</c:v>
                </c:pt>
                <c:pt idx="146">
                  <c:v>3142.95</c:v>
                </c:pt>
                <c:pt idx="147">
                  <c:v>3159.92</c:v>
                </c:pt>
                <c:pt idx="148">
                  <c:v>3174.05</c:v>
                </c:pt>
                <c:pt idx="149">
                  <c:v>3167.46</c:v>
                </c:pt>
                <c:pt idx="150">
                  <c:v>3180.83</c:v>
                </c:pt>
                <c:pt idx="151">
                  <c:v>3188.27</c:v>
                </c:pt>
                <c:pt idx="152">
                  <c:v>3197.3</c:v>
                </c:pt>
                <c:pt idx="153">
                  <c:v>3194.84</c:v>
                </c:pt>
                <c:pt idx="154">
                  <c:v>3181.64</c:v>
                </c:pt>
                <c:pt idx="155">
                  <c:v>3188.26</c:v>
                </c:pt>
                <c:pt idx="156">
                  <c:v>3204.44</c:v>
                </c:pt>
                <c:pt idx="157">
                  <c:v>3212.01</c:v>
                </c:pt>
                <c:pt idx="158">
                  <c:v>3214.78</c:v>
                </c:pt>
                <c:pt idx="159">
                  <c:v>3253.45</c:v>
                </c:pt>
                <c:pt idx="160">
                  <c:v>3254.7</c:v>
                </c:pt>
                <c:pt idx="161">
                  <c:v>3283.31</c:v>
                </c:pt>
                <c:pt idx="162">
                  <c:v>3311.94</c:v>
                </c:pt>
                <c:pt idx="163">
                  <c:v>3325.71</c:v>
                </c:pt>
                <c:pt idx="164">
                  <c:v>3361.55</c:v>
                </c:pt>
                <c:pt idx="165">
                  <c:v>3365.66</c:v>
                </c:pt>
                <c:pt idx="166">
                  <c:v>3363.83</c:v>
                </c:pt>
                <c:pt idx="167">
                  <c:v>3368.83</c:v>
                </c:pt>
                <c:pt idx="168">
                  <c:v>3395.71</c:v>
                </c:pt>
                <c:pt idx="169">
                  <c:v>3395.84</c:v>
                </c:pt>
                <c:pt idx="170">
                  <c:v>3369.52</c:v>
                </c:pt>
                <c:pt idx="171">
                  <c:v>3397.66</c:v>
                </c:pt>
                <c:pt idx="172">
                  <c:v>3404.98</c:v>
                </c:pt>
                <c:pt idx="173">
                  <c:v>3397.83</c:v>
                </c:pt>
                <c:pt idx="174">
                  <c:v>3435.55</c:v>
                </c:pt>
                <c:pt idx="175">
                  <c:v>3493.46</c:v>
                </c:pt>
                <c:pt idx="176">
                  <c:v>3474.03</c:v>
                </c:pt>
                <c:pt idx="177">
                  <c:v>3475.03</c:v>
                </c:pt>
                <c:pt idx="178">
                  <c:v>3471.37</c:v>
                </c:pt>
                <c:pt idx="179">
                  <c:v>3474.61</c:v>
                </c:pt>
                <c:pt idx="180">
                  <c:v>3507.46</c:v>
                </c:pt>
                <c:pt idx="181">
                  <c:v>3502.97</c:v>
                </c:pt>
                <c:pt idx="182">
                  <c:v>3506.6</c:v>
                </c:pt>
                <c:pt idx="183">
                  <c:v>3509.85</c:v>
                </c:pt>
                <c:pt idx="184">
                  <c:v>3510.06</c:v>
                </c:pt>
                <c:pt idx="185">
                  <c:v>3482.58</c:v>
                </c:pt>
                <c:pt idx="186">
                  <c:v>3483.56</c:v>
                </c:pt>
                <c:pt idx="187">
                  <c:v>3460.69</c:v>
                </c:pt>
                <c:pt idx="188">
                  <c:v>3454.64</c:v>
                </c:pt>
                <c:pt idx="189">
                  <c:v>3443.34</c:v>
                </c:pt>
                <c:pt idx="190">
                  <c:v>3446.48</c:v>
                </c:pt>
                <c:pt idx="191">
                  <c:v>3440.11</c:v>
                </c:pt>
                <c:pt idx="192">
                  <c:v>3441.26</c:v>
                </c:pt>
                <c:pt idx="193">
                  <c:v>3436.45</c:v>
                </c:pt>
                <c:pt idx="194">
                  <c:v>3425.57</c:v>
                </c:pt>
                <c:pt idx="195">
                  <c:v>3421.42</c:v>
                </c:pt>
                <c:pt idx="196">
                  <c:v>3416.68</c:v>
                </c:pt>
                <c:pt idx="197">
                  <c:v>3416.47</c:v>
                </c:pt>
                <c:pt idx="198">
                  <c:v>3414.48</c:v>
                </c:pt>
                <c:pt idx="199">
                  <c:v>3424.49</c:v>
                </c:pt>
                <c:pt idx="200">
                  <c:v>3423.12</c:v>
                </c:pt>
                <c:pt idx="201">
                  <c:v>3426.44</c:v>
                </c:pt>
                <c:pt idx="202">
                  <c:v>3423.82</c:v>
                </c:pt>
                <c:pt idx="203">
                  <c:v>3441.48</c:v>
                </c:pt>
                <c:pt idx="204">
                  <c:v>3436.06</c:v>
                </c:pt>
                <c:pt idx="205">
                  <c:v>3426.68</c:v>
                </c:pt>
                <c:pt idx="206">
                  <c:v>3385.06</c:v>
                </c:pt>
                <c:pt idx="207">
                  <c:v>3402.21</c:v>
                </c:pt>
                <c:pt idx="208">
                  <c:v>3404.34</c:v>
                </c:pt>
                <c:pt idx="209">
                  <c:v>3398.2</c:v>
                </c:pt>
                <c:pt idx="210">
                  <c:v>3379.95</c:v>
                </c:pt>
                <c:pt idx="211">
                  <c:v>3361.71</c:v>
                </c:pt>
                <c:pt idx="212">
                  <c:v>3341.65</c:v>
                </c:pt>
                <c:pt idx="213">
                  <c:v>3320.77</c:v>
                </c:pt>
                <c:pt idx="214">
                  <c:v>3318.71</c:v>
                </c:pt>
                <c:pt idx="215">
                  <c:v>3310.55</c:v>
                </c:pt>
                <c:pt idx="216">
                  <c:v>3300.2</c:v>
                </c:pt>
                <c:pt idx="217">
                  <c:v>3302.51</c:v>
                </c:pt>
                <c:pt idx="218">
                  <c:v>3290.33</c:v>
                </c:pt>
                <c:pt idx="219">
                  <c:v>3309.34</c:v>
                </c:pt>
                <c:pt idx="220">
                  <c:v>3326.23</c:v>
                </c:pt>
                <c:pt idx="221">
                  <c:v>3363.27</c:v>
                </c:pt>
                <c:pt idx="222">
                  <c:v>3374.31</c:v>
                </c:pt>
                <c:pt idx="223">
                  <c:v>3390.96</c:v>
                </c:pt>
                <c:pt idx="224">
                  <c:v>3408</c:v>
                </c:pt>
                <c:pt idx="225">
                  <c:v>3404.52</c:v>
                </c:pt>
                <c:pt idx="226">
                  <c:v>3416.3</c:v>
                </c:pt>
                <c:pt idx="227">
                  <c:v>3411.76</c:v>
                </c:pt>
                <c:pt idx="228">
                  <c:v>3422.19</c:v>
                </c:pt>
                <c:pt idx="229">
                  <c:v>3427.15</c:v>
                </c:pt>
                <c:pt idx="230">
                  <c:v>3428.58</c:v>
                </c:pt>
                <c:pt idx="231">
                  <c:v>3411.96</c:v>
                </c:pt>
                <c:pt idx="232">
                  <c:v>3406.75</c:v>
                </c:pt>
                <c:pt idx="233">
                  <c:v>3401.79</c:v>
                </c:pt>
                <c:pt idx="234">
                  <c:v>3414.66</c:v>
                </c:pt>
                <c:pt idx="235">
                  <c:v>3414.39</c:v>
                </c:pt>
                <c:pt idx="236">
                  <c:v>3439.4</c:v>
                </c:pt>
                <c:pt idx="237">
                  <c:v>3529.67</c:v>
                </c:pt>
                <c:pt idx="238">
                  <c:v>3534.12</c:v>
                </c:pt>
                <c:pt idx="239">
                  <c:v>3511.02</c:v>
                </c:pt>
                <c:pt idx="240">
                  <c:v>3531.36</c:v>
                </c:pt>
                <c:pt idx="241">
                  <c:v>3531.39</c:v>
                </c:pt>
                <c:pt idx="242">
                  <c:v>3546.52</c:v>
                </c:pt>
              </c:numCache>
            </c:numRef>
          </c:val>
          <c:smooth val="0"/>
          <c:extLst>
            <c:ext xmlns:c16="http://schemas.microsoft.com/office/drawing/2014/chart" uri="{C3380CC4-5D6E-409C-BE32-E72D297353CC}">
              <c16:uniqueId val="{00000002-EC8B-4E16-9063-34594086DA34}"/>
            </c:ext>
          </c:extLst>
        </c:ser>
        <c:dLbls>
          <c:showLegendKey val="0"/>
          <c:showVal val="0"/>
          <c:showCatName val="0"/>
          <c:showSerName val="0"/>
          <c:showPercent val="0"/>
          <c:showBubbleSize val="0"/>
        </c:dLbls>
        <c:marker val="1"/>
        <c:smooth val="0"/>
        <c:axId val="122658176"/>
        <c:axId val="122656640"/>
      </c:lineChart>
      <c:dateAx>
        <c:axId val="122649216"/>
        <c:scaling>
          <c:orientation val="minMax"/>
        </c:scaling>
        <c:delete val="0"/>
        <c:axPos val="b"/>
        <c:numFmt formatCode="[$-409]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2655104"/>
        <c:crosses val="autoZero"/>
        <c:auto val="1"/>
        <c:lblOffset val="100"/>
        <c:baseTimeUnit val="days"/>
        <c:majorUnit val="2"/>
        <c:majorTimeUnit val="months"/>
        <c:minorUnit val="1"/>
        <c:minorTimeUnit val="days"/>
      </c:dateAx>
      <c:valAx>
        <c:axId val="122655104"/>
        <c:scaling>
          <c:orientation val="minMax"/>
          <c:min val="45"/>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2649216"/>
        <c:crosses val="autoZero"/>
        <c:crossBetween val="between"/>
      </c:valAx>
      <c:valAx>
        <c:axId val="122656640"/>
        <c:scaling>
          <c:orientation val="minMax"/>
          <c:min val="30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2658176"/>
        <c:crosses val="max"/>
        <c:crossBetween val="between"/>
      </c:valAx>
      <c:dateAx>
        <c:axId val="122658176"/>
        <c:scaling>
          <c:orientation val="minMax"/>
        </c:scaling>
        <c:delete val="1"/>
        <c:axPos val="b"/>
        <c:numFmt formatCode="[$-409]dd\-mmm\-yy;@" sourceLinked="1"/>
        <c:majorTickMark val="out"/>
        <c:minorTickMark val="none"/>
        <c:tickLblPos val="nextTo"/>
        <c:crossAx val="122656640"/>
        <c:crosses val="autoZero"/>
        <c:auto val="1"/>
        <c:lblOffset val="100"/>
        <c:baseTimeUnit val="days"/>
        <c:majorUnit val="1"/>
        <c:minorUnit val="1"/>
      </c:dateAx>
      <c:spPr>
        <a:noFill/>
        <a:ln>
          <a:noFill/>
        </a:ln>
        <a:effectLst/>
      </c:spPr>
    </c:plotArea>
    <c:legend>
      <c:legendPos val="b"/>
      <c:layout>
        <c:manualLayout>
          <c:xMode val="edge"/>
          <c:yMode val="edge"/>
          <c:x val="0.1852762467191601"/>
          <c:y val="0.91066819772528429"/>
          <c:w val="0.76687073490813651"/>
          <c:h val="8.9331802274715655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rgbClr val="002060"/>
              </a:solidFill>
              <a:round/>
            </a:ln>
            <a:effectLst/>
          </c:spPr>
          <c:marker>
            <c:symbol val="none"/>
          </c:marker>
          <c:cat>
            <c:numRef>
              <c:f>'Interest rates'!$X$71:$X$174</c:f>
              <c:numCache>
                <c:formatCode>[$-409]mmm\-yy;@</c:formatCode>
                <c:ptCount val="10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numCache>
            </c:numRef>
          </c:cat>
          <c:val>
            <c:numRef>
              <c:f>'Interest rates'!$Y$71:$Y$174</c:f>
              <c:numCache>
                <c:formatCode>0%</c:formatCode>
                <c:ptCount val="104"/>
                <c:pt idx="0">
                  <c:v>0.1825</c:v>
                </c:pt>
                <c:pt idx="1">
                  <c:v>0.17699999999999999</c:v>
                </c:pt>
                <c:pt idx="2">
                  <c:v>0.17949999999999999</c:v>
                </c:pt>
                <c:pt idx="3">
                  <c:v>0.18940000000000001</c:v>
                </c:pt>
                <c:pt idx="4">
                  <c:v>0.1888</c:v>
                </c:pt>
                <c:pt idx="5">
                  <c:v>0.1883</c:v>
                </c:pt>
                <c:pt idx="6">
                  <c:v>0.1825</c:v>
                </c:pt>
                <c:pt idx="7">
                  <c:v>0.1784</c:v>
                </c:pt>
                <c:pt idx="8">
                  <c:v>0.19820000000000002</c:v>
                </c:pt>
                <c:pt idx="9">
                  <c:v>0.20280000000000001</c:v>
                </c:pt>
                <c:pt idx="10">
                  <c:v>0.2079</c:v>
                </c:pt>
                <c:pt idx="11">
                  <c:v>0.19170000000000001</c:v>
                </c:pt>
                <c:pt idx="12">
                  <c:v>0.18920000000000001</c:v>
                </c:pt>
                <c:pt idx="13">
                  <c:v>0.1956</c:v>
                </c:pt>
                <c:pt idx="14">
                  <c:v>0.18960000000000002</c:v>
                </c:pt>
                <c:pt idx="15">
                  <c:v>0.18899999999999997</c:v>
                </c:pt>
                <c:pt idx="16">
                  <c:v>0.17749999999999999</c:v>
                </c:pt>
                <c:pt idx="17">
                  <c:v>0.16200000000000001</c:v>
                </c:pt>
                <c:pt idx="18">
                  <c:v>0.15</c:v>
                </c:pt>
                <c:pt idx="19">
                  <c:v>0.14119999999999999</c:v>
                </c:pt>
                <c:pt idx="20">
                  <c:v>0.13100000000000001</c:v>
                </c:pt>
                <c:pt idx="21">
                  <c:v>0.12640000000000001</c:v>
                </c:pt>
                <c:pt idx="22">
                  <c:v>0.11789999999999999</c:v>
                </c:pt>
                <c:pt idx="23">
                  <c:v>0.11119999999999999</c:v>
                </c:pt>
                <c:pt idx="24">
                  <c:v>0.1099</c:v>
                </c:pt>
                <c:pt idx="25">
                  <c:v>0.10830000000000001</c:v>
                </c:pt>
                <c:pt idx="26">
                  <c:v>0.10539999999999999</c:v>
                </c:pt>
                <c:pt idx="27">
                  <c:v>0.1066</c:v>
                </c:pt>
                <c:pt idx="28">
                  <c:v>0.1057</c:v>
                </c:pt>
                <c:pt idx="29">
                  <c:v>0.1047</c:v>
                </c:pt>
                <c:pt idx="30">
                  <c:v>0.1014</c:v>
                </c:pt>
                <c:pt idx="31">
                  <c:v>0.1013</c:v>
                </c:pt>
                <c:pt idx="32">
                  <c:v>9.98E-2</c:v>
                </c:pt>
                <c:pt idx="33">
                  <c:v>9.6600000000000005E-2</c:v>
                </c:pt>
                <c:pt idx="34">
                  <c:v>9.3699999999999992E-2</c:v>
                </c:pt>
                <c:pt idx="35">
                  <c:v>9.2699999999999991E-2</c:v>
                </c:pt>
                <c:pt idx="36">
                  <c:v>9.1199999999999989E-2</c:v>
                </c:pt>
                <c:pt idx="37">
                  <c:v>9.2399999999999996E-2</c:v>
                </c:pt>
                <c:pt idx="38">
                  <c:v>9.1499999999999998E-2</c:v>
                </c:pt>
                <c:pt idx="39">
                  <c:v>9.1725000000000015E-2</c:v>
                </c:pt>
                <c:pt idx="40">
                  <c:v>9.2079999999999995E-2</c:v>
                </c:pt>
                <c:pt idx="41">
                  <c:v>9.2799999999999994E-2</c:v>
                </c:pt>
                <c:pt idx="42">
                  <c:v>9.3299999999999994E-2</c:v>
                </c:pt>
                <c:pt idx="43">
                  <c:v>9.4299999999999995E-2</c:v>
                </c:pt>
                <c:pt idx="44">
                  <c:v>9.3599999999999989E-2</c:v>
                </c:pt>
                <c:pt idx="45">
                  <c:v>9.3299999999999994E-2</c:v>
                </c:pt>
                <c:pt idx="46">
                  <c:v>9.8400000000000001E-2</c:v>
                </c:pt>
                <c:pt idx="47">
                  <c:v>0.10490000000000001</c:v>
                </c:pt>
                <c:pt idx="48">
                  <c:v>0.11410000000000001</c:v>
                </c:pt>
                <c:pt idx="49">
                  <c:v>0.11840000000000001</c:v>
                </c:pt>
                <c:pt idx="50">
                  <c:v>0.1242</c:v>
                </c:pt>
                <c:pt idx="51">
                  <c:v>0.12710000000000002</c:v>
                </c:pt>
                <c:pt idx="52">
                  <c:v>0.13320000000000001</c:v>
                </c:pt>
                <c:pt idx="53">
                  <c:v>0.13600000000000001</c:v>
                </c:pt>
                <c:pt idx="54">
                  <c:v>0.13750000000000001</c:v>
                </c:pt>
                <c:pt idx="55">
                  <c:v>0.1376</c:v>
                </c:pt>
                <c:pt idx="56">
                  <c:v>0.14080000000000001</c:v>
                </c:pt>
                <c:pt idx="57">
                  <c:v>0.13970000000000002</c:v>
                </c:pt>
                <c:pt idx="58">
                  <c:v>0.14230000000000001</c:v>
                </c:pt>
                <c:pt idx="59">
                  <c:v>0.1429</c:v>
                </c:pt>
                <c:pt idx="60">
                  <c:v>0.1414</c:v>
                </c:pt>
                <c:pt idx="61">
                  <c:v>0.14380000000000001</c:v>
                </c:pt>
                <c:pt idx="62">
                  <c:v>0.1386</c:v>
                </c:pt>
                <c:pt idx="63">
                  <c:v>0.1358</c:v>
                </c:pt>
                <c:pt idx="64">
                  <c:v>0.13109999999999999</c:v>
                </c:pt>
                <c:pt idx="65">
                  <c:v>0.12470000000000001</c:v>
                </c:pt>
                <c:pt idx="66">
                  <c:v>0.11840000000000001</c:v>
                </c:pt>
                <c:pt idx="67">
                  <c:v>0.1186</c:v>
                </c:pt>
                <c:pt idx="68">
                  <c:v>0.11840000000000001</c:v>
                </c:pt>
                <c:pt idx="69">
                  <c:v>0.11449999999999999</c:v>
                </c:pt>
                <c:pt idx="70">
                  <c:v>0.10949999999999999</c:v>
                </c:pt>
                <c:pt idx="71">
                  <c:v>9.9600000000000008E-2</c:v>
                </c:pt>
                <c:pt idx="72">
                  <c:v>9.6500000000000002E-2</c:v>
                </c:pt>
                <c:pt idx="73">
                  <c:v>9.4E-2</c:v>
                </c:pt>
                <c:pt idx="74">
                  <c:v>8.8100000000000012E-2</c:v>
                </c:pt>
                <c:pt idx="75">
                  <c:v>8.6500000000000007E-2</c:v>
                </c:pt>
                <c:pt idx="76">
                  <c:v>8.3800000000000013E-2</c:v>
                </c:pt>
                <c:pt idx="77">
                  <c:v>8.0299999999999996E-2</c:v>
                </c:pt>
                <c:pt idx="78">
                  <c:v>7.6399999999999996E-2</c:v>
                </c:pt>
                <c:pt idx="79">
                  <c:v>7.2800000000000004E-2</c:v>
                </c:pt>
                <c:pt idx="80">
                  <c:v>6.93E-2</c:v>
                </c:pt>
                <c:pt idx="81">
                  <c:v>6.4399999999999999E-2</c:v>
                </c:pt>
                <c:pt idx="82">
                  <c:v>6.4899999999999999E-2</c:v>
                </c:pt>
                <c:pt idx="83">
                  <c:v>6.3500000000000001E-2</c:v>
                </c:pt>
                <c:pt idx="84">
                  <c:v>6.4299999999999996E-2</c:v>
                </c:pt>
                <c:pt idx="85">
                  <c:v>6.4699999999999994E-2</c:v>
                </c:pt>
                <c:pt idx="86">
                  <c:v>7.0099999999999996E-2</c:v>
                </c:pt>
                <c:pt idx="87">
                  <c:v>7.0900000000000005E-2</c:v>
                </c:pt>
                <c:pt idx="88">
                  <c:v>6.9500000000000006E-2</c:v>
                </c:pt>
                <c:pt idx="89">
                  <c:v>7.1300000000000002E-2</c:v>
                </c:pt>
                <c:pt idx="90">
                  <c:v>6.9800000000000001E-2</c:v>
                </c:pt>
                <c:pt idx="91">
                  <c:v>6.7599999999999993E-2</c:v>
                </c:pt>
                <c:pt idx="92">
                  <c:v>7.0800000000000002E-2</c:v>
                </c:pt>
                <c:pt idx="93">
                  <c:v>7.2400000000000006E-2</c:v>
                </c:pt>
                <c:pt idx="94">
                  <c:v>7.4099999999999999E-2</c:v>
                </c:pt>
                <c:pt idx="95">
                  <c:v>7.4999999999999997E-2</c:v>
                </c:pt>
                <c:pt idx="96">
                  <c:v>7.9199999999999993E-2</c:v>
                </c:pt>
                <c:pt idx="97">
                  <c:v>8.3699999999999997E-2</c:v>
                </c:pt>
                <c:pt idx="98">
                  <c:v>9.1199999999999989E-2</c:v>
                </c:pt>
                <c:pt idx="99">
                  <c:v>9.820000000000001E-2</c:v>
                </c:pt>
                <c:pt idx="100">
                  <c:v>0.10150000000000001</c:v>
                </c:pt>
                <c:pt idx="101">
                  <c:v>0.1023</c:v>
                </c:pt>
                <c:pt idx="102">
                  <c:v>0.10980000000000001</c:v>
                </c:pt>
                <c:pt idx="103">
                  <c:v>0.11890000000000001</c:v>
                </c:pt>
              </c:numCache>
            </c:numRef>
          </c:val>
          <c:smooth val="0"/>
          <c:extLst>
            <c:ext xmlns:c16="http://schemas.microsoft.com/office/drawing/2014/chart" uri="{C3380CC4-5D6E-409C-BE32-E72D297353CC}">
              <c16:uniqueId val="{00000000-AE90-4F20-8082-DE50D6CB7E1B}"/>
            </c:ext>
          </c:extLst>
        </c:ser>
        <c:dLbls>
          <c:showLegendKey val="0"/>
          <c:showVal val="0"/>
          <c:showCatName val="0"/>
          <c:showSerName val="0"/>
          <c:showPercent val="0"/>
          <c:showBubbleSize val="0"/>
        </c:dLbls>
        <c:smooth val="0"/>
        <c:axId val="122695040"/>
        <c:axId val="122705024"/>
      </c:lineChart>
      <c:dateAx>
        <c:axId val="122695040"/>
        <c:scaling>
          <c:orientation val="minMax"/>
        </c:scaling>
        <c:delete val="0"/>
        <c:axPos val="b"/>
        <c:numFmt formatCode="[$-409]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22705024"/>
        <c:crosses val="autoZero"/>
        <c:auto val="1"/>
        <c:lblOffset val="100"/>
        <c:baseTimeUnit val="months"/>
        <c:majorUnit val="6"/>
        <c:majorTimeUnit val="months"/>
      </c:dateAx>
      <c:valAx>
        <c:axId val="122705024"/>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2269504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002060"/>
            </a:solidFill>
            <a:ln>
              <a:noFill/>
            </a:ln>
          </c:spPr>
          <c:dPt>
            <c:idx val="0"/>
            <c:bubble3D val="0"/>
            <c:spPr>
              <a:solidFill>
                <a:srgbClr val="002060"/>
              </a:solidFill>
              <a:ln w="19050">
                <a:noFill/>
              </a:ln>
              <a:effectLst/>
            </c:spPr>
            <c:extLst>
              <c:ext xmlns:c16="http://schemas.microsoft.com/office/drawing/2014/chart" uri="{C3380CC4-5D6E-409C-BE32-E72D297353CC}">
                <c16:uniqueId val="{00000001-9321-4B69-ADD0-AA66FF758F56}"/>
              </c:ext>
            </c:extLst>
          </c:dPt>
          <c:dPt>
            <c:idx val="1"/>
            <c:bubble3D val="0"/>
            <c:spPr>
              <a:solidFill>
                <a:srgbClr val="FFC000"/>
              </a:solidFill>
              <a:ln w="19050">
                <a:noFill/>
              </a:ln>
              <a:effectLst/>
            </c:spPr>
            <c:extLst>
              <c:ext xmlns:c16="http://schemas.microsoft.com/office/drawing/2014/chart" uri="{C3380CC4-5D6E-409C-BE32-E72D297353CC}">
                <c16:uniqueId val="{00000003-9321-4B69-ADD0-AA66FF758F56}"/>
              </c:ext>
            </c:extLst>
          </c:dPt>
          <c:dPt>
            <c:idx val="2"/>
            <c:bubble3D val="0"/>
            <c:spPr>
              <a:solidFill>
                <a:srgbClr val="FFD966"/>
              </a:solidFill>
              <a:ln w="19050">
                <a:noFill/>
              </a:ln>
              <a:effectLst/>
            </c:spPr>
            <c:extLst>
              <c:ext xmlns:c16="http://schemas.microsoft.com/office/drawing/2014/chart" uri="{C3380CC4-5D6E-409C-BE32-E72D297353CC}">
                <c16:uniqueId val="{00000005-9321-4B69-ADD0-AA66FF758F56}"/>
              </c:ext>
            </c:extLst>
          </c:dPt>
          <c:dPt>
            <c:idx val="3"/>
            <c:bubble3D val="0"/>
            <c:spPr>
              <a:solidFill>
                <a:srgbClr val="FFE699"/>
              </a:solidFill>
              <a:ln w="19050">
                <a:noFill/>
              </a:ln>
              <a:effectLst/>
            </c:spPr>
            <c:extLst>
              <c:ext xmlns:c16="http://schemas.microsoft.com/office/drawing/2014/chart" uri="{C3380CC4-5D6E-409C-BE32-E72D297353CC}">
                <c16:uniqueId val="{00000007-9321-4B69-ADD0-AA66FF758F56}"/>
              </c:ext>
            </c:extLst>
          </c:dPt>
          <c:dLbls>
            <c:dLbl>
              <c:idx val="0"/>
              <c:layout>
                <c:manualLayout>
                  <c:x val="8.8888888888888892E-2"/>
                  <c:y val="1.388888888888884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321-4B69-ADD0-AA66FF758F56}"/>
                </c:ext>
              </c:extLst>
            </c:dLbl>
            <c:dLbl>
              <c:idx val="1"/>
              <c:layout>
                <c:manualLayout>
                  <c:x val="-6.9444444444444489E-2"/>
                  <c:y val="8.79629629629629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321-4B69-ADD0-AA66FF758F56}"/>
                </c:ext>
              </c:extLst>
            </c:dLbl>
            <c:dLbl>
              <c:idx val="2"/>
              <c:layout>
                <c:manualLayout>
                  <c:x val="-7.4999999999999997E-2"/>
                  <c:y val="-1.38888888888889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321-4B69-ADD0-AA66FF758F56}"/>
                </c:ext>
              </c:extLst>
            </c:dLbl>
            <c:dLbl>
              <c:idx val="3"/>
              <c:layout>
                <c:manualLayout>
                  <c:x val="-2.500000000000005E-2"/>
                  <c:y val="-0.1111111111111111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321-4B69-ADD0-AA66FF758F5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Industry!$F$5:$F$8</c:f>
              <c:strCache>
                <c:ptCount val="4"/>
                <c:pt idx="0">
                  <c:v>ACL</c:v>
                </c:pt>
                <c:pt idx="1">
                  <c:v>KCAB</c:v>
                </c:pt>
                <c:pt idx="2">
                  <c:v>SIRA</c:v>
                </c:pt>
                <c:pt idx="3">
                  <c:v>Other</c:v>
                </c:pt>
              </c:strCache>
            </c:strRef>
          </c:cat>
          <c:val>
            <c:numRef>
              <c:f>Industry!$G$5:$G$8</c:f>
              <c:numCache>
                <c:formatCode>0%</c:formatCode>
                <c:ptCount val="4"/>
                <c:pt idx="0">
                  <c:v>0.4</c:v>
                </c:pt>
                <c:pt idx="1">
                  <c:v>0.3</c:v>
                </c:pt>
                <c:pt idx="2">
                  <c:v>0.17</c:v>
                </c:pt>
                <c:pt idx="3">
                  <c:v>0.13</c:v>
                </c:pt>
              </c:numCache>
            </c:numRef>
          </c:val>
          <c:extLst>
            <c:ext xmlns:c16="http://schemas.microsoft.com/office/drawing/2014/chart" uri="{C3380CC4-5D6E-409C-BE32-E72D297353CC}">
              <c16:uniqueId val="{00000008-9321-4B69-ADD0-AA66FF758F56}"/>
            </c:ext>
          </c:extLst>
        </c:ser>
        <c:dLbls>
          <c:showLegendKey val="0"/>
          <c:showVal val="1"/>
          <c:showCatName val="0"/>
          <c:showSerName val="0"/>
          <c:showPercent val="0"/>
          <c:showBubbleSize val="0"/>
          <c:showLeaderLines val="1"/>
        </c:dLbls>
        <c:firstSliceAng val="0"/>
        <c:holeSize val="4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'2.0 charts'!$B$56</c:f>
              <c:strCache>
                <c:ptCount val="1"/>
                <c:pt idx="0">
                  <c:v>Total distribution line length (Km)</c:v>
                </c:pt>
              </c:strCache>
            </c:strRef>
          </c:tx>
          <c:spPr>
            <a:solidFill>
              <a:srgbClr val="002060"/>
            </a:solidFill>
            <a:ln>
              <a:noFill/>
            </a:ln>
            <a:effectLst/>
          </c:spPr>
          <c:invertIfNegative val="0"/>
          <c:dPt>
            <c:idx val="5"/>
            <c:invertIfNegative val="0"/>
            <c:bubble3D val="0"/>
            <c:spPr>
              <a:solidFill>
                <a:srgbClr val="FFC000"/>
              </a:solidFill>
              <a:ln>
                <a:noFill/>
              </a:ln>
              <a:effectLst/>
            </c:spPr>
            <c:extLst>
              <c:ext xmlns:c16="http://schemas.microsoft.com/office/drawing/2014/chart" uri="{C3380CC4-5D6E-409C-BE32-E72D297353CC}">
                <c16:uniqueId val="{00000001-FE9A-4C5B-91AA-F7CCF0CF80CA}"/>
              </c:ext>
            </c:extLst>
          </c:dPt>
          <c:dPt>
            <c:idx val="6"/>
            <c:invertIfNegative val="0"/>
            <c:bubble3D val="0"/>
            <c:spPr>
              <a:solidFill>
                <a:srgbClr val="FFC000"/>
              </a:solidFill>
              <a:ln>
                <a:noFill/>
              </a:ln>
              <a:effectLst/>
            </c:spPr>
            <c:extLst>
              <c:ext xmlns:c16="http://schemas.microsoft.com/office/drawing/2014/chart" uri="{C3380CC4-5D6E-409C-BE32-E72D297353CC}">
                <c16:uniqueId val="{00000003-FE9A-4C5B-91AA-F7CCF0CF80CA}"/>
              </c:ext>
            </c:extLst>
          </c:dPt>
          <c:cat>
            <c:strRef>
              <c:f>'2.0 charts'!$E$43:$K$43</c:f>
              <c:strCache>
                <c:ptCount val="7"/>
                <c:pt idx="0">
                  <c:v>2011</c:v>
                </c:pt>
                <c:pt idx="1">
                  <c:v>2012</c:v>
                </c:pt>
                <c:pt idx="2">
                  <c:v>2013</c:v>
                </c:pt>
                <c:pt idx="3">
                  <c:v>2014</c:v>
                </c:pt>
                <c:pt idx="4">
                  <c:v>2015</c:v>
                </c:pt>
                <c:pt idx="5">
                  <c:v>2016E</c:v>
                </c:pt>
                <c:pt idx="6">
                  <c:v>2017E</c:v>
                </c:pt>
              </c:strCache>
            </c:strRef>
          </c:cat>
          <c:val>
            <c:numRef>
              <c:f>'2.0 charts'!$E$56:$K$56</c:f>
              <c:numCache>
                <c:formatCode>_(* #,##0_);_(* \(#,##0\);_(* "-"??_);_(@_)</c:formatCode>
                <c:ptCount val="7"/>
                <c:pt idx="0">
                  <c:v>138315</c:v>
                </c:pt>
                <c:pt idx="1">
                  <c:v>143676</c:v>
                </c:pt>
                <c:pt idx="2">
                  <c:v>154793</c:v>
                </c:pt>
                <c:pt idx="3">
                  <c:v>161798</c:v>
                </c:pt>
                <c:pt idx="4">
                  <c:v>168451</c:v>
                </c:pt>
                <c:pt idx="5">
                  <c:v>176959.82151725848</c:v>
                </c:pt>
                <c:pt idx="6">
                  <c:v>185898.44186986113</c:v>
                </c:pt>
              </c:numCache>
            </c:numRef>
          </c:val>
          <c:extLst>
            <c:ext xmlns:c16="http://schemas.microsoft.com/office/drawing/2014/chart" uri="{C3380CC4-5D6E-409C-BE32-E72D297353CC}">
              <c16:uniqueId val="{00000004-FE9A-4C5B-91AA-F7CCF0CF80CA}"/>
            </c:ext>
          </c:extLst>
        </c:ser>
        <c:dLbls>
          <c:showLegendKey val="0"/>
          <c:showVal val="0"/>
          <c:showCatName val="0"/>
          <c:showSerName val="0"/>
          <c:showPercent val="0"/>
          <c:showBubbleSize val="0"/>
        </c:dLbls>
        <c:gapWidth val="75"/>
        <c:axId val="126457728"/>
        <c:axId val="126459264"/>
      </c:barChart>
      <c:catAx>
        <c:axId val="126457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6459264"/>
        <c:crosses val="autoZero"/>
        <c:auto val="1"/>
        <c:lblAlgn val="ctr"/>
        <c:lblOffset val="100"/>
        <c:noMultiLvlLbl val="0"/>
      </c:catAx>
      <c:valAx>
        <c:axId val="126459264"/>
        <c:scaling>
          <c:orientation val="minMax"/>
          <c:min val="100000"/>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6457728"/>
        <c:crosses val="autoZero"/>
        <c:crossBetween val="between"/>
        <c:dispUnits>
          <c:builtInUnit val="thousands"/>
          <c:dispUnitsLbl>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(Km Thousands)</a:t>
                  </a:r>
                </a:p>
              </c:rich>
            </c:tx>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dispUnitsLbl>
        </c:dispUnits>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'2.0 charts'!$B$75</c:f>
              <c:strCache>
                <c:ptCount val="1"/>
                <c:pt idx="0">
                  <c:v>No of rooms</c:v>
                </c:pt>
              </c:strCache>
            </c:strRef>
          </c:tx>
          <c:spPr>
            <a:solidFill>
              <a:srgbClr val="FFC000"/>
            </a:solidFill>
            <a:ln>
              <a:noFill/>
            </a:ln>
            <a:effectLst/>
          </c:spPr>
          <c:invertIfNegative val="0"/>
          <c:dPt>
            <c:idx val="0"/>
            <c:invertIfNegative val="0"/>
            <c:bubble3D val="0"/>
            <c:spPr>
              <a:solidFill>
                <a:srgbClr val="002060"/>
              </a:solidFill>
              <a:ln>
                <a:noFill/>
              </a:ln>
              <a:effectLst/>
            </c:spPr>
            <c:extLst>
              <c:ext xmlns:c16="http://schemas.microsoft.com/office/drawing/2014/chart" uri="{C3380CC4-5D6E-409C-BE32-E72D297353CC}">
                <c16:uniqueId val="{00000001-C06A-4369-8545-C8E5FE1153C5}"/>
              </c:ext>
            </c:extLst>
          </c:dPt>
          <c:dPt>
            <c:idx val="2"/>
            <c:invertIfNegative val="0"/>
            <c:bubble3D val="0"/>
            <c:extLst>
              <c:ext xmlns:c16="http://schemas.microsoft.com/office/drawing/2014/chart" uri="{C3380CC4-5D6E-409C-BE32-E72D297353CC}">
                <c16:uniqueId val="{00000002-C06A-4369-8545-C8E5FE1153C5}"/>
              </c:ext>
            </c:extLst>
          </c:dPt>
          <c:dPt>
            <c:idx val="4"/>
            <c:invertIfNegative val="0"/>
            <c:bubble3D val="0"/>
            <c:extLst>
              <c:ext xmlns:c16="http://schemas.microsoft.com/office/drawing/2014/chart" uri="{C3380CC4-5D6E-409C-BE32-E72D297353CC}">
                <c16:uniqueId val="{00000003-C06A-4369-8545-C8E5FE1153C5}"/>
              </c:ext>
            </c:extLst>
          </c:dPt>
          <c:cat>
            <c:strRef>
              <c:f>'2.0 charts'!$D$74:$H$74</c:f>
              <c:strCache>
                <c:ptCount val="5"/>
                <c:pt idx="0">
                  <c:v>2015</c:v>
                </c:pt>
                <c:pt idx="2">
                  <c:v>2018E</c:v>
                </c:pt>
                <c:pt idx="4">
                  <c:v>2020E</c:v>
                </c:pt>
              </c:strCache>
            </c:strRef>
          </c:cat>
          <c:val>
            <c:numRef>
              <c:f>'2.0 charts'!$D$75:$H$75</c:f>
              <c:numCache>
                <c:formatCode>General</c:formatCode>
                <c:ptCount val="5"/>
                <c:pt idx="0" formatCode="#,##0">
                  <c:v>33426</c:v>
                </c:pt>
                <c:pt idx="2">
                  <c:v>45000</c:v>
                </c:pt>
                <c:pt idx="4">
                  <c:v>75000</c:v>
                </c:pt>
              </c:numCache>
            </c:numRef>
          </c:val>
          <c:extLst>
            <c:ext xmlns:c16="http://schemas.microsoft.com/office/drawing/2014/chart" uri="{C3380CC4-5D6E-409C-BE32-E72D297353CC}">
              <c16:uniqueId val="{00000004-C06A-4369-8545-C8E5FE1153C5}"/>
            </c:ext>
          </c:extLst>
        </c:ser>
        <c:dLbls>
          <c:showLegendKey val="0"/>
          <c:showVal val="0"/>
          <c:showCatName val="0"/>
          <c:showSerName val="0"/>
          <c:showPercent val="0"/>
          <c:showBubbleSize val="0"/>
        </c:dLbls>
        <c:gapWidth val="75"/>
        <c:overlap val="-27"/>
        <c:axId val="115167616"/>
        <c:axId val="115169152"/>
      </c:barChart>
      <c:catAx>
        <c:axId val="115167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15169152"/>
        <c:crosses val="autoZero"/>
        <c:auto val="1"/>
        <c:lblAlgn val="ctr"/>
        <c:lblOffset val="100"/>
        <c:noMultiLvlLbl val="0"/>
      </c:catAx>
      <c:valAx>
        <c:axId val="1151691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15167616"/>
        <c:crosses val="autoZero"/>
        <c:crossBetween val="between"/>
        <c:dispUnits>
          <c:builtInUnit val="thousands"/>
          <c:dispUnitsLbl>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(No of rooms - Thousands)</a:t>
                  </a:r>
                </a:p>
              </c:rich>
            </c:tx>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dispUnitsLbl>
        </c:dispUnits>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'2.0 charts'!$B$83</c:f>
              <c:strCache>
                <c:ptCount val="1"/>
                <c:pt idx="0">
                  <c:v>Greater Colombo Housing Approval</c:v>
                </c:pt>
              </c:strCache>
            </c:strRef>
          </c:tx>
          <c:spPr>
            <a:solidFill>
              <a:srgbClr val="FFE699"/>
            </a:solidFill>
            <a:ln>
              <a:noFill/>
            </a:ln>
            <a:effectLst/>
          </c:spPr>
          <c:invertIfNegative val="0"/>
          <c:dPt>
            <c:idx val="5"/>
            <c:invertIfNegative val="0"/>
            <c:bubble3D val="0"/>
            <c:spPr>
              <a:solidFill>
                <a:srgbClr val="FFC000"/>
              </a:solidFill>
              <a:ln>
                <a:noFill/>
              </a:ln>
              <a:effectLst/>
            </c:spPr>
            <c:extLst>
              <c:ext xmlns:c16="http://schemas.microsoft.com/office/drawing/2014/chart" uri="{C3380CC4-5D6E-409C-BE32-E72D297353CC}">
                <c16:uniqueId val="{00000001-49F6-476D-82C5-97E678928EAF}"/>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'2.0 charts'!$B$84:$B$89</c:f>
              <c:numCache>
                <c:formatCode>General</c:formatCode>
                <c:ptCount val="6"/>
                <c:pt idx="0">
                  <c:v>2010</c:v>
                </c:pt>
                <c:pt idx="1">
                  <c:v>2011</c:v>
                </c:pt>
                <c:pt idx="2">
                  <c:v>2012</c:v>
                </c:pt>
                <c:pt idx="3">
                  <c:v>2013</c:v>
                </c:pt>
                <c:pt idx="4">
                  <c:v>2014</c:v>
                </c:pt>
                <c:pt idx="5">
                  <c:v>2015</c:v>
                </c:pt>
              </c:numCache>
            </c:numRef>
          </c:cat>
          <c:val>
            <c:numRef>
              <c:f>'2.0 charts'!$C$84:$C$89</c:f>
              <c:numCache>
                <c:formatCode>#,##0</c:formatCode>
                <c:ptCount val="6"/>
                <c:pt idx="0">
                  <c:v>10721</c:v>
                </c:pt>
                <c:pt idx="1">
                  <c:v>12184</c:v>
                </c:pt>
                <c:pt idx="2">
                  <c:v>12695</c:v>
                </c:pt>
                <c:pt idx="3">
                  <c:v>12257</c:v>
                </c:pt>
                <c:pt idx="4">
                  <c:v>13477</c:v>
                </c:pt>
                <c:pt idx="5">
                  <c:v>15026</c:v>
                </c:pt>
              </c:numCache>
            </c:numRef>
          </c:val>
          <c:extLst>
            <c:ext xmlns:c16="http://schemas.microsoft.com/office/drawing/2014/chart" uri="{C3380CC4-5D6E-409C-BE32-E72D297353CC}">
              <c16:uniqueId val="{00000002-49F6-476D-82C5-97E678928EAF}"/>
            </c:ext>
          </c:extLst>
        </c:ser>
        <c:dLbls>
          <c:showLegendKey val="0"/>
          <c:showVal val="0"/>
          <c:showCatName val="0"/>
          <c:showSerName val="0"/>
          <c:showPercent val="0"/>
          <c:showBubbleSize val="0"/>
        </c:dLbls>
        <c:gapWidth val="75"/>
        <c:overlap val="-27"/>
        <c:axId val="115194112"/>
        <c:axId val="115200000"/>
      </c:barChart>
      <c:catAx>
        <c:axId val="115194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15200000"/>
        <c:crosses val="autoZero"/>
        <c:auto val="1"/>
        <c:lblAlgn val="ctr"/>
        <c:lblOffset val="100"/>
        <c:noMultiLvlLbl val="0"/>
      </c:catAx>
      <c:valAx>
        <c:axId val="115200000"/>
        <c:scaling>
          <c:orientation val="minMax"/>
          <c:min val="10000"/>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1519411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002060"/>
            </a:solidFill>
            <a:ln>
              <a:noFill/>
            </a:ln>
            <a:effectLst/>
          </c:spPr>
          <c:invertIfNegative val="0"/>
          <c:dPt>
            <c:idx val="0"/>
            <c:invertIfNegative val="0"/>
            <c:bubble3D val="0"/>
            <c:extLst>
              <c:ext xmlns:c16="http://schemas.microsoft.com/office/drawing/2014/chart" uri="{C3380CC4-5D6E-409C-BE32-E72D297353CC}">
                <c16:uniqueId val="{00000000-D125-4D79-91DD-BB80236A4436}"/>
              </c:ext>
            </c:extLst>
          </c:dPt>
          <c:dPt>
            <c:idx val="2"/>
            <c:invertIfNegative val="0"/>
            <c:bubble3D val="0"/>
            <c:spPr>
              <a:solidFill>
                <a:srgbClr val="FFC000"/>
              </a:solidFill>
              <a:ln>
                <a:noFill/>
              </a:ln>
              <a:effectLst/>
            </c:spPr>
            <c:extLst>
              <c:ext xmlns:c16="http://schemas.microsoft.com/office/drawing/2014/chart" uri="{C3380CC4-5D6E-409C-BE32-E72D297353CC}">
                <c16:uniqueId val="{00000002-D125-4D79-91DD-BB80236A4436}"/>
              </c:ext>
            </c:extLst>
          </c:dPt>
          <c:cat>
            <c:strRef>
              <c:f>'2.0 charts'!$B$102:$B$104</c:f>
              <c:strCache>
                <c:ptCount val="3"/>
                <c:pt idx="0">
                  <c:v>2015</c:v>
                </c:pt>
                <c:pt idx="2">
                  <c:v>2018-19E</c:v>
                </c:pt>
              </c:strCache>
            </c:strRef>
          </c:cat>
          <c:val>
            <c:numRef>
              <c:f>'2.0 charts'!$C$102:$C$104</c:f>
              <c:numCache>
                <c:formatCode>General</c:formatCode>
                <c:ptCount val="3"/>
                <c:pt idx="0">
                  <c:v>2657</c:v>
                </c:pt>
                <c:pt idx="2">
                  <c:v>6000</c:v>
                </c:pt>
              </c:numCache>
            </c:numRef>
          </c:val>
          <c:extLst>
            <c:ext xmlns:c16="http://schemas.microsoft.com/office/drawing/2014/chart" uri="{C3380CC4-5D6E-409C-BE32-E72D297353CC}">
              <c16:uniqueId val="{00000003-D125-4D79-91DD-BB80236A4436}"/>
            </c:ext>
          </c:extLst>
        </c:ser>
        <c:dLbls>
          <c:showLegendKey val="0"/>
          <c:showVal val="0"/>
          <c:showCatName val="0"/>
          <c:showSerName val="0"/>
          <c:showPercent val="0"/>
          <c:showBubbleSize val="0"/>
        </c:dLbls>
        <c:gapWidth val="75"/>
        <c:overlap val="-27"/>
        <c:axId val="126132224"/>
        <c:axId val="126133760"/>
      </c:barChart>
      <c:catAx>
        <c:axId val="126132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6133760"/>
        <c:crosses val="autoZero"/>
        <c:auto val="1"/>
        <c:lblAlgn val="ctr"/>
        <c:lblOffset val="100"/>
        <c:noMultiLvlLbl val="0"/>
      </c:catAx>
      <c:valAx>
        <c:axId val="126133760"/>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613222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56496062992127"/>
          <c:y val="5.2430737824438599E-2"/>
          <c:w val="0.85410170603674551"/>
          <c:h val="0.81438976377952754"/>
        </c:manualLayout>
      </c:layout>
      <c:barChart>
        <c:barDir val="col"/>
        <c:grouping val="clustered"/>
        <c:varyColors val="0"/>
        <c:ser>
          <c:idx val="0"/>
          <c:order val="0"/>
          <c:spPr>
            <a:solidFill>
              <a:srgbClr val="FFE699"/>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1-0B2C-4FBF-AB75-596C87F2BEB8}"/>
              </c:ext>
            </c:extLst>
          </c:dPt>
          <c:cat>
            <c:numRef>
              <c:f>'2.0 charts'!$B$121:$B$124</c:f>
              <c:numCache>
                <c:formatCode>General</c:formatCode>
                <c:ptCount val="4"/>
                <c:pt idx="0">
                  <c:v>2012</c:v>
                </c:pt>
                <c:pt idx="1">
                  <c:v>2013</c:v>
                </c:pt>
                <c:pt idx="2">
                  <c:v>2014</c:v>
                </c:pt>
                <c:pt idx="3">
                  <c:v>2015</c:v>
                </c:pt>
              </c:numCache>
            </c:numRef>
          </c:cat>
          <c:val>
            <c:numRef>
              <c:f>'2.0 charts'!$C$121:$C$124</c:f>
              <c:numCache>
                <c:formatCode>General</c:formatCode>
                <c:ptCount val="4"/>
                <c:pt idx="0">
                  <c:v>686.70799999999997</c:v>
                </c:pt>
                <c:pt idx="1">
                  <c:v>495.20499999999998</c:v>
                </c:pt>
                <c:pt idx="2">
                  <c:v>268.928</c:v>
                </c:pt>
                <c:pt idx="3">
                  <c:v>396.75599999999997</c:v>
                </c:pt>
              </c:numCache>
            </c:numRef>
          </c:val>
          <c:extLst>
            <c:ext xmlns:c16="http://schemas.microsoft.com/office/drawing/2014/chart" uri="{C3380CC4-5D6E-409C-BE32-E72D297353CC}">
              <c16:uniqueId val="{00000002-0B2C-4FBF-AB75-596C87F2BEB8}"/>
            </c:ext>
          </c:extLst>
        </c:ser>
        <c:dLbls>
          <c:showLegendKey val="0"/>
          <c:showVal val="0"/>
          <c:showCatName val="0"/>
          <c:showSerName val="0"/>
          <c:showPercent val="0"/>
          <c:showBubbleSize val="0"/>
        </c:dLbls>
        <c:gapWidth val="75"/>
        <c:overlap val="-27"/>
        <c:axId val="126325888"/>
        <c:axId val="126327424"/>
      </c:barChart>
      <c:catAx>
        <c:axId val="12632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6327424"/>
        <c:crosses val="autoZero"/>
        <c:auto val="1"/>
        <c:lblAlgn val="ctr"/>
        <c:lblOffset val="100"/>
        <c:noMultiLvlLbl val="0"/>
      </c:catAx>
      <c:valAx>
        <c:axId val="126327424"/>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(Total investment LKR Bn)</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632588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606688052882279"/>
          <c:y val="6.5347842755610605E-2"/>
          <c:w val="0.64602605229901822"/>
          <c:h val="0.78394172638532544"/>
        </c:manualLayout>
      </c:layout>
      <c:doughnutChart>
        <c:varyColors val="1"/>
        <c:ser>
          <c:idx val="0"/>
          <c:order val="0"/>
          <c:tx>
            <c:strRef>
              <c:f>'2.0 charts'!$B$4:$B$6</c:f>
              <c:strCache>
                <c:ptCount val="3"/>
                <c:pt idx="0">
                  <c:v>Cables</c:v>
                </c:pt>
                <c:pt idx="1">
                  <c:v>PVC Compound</c:v>
                </c:pt>
                <c:pt idx="2">
                  <c:v>Other</c:v>
                </c:pt>
              </c:strCache>
            </c:strRef>
          </c:tx>
          <c:spPr>
            <a:solidFill>
              <a:srgbClr val="FFC000"/>
            </a:solidFill>
            <a:ln>
              <a:noFill/>
            </a:ln>
          </c:spPr>
          <c:dPt>
            <c:idx val="0"/>
            <c:bubble3D val="0"/>
            <c:spPr>
              <a:solidFill>
                <a:srgbClr val="002060"/>
              </a:solidFill>
              <a:ln w="19050">
                <a:noFill/>
              </a:ln>
              <a:effectLst/>
            </c:spPr>
            <c:extLst>
              <c:ext xmlns:c16="http://schemas.microsoft.com/office/drawing/2014/chart" uri="{C3380CC4-5D6E-409C-BE32-E72D297353CC}">
                <c16:uniqueId val="{00000001-B453-44E3-82D9-4C4837DE35A6}"/>
              </c:ext>
            </c:extLst>
          </c:dPt>
          <c:dPt>
            <c:idx val="1"/>
            <c:bubble3D val="0"/>
            <c:spPr>
              <a:solidFill>
                <a:srgbClr val="FFC000"/>
              </a:solidFill>
              <a:ln w="19050">
                <a:noFill/>
              </a:ln>
              <a:effectLst/>
            </c:spPr>
            <c:extLst>
              <c:ext xmlns:c16="http://schemas.microsoft.com/office/drawing/2014/chart" uri="{C3380CC4-5D6E-409C-BE32-E72D297353CC}">
                <c16:uniqueId val="{00000003-B453-44E3-82D9-4C4837DE35A6}"/>
              </c:ext>
            </c:extLst>
          </c:dPt>
          <c:dPt>
            <c:idx val="2"/>
            <c:bubble3D val="0"/>
            <c:spPr>
              <a:solidFill>
                <a:srgbClr val="FFE699"/>
              </a:solidFill>
              <a:ln w="19050">
                <a:noFill/>
              </a:ln>
              <a:effectLst/>
            </c:spPr>
            <c:extLst>
              <c:ext xmlns:c16="http://schemas.microsoft.com/office/drawing/2014/chart" uri="{C3380CC4-5D6E-409C-BE32-E72D297353CC}">
                <c16:uniqueId val="{00000005-B453-44E3-82D9-4C4837DE35A6}"/>
              </c:ext>
            </c:extLst>
          </c:dPt>
          <c:dLbls>
            <c:dLbl>
              <c:idx val="0"/>
              <c:layout>
                <c:manualLayout>
                  <c:x val="0.30041152263374488"/>
                  <c:y val="-0.1148564294631711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453-44E3-82D9-4C4837DE35A6}"/>
                </c:ext>
              </c:extLst>
            </c:dLbl>
            <c:dLbl>
              <c:idx val="1"/>
              <c:layout>
                <c:manualLayout>
                  <c:x val="-2.0576131687242798E-2"/>
                  <c:y val="-0.12983770287141075"/>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453-44E3-82D9-4C4837DE35A6}"/>
                </c:ext>
              </c:extLst>
            </c:dLbl>
            <c:dLbl>
              <c:idx val="2"/>
              <c:layout>
                <c:manualLayout>
                  <c:x val="2.0576131687242722E-2"/>
                  <c:y val="-0.1198501872659176"/>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453-44E3-82D9-4C4837DE35A6}"/>
                </c:ext>
              </c:extLst>
            </c:dLbl>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'2.0 charts'!$B$4:$B$6</c:f>
              <c:strCache>
                <c:ptCount val="3"/>
                <c:pt idx="0">
                  <c:v>Cables</c:v>
                </c:pt>
                <c:pt idx="1">
                  <c:v>PVC Compound</c:v>
                </c:pt>
                <c:pt idx="2">
                  <c:v>Other</c:v>
                </c:pt>
              </c:strCache>
            </c:strRef>
          </c:cat>
          <c:val>
            <c:numRef>
              <c:f>'2.0 charts'!$D$4:$D$6</c:f>
              <c:numCache>
                <c:formatCode>General</c:formatCode>
                <c:ptCount val="3"/>
                <c:pt idx="0">
                  <c:v>12302.486000000001</c:v>
                </c:pt>
                <c:pt idx="1">
                  <c:v>75.653000000000006</c:v>
                </c:pt>
                <c:pt idx="2">
                  <c:v>433.08499999999998</c:v>
                </c:pt>
              </c:numCache>
            </c:numRef>
          </c:val>
          <c:extLst>
            <c:ext xmlns:c16="http://schemas.microsoft.com/office/drawing/2014/chart" uri="{C3380CC4-5D6E-409C-BE32-E72D297353CC}">
              <c16:uniqueId val="{00000006-B453-44E3-82D9-4C4837DE35A6}"/>
            </c:ext>
          </c:extLst>
        </c:ser>
        <c:dLbls>
          <c:showLegendKey val="0"/>
          <c:showVal val="1"/>
          <c:showCatName val="0"/>
          <c:showSerName val="0"/>
          <c:showPercent val="0"/>
          <c:showBubbleSize val="0"/>
          <c:showLeaderLines val="1"/>
        </c:dLbls>
        <c:firstSliceAng val="0"/>
        <c:holeSize val="45"/>
      </c:doughnutChart>
      <c:spPr>
        <a:noFill/>
        <a:ln>
          <a:noFill/>
        </a:ln>
        <a:effectLst/>
      </c:spPr>
    </c:plotArea>
    <c:legend>
      <c:legendPos val="b"/>
      <c:layout>
        <c:manualLayout>
          <c:xMode val="edge"/>
          <c:yMode val="edge"/>
          <c:x val="0.11273808366546777"/>
          <c:y val="0.90074847385649826"/>
          <c:w val="0.7879916399338972"/>
          <c:h val="8.4270252735262022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606688052882279"/>
          <c:y val="6.5347842755610605E-2"/>
          <c:w val="0.64602605229901822"/>
          <c:h val="0.78394172638532544"/>
        </c:manualLayout>
      </c:layout>
      <c:doughnutChart>
        <c:varyColors val="1"/>
        <c:ser>
          <c:idx val="0"/>
          <c:order val="0"/>
          <c:tx>
            <c:strRef>
              <c:f>'2.0 charts'!$B$11:$B$12</c:f>
              <c:strCache>
                <c:ptCount val="2"/>
                <c:pt idx="0">
                  <c:v>Local</c:v>
                </c:pt>
                <c:pt idx="1">
                  <c:v>Export</c:v>
                </c:pt>
              </c:strCache>
            </c:strRef>
          </c:tx>
          <c:spPr>
            <a:solidFill>
              <a:srgbClr val="FFC000"/>
            </a:solidFill>
            <a:ln>
              <a:noFill/>
            </a:ln>
          </c:spPr>
          <c:dPt>
            <c:idx val="0"/>
            <c:bubble3D val="0"/>
            <c:spPr>
              <a:solidFill>
                <a:srgbClr val="002060"/>
              </a:solidFill>
              <a:ln w="19050">
                <a:noFill/>
              </a:ln>
              <a:effectLst/>
            </c:spPr>
            <c:extLst>
              <c:ext xmlns:c16="http://schemas.microsoft.com/office/drawing/2014/chart" uri="{C3380CC4-5D6E-409C-BE32-E72D297353CC}">
                <c16:uniqueId val="{00000001-E755-4C40-B0E9-5236F838949C}"/>
              </c:ext>
            </c:extLst>
          </c:dPt>
          <c:dPt>
            <c:idx val="1"/>
            <c:bubble3D val="0"/>
            <c:spPr>
              <a:solidFill>
                <a:srgbClr val="FFC000"/>
              </a:solidFill>
              <a:ln w="19050">
                <a:noFill/>
              </a:ln>
              <a:effectLst/>
            </c:spPr>
            <c:extLst>
              <c:ext xmlns:c16="http://schemas.microsoft.com/office/drawing/2014/chart" uri="{C3380CC4-5D6E-409C-BE32-E72D297353CC}">
                <c16:uniqueId val="{00000003-E755-4C40-B0E9-5236F838949C}"/>
              </c:ext>
            </c:extLst>
          </c:dPt>
          <c:dLbls>
            <c:dLbl>
              <c:idx val="0"/>
              <c:layout>
                <c:manualLayout>
                  <c:x val="7.8189300411522555E-2"/>
                  <c:y val="0.1163700878853558"/>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755-4C40-B0E9-5236F838949C}"/>
                </c:ext>
              </c:extLst>
            </c:dLbl>
            <c:dLbl>
              <c:idx val="1"/>
              <c:layout>
                <c:manualLayout>
                  <c:x val="-3.7037037037037035E-2"/>
                  <c:y val="-0.1248440286427611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755-4C40-B0E9-5236F838949C}"/>
                </c:ext>
              </c:extLst>
            </c:dLbl>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'2.0 charts'!$B$11:$B$12</c:f>
              <c:strCache>
                <c:ptCount val="2"/>
                <c:pt idx="0">
                  <c:v>Local</c:v>
                </c:pt>
                <c:pt idx="1">
                  <c:v>Export</c:v>
                </c:pt>
              </c:strCache>
            </c:strRef>
          </c:cat>
          <c:val>
            <c:numRef>
              <c:f>'2.0 charts'!$D$11:$D$12</c:f>
              <c:numCache>
                <c:formatCode>General</c:formatCode>
                <c:ptCount val="2"/>
                <c:pt idx="0">
                  <c:v>11636.076999999999</c:v>
                </c:pt>
                <c:pt idx="1">
                  <c:v>1175.1469999999999</c:v>
                </c:pt>
              </c:numCache>
            </c:numRef>
          </c:val>
          <c:extLst>
            <c:ext xmlns:c16="http://schemas.microsoft.com/office/drawing/2014/chart" uri="{C3380CC4-5D6E-409C-BE32-E72D297353CC}">
              <c16:uniqueId val="{00000004-E755-4C40-B0E9-5236F838949C}"/>
            </c:ext>
          </c:extLst>
        </c:ser>
        <c:dLbls>
          <c:showLegendKey val="0"/>
          <c:showVal val="1"/>
          <c:showCatName val="0"/>
          <c:showSerName val="0"/>
          <c:showPercent val="0"/>
          <c:showBubbleSize val="0"/>
          <c:showLeaderLines val="1"/>
        </c:dLbls>
        <c:firstSliceAng val="0"/>
        <c:holeSize val="45"/>
      </c:doughnutChart>
      <c:spPr>
        <a:noFill/>
        <a:ln>
          <a:noFill/>
        </a:ln>
        <a:effectLst/>
      </c:spPr>
    </c:plotArea>
    <c:legend>
      <c:legendPos val="b"/>
      <c:layout>
        <c:manualLayout>
          <c:xMode val="edge"/>
          <c:yMode val="edge"/>
          <c:x val="0.11273808366546777"/>
          <c:y val="0.90074847385649826"/>
          <c:w val="0.7879916399338972"/>
          <c:h val="8.4270252735262022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606688052882279"/>
          <c:y val="6.5347842755610605E-2"/>
          <c:w val="0.64602605229901822"/>
          <c:h val="0.78394172638532544"/>
        </c:manualLayout>
      </c:layout>
      <c:doughnutChart>
        <c:varyColors val="1"/>
        <c:ser>
          <c:idx val="0"/>
          <c:order val="0"/>
          <c:tx>
            <c:strRef>
              <c:f>'2.0 charts'!$B$19:$B$21</c:f>
              <c:strCache>
                <c:ptCount val="3"/>
                <c:pt idx="0">
                  <c:v>CEB</c:v>
                </c:pt>
                <c:pt idx="1">
                  <c:v>Institutional</c:v>
                </c:pt>
                <c:pt idx="2">
                  <c:v>Retail</c:v>
                </c:pt>
              </c:strCache>
            </c:strRef>
          </c:tx>
          <c:spPr>
            <a:ln>
              <a:noFill/>
            </a:ln>
          </c:spPr>
          <c:dPt>
            <c:idx val="0"/>
            <c:bubble3D val="0"/>
            <c:spPr>
              <a:solidFill>
                <a:srgbClr val="002060"/>
              </a:solidFill>
              <a:ln w="19050">
                <a:noFill/>
              </a:ln>
              <a:effectLst/>
            </c:spPr>
            <c:extLst>
              <c:ext xmlns:c16="http://schemas.microsoft.com/office/drawing/2014/chart" uri="{C3380CC4-5D6E-409C-BE32-E72D297353CC}">
                <c16:uniqueId val="{00000001-01AB-4913-86F5-921DA8280B1F}"/>
              </c:ext>
            </c:extLst>
          </c:dPt>
          <c:dPt>
            <c:idx val="1"/>
            <c:bubble3D val="0"/>
            <c:spPr>
              <a:solidFill>
                <a:srgbClr val="FFC000"/>
              </a:solidFill>
              <a:ln w="19050">
                <a:noFill/>
              </a:ln>
              <a:effectLst/>
            </c:spPr>
            <c:extLst>
              <c:ext xmlns:c16="http://schemas.microsoft.com/office/drawing/2014/chart" uri="{C3380CC4-5D6E-409C-BE32-E72D297353CC}">
                <c16:uniqueId val="{00000003-01AB-4913-86F5-921DA8280B1F}"/>
              </c:ext>
            </c:extLst>
          </c:dPt>
          <c:dPt>
            <c:idx val="2"/>
            <c:bubble3D val="0"/>
            <c:spPr>
              <a:solidFill>
                <a:srgbClr val="FFE699"/>
              </a:solidFill>
              <a:ln w="19050">
                <a:noFill/>
              </a:ln>
              <a:effectLst/>
            </c:spPr>
            <c:extLst>
              <c:ext xmlns:c16="http://schemas.microsoft.com/office/drawing/2014/chart" uri="{C3380CC4-5D6E-409C-BE32-E72D297353CC}">
                <c16:uniqueId val="{00000005-01AB-4913-86F5-921DA8280B1F}"/>
              </c:ext>
            </c:extLst>
          </c:dPt>
          <c:dLbls>
            <c:dLbl>
              <c:idx val="0"/>
              <c:layout>
                <c:manualLayout>
                  <c:x val="0.10288065843621384"/>
                  <c:y val="-8.362369337979096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1AB-4913-86F5-921DA8280B1F}"/>
                </c:ext>
              </c:extLst>
            </c:dLbl>
            <c:dLbl>
              <c:idx val="1"/>
              <c:layout>
                <c:manualLayout>
                  <c:x val="0.24691358024691343"/>
                  <c:y val="4.181184668989547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1AB-4913-86F5-921DA8280B1F}"/>
                </c:ext>
              </c:extLst>
            </c:dLbl>
            <c:dLbl>
              <c:idx val="2"/>
              <c:layout>
                <c:manualLayout>
                  <c:x val="-9.0534979423868345E-2"/>
                  <c:y val="-0.1207897793263647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1AB-4913-86F5-921DA8280B1F}"/>
                </c:ext>
              </c:extLst>
            </c:dLbl>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'2.0 charts'!$B$19:$B$21</c:f>
              <c:strCache>
                <c:ptCount val="3"/>
                <c:pt idx="0">
                  <c:v>CEB</c:v>
                </c:pt>
                <c:pt idx="1">
                  <c:v>Institutional</c:v>
                </c:pt>
                <c:pt idx="2">
                  <c:v>Retail</c:v>
                </c:pt>
              </c:strCache>
            </c:strRef>
          </c:cat>
          <c:val>
            <c:numRef>
              <c:f>'2.0 charts'!$C$19:$C$21</c:f>
              <c:numCache>
                <c:formatCode>0%</c:formatCode>
                <c:ptCount val="3"/>
                <c:pt idx="0">
                  <c:v>0.3</c:v>
                </c:pt>
                <c:pt idx="1">
                  <c:v>0.4</c:v>
                </c:pt>
                <c:pt idx="2">
                  <c:v>0.29999999999999993</c:v>
                </c:pt>
              </c:numCache>
            </c:numRef>
          </c:val>
          <c:extLst>
            <c:ext xmlns:c16="http://schemas.microsoft.com/office/drawing/2014/chart" uri="{C3380CC4-5D6E-409C-BE32-E72D297353CC}">
              <c16:uniqueId val="{00000006-01AB-4913-86F5-921DA8280B1F}"/>
            </c:ext>
          </c:extLst>
        </c:ser>
        <c:dLbls>
          <c:showLegendKey val="0"/>
          <c:showVal val="1"/>
          <c:showCatName val="0"/>
          <c:showSerName val="0"/>
          <c:showPercent val="0"/>
          <c:showBubbleSize val="0"/>
          <c:showLeaderLines val="1"/>
        </c:dLbls>
        <c:firstSliceAng val="0"/>
        <c:holeSize val="45"/>
      </c:doughnutChart>
      <c:spPr>
        <a:noFill/>
        <a:ln>
          <a:noFill/>
        </a:ln>
        <a:effectLst/>
      </c:spPr>
    </c:plotArea>
    <c:legend>
      <c:legendPos val="b"/>
      <c:layout>
        <c:manualLayout>
          <c:xMode val="edge"/>
          <c:yMode val="edge"/>
          <c:x val="0.11273808366546777"/>
          <c:y val="0.90074847385649826"/>
          <c:w val="0.7879916399338972"/>
          <c:h val="8.4270252735262022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'2.0 charts'!$C$134</c:f>
              <c:strCache>
                <c:ptCount val="1"/>
                <c:pt idx="0">
                  <c:v>GDP (LHS)</c:v>
                </c:pt>
              </c:strCache>
            </c:strRef>
          </c:tx>
          <c:spPr>
            <a:solidFill>
              <a:srgbClr val="002060"/>
            </a:solidFill>
            <a:ln>
              <a:noFill/>
            </a:ln>
            <a:effectLst/>
          </c:spPr>
          <c:invertIfNegative val="0"/>
          <c:dPt>
            <c:idx val="0"/>
            <c:invertIfNegative val="0"/>
            <c:bubble3D val="0"/>
            <c:spPr>
              <a:solidFill>
                <a:srgbClr val="FFE699"/>
              </a:solidFill>
              <a:ln>
                <a:noFill/>
              </a:ln>
              <a:effectLst/>
            </c:spPr>
            <c:extLst>
              <c:ext xmlns:c16="http://schemas.microsoft.com/office/drawing/2014/chart" uri="{C3380CC4-5D6E-409C-BE32-E72D297353CC}">
                <c16:uniqueId val="{00000001-9063-4B29-9106-5EA89FADFEFA}"/>
              </c:ext>
            </c:extLst>
          </c:dPt>
          <c:dPt>
            <c:idx val="1"/>
            <c:invertIfNegative val="0"/>
            <c:bubble3D val="0"/>
            <c:spPr>
              <a:solidFill>
                <a:srgbClr val="FFE699"/>
              </a:solidFill>
              <a:ln>
                <a:noFill/>
              </a:ln>
              <a:effectLst/>
            </c:spPr>
            <c:extLst>
              <c:ext xmlns:c16="http://schemas.microsoft.com/office/drawing/2014/chart" uri="{C3380CC4-5D6E-409C-BE32-E72D297353CC}">
                <c16:uniqueId val="{00000003-9063-4B29-9106-5EA89FADFEFA}"/>
              </c:ext>
            </c:extLst>
          </c:dPt>
          <c:dPt>
            <c:idx val="2"/>
            <c:invertIfNegative val="0"/>
            <c:bubble3D val="0"/>
            <c:spPr>
              <a:solidFill>
                <a:srgbClr val="FFE699"/>
              </a:solidFill>
              <a:ln>
                <a:noFill/>
              </a:ln>
              <a:effectLst/>
            </c:spPr>
            <c:extLst>
              <c:ext xmlns:c16="http://schemas.microsoft.com/office/drawing/2014/chart" uri="{C3380CC4-5D6E-409C-BE32-E72D297353CC}">
                <c16:uniqueId val="{00000005-9063-4B29-9106-5EA89FADFEFA}"/>
              </c:ext>
            </c:extLst>
          </c:dPt>
          <c:cat>
            <c:strRef>
              <c:f>'2.0 charts'!$B$135:$B$141</c:f>
              <c:strCache>
                <c:ptCount val="7"/>
                <c:pt idx="0">
                  <c:v>2013</c:v>
                </c:pt>
                <c:pt idx="1">
                  <c:v>2014</c:v>
                </c:pt>
                <c:pt idx="2">
                  <c:v>2015</c:v>
                </c:pt>
                <c:pt idx="3">
                  <c:v>2016E</c:v>
                </c:pt>
                <c:pt idx="4">
                  <c:v>2017E</c:v>
                </c:pt>
                <c:pt idx="5">
                  <c:v>2018E</c:v>
                </c:pt>
                <c:pt idx="6">
                  <c:v>2019E</c:v>
                </c:pt>
              </c:strCache>
            </c:strRef>
          </c:cat>
          <c:val>
            <c:numRef>
              <c:f>'2.0 charts'!$C$135:$C$141</c:f>
              <c:numCache>
                <c:formatCode>#,##0.0</c:formatCode>
                <c:ptCount val="7"/>
                <c:pt idx="0">
                  <c:v>9.5920000000000005</c:v>
                </c:pt>
                <c:pt idx="1">
                  <c:v>10.448</c:v>
                </c:pt>
                <c:pt idx="2">
                  <c:v>11.183</c:v>
                </c:pt>
                <c:pt idx="3">
                  <c:v>12.307</c:v>
                </c:pt>
                <c:pt idx="4">
                  <c:v>13.614000000000001</c:v>
                </c:pt>
                <c:pt idx="5">
                  <c:v>15.154999999999999</c:v>
                </c:pt>
                <c:pt idx="6">
                  <c:v>16.863</c:v>
                </c:pt>
              </c:numCache>
            </c:numRef>
          </c:val>
          <c:extLst>
            <c:ext xmlns:c16="http://schemas.microsoft.com/office/drawing/2014/chart" uri="{C3380CC4-5D6E-409C-BE32-E72D297353CC}">
              <c16:uniqueId val="{00000006-9063-4B29-9106-5EA89FADFEFA}"/>
            </c:ext>
          </c:extLst>
        </c:ser>
        <c:dLbls>
          <c:showLegendKey val="0"/>
          <c:showVal val="0"/>
          <c:showCatName val="0"/>
          <c:showSerName val="0"/>
          <c:showPercent val="0"/>
          <c:showBubbleSize val="0"/>
        </c:dLbls>
        <c:gapWidth val="75"/>
        <c:overlap val="-27"/>
        <c:axId val="127070976"/>
        <c:axId val="127072512"/>
      </c:barChart>
      <c:lineChart>
        <c:grouping val="standard"/>
        <c:varyColors val="0"/>
        <c:ser>
          <c:idx val="1"/>
          <c:order val="1"/>
          <c:tx>
            <c:strRef>
              <c:f>'2.0 charts'!$D$134</c:f>
              <c:strCache>
                <c:ptCount val="1"/>
                <c:pt idx="0">
                  <c:v>Real GDP growth (RHS)</c:v>
                </c:pt>
              </c:strCache>
            </c:strRef>
          </c:tx>
          <c:spPr>
            <a:ln w="28575" cap="rnd">
              <a:solidFill>
                <a:srgbClr val="FFC000"/>
              </a:solidFill>
              <a:round/>
            </a:ln>
            <a:effectLst/>
          </c:spPr>
          <c:marker>
            <c:symbol val="none"/>
          </c:marker>
          <c:dPt>
            <c:idx val="1"/>
            <c:marker>
              <c:symbol val="none"/>
            </c:marker>
            <c:bubble3D val="0"/>
            <c:spPr>
              <a:ln w="28575" cap="rnd">
                <a:solidFill>
                  <a:schemeClr val="accent4">
                    <a:lumMod val="75000"/>
                  </a:schemeClr>
                </a:solidFill>
                <a:round/>
              </a:ln>
              <a:effectLst/>
            </c:spPr>
            <c:extLst>
              <c:ext xmlns:c16="http://schemas.microsoft.com/office/drawing/2014/chart" uri="{C3380CC4-5D6E-409C-BE32-E72D297353CC}">
                <c16:uniqueId val="{00000008-9063-4B29-9106-5EA89FADFEFA}"/>
              </c:ext>
            </c:extLst>
          </c:dPt>
          <c:dPt>
            <c:idx val="2"/>
            <c:marker>
              <c:symbol val="none"/>
            </c:marker>
            <c:bubble3D val="0"/>
            <c:spPr>
              <a:ln w="28575" cap="rnd">
                <a:solidFill>
                  <a:schemeClr val="accent4">
                    <a:lumMod val="75000"/>
                  </a:schemeClr>
                </a:solidFill>
                <a:round/>
              </a:ln>
              <a:effectLst/>
            </c:spPr>
            <c:extLst>
              <c:ext xmlns:c16="http://schemas.microsoft.com/office/drawing/2014/chart" uri="{C3380CC4-5D6E-409C-BE32-E72D297353CC}">
                <c16:uniqueId val="{0000000A-9063-4B29-9106-5EA89FADFEFA}"/>
              </c:ext>
            </c:extLst>
          </c:dPt>
          <c:cat>
            <c:strRef>
              <c:f>'2.0 charts'!$B$135:$B$141</c:f>
              <c:strCache>
                <c:ptCount val="7"/>
                <c:pt idx="0">
                  <c:v>2013</c:v>
                </c:pt>
                <c:pt idx="1">
                  <c:v>2014</c:v>
                </c:pt>
                <c:pt idx="2">
                  <c:v>2015</c:v>
                </c:pt>
                <c:pt idx="3">
                  <c:v>2016E</c:v>
                </c:pt>
                <c:pt idx="4">
                  <c:v>2017E</c:v>
                </c:pt>
                <c:pt idx="5">
                  <c:v>2018E</c:v>
                </c:pt>
                <c:pt idx="6">
                  <c:v>2019E</c:v>
                </c:pt>
              </c:strCache>
            </c:strRef>
          </c:cat>
          <c:val>
            <c:numRef>
              <c:f>'2.0 charts'!$D$135:$D$141</c:f>
              <c:numCache>
                <c:formatCode>0.0%</c:formatCode>
                <c:ptCount val="7"/>
                <c:pt idx="0">
                  <c:v>3.4000000000000002E-2</c:v>
                </c:pt>
                <c:pt idx="1">
                  <c:v>4.9000000000000002E-2</c:v>
                </c:pt>
                <c:pt idx="2">
                  <c:v>4.8000000000000001E-2</c:v>
                </c:pt>
                <c:pt idx="3">
                  <c:v>5.7999999999999996E-2</c:v>
                </c:pt>
                <c:pt idx="4">
                  <c:v>6.3E-2</c:v>
                </c:pt>
                <c:pt idx="5">
                  <c:v>7.0000000000000007E-2</c:v>
                </c:pt>
                <c:pt idx="6">
                  <c:v>7.0000000000000007E-2</c:v>
                </c:pt>
              </c:numCache>
            </c:numRef>
          </c:val>
          <c:smooth val="0"/>
          <c:extLst>
            <c:ext xmlns:c16="http://schemas.microsoft.com/office/drawing/2014/chart" uri="{C3380CC4-5D6E-409C-BE32-E72D297353CC}">
              <c16:uniqueId val="{0000000B-9063-4B29-9106-5EA89FADFEFA}"/>
            </c:ext>
          </c:extLst>
        </c:ser>
        <c:dLbls>
          <c:showLegendKey val="0"/>
          <c:showVal val="0"/>
          <c:showCatName val="0"/>
          <c:showSerName val="0"/>
          <c:showPercent val="0"/>
          <c:showBubbleSize val="0"/>
        </c:dLbls>
        <c:marker val="1"/>
        <c:smooth val="0"/>
        <c:axId val="126830464"/>
        <c:axId val="126828928"/>
      </c:lineChart>
      <c:catAx>
        <c:axId val="127070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7072512"/>
        <c:crosses val="autoZero"/>
        <c:auto val="1"/>
        <c:lblAlgn val="ctr"/>
        <c:lblOffset val="100"/>
        <c:noMultiLvlLbl val="0"/>
      </c:catAx>
      <c:valAx>
        <c:axId val="1270725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(LKR Tn)</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7070976"/>
        <c:crosses val="autoZero"/>
        <c:crossBetween val="between"/>
      </c:valAx>
      <c:valAx>
        <c:axId val="126828928"/>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830464"/>
        <c:crosses val="max"/>
        <c:crossBetween val="between"/>
      </c:valAx>
      <c:catAx>
        <c:axId val="126830464"/>
        <c:scaling>
          <c:orientation val="minMax"/>
        </c:scaling>
        <c:delete val="1"/>
        <c:axPos val="b"/>
        <c:numFmt formatCode="General" sourceLinked="1"/>
        <c:majorTickMark val="out"/>
        <c:minorTickMark val="none"/>
        <c:tickLblPos val="nextTo"/>
        <c:crossAx val="1268289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'2.0 charts'!$E$134</c:f>
              <c:strCache>
                <c:ptCount val="1"/>
                <c:pt idx="0">
                  <c:v>Per capita income</c:v>
                </c:pt>
              </c:strCache>
            </c:strRef>
          </c:tx>
          <c:spPr>
            <a:solidFill>
              <a:srgbClr val="002060"/>
            </a:solidFill>
            <a:ln>
              <a:noFill/>
            </a:ln>
            <a:effectLst/>
          </c:spPr>
          <c:invertIfNegative val="0"/>
          <c:dPt>
            <c:idx val="0"/>
            <c:invertIfNegative val="0"/>
            <c:bubble3D val="0"/>
            <c:spPr>
              <a:solidFill>
                <a:srgbClr val="FFC000"/>
              </a:solidFill>
              <a:ln>
                <a:noFill/>
              </a:ln>
              <a:effectLst/>
            </c:spPr>
            <c:extLst>
              <c:ext xmlns:c16="http://schemas.microsoft.com/office/drawing/2014/chart" uri="{C3380CC4-5D6E-409C-BE32-E72D297353CC}">
                <c16:uniqueId val="{00000001-F05D-4885-86D3-7F789980DD82}"/>
              </c:ext>
            </c:extLst>
          </c:dPt>
          <c:dPt>
            <c:idx val="1"/>
            <c:invertIfNegative val="0"/>
            <c:bubble3D val="0"/>
            <c:spPr>
              <a:solidFill>
                <a:srgbClr val="FFC000"/>
              </a:solidFill>
              <a:ln>
                <a:noFill/>
              </a:ln>
              <a:effectLst/>
            </c:spPr>
            <c:extLst>
              <c:ext xmlns:c16="http://schemas.microsoft.com/office/drawing/2014/chart" uri="{C3380CC4-5D6E-409C-BE32-E72D297353CC}">
                <c16:uniqueId val="{00000003-F05D-4885-86D3-7F789980DD82}"/>
              </c:ext>
            </c:extLst>
          </c:dPt>
          <c:dPt>
            <c:idx val="2"/>
            <c:invertIfNegative val="0"/>
            <c:bubble3D val="0"/>
            <c:spPr>
              <a:solidFill>
                <a:srgbClr val="FFC000"/>
              </a:solidFill>
              <a:ln>
                <a:noFill/>
              </a:ln>
              <a:effectLst/>
            </c:spPr>
            <c:extLst>
              <c:ext xmlns:c16="http://schemas.microsoft.com/office/drawing/2014/chart" uri="{C3380CC4-5D6E-409C-BE32-E72D297353CC}">
                <c16:uniqueId val="{00000005-F05D-4885-86D3-7F789980DD82}"/>
              </c:ext>
            </c:extLst>
          </c:dPt>
          <c:cat>
            <c:strRef>
              <c:f>'2.0 charts'!$B$135:$B$141</c:f>
              <c:strCache>
                <c:ptCount val="7"/>
                <c:pt idx="0">
                  <c:v>2013</c:v>
                </c:pt>
                <c:pt idx="1">
                  <c:v>2014</c:v>
                </c:pt>
                <c:pt idx="2">
                  <c:v>2015</c:v>
                </c:pt>
                <c:pt idx="3">
                  <c:v>2016E</c:v>
                </c:pt>
                <c:pt idx="4">
                  <c:v>2017E</c:v>
                </c:pt>
                <c:pt idx="5">
                  <c:v>2018E</c:v>
                </c:pt>
                <c:pt idx="6">
                  <c:v>2019E</c:v>
                </c:pt>
              </c:strCache>
            </c:strRef>
          </c:cat>
          <c:val>
            <c:numRef>
              <c:f>'2.0 charts'!$E$135:$E$141</c:f>
              <c:numCache>
                <c:formatCode>#,##0</c:formatCode>
                <c:ptCount val="7"/>
                <c:pt idx="0">
                  <c:v>3610</c:v>
                </c:pt>
                <c:pt idx="1">
                  <c:v>3853</c:v>
                </c:pt>
                <c:pt idx="2">
                  <c:v>3924</c:v>
                </c:pt>
                <c:pt idx="3">
                  <c:v>4008</c:v>
                </c:pt>
                <c:pt idx="4">
                  <c:v>4298</c:v>
                </c:pt>
                <c:pt idx="5">
                  <c:v>4704</c:v>
                </c:pt>
                <c:pt idx="6">
                  <c:v>5181</c:v>
                </c:pt>
              </c:numCache>
            </c:numRef>
          </c:val>
          <c:extLst>
            <c:ext xmlns:c16="http://schemas.microsoft.com/office/drawing/2014/chart" uri="{C3380CC4-5D6E-409C-BE32-E72D297353CC}">
              <c16:uniqueId val="{00000006-F05D-4885-86D3-7F789980DD82}"/>
            </c:ext>
          </c:extLst>
        </c:ser>
        <c:dLbls>
          <c:showLegendKey val="0"/>
          <c:showVal val="0"/>
          <c:showCatName val="0"/>
          <c:showSerName val="0"/>
          <c:showPercent val="0"/>
          <c:showBubbleSize val="0"/>
        </c:dLbls>
        <c:gapWidth val="75"/>
        <c:overlap val="-27"/>
        <c:axId val="126839424"/>
        <c:axId val="126853504"/>
      </c:barChart>
      <c:catAx>
        <c:axId val="12683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853504"/>
        <c:crosses val="autoZero"/>
        <c:auto val="1"/>
        <c:lblAlgn val="ctr"/>
        <c:lblOffset val="100"/>
        <c:noMultiLvlLbl val="0"/>
      </c:catAx>
      <c:valAx>
        <c:axId val="126853504"/>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(USD)</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83942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'3.0 charts'!$C$4</c:f>
              <c:strCache>
                <c:ptCount val="1"/>
                <c:pt idx="0">
                  <c:v>Gross margin (LHS)</c:v>
                </c:pt>
              </c:strCache>
            </c:strRef>
          </c:tx>
          <c:spPr>
            <a:ln w="28575" cap="rnd">
              <a:solidFill>
                <a:srgbClr val="002060"/>
              </a:solidFill>
              <a:round/>
            </a:ln>
            <a:effectLst/>
          </c:spPr>
          <c:marker>
            <c:symbol val="none"/>
          </c:marker>
          <c:dPt>
            <c:idx val="5"/>
            <c:marker>
              <c:symbol val="none"/>
            </c:marker>
            <c:bubble3D val="0"/>
            <c:spPr>
              <a:ln w="28575" cap="rnd">
                <a:solidFill>
                  <a:srgbClr val="002060"/>
                </a:solidFill>
                <a:prstDash val="sysDash"/>
                <a:round/>
              </a:ln>
              <a:effectLst/>
            </c:spPr>
            <c:extLst>
              <c:ext xmlns:c16="http://schemas.microsoft.com/office/drawing/2014/chart" uri="{C3380CC4-5D6E-409C-BE32-E72D297353CC}">
                <c16:uniqueId val="{00000001-6E7F-4A70-B297-4B05A8C44CF0}"/>
              </c:ext>
            </c:extLst>
          </c:dPt>
          <c:dPt>
            <c:idx val="6"/>
            <c:marker>
              <c:symbol val="none"/>
            </c:marker>
            <c:bubble3D val="0"/>
            <c:spPr>
              <a:ln w="28575" cap="rnd">
                <a:solidFill>
                  <a:srgbClr val="002060"/>
                </a:solidFill>
                <a:prstDash val="sysDash"/>
                <a:round/>
              </a:ln>
              <a:effectLst/>
            </c:spPr>
            <c:extLst>
              <c:ext xmlns:c16="http://schemas.microsoft.com/office/drawing/2014/chart" uri="{C3380CC4-5D6E-409C-BE32-E72D297353CC}">
                <c16:uniqueId val="{00000003-6E7F-4A70-B297-4B05A8C44CF0}"/>
              </c:ext>
            </c:extLst>
          </c:dPt>
          <c:dPt>
            <c:idx val="7"/>
            <c:marker>
              <c:symbol val="none"/>
            </c:marker>
            <c:bubble3D val="0"/>
            <c:spPr>
              <a:ln w="28575" cap="rnd">
                <a:solidFill>
                  <a:srgbClr val="002060"/>
                </a:solidFill>
                <a:prstDash val="sysDash"/>
                <a:round/>
              </a:ln>
              <a:effectLst/>
            </c:spPr>
            <c:extLst>
              <c:ext xmlns:c16="http://schemas.microsoft.com/office/drawing/2014/chart" uri="{C3380CC4-5D6E-409C-BE32-E72D297353CC}">
                <c16:uniqueId val="{00000005-6E7F-4A70-B297-4B05A8C44CF0}"/>
              </c:ext>
            </c:extLst>
          </c:dPt>
          <c:dPt>
            <c:idx val="8"/>
            <c:marker>
              <c:symbol val="none"/>
            </c:marker>
            <c:bubble3D val="0"/>
            <c:spPr>
              <a:ln w="28575" cap="rnd">
                <a:solidFill>
                  <a:srgbClr val="002060"/>
                </a:solidFill>
                <a:prstDash val="sysDash"/>
                <a:round/>
              </a:ln>
              <a:effectLst/>
            </c:spPr>
            <c:extLst>
              <c:ext xmlns:c16="http://schemas.microsoft.com/office/drawing/2014/chart" uri="{C3380CC4-5D6E-409C-BE32-E72D297353CC}">
                <c16:uniqueId val="{00000007-6E7F-4A70-B297-4B05A8C44CF0}"/>
              </c:ext>
            </c:extLst>
          </c:dPt>
          <c:cat>
            <c:strRef>
              <c:f>'3.0 charts'!$E$1:$M$1</c:f>
              <c:strCache>
                <c:ptCount val="9"/>
                <c:pt idx="0">
                  <c:v>FY12</c:v>
                </c:pt>
                <c:pt idx="1">
                  <c:v>FY13</c:v>
                </c:pt>
                <c:pt idx="2">
                  <c:v>FY14</c:v>
                </c:pt>
                <c:pt idx="3">
                  <c:v>FY15</c:v>
                </c:pt>
                <c:pt idx="4">
                  <c:v>FY16</c:v>
                </c:pt>
                <c:pt idx="5">
                  <c:v>FY17E</c:v>
                </c:pt>
                <c:pt idx="6">
                  <c:v>FY18E</c:v>
                </c:pt>
                <c:pt idx="7">
                  <c:v>FY19E</c:v>
                </c:pt>
                <c:pt idx="8">
                  <c:v>FY20E</c:v>
                </c:pt>
              </c:strCache>
            </c:strRef>
          </c:cat>
          <c:val>
            <c:numRef>
              <c:f>'3.0 charts'!$E$4:$M$4</c:f>
              <c:numCache>
                <c:formatCode>0%</c:formatCode>
                <c:ptCount val="9"/>
                <c:pt idx="0">
                  <c:v>0.16605132693214464</c:v>
                </c:pt>
                <c:pt idx="1">
                  <c:v>0.16460068408461867</c:v>
                </c:pt>
                <c:pt idx="2">
                  <c:v>0.16807558263566019</c:v>
                </c:pt>
                <c:pt idx="3">
                  <c:v>0.1767329514814896</c:v>
                </c:pt>
                <c:pt idx="4">
                  <c:v>0.23862778451145647</c:v>
                </c:pt>
                <c:pt idx="5">
                  <c:v>0.22104148438945892</c:v>
                </c:pt>
                <c:pt idx="6">
                  <c:v>0.15689873893093445</c:v>
                </c:pt>
                <c:pt idx="7">
                  <c:v>0.17165569019328486</c:v>
                </c:pt>
                <c:pt idx="8">
                  <c:v>0.17554114153536132</c:v>
                </c:pt>
              </c:numCache>
            </c:numRef>
          </c:val>
          <c:smooth val="0"/>
          <c:extLst>
            <c:ext xmlns:c16="http://schemas.microsoft.com/office/drawing/2014/chart" uri="{C3380CC4-5D6E-409C-BE32-E72D297353CC}">
              <c16:uniqueId val="{00000008-6E7F-4A70-B297-4B05A8C44CF0}"/>
            </c:ext>
          </c:extLst>
        </c:ser>
        <c:dLbls>
          <c:showLegendKey val="0"/>
          <c:showVal val="0"/>
          <c:showCatName val="0"/>
          <c:showSerName val="0"/>
          <c:showPercent val="0"/>
          <c:showBubbleSize val="0"/>
        </c:dLbls>
        <c:marker val="1"/>
        <c:smooth val="0"/>
        <c:axId val="126547840"/>
        <c:axId val="126549376"/>
      </c:lineChart>
      <c:lineChart>
        <c:grouping val="standard"/>
        <c:varyColors val="0"/>
        <c:ser>
          <c:idx val="1"/>
          <c:order val="1"/>
          <c:tx>
            <c:strRef>
              <c:f>'3.0 charts'!$C$3</c:f>
              <c:strCache>
                <c:ptCount val="1"/>
                <c:pt idx="0">
                  <c:v>Copper prices (RHS)</c:v>
                </c:pt>
              </c:strCache>
            </c:strRef>
          </c:tx>
          <c:spPr>
            <a:ln w="28575" cap="rnd">
              <a:solidFill>
                <a:srgbClr val="FFC000"/>
              </a:solidFill>
              <a:round/>
            </a:ln>
            <a:effectLst/>
          </c:spPr>
          <c:marker>
            <c:symbol val="none"/>
          </c:marker>
          <c:dPt>
            <c:idx val="5"/>
            <c:marker>
              <c:symbol val="none"/>
            </c:marker>
            <c:bubble3D val="0"/>
            <c:spPr>
              <a:ln w="28575" cap="rnd">
                <a:solidFill>
                  <a:srgbClr val="FFC000"/>
                </a:solidFill>
                <a:prstDash val="sysDash"/>
                <a:round/>
              </a:ln>
              <a:effectLst/>
            </c:spPr>
            <c:extLst>
              <c:ext xmlns:c16="http://schemas.microsoft.com/office/drawing/2014/chart" uri="{C3380CC4-5D6E-409C-BE32-E72D297353CC}">
                <c16:uniqueId val="{0000000A-6E7F-4A70-B297-4B05A8C44CF0}"/>
              </c:ext>
            </c:extLst>
          </c:dPt>
          <c:dPt>
            <c:idx val="6"/>
            <c:marker>
              <c:symbol val="none"/>
            </c:marker>
            <c:bubble3D val="0"/>
            <c:spPr>
              <a:ln w="28575" cap="rnd">
                <a:solidFill>
                  <a:srgbClr val="FFC000"/>
                </a:solidFill>
                <a:prstDash val="sysDash"/>
                <a:round/>
              </a:ln>
              <a:effectLst/>
            </c:spPr>
            <c:extLst>
              <c:ext xmlns:c16="http://schemas.microsoft.com/office/drawing/2014/chart" uri="{C3380CC4-5D6E-409C-BE32-E72D297353CC}">
                <c16:uniqueId val="{0000000C-6E7F-4A70-B297-4B05A8C44CF0}"/>
              </c:ext>
            </c:extLst>
          </c:dPt>
          <c:dPt>
            <c:idx val="7"/>
            <c:marker>
              <c:symbol val="none"/>
            </c:marker>
            <c:bubble3D val="0"/>
            <c:spPr>
              <a:ln w="28575" cap="rnd">
                <a:solidFill>
                  <a:srgbClr val="FFC000"/>
                </a:solidFill>
                <a:prstDash val="sysDash"/>
                <a:round/>
              </a:ln>
              <a:effectLst/>
            </c:spPr>
            <c:extLst>
              <c:ext xmlns:c16="http://schemas.microsoft.com/office/drawing/2014/chart" uri="{C3380CC4-5D6E-409C-BE32-E72D297353CC}">
                <c16:uniqueId val="{0000000E-6E7F-4A70-B297-4B05A8C44CF0}"/>
              </c:ext>
            </c:extLst>
          </c:dPt>
          <c:dPt>
            <c:idx val="8"/>
            <c:marker>
              <c:symbol val="none"/>
            </c:marker>
            <c:bubble3D val="0"/>
            <c:spPr>
              <a:ln w="28575" cap="rnd">
                <a:solidFill>
                  <a:srgbClr val="FFC000"/>
                </a:solidFill>
                <a:prstDash val="sysDash"/>
                <a:round/>
              </a:ln>
              <a:effectLst/>
            </c:spPr>
            <c:extLst>
              <c:ext xmlns:c16="http://schemas.microsoft.com/office/drawing/2014/chart" uri="{C3380CC4-5D6E-409C-BE32-E72D297353CC}">
                <c16:uniqueId val="{00000010-6E7F-4A70-B297-4B05A8C44CF0}"/>
              </c:ext>
            </c:extLst>
          </c:dPt>
          <c:cat>
            <c:strRef>
              <c:f>'3.0 charts'!$E$1:$M$1</c:f>
              <c:strCache>
                <c:ptCount val="9"/>
                <c:pt idx="0">
                  <c:v>FY12</c:v>
                </c:pt>
                <c:pt idx="1">
                  <c:v>FY13</c:v>
                </c:pt>
                <c:pt idx="2">
                  <c:v>FY14</c:v>
                </c:pt>
                <c:pt idx="3">
                  <c:v>FY15</c:v>
                </c:pt>
                <c:pt idx="4">
                  <c:v>FY16</c:v>
                </c:pt>
                <c:pt idx="5">
                  <c:v>FY17E</c:v>
                </c:pt>
                <c:pt idx="6">
                  <c:v>FY18E</c:v>
                </c:pt>
                <c:pt idx="7">
                  <c:v>FY19E</c:v>
                </c:pt>
                <c:pt idx="8">
                  <c:v>FY20E</c:v>
                </c:pt>
              </c:strCache>
            </c:strRef>
          </c:cat>
          <c:val>
            <c:numRef>
              <c:f>'3.0 charts'!$E$3:$M$3</c:f>
              <c:numCache>
                <c:formatCode>General</c:formatCode>
                <c:ptCount val="9"/>
                <c:pt idx="0">
                  <c:v>8828</c:v>
                </c:pt>
                <c:pt idx="1">
                  <c:v>7962</c:v>
                </c:pt>
                <c:pt idx="2">
                  <c:v>7332</c:v>
                </c:pt>
                <c:pt idx="3">
                  <c:v>6863</c:v>
                </c:pt>
                <c:pt idx="4">
                  <c:v>5510</c:v>
                </c:pt>
                <c:pt idx="5">
                  <c:v>5200</c:v>
                </c:pt>
                <c:pt idx="6">
                  <c:v>6900</c:v>
                </c:pt>
                <c:pt idx="7">
                  <c:v>7176</c:v>
                </c:pt>
                <c:pt idx="8">
                  <c:v>7449.0289532293982</c:v>
                </c:pt>
              </c:numCache>
            </c:numRef>
          </c:val>
          <c:smooth val="0"/>
          <c:extLst>
            <c:ext xmlns:c16="http://schemas.microsoft.com/office/drawing/2014/chart" uri="{C3380CC4-5D6E-409C-BE32-E72D297353CC}">
              <c16:uniqueId val="{00000011-6E7F-4A70-B297-4B05A8C44CF0}"/>
            </c:ext>
          </c:extLst>
        </c:ser>
        <c:dLbls>
          <c:showLegendKey val="0"/>
          <c:showVal val="0"/>
          <c:showCatName val="0"/>
          <c:showSerName val="0"/>
          <c:showPercent val="0"/>
          <c:showBubbleSize val="0"/>
        </c:dLbls>
        <c:marker val="1"/>
        <c:smooth val="0"/>
        <c:axId val="126622336"/>
        <c:axId val="126620800"/>
      </c:lineChart>
      <c:catAx>
        <c:axId val="126547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6549376"/>
        <c:crosses val="autoZero"/>
        <c:auto val="1"/>
        <c:lblAlgn val="ctr"/>
        <c:lblOffset val="100"/>
        <c:noMultiLvlLbl val="0"/>
      </c:catAx>
      <c:valAx>
        <c:axId val="126549376"/>
        <c:scaling>
          <c:orientation val="minMax"/>
          <c:min val="0.1"/>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6547840"/>
        <c:crosses val="autoZero"/>
        <c:crossBetween val="between"/>
      </c:valAx>
      <c:valAx>
        <c:axId val="126620800"/>
        <c:scaling>
          <c:orientation val="minMax"/>
          <c:min val="400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6622336"/>
        <c:crosses val="max"/>
        <c:crossBetween val="between"/>
      </c:valAx>
      <c:catAx>
        <c:axId val="126622336"/>
        <c:scaling>
          <c:orientation val="minMax"/>
        </c:scaling>
        <c:delete val="1"/>
        <c:axPos val="b"/>
        <c:numFmt formatCode="General" sourceLinked="1"/>
        <c:majorTickMark val="out"/>
        <c:minorTickMark val="none"/>
        <c:tickLblPos val="nextTo"/>
        <c:crossAx val="1266208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'3.0 charts'!$C$4</c:f>
              <c:strCache>
                <c:ptCount val="1"/>
                <c:pt idx="0">
                  <c:v>Gross margin (LHS)</c:v>
                </c:pt>
              </c:strCache>
            </c:strRef>
          </c:tx>
          <c:spPr>
            <a:ln w="28575" cap="rnd">
              <a:solidFill>
                <a:srgbClr val="002060"/>
              </a:solidFill>
              <a:round/>
            </a:ln>
            <a:effectLst/>
          </c:spPr>
          <c:marker>
            <c:symbol val="none"/>
          </c:marker>
          <c:dPt>
            <c:idx val="5"/>
            <c:marker>
              <c:symbol val="none"/>
            </c:marker>
            <c:bubble3D val="0"/>
            <c:spPr>
              <a:ln w="28575" cap="rnd">
                <a:solidFill>
                  <a:srgbClr val="002060"/>
                </a:solidFill>
                <a:prstDash val="sysDash"/>
                <a:round/>
              </a:ln>
              <a:effectLst/>
            </c:spPr>
            <c:extLst>
              <c:ext xmlns:c16="http://schemas.microsoft.com/office/drawing/2014/chart" uri="{C3380CC4-5D6E-409C-BE32-E72D297353CC}">
                <c16:uniqueId val="{00000001-2233-4986-ADE5-2DC7F37796C7}"/>
              </c:ext>
            </c:extLst>
          </c:dPt>
          <c:dPt>
            <c:idx val="6"/>
            <c:marker>
              <c:symbol val="none"/>
            </c:marker>
            <c:bubble3D val="0"/>
            <c:spPr>
              <a:ln w="28575" cap="rnd">
                <a:solidFill>
                  <a:srgbClr val="002060"/>
                </a:solidFill>
                <a:prstDash val="sysDash"/>
                <a:round/>
              </a:ln>
              <a:effectLst/>
            </c:spPr>
            <c:extLst>
              <c:ext xmlns:c16="http://schemas.microsoft.com/office/drawing/2014/chart" uri="{C3380CC4-5D6E-409C-BE32-E72D297353CC}">
                <c16:uniqueId val="{00000003-2233-4986-ADE5-2DC7F37796C7}"/>
              </c:ext>
            </c:extLst>
          </c:dPt>
          <c:dPt>
            <c:idx val="7"/>
            <c:marker>
              <c:symbol val="none"/>
            </c:marker>
            <c:bubble3D val="0"/>
            <c:spPr>
              <a:ln w="28575" cap="rnd">
                <a:solidFill>
                  <a:srgbClr val="002060"/>
                </a:solidFill>
                <a:prstDash val="sysDash"/>
                <a:round/>
              </a:ln>
              <a:effectLst/>
            </c:spPr>
            <c:extLst>
              <c:ext xmlns:c16="http://schemas.microsoft.com/office/drawing/2014/chart" uri="{C3380CC4-5D6E-409C-BE32-E72D297353CC}">
                <c16:uniqueId val="{00000005-2233-4986-ADE5-2DC7F37796C7}"/>
              </c:ext>
            </c:extLst>
          </c:dPt>
          <c:dPt>
            <c:idx val="8"/>
            <c:marker>
              <c:symbol val="none"/>
            </c:marker>
            <c:bubble3D val="0"/>
            <c:spPr>
              <a:ln w="28575" cap="rnd">
                <a:solidFill>
                  <a:srgbClr val="002060"/>
                </a:solidFill>
                <a:prstDash val="sysDash"/>
                <a:round/>
              </a:ln>
              <a:effectLst/>
            </c:spPr>
            <c:extLst>
              <c:ext xmlns:c16="http://schemas.microsoft.com/office/drawing/2014/chart" uri="{C3380CC4-5D6E-409C-BE32-E72D297353CC}">
                <c16:uniqueId val="{00000007-2233-4986-ADE5-2DC7F37796C7}"/>
              </c:ext>
            </c:extLst>
          </c:dPt>
          <c:cat>
            <c:strRef>
              <c:f>'3.0 charts'!$E$1:$M$1</c:f>
              <c:strCache>
                <c:ptCount val="9"/>
                <c:pt idx="0">
                  <c:v>FY12</c:v>
                </c:pt>
                <c:pt idx="1">
                  <c:v>FY13</c:v>
                </c:pt>
                <c:pt idx="2">
                  <c:v>FY14</c:v>
                </c:pt>
                <c:pt idx="3">
                  <c:v>FY15</c:v>
                </c:pt>
                <c:pt idx="4">
                  <c:v>FY16</c:v>
                </c:pt>
                <c:pt idx="5">
                  <c:v>FY17E</c:v>
                </c:pt>
                <c:pt idx="6">
                  <c:v>FY18E</c:v>
                </c:pt>
                <c:pt idx="7">
                  <c:v>FY19E</c:v>
                </c:pt>
                <c:pt idx="8">
                  <c:v>FY20E</c:v>
                </c:pt>
              </c:strCache>
            </c:strRef>
          </c:cat>
          <c:val>
            <c:numRef>
              <c:f>'3.0 charts'!$E$4:$M$4</c:f>
              <c:numCache>
                <c:formatCode>0%</c:formatCode>
                <c:ptCount val="9"/>
                <c:pt idx="0">
                  <c:v>0.16605132693214464</c:v>
                </c:pt>
                <c:pt idx="1">
                  <c:v>0.16460068408461867</c:v>
                </c:pt>
                <c:pt idx="2">
                  <c:v>0.16807558263566019</c:v>
                </c:pt>
                <c:pt idx="3">
                  <c:v>0.1767329514814896</c:v>
                </c:pt>
                <c:pt idx="4">
                  <c:v>0.23862778451145647</c:v>
                </c:pt>
                <c:pt idx="5">
                  <c:v>0.22104148438945892</c:v>
                </c:pt>
                <c:pt idx="6">
                  <c:v>0.15689873893093445</c:v>
                </c:pt>
                <c:pt idx="7">
                  <c:v>0.17165569019328486</c:v>
                </c:pt>
                <c:pt idx="8">
                  <c:v>0.17554114153536132</c:v>
                </c:pt>
              </c:numCache>
            </c:numRef>
          </c:val>
          <c:smooth val="0"/>
          <c:extLst>
            <c:ext xmlns:c16="http://schemas.microsoft.com/office/drawing/2014/chart" uri="{C3380CC4-5D6E-409C-BE32-E72D297353CC}">
              <c16:uniqueId val="{00000008-2233-4986-ADE5-2DC7F37796C7}"/>
            </c:ext>
          </c:extLst>
        </c:ser>
        <c:dLbls>
          <c:showLegendKey val="0"/>
          <c:showVal val="0"/>
          <c:showCatName val="0"/>
          <c:showSerName val="0"/>
          <c:showPercent val="0"/>
          <c:showBubbleSize val="0"/>
        </c:dLbls>
        <c:marker val="1"/>
        <c:smooth val="0"/>
        <c:axId val="126672256"/>
        <c:axId val="126686336"/>
      </c:lineChart>
      <c:lineChart>
        <c:grouping val="standard"/>
        <c:varyColors val="0"/>
        <c:ser>
          <c:idx val="1"/>
          <c:order val="1"/>
          <c:tx>
            <c:strRef>
              <c:f>'3.0 charts'!$C$6</c:f>
              <c:strCache>
                <c:ptCount val="1"/>
                <c:pt idx="0">
                  <c:v>Aluminum prices (RHS)</c:v>
                </c:pt>
              </c:strCache>
            </c:strRef>
          </c:tx>
          <c:spPr>
            <a:ln w="28575" cap="rnd">
              <a:solidFill>
                <a:srgbClr val="FFD966"/>
              </a:solidFill>
              <a:round/>
            </a:ln>
            <a:effectLst/>
          </c:spPr>
          <c:marker>
            <c:symbol val="none"/>
          </c:marker>
          <c:dPt>
            <c:idx val="5"/>
            <c:marker>
              <c:symbol val="none"/>
            </c:marker>
            <c:bubble3D val="0"/>
            <c:spPr>
              <a:ln w="28575" cap="rnd">
                <a:solidFill>
                  <a:srgbClr val="FFD966"/>
                </a:solidFill>
                <a:prstDash val="sysDash"/>
                <a:round/>
              </a:ln>
              <a:effectLst/>
            </c:spPr>
            <c:extLst>
              <c:ext xmlns:c16="http://schemas.microsoft.com/office/drawing/2014/chart" uri="{C3380CC4-5D6E-409C-BE32-E72D297353CC}">
                <c16:uniqueId val="{0000000A-2233-4986-ADE5-2DC7F37796C7}"/>
              </c:ext>
            </c:extLst>
          </c:dPt>
          <c:dPt>
            <c:idx val="6"/>
            <c:marker>
              <c:symbol val="none"/>
            </c:marker>
            <c:bubble3D val="0"/>
            <c:spPr>
              <a:ln w="28575" cap="rnd">
                <a:solidFill>
                  <a:srgbClr val="FFD966"/>
                </a:solidFill>
                <a:prstDash val="sysDash"/>
                <a:round/>
              </a:ln>
              <a:effectLst/>
            </c:spPr>
            <c:extLst>
              <c:ext xmlns:c16="http://schemas.microsoft.com/office/drawing/2014/chart" uri="{C3380CC4-5D6E-409C-BE32-E72D297353CC}">
                <c16:uniqueId val="{0000000C-2233-4986-ADE5-2DC7F37796C7}"/>
              </c:ext>
            </c:extLst>
          </c:dPt>
          <c:dPt>
            <c:idx val="7"/>
            <c:marker>
              <c:symbol val="none"/>
            </c:marker>
            <c:bubble3D val="0"/>
            <c:spPr>
              <a:ln w="28575" cap="rnd">
                <a:solidFill>
                  <a:srgbClr val="FFD966"/>
                </a:solidFill>
                <a:prstDash val="sysDash"/>
                <a:round/>
              </a:ln>
              <a:effectLst/>
            </c:spPr>
            <c:extLst>
              <c:ext xmlns:c16="http://schemas.microsoft.com/office/drawing/2014/chart" uri="{C3380CC4-5D6E-409C-BE32-E72D297353CC}">
                <c16:uniqueId val="{0000000E-2233-4986-ADE5-2DC7F37796C7}"/>
              </c:ext>
            </c:extLst>
          </c:dPt>
          <c:dPt>
            <c:idx val="8"/>
            <c:marker>
              <c:symbol val="none"/>
            </c:marker>
            <c:bubble3D val="0"/>
            <c:spPr>
              <a:ln w="28575" cap="rnd">
                <a:solidFill>
                  <a:srgbClr val="FFD966"/>
                </a:solidFill>
                <a:prstDash val="sysDash"/>
                <a:round/>
              </a:ln>
              <a:effectLst/>
            </c:spPr>
            <c:extLst>
              <c:ext xmlns:c16="http://schemas.microsoft.com/office/drawing/2014/chart" uri="{C3380CC4-5D6E-409C-BE32-E72D297353CC}">
                <c16:uniqueId val="{00000010-2233-4986-ADE5-2DC7F37796C7}"/>
              </c:ext>
            </c:extLst>
          </c:dPt>
          <c:cat>
            <c:strRef>
              <c:f>'3.0 charts'!$E$1:$M$1</c:f>
              <c:strCache>
                <c:ptCount val="9"/>
                <c:pt idx="0">
                  <c:v>FY12</c:v>
                </c:pt>
                <c:pt idx="1">
                  <c:v>FY13</c:v>
                </c:pt>
                <c:pt idx="2">
                  <c:v>FY14</c:v>
                </c:pt>
                <c:pt idx="3">
                  <c:v>FY15</c:v>
                </c:pt>
                <c:pt idx="4">
                  <c:v>FY16</c:v>
                </c:pt>
                <c:pt idx="5">
                  <c:v>FY17E</c:v>
                </c:pt>
                <c:pt idx="6">
                  <c:v>FY18E</c:v>
                </c:pt>
                <c:pt idx="7">
                  <c:v>FY19E</c:v>
                </c:pt>
                <c:pt idx="8">
                  <c:v>FY20E</c:v>
                </c:pt>
              </c:strCache>
            </c:strRef>
          </c:cat>
          <c:val>
            <c:numRef>
              <c:f>'3.0 charts'!$E$6:$M$6</c:f>
              <c:numCache>
                <c:formatCode>General</c:formatCode>
                <c:ptCount val="9"/>
                <c:pt idx="0">
                  <c:v>2401</c:v>
                </c:pt>
                <c:pt idx="1">
                  <c:v>2023</c:v>
                </c:pt>
                <c:pt idx="2">
                  <c:v>1847</c:v>
                </c:pt>
                <c:pt idx="3">
                  <c:v>1867</c:v>
                </c:pt>
                <c:pt idx="4">
                  <c:v>1665</c:v>
                </c:pt>
                <c:pt idx="5">
                  <c:v>1700</c:v>
                </c:pt>
                <c:pt idx="6">
                  <c:v>2200</c:v>
                </c:pt>
                <c:pt idx="7">
                  <c:v>2300</c:v>
                </c:pt>
                <c:pt idx="8">
                  <c:v>2400</c:v>
                </c:pt>
              </c:numCache>
            </c:numRef>
          </c:val>
          <c:smooth val="0"/>
          <c:extLst>
            <c:ext xmlns:c16="http://schemas.microsoft.com/office/drawing/2014/chart" uri="{C3380CC4-5D6E-409C-BE32-E72D297353CC}">
              <c16:uniqueId val="{00000011-2233-4986-ADE5-2DC7F37796C7}"/>
            </c:ext>
          </c:extLst>
        </c:ser>
        <c:dLbls>
          <c:showLegendKey val="0"/>
          <c:showVal val="0"/>
          <c:showCatName val="0"/>
          <c:showSerName val="0"/>
          <c:showPercent val="0"/>
          <c:showBubbleSize val="0"/>
        </c:dLbls>
        <c:marker val="1"/>
        <c:smooth val="0"/>
        <c:axId val="126693760"/>
        <c:axId val="126687872"/>
      </c:lineChart>
      <c:catAx>
        <c:axId val="12667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6686336"/>
        <c:crosses val="autoZero"/>
        <c:auto val="1"/>
        <c:lblAlgn val="ctr"/>
        <c:lblOffset val="100"/>
        <c:noMultiLvlLbl val="0"/>
      </c:catAx>
      <c:valAx>
        <c:axId val="126686336"/>
        <c:scaling>
          <c:orientation val="minMax"/>
          <c:min val="0.1"/>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6672256"/>
        <c:crosses val="autoZero"/>
        <c:crossBetween val="between"/>
      </c:valAx>
      <c:valAx>
        <c:axId val="126687872"/>
        <c:scaling>
          <c:orientation val="minMax"/>
          <c:min val="120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6693760"/>
        <c:crosses val="max"/>
        <c:crossBetween val="between"/>
      </c:valAx>
      <c:catAx>
        <c:axId val="126693760"/>
        <c:scaling>
          <c:orientation val="minMax"/>
        </c:scaling>
        <c:delete val="1"/>
        <c:axPos val="b"/>
        <c:numFmt formatCode="General" sourceLinked="1"/>
        <c:majorTickMark val="out"/>
        <c:minorTickMark val="none"/>
        <c:tickLblPos val="nextTo"/>
        <c:crossAx val="12668787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'3.0 charts'!$C$27</c:f>
              <c:strCache>
                <c:ptCount val="1"/>
                <c:pt idx="0">
                  <c:v>Borrowings (LHS)</c:v>
                </c:pt>
              </c:strCache>
            </c:strRef>
          </c:tx>
          <c:spPr>
            <a:solidFill>
              <a:srgbClr val="002060"/>
            </a:solidFill>
            <a:ln>
              <a:noFill/>
            </a:ln>
            <a:effectLst/>
          </c:spPr>
          <c:invertIfNegative val="0"/>
          <c:cat>
            <c:strRef>
              <c:f>'3.0 charts'!$E$26:$M$26</c:f>
              <c:strCache>
                <c:ptCount val="9"/>
                <c:pt idx="0">
                  <c:v>FY12</c:v>
                </c:pt>
                <c:pt idx="1">
                  <c:v>FY13</c:v>
                </c:pt>
                <c:pt idx="2">
                  <c:v>FY14</c:v>
                </c:pt>
                <c:pt idx="3">
                  <c:v>FY15</c:v>
                </c:pt>
                <c:pt idx="4">
                  <c:v>FY16</c:v>
                </c:pt>
                <c:pt idx="5">
                  <c:v>FY17E</c:v>
                </c:pt>
                <c:pt idx="6">
                  <c:v>FY18E</c:v>
                </c:pt>
                <c:pt idx="7">
                  <c:v>FY19E</c:v>
                </c:pt>
                <c:pt idx="8">
                  <c:v>FY20E</c:v>
                </c:pt>
              </c:strCache>
            </c:strRef>
          </c:cat>
          <c:val>
            <c:numRef>
              <c:f>'3.0 charts'!$E$27:$M$27</c:f>
              <c:numCache>
                <c:formatCode>_(* #,##0_);_(* \(#,##0\);_(* "-"_);_(@_)</c:formatCode>
                <c:ptCount val="9"/>
                <c:pt idx="0">
                  <c:v>2115.8226300000001</c:v>
                </c:pt>
                <c:pt idx="1">
                  <c:v>3014.4349999999995</c:v>
                </c:pt>
                <c:pt idx="2">
                  <c:v>3089.3149999999996</c:v>
                </c:pt>
                <c:pt idx="3">
                  <c:v>3502.6649999999995</c:v>
                </c:pt>
                <c:pt idx="4">
                  <c:v>2647.3960000000002</c:v>
                </c:pt>
                <c:pt idx="5">
                  <c:v>2795.2539999999999</c:v>
                </c:pt>
                <c:pt idx="6">
                  <c:v>2992.9235767353562</c:v>
                </c:pt>
                <c:pt idx="7">
                  <c:v>3298.9752618966913</c:v>
                </c:pt>
                <c:pt idx="8">
                  <c:v>3614.511400798212</c:v>
                </c:pt>
              </c:numCache>
            </c:numRef>
          </c:val>
          <c:extLst>
            <c:ext xmlns:c16="http://schemas.microsoft.com/office/drawing/2014/chart" uri="{C3380CC4-5D6E-409C-BE32-E72D297353CC}">
              <c16:uniqueId val="{00000000-CD78-4B37-A5FA-DA19DF0499D5}"/>
            </c:ext>
          </c:extLst>
        </c:ser>
        <c:dLbls>
          <c:showLegendKey val="0"/>
          <c:showVal val="0"/>
          <c:showCatName val="0"/>
          <c:showSerName val="0"/>
          <c:showPercent val="0"/>
          <c:showBubbleSize val="0"/>
        </c:dLbls>
        <c:gapWidth val="75"/>
        <c:overlap val="-27"/>
        <c:axId val="126728064"/>
        <c:axId val="126729600"/>
      </c:barChart>
      <c:lineChart>
        <c:grouping val="standard"/>
        <c:varyColors val="0"/>
        <c:ser>
          <c:idx val="1"/>
          <c:order val="1"/>
          <c:tx>
            <c:strRef>
              <c:f>'3.0 charts'!$C$28</c:f>
              <c:strCache>
                <c:ptCount val="1"/>
                <c:pt idx="0">
                  <c:v>Finance expenses (RHS)</c:v>
                </c:pt>
              </c:strCache>
            </c:strRef>
          </c:tx>
          <c:spPr>
            <a:ln w="28575" cap="rnd">
              <a:solidFill>
                <a:srgbClr val="FFC000"/>
              </a:solidFill>
              <a:round/>
            </a:ln>
            <a:effectLst/>
          </c:spPr>
          <c:marker>
            <c:symbol val="none"/>
          </c:marker>
          <c:cat>
            <c:strRef>
              <c:f>'3.0 charts'!$E$26:$M$26</c:f>
              <c:strCache>
                <c:ptCount val="9"/>
                <c:pt idx="0">
                  <c:v>FY12</c:v>
                </c:pt>
                <c:pt idx="1">
                  <c:v>FY13</c:v>
                </c:pt>
                <c:pt idx="2">
                  <c:v>FY14</c:v>
                </c:pt>
                <c:pt idx="3">
                  <c:v>FY15</c:v>
                </c:pt>
                <c:pt idx="4">
                  <c:v>FY16</c:v>
                </c:pt>
                <c:pt idx="5">
                  <c:v>FY17E</c:v>
                </c:pt>
                <c:pt idx="6">
                  <c:v>FY18E</c:v>
                </c:pt>
                <c:pt idx="7">
                  <c:v>FY19E</c:v>
                </c:pt>
                <c:pt idx="8">
                  <c:v>FY20E</c:v>
                </c:pt>
              </c:strCache>
            </c:strRef>
          </c:cat>
          <c:val>
            <c:numRef>
              <c:f>'3.0 charts'!$E$28:$M$28</c:f>
              <c:numCache>
                <c:formatCode>#,##0</c:formatCode>
                <c:ptCount val="9"/>
                <c:pt idx="0">
                  <c:v>262.58402000000001</c:v>
                </c:pt>
                <c:pt idx="1">
                  <c:v>361.83100000000002</c:v>
                </c:pt>
                <c:pt idx="2">
                  <c:v>314.11799999999999</c:v>
                </c:pt>
                <c:pt idx="3">
                  <c:v>399.29599999999999</c:v>
                </c:pt>
                <c:pt idx="4">
                  <c:v>350.11</c:v>
                </c:pt>
                <c:pt idx="5">
                  <c:v>345.637</c:v>
                </c:pt>
                <c:pt idx="6">
                  <c:v>448.93853651030344</c:v>
                </c:pt>
                <c:pt idx="7">
                  <c:v>494.84628928450365</c:v>
                </c:pt>
                <c:pt idx="8">
                  <c:v>542.17671011973175</c:v>
                </c:pt>
              </c:numCache>
            </c:numRef>
          </c:val>
          <c:smooth val="0"/>
          <c:extLst>
            <c:ext xmlns:c16="http://schemas.microsoft.com/office/drawing/2014/chart" uri="{C3380CC4-5D6E-409C-BE32-E72D297353CC}">
              <c16:uniqueId val="{00000001-CD78-4B37-A5FA-DA19DF0499D5}"/>
            </c:ext>
          </c:extLst>
        </c:ser>
        <c:dLbls>
          <c:showLegendKey val="0"/>
          <c:showVal val="0"/>
          <c:showCatName val="0"/>
          <c:showSerName val="0"/>
          <c:showPercent val="0"/>
          <c:showBubbleSize val="0"/>
        </c:dLbls>
        <c:marker val="1"/>
        <c:smooth val="0"/>
        <c:axId val="126745216"/>
        <c:axId val="126743680"/>
      </c:lineChart>
      <c:catAx>
        <c:axId val="12672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6729600"/>
        <c:crosses val="autoZero"/>
        <c:auto val="1"/>
        <c:lblAlgn val="ctr"/>
        <c:lblOffset val="100"/>
        <c:noMultiLvlLbl val="0"/>
      </c:catAx>
      <c:valAx>
        <c:axId val="126729600"/>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6728064"/>
        <c:crosses val="autoZero"/>
        <c:crossBetween val="between"/>
      </c:valAx>
      <c:valAx>
        <c:axId val="12674368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6745216"/>
        <c:crosses val="max"/>
        <c:crossBetween val="between"/>
      </c:valAx>
      <c:catAx>
        <c:axId val="126745216"/>
        <c:scaling>
          <c:orientation val="minMax"/>
        </c:scaling>
        <c:delete val="1"/>
        <c:axPos val="b"/>
        <c:numFmt formatCode="General" sourceLinked="1"/>
        <c:majorTickMark val="out"/>
        <c:minorTickMark val="none"/>
        <c:tickLblPos val="nextTo"/>
        <c:crossAx val="12674368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'3.0 charts'!$C$48</c:f>
              <c:strCache>
                <c:ptCount val="1"/>
                <c:pt idx="0">
                  <c:v>Gross margins</c:v>
                </c:pt>
              </c:strCache>
            </c:strRef>
          </c:tx>
          <c:spPr>
            <a:ln w="28575" cap="rnd">
              <a:solidFill>
                <a:srgbClr val="FFC000"/>
              </a:solidFill>
              <a:round/>
            </a:ln>
            <a:effectLst/>
          </c:spPr>
          <c:marker>
            <c:symbol val="none"/>
          </c:marker>
          <c:cat>
            <c:strRef>
              <c:f>'3.0 charts'!$E$47:$M$47</c:f>
              <c:strCache>
                <c:ptCount val="9"/>
                <c:pt idx="0">
                  <c:v>FY12</c:v>
                </c:pt>
                <c:pt idx="1">
                  <c:v>FY13</c:v>
                </c:pt>
                <c:pt idx="2">
                  <c:v>FY14</c:v>
                </c:pt>
                <c:pt idx="3">
                  <c:v>FY15</c:v>
                </c:pt>
                <c:pt idx="4">
                  <c:v>FY16</c:v>
                </c:pt>
                <c:pt idx="5">
                  <c:v>FY17E</c:v>
                </c:pt>
                <c:pt idx="6">
                  <c:v>FY18E</c:v>
                </c:pt>
                <c:pt idx="7">
                  <c:v>FY19E</c:v>
                </c:pt>
                <c:pt idx="8">
                  <c:v>FY20E</c:v>
                </c:pt>
              </c:strCache>
            </c:strRef>
          </c:cat>
          <c:val>
            <c:numRef>
              <c:f>'3.0 charts'!$E$48:$M$48</c:f>
              <c:numCache>
                <c:formatCode>0%</c:formatCode>
                <c:ptCount val="9"/>
                <c:pt idx="0">
                  <c:v>0.16605132693214464</c:v>
                </c:pt>
                <c:pt idx="1">
                  <c:v>0.16460068408461867</c:v>
                </c:pt>
                <c:pt idx="2">
                  <c:v>0.16807558263566019</c:v>
                </c:pt>
                <c:pt idx="3">
                  <c:v>0.1767329514814896</c:v>
                </c:pt>
                <c:pt idx="4">
                  <c:v>0.23862778451145647</c:v>
                </c:pt>
                <c:pt idx="5">
                  <c:v>0.22104148438945892</c:v>
                </c:pt>
                <c:pt idx="6">
                  <c:v>0.15689873893093445</c:v>
                </c:pt>
                <c:pt idx="7">
                  <c:v>0.17165569019328486</c:v>
                </c:pt>
                <c:pt idx="8">
                  <c:v>0.17554114153536132</c:v>
                </c:pt>
              </c:numCache>
            </c:numRef>
          </c:val>
          <c:smooth val="0"/>
          <c:extLst>
            <c:ext xmlns:c16="http://schemas.microsoft.com/office/drawing/2014/chart" uri="{C3380CC4-5D6E-409C-BE32-E72D297353CC}">
              <c16:uniqueId val="{00000000-D29B-4A08-AE55-15B2498AA566}"/>
            </c:ext>
          </c:extLst>
        </c:ser>
        <c:ser>
          <c:idx val="1"/>
          <c:order val="1"/>
          <c:tx>
            <c:strRef>
              <c:f>'3.0 charts'!$C$49</c:f>
              <c:strCache>
                <c:ptCount val="1"/>
                <c:pt idx="0">
                  <c:v>Operating margin</c:v>
                </c:pt>
              </c:strCache>
            </c:strRef>
          </c:tx>
          <c:spPr>
            <a:ln w="28575" cap="rnd">
              <a:solidFill>
                <a:srgbClr val="FFE699"/>
              </a:solidFill>
              <a:round/>
            </a:ln>
            <a:effectLst/>
          </c:spPr>
          <c:marker>
            <c:symbol val="none"/>
          </c:marker>
          <c:cat>
            <c:strRef>
              <c:f>'3.0 charts'!$E$47:$M$47</c:f>
              <c:strCache>
                <c:ptCount val="9"/>
                <c:pt idx="0">
                  <c:v>FY12</c:v>
                </c:pt>
                <c:pt idx="1">
                  <c:v>FY13</c:v>
                </c:pt>
                <c:pt idx="2">
                  <c:v>FY14</c:v>
                </c:pt>
                <c:pt idx="3">
                  <c:v>FY15</c:v>
                </c:pt>
                <c:pt idx="4">
                  <c:v>FY16</c:v>
                </c:pt>
                <c:pt idx="5">
                  <c:v>FY17E</c:v>
                </c:pt>
                <c:pt idx="6">
                  <c:v>FY18E</c:v>
                </c:pt>
                <c:pt idx="7">
                  <c:v>FY19E</c:v>
                </c:pt>
                <c:pt idx="8">
                  <c:v>FY20E</c:v>
                </c:pt>
              </c:strCache>
            </c:strRef>
          </c:cat>
          <c:val>
            <c:numRef>
              <c:f>'3.0 charts'!$E$49:$M$49</c:f>
              <c:numCache>
                <c:formatCode>0%</c:formatCode>
                <c:ptCount val="9"/>
                <c:pt idx="0">
                  <c:v>9.9035405616742345E-2</c:v>
                </c:pt>
                <c:pt idx="1">
                  <c:v>9.6215970464262376E-2</c:v>
                </c:pt>
                <c:pt idx="2">
                  <c:v>8.4920566003154258E-2</c:v>
                </c:pt>
                <c:pt idx="3">
                  <c:v>0.11065951925926767</c:v>
                </c:pt>
                <c:pt idx="4">
                  <c:v>0.14772897577936342</c:v>
                </c:pt>
                <c:pt idx="5">
                  <c:v>0.13693976067052327</c:v>
                </c:pt>
                <c:pt idx="6">
                  <c:v>7.9405494790427661E-2</c:v>
                </c:pt>
                <c:pt idx="7">
                  <c:v>9.7162914335295059E-2</c:v>
                </c:pt>
                <c:pt idx="8">
                  <c:v>0.10168416127983997</c:v>
                </c:pt>
              </c:numCache>
            </c:numRef>
          </c:val>
          <c:smooth val="0"/>
          <c:extLst>
            <c:ext xmlns:c16="http://schemas.microsoft.com/office/drawing/2014/chart" uri="{C3380CC4-5D6E-409C-BE32-E72D297353CC}">
              <c16:uniqueId val="{00000001-D29B-4A08-AE55-15B2498AA566}"/>
            </c:ext>
          </c:extLst>
        </c:ser>
        <c:ser>
          <c:idx val="2"/>
          <c:order val="2"/>
          <c:tx>
            <c:strRef>
              <c:f>'3.0 charts'!$C$50</c:f>
              <c:strCache>
                <c:ptCount val="1"/>
                <c:pt idx="0">
                  <c:v>Net margin (equity)</c:v>
                </c:pt>
              </c:strCache>
            </c:strRef>
          </c:tx>
          <c:spPr>
            <a:ln w="28575" cap="rnd">
              <a:solidFill>
                <a:srgbClr val="002060"/>
              </a:solidFill>
              <a:round/>
            </a:ln>
            <a:effectLst/>
          </c:spPr>
          <c:marker>
            <c:symbol val="none"/>
          </c:marker>
          <c:cat>
            <c:strRef>
              <c:f>'3.0 charts'!$E$47:$M$47</c:f>
              <c:strCache>
                <c:ptCount val="9"/>
                <c:pt idx="0">
                  <c:v>FY12</c:v>
                </c:pt>
                <c:pt idx="1">
                  <c:v>FY13</c:v>
                </c:pt>
                <c:pt idx="2">
                  <c:v>FY14</c:v>
                </c:pt>
                <c:pt idx="3">
                  <c:v>FY15</c:v>
                </c:pt>
                <c:pt idx="4">
                  <c:v>FY16</c:v>
                </c:pt>
                <c:pt idx="5">
                  <c:v>FY17E</c:v>
                </c:pt>
                <c:pt idx="6">
                  <c:v>FY18E</c:v>
                </c:pt>
                <c:pt idx="7">
                  <c:v>FY19E</c:v>
                </c:pt>
                <c:pt idx="8">
                  <c:v>FY20E</c:v>
                </c:pt>
              </c:strCache>
            </c:strRef>
          </c:cat>
          <c:val>
            <c:numRef>
              <c:f>'3.0 charts'!$E$50:$M$50</c:f>
              <c:numCache>
                <c:formatCode>0%</c:formatCode>
                <c:ptCount val="9"/>
                <c:pt idx="0">
                  <c:v>5.4865429086936562E-2</c:v>
                </c:pt>
                <c:pt idx="1">
                  <c:v>5.2132854489976288E-2</c:v>
                </c:pt>
                <c:pt idx="2">
                  <c:v>4.4659663058749043E-2</c:v>
                </c:pt>
                <c:pt idx="3">
                  <c:v>6.6130962299362106E-2</c:v>
                </c:pt>
                <c:pt idx="4">
                  <c:v>9.9071564122210271E-2</c:v>
                </c:pt>
                <c:pt idx="5">
                  <c:v>8.5580073532343884E-2</c:v>
                </c:pt>
                <c:pt idx="6">
                  <c:v>4.0674968978379709E-2</c:v>
                </c:pt>
                <c:pt idx="7">
                  <c:v>5.5226755264346346E-2</c:v>
                </c:pt>
                <c:pt idx="8">
                  <c:v>5.8862850423191497E-2</c:v>
                </c:pt>
              </c:numCache>
            </c:numRef>
          </c:val>
          <c:smooth val="0"/>
          <c:extLst>
            <c:ext xmlns:c16="http://schemas.microsoft.com/office/drawing/2014/chart" uri="{C3380CC4-5D6E-409C-BE32-E72D297353CC}">
              <c16:uniqueId val="{00000002-D29B-4A08-AE55-15B2498AA566}"/>
            </c:ext>
          </c:extLst>
        </c:ser>
        <c:dLbls>
          <c:showLegendKey val="0"/>
          <c:showVal val="0"/>
          <c:showCatName val="0"/>
          <c:showSerName val="0"/>
          <c:showPercent val="0"/>
          <c:showBubbleSize val="0"/>
        </c:dLbls>
        <c:smooth val="0"/>
        <c:axId val="126902272"/>
        <c:axId val="126903808"/>
      </c:lineChart>
      <c:catAx>
        <c:axId val="12690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903808"/>
        <c:crosses val="autoZero"/>
        <c:auto val="1"/>
        <c:lblAlgn val="ctr"/>
        <c:lblOffset val="100"/>
        <c:noMultiLvlLbl val="0"/>
      </c:catAx>
      <c:valAx>
        <c:axId val="12690380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902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900">
          <a:solidFill>
            <a:sysClr val="windowText" lastClr="000000"/>
          </a:solidFill>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372003499562555"/>
          <c:y val="5.0925925925925923E-2"/>
          <c:w val="0.80339348206474193"/>
          <c:h val="0.73577136191309422"/>
        </c:manualLayout>
      </c:layout>
      <c:barChart>
        <c:barDir val="col"/>
        <c:grouping val="clustered"/>
        <c:varyColors val="0"/>
        <c:ser>
          <c:idx val="0"/>
          <c:order val="0"/>
          <c:tx>
            <c:strRef>
              <c:f>'3.0 charts'!$C$85</c:f>
              <c:strCache>
                <c:ptCount val="1"/>
                <c:pt idx="0">
                  <c:v>Trade receivables (LHS)</c:v>
                </c:pt>
              </c:strCache>
            </c:strRef>
          </c:tx>
          <c:spPr>
            <a:solidFill>
              <a:srgbClr val="FFC000"/>
            </a:solidFill>
            <a:ln>
              <a:noFill/>
            </a:ln>
            <a:effectLst/>
          </c:spPr>
          <c:invertIfNegative val="0"/>
          <c:cat>
            <c:numRef>
              <c:f>'3.0 charts'!$E$84:$I$84</c:f>
              <c:numCache>
                <c:formatCode>General</c:formatCode>
                <c:ptCount val="5"/>
                <c:pt idx="0">
                  <c:v>2012</c:v>
                </c:pt>
                <c:pt idx="1">
                  <c:v>2013</c:v>
                </c:pt>
                <c:pt idx="2">
                  <c:v>2014</c:v>
                </c:pt>
                <c:pt idx="3">
                  <c:v>2015</c:v>
                </c:pt>
                <c:pt idx="4">
                  <c:v>2016</c:v>
                </c:pt>
              </c:numCache>
            </c:numRef>
          </c:cat>
          <c:val>
            <c:numRef>
              <c:f>'3.0 charts'!$E$85:$I$85</c:f>
              <c:numCache>
                <c:formatCode>0</c:formatCode>
                <c:ptCount val="5"/>
                <c:pt idx="0">
                  <c:v>2265.4185010000001</c:v>
                </c:pt>
                <c:pt idx="1">
                  <c:v>2701.0540000000001</c:v>
                </c:pt>
                <c:pt idx="2">
                  <c:v>3093.1840000000002</c:v>
                </c:pt>
                <c:pt idx="3">
                  <c:v>4095.2779999999998</c:v>
                </c:pt>
                <c:pt idx="4">
                  <c:v>3445.5839999999998</c:v>
                </c:pt>
              </c:numCache>
            </c:numRef>
          </c:val>
          <c:extLst>
            <c:ext xmlns:c16="http://schemas.microsoft.com/office/drawing/2014/chart" uri="{C3380CC4-5D6E-409C-BE32-E72D297353CC}">
              <c16:uniqueId val="{00000000-29B3-43AF-BB9E-E684866CBBC0}"/>
            </c:ext>
          </c:extLst>
        </c:ser>
        <c:dLbls>
          <c:showLegendKey val="0"/>
          <c:showVal val="0"/>
          <c:showCatName val="0"/>
          <c:showSerName val="0"/>
          <c:showPercent val="0"/>
          <c:showBubbleSize val="0"/>
        </c:dLbls>
        <c:gapWidth val="75"/>
        <c:overlap val="-27"/>
        <c:axId val="126942208"/>
        <c:axId val="133694208"/>
      </c:barChart>
      <c:lineChart>
        <c:grouping val="standard"/>
        <c:varyColors val="0"/>
        <c:ser>
          <c:idx val="1"/>
          <c:order val="1"/>
          <c:tx>
            <c:strRef>
              <c:f>'3.0 charts'!$C$86</c:f>
              <c:strCache>
                <c:ptCount val="1"/>
                <c:pt idx="0">
                  <c:v>Receivable days (RHS)</c:v>
                </c:pt>
              </c:strCache>
            </c:strRef>
          </c:tx>
          <c:spPr>
            <a:ln w="28575" cap="rnd">
              <a:solidFill>
                <a:srgbClr val="002060"/>
              </a:solidFill>
              <a:round/>
            </a:ln>
            <a:effectLst/>
          </c:spPr>
          <c:marker>
            <c:symbol val="none"/>
          </c:marker>
          <c:cat>
            <c:numRef>
              <c:f>'3.0 charts'!$E$84:$I$84</c:f>
              <c:numCache>
                <c:formatCode>General</c:formatCode>
                <c:ptCount val="5"/>
                <c:pt idx="0">
                  <c:v>2012</c:v>
                </c:pt>
                <c:pt idx="1">
                  <c:v>2013</c:v>
                </c:pt>
                <c:pt idx="2">
                  <c:v>2014</c:v>
                </c:pt>
                <c:pt idx="3">
                  <c:v>2015</c:v>
                </c:pt>
                <c:pt idx="4">
                  <c:v>2016</c:v>
                </c:pt>
              </c:numCache>
            </c:numRef>
          </c:cat>
          <c:val>
            <c:numRef>
              <c:f>'3.0 charts'!$E$86:$I$86</c:f>
              <c:numCache>
                <c:formatCode>0.0</c:formatCode>
                <c:ptCount val="5"/>
                <c:pt idx="0">
                  <c:v>2.5966356832070767</c:v>
                </c:pt>
                <c:pt idx="1">
                  <c:v>2.6308904359590306</c:v>
                </c:pt>
                <c:pt idx="2">
                  <c:v>3.037114276384218</c:v>
                </c:pt>
                <c:pt idx="3">
                  <c:v>2.9895381208153795</c:v>
                </c:pt>
                <c:pt idx="4">
                  <c:v>3.5316822186545167</c:v>
                </c:pt>
              </c:numCache>
            </c:numRef>
          </c:val>
          <c:smooth val="0"/>
          <c:extLst>
            <c:ext xmlns:c16="http://schemas.microsoft.com/office/drawing/2014/chart" uri="{C3380CC4-5D6E-409C-BE32-E72D297353CC}">
              <c16:uniqueId val="{00000001-29B3-43AF-BB9E-E684866CBBC0}"/>
            </c:ext>
          </c:extLst>
        </c:ser>
        <c:dLbls>
          <c:showLegendKey val="0"/>
          <c:showVal val="0"/>
          <c:showCatName val="0"/>
          <c:showSerName val="0"/>
          <c:showPercent val="0"/>
          <c:showBubbleSize val="0"/>
        </c:dLbls>
        <c:marker val="1"/>
        <c:smooth val="0"/>
        <c:axId val="133697920"/>
        <c:axId val="133696128"/>
      </c:lineChart>
      <c:catAx>
        <c:axId val="126942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3694208"/>
        <c:crosses val="autoZero"/>
        <c:auto val="1"/>
        <c:lblAlgn val="ctr"/>
        <c:lblOffset val="100"/>
        <c:noMultiLvlLbl val="0"/>
      </c:catAx>
      <c:valAx>
        <c:axId val="13369420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(LKR)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42208"/>
        <c:crosses val="autoZero"/>
        <c:crossBetween val="between"/>
      </c:valAx>
      <c:valAx>
        <c:axId val="133696128"/>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3697920"/>
        <c:crosses val="max"/>
        <c:crossBetween val="between"/>
      </c:valAx>
      <c:catAx>
        <c:axId val="133697920"/>
        <c:scaling>
          <c:orientation val="minMax"/>
        </c:scaling>
        <c:delete val="1"/>
        <c:axPos val="b"/>
        <c:numFmt formatCode="General" sourceLinked="1"/>
        <c:majorTickMark val="out"/>
        <c:minorTickMark val="none"/>
        <c:tickLblPos val="nextTo"/>
        <c:crossAx val="1336961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1"/>
          <c:order val="0"/>
          <c:tx>
            <c:strRef>
              <c:f>'3.0 Cu and Al'!$N$9</c:f>
              <c:strCache>
                <c:ptCount val="1"/>
                <c:pt idx="0">
                  <c:v>Copper prices (USD)</c:v>
                </c:pt>
              </c:strCache>
            </c:strRef>
          </c:tx>
          <c:spPr>
            <a:solidFill>
              <a:srgbClr val="FFC000"/>
            </a:solidFill>
            <a:ln>
              <a:solidFill>
                <a:srgbClr val="FFC000"/>
              </a:solidFill>
            </a:ln>
            <a:effectLst/>
          </c:spPr>
          <c:cat>
            <c:strRef>
              <c:f>'3.0 Cu and Al'!$M$10:$M$19</c:f>
              <c:strCache>
                <c:ptCount val="10"/>
                <c:pt idx="0">
                  <c:v>2011</c:v>
                </c:pt>
                <c:pt idx="1">
                  <c:v>2012</c:v>
                </c:pt>
                <c:pt idx="2">
                  <c:v>2013</c:v>
                </c:pt>
                <c:pt idx="3">
                  <c:v>2014</c:v>
                </c:pt>
                <c:pt idx="4">
                  <c:v>2015</c:v>
                </c:pt>
                <c:pt idx="5">
                  <c:v>2016E</c:v>
                </c:pt>
                <c:pt idx="6">
                  <c:v>2017E</c:v>
                </c:pt>
                <c:pt idx="7">
                  <c:v>2018E</c:v>
                </c:pt>
                <c:pt idx="8">
                  <c:v>2019E</c:v>
                </c:pt>
                <c:pt idx="9">
                  <c:v>2020E</c:v>
                </c:pt>
              </c:strCache>
            </c:strRef>
          </c:cat>
          <c:val>
            <c:numRef>
              <c:f>'3.0 Cu and Al'!$N$10:$N$19</c:f>
              <c:numCache>
                <c:formatCode>General</c:formatCode>
                <c:ptCount val="10"/>
                <c:pt idx="0">
                  <c:v>7535</c:v>
                </c:pt>
                <c:pt idx="1">
                  <c:v>8828</c:v>
                </c:pt>
                <c:pt idx="2">
                  <c:v>7962</c:v>
                </c:pt>
                <c:pt idx="3">
                  <c:v>7332</c:v>
                </c:pt>
                <c:pt idx="4">
                  <c:v>6863</c:v>
                </c:pt>
                <c:pt idx="5">
                  <c:v>5510</c:v>
                </c:pt>
                <c:pt idx="6">
                  <c:v>5200</c:v>
                </c:pt>
                <c:pt idx="7">
                  <c:v>6900</c:v>
                </c:pt>
                <c:pt idx="8">
                  <c:v>7176</c:v>
                </c:pt>
                <c:pt idx="9">
                  <c:v>7449.0289532293982</c:v>
                </c:pt>
              </c:numCache>
            </c:numRef>
          </c:val>
          <c:extLst>
            <c:ext xmlns:c16="http://schemas.microsoft.com/office/drawing/2014/chart" uri="{C3380CC4-5D6E-409C-BE32-E72D297353CC}">
              <c16:uniqueId val="{00000000-44CA-4BAF-90C0-91BD957AC125}"/>
            </c:ext>
          </c:extLst>
        </c:ser>
        <c:dLbls>
          <c:showLegendKey val="0"/>
          <c:showVal val="0"/>
          <c:showCatName val="0"/>
          <c:showSerName val="0"/>
          <c:showPercent val="0"/>
          <c:showBubbleSize val="0"/>
        </c:dLbls>
        <c:axId val="134046080"/>
        <c:axId val="134047616"/>
      </c:areaChart>
      <c:catAx>
        <c:axId val="1340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4047616"/>
        <c:crosses val="autoZero"/>
        <c:auto val="1"/>
        <c:lblAlgn val="ctr"/>
        <c:lblOffset val="100"/>
        <c:noMultiLvlLbl val="0"/>
      </c:catAx>
      <c:valAx>
        <c:axId val="134047616"/>
        <c:scaling>
          <c:orientation val="minMax"/>
          <c:min val="30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4046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1"/>
          <c:order val="0"/>
          <c:tx>
            <c:strRef>
              <c:f>'3.0 Cu and Al'!$O$9</c:f>
              <c:strCache>
                <c:ptCount val="1"/>
                <c:pt idx="0">
                  <c:v>Aluminum prices (USD)</c:v>
                </c:pt>
              </c:strCache>
            </c:strRef>
          </c:tx>
          <c:spPr>
            <a:solidFill>
              <a:srgbClr val="FFD966"/>
            </a:solidFill>
            <a:ln>
              <a:solidFill>
                <a:srgbClr val="FFD966"/>
              </a:solidFill>
            </a:ln>
            <a:effectLst/>
          </c:spPr>
          <c:cat>
            <c:strRef>
              <c:f>'3.0 Cu and Al'!$M$10:$M$19</c:f>
              <c:strCache>
                <c:ptCount val="10"/>
                <c:pt idx="0">
                  <c:v>2011</c:v>
                </c:pt>
                <c:pt idx="1">
                  <c:v>2012</c:v>
                </c:pt>
                <c:pt idx="2">
                  <c:v>2013</c:v>
                </c:pt>
                <c:pt idx="3">
                  <c:v>2014</c:v>
                </c:pt>
                <c:pt idx="4">
                  <c:v>2015</c:v>
                </c:pt>
                <c:pt idx="5">
                  <c:v>2016E</c:v>
                </c:pt>
                <c:pt idx="6">
                  <c:v>2017E</c:v>
                </c:pt>
                <c:pt idx="7">
                  <c:v>2018E</c:v>
                </c:pt>
                <c:pt idx="8">
                  <c:v>2019E</c:v>
                </c:pt>
                <c:pt idx="9">
                  <c:v>2020E</c:v>
                </c:pt>
              </c:strCache>
            </c:strRef>
          </c:cat>
          <c:val>
            <c:numRef>
              <c:f>'3.0 Cu and Al'!$O$10:$O$19</c:f>
              <c:numCache>
                <c:formatCode>General</c:formatCode>
                <c:ptCount val="10"/>
                <c:pt idx="0">
                  <c:v>2173</c:v>
                </c:pt>
                <c:pt idx="1">
                  <c:v>2401</c:v>
                </c:pt>
                <c:pt idx="2">
                  <c:v>2023</c:v>
                </c:pt>
                <c:pt idx="3">
                  <c:v>1847</c:v>
                </c:pt>
                <c:pt idx="4">
                  <c:v>1867</c:v>
                </c:pt>
                <c:pt idx="5">
                  <c:v>1665</c:v>
                </c:pt>
                <c:pt idx="6">
                  <c:v>1700</c:v>
                </c:pt>
                <c:pt idx="7">
                  <c:v>2200</c:v>
                </c:pt>
                <c:pt idx="8">
                  <c:v>2300</c:v>
                </c:pt>
                <c:pt idx="9">
                  <c:v>2400</c:v>
                </c:pt>
              </c:numCache>
            </c:numRef>
          </c:val>
          <c:extLst>
            <c:ext xmlns:c16="http://schemas.microsoft.com/office/drawing/2014/chart" uri="{C3380CC4-5D6E-409C-BE32-E72D297353CC}">
              <c16:uniqueId val="{00000000-BC63-4C52-B883-EC04F934EEEA}"/>
            </c:ext>
          </c:extLst>
        </c:ser>
        <c:dLbls>
          <c:showLegendKey val="0"/>
          <c:showVal val="0"/>
          <c:showCatName val="0"/>
          <c:showSerName val="0"/>
          <c:showPercent val="0"/>
          <c:showBubbleSize val="0"/>
        </c:dLbls>
        <c:axId val="134059520"/>
        <c:axId val="134061056"/>
      </c:areaChart>
      <c:catAx>
        <c:axId val="134059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061056"/>
        <c:crosses val="autoZero"/>
        <c:auto val="1"/>
        <c:lblAlgn val="ctr"/>
        <c:lblOffset val="100"/>
        <c:noMultiLvlLbl val="0"/>
      </c:catAx>
      <c:valAx>
        <c:axId val="134061056"/>
        <c:scaling>
          <c:orientation val="minMax"/>
          <c:min val="12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059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595800524934384"/>
          <c:y val="5.7426663578817351E-2"/>
          <c:w val="0.67241324001166525"/>
          <c:h val="0.67840319592403886"/>
        </c:manualLayout>
      </c:layout>
      <c:lineChart>
        <c:grouping val="standard"/>
        <c:varyColors val="0"/>
        <c:ser>
          <c:idx val="0"/>
          <c:order val="0"/>
          <c:tx>
            <c:strRef>
              <c:f>'3.0 Cu and Al'!$B$1</c:f>
              <c:strCache>
                <c:ptCount val="1"/>
                <c:pt idx="0">
                  <c:v>Copper prices (LHS)</c:v>
                </c:pt>
              </c:strCache>
            </c:strRef>
          </c:tx>
          <c:spPr>
            <a:ln w="28575" cap="rnd">
              <a:solidFill>
                <a:srgbClr val="FFC000"/>
              </a:solidFill>
              <a:round/>
            </a:ln>
            <a:effectLst/>
          </c:spPr>
          <c:marker>
            <c:symbol val="none"/>
          </c:marker>
          <c:cat>
            <c:numRef>
              <c:f>'3.0 Cu and Al'!$B$39:$B$84</c:f>
              <c:numCache>
                <c:formatCode>mmm\-yy</c:formatCode>
                <c:ptCount val="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numCache>
            </c:numRef>
          </c:cat>
          <c:val>
            <c:numRef>
              <c:f>'3.0 Cu and Al'!$C$39:$C$84</c:f>
              <c:numCache>
                <c:formatCode>#,##0</c:formatCode>
                <c:ptCount val="46"/>
                <c:pt idx="0">
                  <c:v>7291.47</c:v>
                </c:pt>
                <c:pt idx="1">
                  <c:v>7149.21</c:v>
                </c:pt>
                <c:pt idx="2">
                  <c:v>6650.04</c:v>
                </c:pt>
                <c:pt idx="3">
                  <c:v>6673.56</c:v>
                </c:pt>
                <c:pt idx="4">
                  <c:v>6891.13</c:v>
                </c:pt>
                <c:pt idx="5">
                  <c:v>6821.14</c:v>
                </c:pt>
                <c:pt idx="6">
                  <c:v>7113.38</c:v>
                </c:pt>
                <c:pt idx="7">
                  <c:v>7001.84</c:v>
                </c:pt>
                <c:pt idx="8">
                  <c:v>6872.22</c:v>
                </c:pt>
                <c:pt idx="9">
                  <c:v>6737.48</c:v>
                </c:pt>
                <c:pt idx="10">
                  <c:v>6712.85</c:v>
                </c:pt>
                <c:pt idx="11">
                  <c:v>6446.45</c:v>
                </c:pt>
                <c:pt idx="12">
                  <c:v>5830.54</c:v>
                </c:pt>
                <c:pt idx="13">
                  <c:v>5729.28</c:v>
                </c:pt>
                <c:pt idx="14">
                  <c:v>5939.67</c:v>
                </c:pt>
                <c:pt idx="15">
                  <c:v>6042.09</c:v>
                </c:pt>
                <c:pt idx="16">
                  <c:v>6294.78</c:v>
                </c:pt>
                <c:pt idx="17">
                  <c:v>5833.01</c:v>
                </c:pt>
                <c:pt idx="18">
                  <c:v>5456.75</c:v>
                </c:pt>
                <c:pt idx="19">
                  <c:v>5127.3</c:v>
                </c:pt>
                <c:pt idx="20">
                  <c:v>5217.25</c:v>
                </c:pt>
                <c:pt idx="21">
                  <c:v>5216.09</c:v>
                </c:pt>
                <c:pt idx="22">
                  <c:v>4799.8999999999996</c:v>
                </c:pt>
                <c:pt idx="23">
                  <c:v>4638.83</c:v>
                </c:pt>
                <c:pt idx="24">
                  <c:v>4471.79</c:v>
                </c:pt>
                <c:pt idx="25">
                  <c:v>4598.62</c:v>
                </c:pt>
                <c:pt idx="26">
                  <c:v>4953.8</c:v>
                </c:pt>
                <c:pt idx="27">
                  <c:v>4872.74</c:v>
                </c:pt>
                <c:pt idx="28">
                  <c:v>4694.54</c:v>
                </c:pt>
                <c:pt idx="29">
                  <c:v>4641.97</c:v>
                </c:pt>
                <c:pt idx="30">
                  <c:v>4864.8999999999996</c:v>
                </c:pt>
                <c:pt idx="31" formatCode="#,##0.00">
                  <c:v>4751.67</c:v>
                </c:pt>
                <c:pt idx="32" formatCode="#,##0.00">
                  <c:v>4722.2</c:v>
                </c:pt>
                <c:pt idx="33" formatCode="#,##0.00">
                  <c:v>4731.26</c:v>
                </c:pt>
                <c:pt idx="34" formatCode="#,##0.00">
                  <c:v>5450.93</c:v>
                </c:pt>
                <c:pt idx="35" formatCode="#,##0.00">
                  <c:v>5660.35</c:v>
                </c:pt>
                <c:pt idx="36" formatCode="#,##0.00">
                  <c:v>5754.56</c:v>
                </c:pt>
                <c:pt idx="37" formatCode="#,##0.00">
                  <c:v>5940.91</c:v>
                </c:pt>
                <c:pt idx="38" formatCode="#,##0.00">
                  <c:v>5824.63</c:v>
                </c:pt>
                <c:pt idx="39" formatCode="#,##0.00">
                  <c:v>5683.9</c:v>
                </c:pt>
                <c:pt idx="40" formatCode="#,##0.00">
                  <c:v>5599.56</c:v>
                </c:pt>
                <c:pt idx="41" formatCode="#,##0.00">
                  <c:v>5719.76</c:v>
                </c:pt>
                <c:pt idx="42" formatCode="#,##0.00">
                  <c:v>5985.12</c:v>
                </c:pt>
                <c:pt idx="43" formatCode="#,##0.00">
                  <c:v>6485.63</c:v>
                </c:pt>
                <c:pt idx="44" formatCode="#,##0.00">
                  <c:v>6577.17</c:v>
                </c:pt>
                <c:pt idx="45" formatCode="#,##0.00">
                  <c:v>6807.6</c:v>
                </c:pt>
              </c:numCache>
            </c:numRef>
          </c:val>
          <c:smooth val="0"/>
          <c:extLst>
            <c:ext xmlns:c16="http://schemas.microsoft.com/office/drawing/2014/chart" uri="{C3380CC4-5D6E-409C-BE32-E72D297353CC}">
              <c16:uniqueId val="{00000000-97E9-4C9C-805E-ACCF9732D1D9}"/>
            </c:ext>
          </c:extLst>
        </c:ser>
        <c:dLbls>
          <c:showLegendKey val="0"/>
          <c:showVal val="0"/>
          <c:showCatName val="0"/>
          <c:showSerName val="0"/>
          <c:showPercent val="0"/>
          <c:showBubbleSize val="0"/>
        </c:dLbls>
        <c:marker val="1"/>
        <c:smooth val="0"/>
        <c:axId val="133785856"/>
        <c:axId val="133791744"/>
      </c:lineChart>
      <c:lineChart>
        <c:grouping val="standard"/>
        <c:varyColors val="0"/>
        <c:ser>
          <c:idx val="1"/>
          <c:order val="1"/>
          <c:tx>
            <c:strRef>
              <c:f>'3.0 Cu and Al'!$D$1</c:f>
              <c:strCache>
                <c:ptCount val="1"/>
                <c:pt idx="0">
                  <c:v>Crude oil (RHS)</c:v>
                </c:pt>
              </c:strCache>
            </c:strRef>
          </c:tx>
          <c:spPr>
            <a:ln w="28575" cap="rnd">
              <a:solidFill>
                <a:srgbClr val="002060"/>
              </a:solidFill>
              <a:round/>
            </a:ln>
            <a:effectLst/>
          </c:spPr>
          <c:marker>
            <c:symbol val="none"/>
          </c:marker>
          <c:cat>
            <c:numRef>
              <c:f>'3.0 Cu and Al'!$B$39:$B$84</c:f>
              <c:numCache>
                <c:formatCode>mmm\-yy</c:formatCode>
                <c:ptCount val="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numCache>
            </c:numRef>
          </c:cat>
          <c:val>
            <c:numRef>
              <c:f>'3.0 Cu and Al'!$D$39:$D$84</c:f>
              <c:numCache>
                <c:formatCode>General</c:formatCode>
                <c:ptCount val="46"/>
                <c:pt idx="0">
                  <c:v>95</c:v>
                </c:pt>
                <c:pt idx="1">
                  <c:v>100.7</c:v>
                </c:pt>
                <c:pt idx="2">
                  <c:v>100.57</c:v>
                </c:pt>
                <c:pt idx="3">
                  <c:v>102.18</c:v>
                </c:pt>
                <c:pt idx="4">
                  <c:v>102</c:v>
                </c:pt>
                <c:pt idx="5">
                  <c:v>105.24</c:v>
                </c:pt>
                <c:pt idx="6">
                  <c:v>102.99</c:v>
                </c:pt>
                <c:pt idx="7">
                  <c:v>96.38</c:v>
                </c:pt>
                <c:pt idx="8">
                  <c:v>93.35</c:v>
                </c:pt>
                <c:pt idx="9">
                  <c:v>84.4</c:v>
                </c:pt>
                <c:pt idx="10">
                  <c:v>75.7</c:v>
                </c:pt>
                <c:pt idx="11">
                  <c:v>59.1</c:v>
                </c:pt>
                <c:pt idx="12">
                  <c:v>47.6</c:v>
                </c:pt>
                <c:pt idx="13">
                  <c:v>50.72</c:v>
                </c:pt>
                <c:pt idx="14">
                  <c:v>47.78</c:v>
                </c:pt>
                <c:pt idx="15">
                  <c:v>54.2</c:v>
                </c:pt>
                <c:pt idx="16">
                  <c:v>59.26</c:v>
                </c:pt>
                <c:pt idx="17">
                  <c:v>59.8</c:v>
                </c:pt>
                <c:pt idx="18">
                  <c:v>51.16</c:v>
                </c:pt>
                <c:pt idx="19">
                  <c:v>42.86</c:v>
                </c:pt>
                <c:pt idx="20">
                  <c:v>45.48</c:v>
                </c:pt>
                <c:pt idx="21">
                  <c:v>46.2</c:v>
                </c:pt>
                <c:pt idx="22">
                  <c:v>42.65</c:v>
                </c:pt>
                <c:pt idx="23">
                  <c:v>37.24</c:v>
                </c:pt>
                <c:pt idx="24">
                  <c:v>31.7</c:v>
                </c:pt>
                <c:pt idx="25">
                  <c:v>30.35</c:v>
                </c:pt>
                <c:pt idx="26">
                  <c:v>37.770000000000003</c:v>
                </c:pt>
                <c:pt idx="27">
                  <c:v>40.96</c:v>
                </c:pt>
                <c:pt idx="28">
                  <c:v>46.85</c:v>
                </c:pt>
                <c:pt idx="29">
                  <c:v>48.75</c:v>
                </c:pt>
                <c:pt idx="30">
                  <c:v>44.89</c:v>
                </c:pt>
                <c:pt idx="31">
                  <c:v>44.75</c:v>
                </c:pt>
                <c:pt idx="32">
                  <c:v>45.17</c:v>
                </c:pt>
                <c:pt idx="33">
                  <c:v>49.89</c:v>
                </c:pt>
                <c:pt idx="34">
                  <c:v>45.62</c:v>
                </c:pt>
                <c:pt idx="35">
                  <c:v>52.01</c:v>
                </c:pt>
                <c:pt idx="36">
                  <c:v>52.56</c:v>
                </c:pt>
                <c:pt idx="37">
                  <c:v>53.4</c:v>
                </c:pt>
                <c:pt idx="38">
                  <c:v>49.58</c:v>
                </c:pt>
                <c:pt idx="39">
                  <c:v>51.17</c:v>
                </c:pt>
                <c:pt idx="40">
                  <c:v>48.56</c:v>
                </c:pt>
                <c:pt idx="41">
                  <c:v>45.17</c:v>
                </c:pt>
                <c:pt idx="42">
                  <c:v>46.65</c:v>
                </c:pt>
                <c:pt idx="43">
                  <c:v>48.03</c:v>
                </c:pt>
                <c:pt idx="44">
                  <c:v>49.83</c:v>
                </c:pt>
                <c:pt idx="45">
                  <c:v>51.56</c:v>
                </c:pt>
              </c:numCache>
            </c:numRef>
          </c:val>
          <c:smooth val="0"/>
          <c:extLst>
            <c:ext xmlns:c16="http://schemas.microsoft.com/office/drawing/2014/chart" uri="{C3380CC4-5D6E-409C-BE32-E72D297353CC}">
              <c16:uniqueId val="{00000001-97E9-4C9C-805E-ACCF9732D1D9}"/>
            </c:ext>
          </c:extLst>
        </c:ser>
        <c:dLbls>
          <c:showLegendKey val="0"/>
          <c:showVal val="0"/>
          <c:showCatName val="0"/>
          <c:showSerName val="0"/>
          <c:showPercent val="0"/>
          <c:showBubbleSize val="0"/>
        </c:dLbls>
        <c:marker val="1"/>
        <c:smooth val="0"/>
        <c:axId val="133794816"/>
        <c:axId val="133793280"/>
      </c:lineChart>
      <c:dateAx>
        <c:axId val="133785856"/>
        <c:scaling>
          <c:orientation val="minMax"/>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33791744"/>
        <c:crosses val="autoZero"/>
        <c:auto val="1"/>
        <c:lblOffset val="100"/>
        <c:baseTimeUnit val="months"/>
        <c:majorUnit val="1"/>
        <c:majorTimeUnit val="years"/>
        <c:minorUnit val="5"/>
        <c:minorTimeUnit val="years"/>
      </c:dateAx>
      <c:valAx>
        <c:axId val="133791744"/>
        <c:scaling>
          <c:orientation val="minMax"/>
          <c:min val="4000"/>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33785856"/>
        <c:crosses val="autoZero"/>
        <c:crossBetween val="between"/>
      </c:valAx>
      <c:valAx>
        <c:axId val="133793280"/>
        <c:scaling>
          <c:orientation val="minMax"/>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33794816"/>
        <c:crosses val="max"/>
        <c:crossBetween val="between"/>
      </c:valAx>
      <c:dateAx>
        <c:axId val="133794816"/>
        <c:scaling>
          <c:orientation val="minMax"/>
        </c:scaling>
        <c:delete val="1"/>
        <c:axPos val="b"/>
        <c:numFmt formatCode="mmm\-yy" sourceLinked="1"/>
        <c:majorTickMark val="out"/>
        <c:minorTickMark val="none"/>
        <c:tickLblPos val="nextTo"/>
        <c:crossAx val="133793280"/>
        <c:crosses val="autoZero"/>
        <c:auto val="1"/>
        <c:lblOffset val="100"/>
        <c:baseTimeUnit val="months"/>
      </c:dateAx>
      <c:spPr>
        <a:noFill/>
        <a:ln>
          <a:noFill/>
        </a:ln>
        <a:effectLst/>
      </c:spPr>
    </c:plotArea>
    <c:legend>
      <c:legendPos val="b"/>
      <c:layout>
        <c:manualLayout>
          <c:xMode val="edge"/>
          <c:yMode val="edge"/>
          <c:x val="0"/>
          <c:y val="0.88190520302609232"/>
          <c:w val="1"/>
          <c:h val="8.868303226802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951341043307088"/>
          <c:y val="5.7494303936389574E-2"/>
          <c:w val="0.71708463199912509"/>
          <c:h val="0.70384101722267045"/>
        </c:manualLayout>
      </c:layout>
      <c:lineChart>
        <c:grouping val="standard"/>
        <c:varyColors val="0"/>
        <c:ser>
          <c:idx val="0"/>
          <c:order val="0"/>
          <c:tx>
            <c:strRef>
              <c:f>'3.0 Cu and Al'!$H$1</c:f>
              <c:strCache>
                <c:ptCount val="1"/>
                <c:pt idx="0">
                  <c:v>Aluminium prices (LHS)</c:v>
                </c:pt>
              </c:strCache>
            </c:strRef>
          </c:tx>
          <c:spPr>
            <a:ln w="28575" cap="rnd">
              <a:solidFill>
                <a:srgbClr val="FFD966"/>
              </a:solidFill>
              <a:round/>
            </a:ln>
            <a:effectLst/>
          </c:spPr>
          <c:marker>
            <c:symbol val="none"/>
          </c:marker>
          <c:cat>
            <c:numRef>
              <c:f>'3.0 Cu and Al'!$B$3:$B$69</c:f>
              <c:numCache>
                <c:formatCode>mmm\-yy</c:formatCode>
                <c:ptCount val="67"/>
                <c:pt idx="0">
                  <c:v>40544</c:v>
                </c:pt>
                <c:pt idx="1">
                  <c:v>40575</c:v>
                </c:pt>
                <c:pt idx="2">
                  <c:v>40603</c:v>
                </c:pt>
                <c:pt idx="3">
                  <c:v>40634</c:v>
                </c:pt>
                <c:pt idx="4">
                  <c:v>40664</c:v>
                </c:pt>
                <c:pt idx="5">
                  <c:v>40695</c:v>
                </c:pt>
                <c:pt idx="6">
                  <c:v>40725</c:v>
                </c:pt>
                <c:pt idx="7">
                  <c:v>40756</c:v>
                </c:pt>
                <c:pt idx="8">
                  <c:v>40787</c:v>
                </c:pt>
                <c:pt idx="9">
                  <c:v>40817</c:v>
                </c:pt>
                <c:pt idx="10">
                  <c:v>40848</c:v>
                </c:pt>
                <c:pt idx="11">
                  <c:v>40878</c:v>
                </c:pt>
                <c:pt idx="12">
                  <c:v>40909</c:v>
                </c:pt>
                <c:pt idx="13">
                  <c:v>40940</c:v>
                </c:pt>
                <c:pt idx="14">
                  <c:v>40969</c:v>
                </c:pt>
                <c:pt idx="15">
                  <c:v>41000</c:v>
                </c:pt>
                <c:pt idx="16">
                  <c:v>41030</c:v>
                </c:pt>
                <c:pt idx="17">
                  <c:v>41061</c:v>
                </c:pt>
                <c:pt idx="18">
                  <c:v>41091</c:v>
                </c:pt>
                <c:pt idx="19">
                  <c:v>41122</c:v>
                </c:pt>
                <c:pt idx="20">
                  <c:v>41153</c:v>
                </c:pt>
                <c:pt idx="21">
                  <c:v>41183</c:v>
                </c:pt>
                <c:pt idx="22">
                  <c:v>41214</c:v>
                </c:pt>
                <c:pt idx="23">
                  <c:v>41244</c:v>
                </c:pt>
                <c:pt idx="24">
                  <c:v>41275</c:v>
                </c:pt>
                <c:pt idx="25">
                  <c:v>41306</c:v>
                </c:pt>
                <c:pt idx="26">
                  <c:v>41334</c:v>
                </c:pt>
                <c:pt idx="27">
                  <c:v>41365</c:v>
                </c:pt>
                <c:pt idx="28">
                  <c:v>41395</c:v>
                </c:pt>
                <c:pt idx="29">
                  <c:v>41426</c:v>
                </c:pt>
                <c:pt idx="30">
                  <c:v>41456</c:v>
                </c:pt>
                <c:pt idx="31">
                  <c:v>41487</c:v>
                </c:pt>
                <c:pt idx="32">
                  <c:v>41518</c:v>
                </c:pt>
                <c:pt idx="33">
                  <c:v>41548</c:v>
                </c:pt>
                <c:pt idx="34">
                  <c:v>41579</c:v>
                </c:pt>
                <c:pt idx="35">
                  <c:v>41609</c:v>
                </c:pt>
                <c:pt idx="36">
                  <c:v>41640</c:v>
                </c:pt>
                <c:pt idx="37">
                  <c:v>41671</c:v>
                </c:pt>
                <c:pt idx="38">
                  <c:v>41699</c:v>
                </c:pt>
                <c:pt idx="39">
                  <c:v>41730</c:v>
                </c:pt>
                <c:pt idx="40">
                  <c:v>41760</c:v>
                </c:pt>
                <c:pt idx="41">
                  <c:v>41791</c:v>
                </c:pt>
                <c:pt idx="42">
                  <c:v>41821</c:v>
                </c:pt>
                <c:pt idx="43">
                  <c:v>41852</c:v>
                </c:pt>
                <c:pt idx="44">
                  <c:v>41883</c:v>
                </c:pt>
                <c:pt idx="45">
                  <c:v>41913</c:v>
                </c:pt>
                <c:pt idx="46">
                  <c:v>41944</c:v>
                </c:pt>
                <c:pt idx="47">
                  <c:v>41974</c:v>
                </c:pt>
                <c:pt idx="48">
                  <c:v>42005</c:v>
                </c:pt>
                <c:pt idx="49">
                  <c:v>42036</c:v>
                </c:pt>
                <c:pt idx="50">
                  <c:v>42064</c:v>
                </c:pt>
                <c:pt idx="51">
                  <c:v>42095</c:v>
                </c:pt>
                <c:pt idx="52">
                  <c:v>42125</c:v>
                </c:pt>
                <c:pt idx="53">
                  <c:v>42156</c:v>
                </c:pt>
                <c:pt idx="54">
                  <c:v>42186</c:v>
                </c:pt>
                <c:pt idx="55">
                  <c:v>42217</c:v>
                </c:pt>
                <c:pt idx="56">
                  <c:v>42248</c:v>
                </c:pt>
                <c:pt idx="57">
                  <c:v>42278</c:v>
                </c:pt>
                <c:pt idx="58">
                  <c:v>42309</c:v>
                </c:pt>
                <c:pt idx="59">
                  <c:v>42339</c:v>
                </c:pt>
                <c:pt idx="60">
                  <c:v>42370</c:v>
                </c:pt>
                <c:pt idx="61">
                  <c:v>42401</c:v>
                </c:pt>
                <c:pt idx="62">
                  <c:v>42430</c:v>
                </c:pt>
                <c:pt idx="63">
                  <c:v>42461</c:v>
                </c:pt>
                <c:pt idx="64">
                  <c:v>42491</c:v>
                </c:pt>
                <c:pt idx="65">
                  <c:v>42522</c:v>
                </c:pt>
                <c:pt idx="66">
                  <c:v>42552</c:v>
                </c:pt>
              </c:numCache>
            </c:numRef>
          </c:cat>
          <c:val>
            <c:numRef>
              <c:f>'3.0 Cu and Al'!$H$3:$H$69</c:f>
              <c:numCache>
                <c:formatCode>#,##0.00</c:formatCode>
                <c:ptCount val="67"/>
                <c:pt idx="0">
                  <c:v>2439.6999999999998</c:v>
                </c:pt>
                <c:pt idx="1">
                  <c:v>2515.2600000000002</c:v>
                </c:pt>
                <c:pt idx="2">
                  <c:v>2555.5</c:v>
                </c:pt>
                <c:pt idx="3">
                  <c:v>2667.42</c:v>
                </c:pt>
                <c:pt idx="4">
                  <c:v>2587.21</c:v>
                </c:pt>
                <c:pt idx="5">
                  <c:v>2557.7600000000002</c:v>
                </c:pt>
                <c:pt idx="6">
                  <c:v>2525.4299999999998</c:v>
                </c:pt>
                <c:pt idx="7">
                  <c:v>2380.98</c:v>
                </c:pt>
                <c:pt idx="8">
                  <c:v>2293.46</c:v>
                </c:pt>
                <c:pt idx="9">
                  <c:v>2180.65</c:v>
                </c:pt>
                <c:pt idx="10">
                  <c:v>2079.98</c:v>
                </c:pt>
                <c:pt idx="11">
                  <c:v>2024.38</c:v>
                </c:pt>
                <c:pt idx="12">
                  <c:v>2151.33</c:v>
                </c:pt>
                <c:pt idx="13">
                  <c:v>2207.92</c:v>
                </c:pt>
                <c:pt idx="14">
                  <c:v>2184.16</c:v>
                </c:pt>
                <c:pt idx="15">
                  <c:v>2048.5100000000002</c:v>
                </c:pt>
                <c:pt idx="16">
                  <c:v>2002.52</c:v>
                </c:pt>
                <c:pt idx="17">
                  <c:v>1885.51</c:v>
                </c:pt>
                <c:pt idx="18">
                  <c:v>1876.25</c:v>
                </c:pt>
                <c:pt idx="19">
                  <c:v>1843.33</c:v>
                </c:pt>
                <c:pt idx="20">
                  <c:v>2064.12</c:v>
                </c:pt>
                <c:pt idx="21">
                  <c:v>1974.3</c:v>
                </c:pt>
                <c:pt idx="22">
                  <c:v>1948.83</c:v>
                </c:pt>
                <c:pt idx="23">
                  <c:v>2086.7600000000002</c:v>
                </c:pt>
                <c:pt idx="24">
                  <c:v>2037.61</c:v>
                </c:pt>
                <c:pt idx="25">
                  <c:v>2053.6</c:v>
                </c:pt>
                <c:pt idx="26">
                  <c:v>1911.28</c:v>
                </c:pt>
                <c:pt idx="27">
                  <c:v>1861.02</c:v>
                </c:pt>
                <c:pt idx="28">
                  <c:v>1832.57</c:v>
                </c:pt>
                <c:pt idx="29">
                  <c:v>1814.54</c:v>
                </c:pt>
                <c:pt idx="30">
                  <c:v>1769.61</c:v>
                </c:pt>
                <c:pt idx="31">
                  <c:v>1816.24</c:v>
                </c:pt>
                <c:pt idx="32">
                  <c:v>1761.3</c:v>
                </c:pt>
                <c:pt idx="33">
                  <c:v>1814.58</c:v>
                </c:pt>
                <c:pt idx="34">
                  <c:v>1747.96</c:v>
                </c:pt>
                <c:pt idx="35">
                  <c:v>1739.81</c:v>
                </c:pt>
                <c:pt idx="36">
                  <c:v>1727.41</c:v>
                </c:pt>
                <c:pt idx="37">
                  <c:v>1695.17</c:v>
                </c:pt>
                <c:pt idx="38">
                  <c:v>1705.37</c:v>
                </c:pt>
                <c:pt idx="39">
                  <c:v>1810.68</c:v>
                </c:pt>
                <c:pt idx="40">
                  <c:v>1751.05</c:v>
                </c:pt>
                <c:pt idx="41">
                  <c:v>1838.95</c:v>
                </c:pt>
                <c:pt idx="42">
                  <c:v>1948.3</c:v>
                </c:pt>
                <c:pt idx="43">
                  <c:v>2030.49</c:v>
                </c:pt>
                <c:pt idx="44">
                  <c:v>1990.43</c:v>
                </c:pt>
                <c:pt idx="45">
                  <c:v>1946.19</c:v>
                </c:pt>
                <c:pt idx="46">
                  <c:v>2055.56</c:v>
                </c:pt>
                <c:pt idx="47">
                  <c:v>1909.46</c:v>
                </c:pt>
                <c:pt idx="48">
                  <c:v>1814.72</c:v>
                </c:pt>
                <c:pt idx="49">
                  <c:v>1817.82</c:v>
                </c:pt>
                <c:pt idx="50">
                  <c:v>1773.86</c:v>
                </c:pt>
                <c:pt idx="51">
                  <c:v>1819.19</c:v>
                </c:pt>
                <c:pt idx="52">
                  <c:v>1804.04</c:v>
                </c:pt>
                <c:pt idx="53">
                  <c:v>1687.73</c:v>
                </c:pt>
                <c:pt idx="54">
                  <c:v>1639.5</c:v>
                </c:pt>
                <c:pt idx="55">
                  <c:v>1548.13</c:v>
                </c:pt>
                <c:pt idx="56">
                  <c:v>1589.6</c:v>
                </c:pt>
                <c:pt idx="57">
                  <c:v>1516.49</c:v>
                </c:pt>
                <c:pt idx="58">
                  <c:v>1467.89</c:v>
                </c:pt>
                <c:pt idx="59">
                  <c:v>1497.2</c:v>
                </c:pt>
                <c:pt idx="60">
                  <c:v>1481.1</c:v>
                </c:pt>
                <c:pt idx="61">
                  <c:v>1531.26</c:v>
                </c:pt>
                <c:pt idx="62">
                  <c:v>1531.01</c:v>
                </c:pt>
                <c:pt idx="63">
                  <c:v>1571.23</c:v>
                </c:pt>
                <c:pt idx="64">
                  <c:v>1550.63</c:v>
                </c:pt>
                <c:pt idx="65">
                  <c:v>1593.51</c:v>
                </c:pt>
                <c:pt idx="66">
                  <c:v>1629.05</c:v>
                </c:pt>
              </c:numCache>
            </c:numRef>
          </c:val>
          <c:smooth val="0"/>
          <c:extLst>
            <c:ext xmlns:c16="http://schemas.microsoft.com/office/drawing/2014/chart" uri="{C3380CC4-5D6E-409C-BE32-E72D297353CC}">
              <c16:uniqueId val="{00000000-175A-4D55-888A-07F5C4ECA736}"/>
            </c:ext>
          </c:extLst>
        </c:ser>
        <c:dLbls>
          <c:showLegendKey val="0"/>
          <c:showVal val="0"/>
          <c:showCatName val="0"/>
          <c:showSerName val="0"/>
          <c:showPercent val="0"/>
          <c:showBubbleSize val="0"/>
        </c:dLbls>
        <c:marker val="1"/>
        <c:smooth val="0"/>
        <c:axId val="133903104"/>
        <c:axId val="133904640"/>
      </c:lineChart>
      <c:lineChart>
        <c:grouping val="standard"/>
        <c:varyColors val="0"/>
        <c:ser>
          <c:idx val="1"/>
          <c:order val="1"/>
          <c:tx>
            <c:strRef>
              <c:f>'3.0 Cu and Al'!$I$1</c:f>
              <c:strCache>
                <c:ptCount val="1"/>
                <c:pt idx="0">
                  <c:v>Crude oil (RHS)</c:v>
                </c:pt>
              </c:strCache>
            </c:strRef>
          </c:tx>
          <c:spPr>
            <a:ln w="28575" cap="rnd">
              <a:solidFill>
                <a:srgbClr val="002060"/>
              </a:solidFill>
              <a:round/>
            </a:ln>
            <a:effectLst/>
          </c:spPr>
          <c:marker>
            <c:symbol val="none"/>
          </c:marker>
          <c:cat>
            <c:numRef>
              <c:f>'3.0 Cu and Al'!$B$3:$B$69</c:f>
              <c:numCache>
                <c:formatCode>mmm\-yy</c:formatCode>
                <c:ptCount val="67"/>
                <c:pt idx="0">
                  <c:v>40544</c:v>
                </c:pt>
                <c:pt idx="1">
                  <c:v>40575</c:v>
                </c:pt>
                <c:pt idx="2">
                  <c:v>40603</c:v>
                </c:pt>
                <c:pt idx="3">
                  <c:v>40634</c:v>
                </c:pt>
                <c:pt idx="4">
                  <c:v>40664</c:v>
                </c:pt>
                <c:pt idx="5">
                  <c:v>40695</c:v>
                </c:pt>
                <c:pt idx="6">
                  <c:v>40725</c:v>
                </c:pt>
                <c:pt idx="7">
                  <c:v>40756</c:v>
                </c:pt>
                <c:pt idx="8">
                  <c:v>40787</c:v>
                </c:pt>
                <c:pt idx="9">
                  <c:v>40817</c:v>
                </c:pt>
                <c:pt idx="10">
                  <c:v>40848</c:v>
                </c:pt>
                <c:pt idx="11">
                  <c:v>40878</c:v>
                </c:pt>
                <c:pt idx="12">
                  <c:v>40909</c:v>
                </c:pt>
                <c:pt idx="13">
                  <c:v>40940</c:v>
                </c:pt>
                <c:pt idx="14">
                  <c:v>40969</c:v>
                </c:pt>
                <c:pt idx="15">
                  <c:v>41000</c:v>
                </c:pt>
                <c:pt idx="16">
                  <c:v>41030</c:v>
                </c:pt>
                <c:pt idx="17">
                  <c:v>41061</c:v>
                </c:pt>
                <c:pt idx="18">
                  <c:v>41091</c:v>
                </c:pt>
                <c:pt idx="19">
                  <c:v>41122</c:v>
                </c:pt>
                <c:pt idx="20">
                  <c:v>41153</c:v>
                </c:pt>
                <c:pt idx="21">
                  <c:v>41183</c:v>
                </c:pt>
                <c:pt idx="22">
                  <c:v>41214</c:v>
                </c:pt>
                <c:pt idx="23">
                  <c:v>41244</c:v>
                </c:pt>
                <c:pt idx="24">
                  <c:v>41275</c:v>
                </c:pt>
                <c:pt idx="25">
                  <c:v>41306</c:v>
                </c:pt>
                <c:pt idx="26">
                  <c:v>41334</c:v>
                </c:pt>
                <c:pt idx="27">
                  <c:v>41365</c:v>
                </c:pt>
                <c:pt idx="28">
                  <c:v>41395</c:v>
                </c:pt>
                <c:pt idx="29">
                  <c:v>41426</c:v>
                </c:pt>
                <c:pt idx="30">
                  <c:v>41456</c:v>
                </c:pt>
                <c:pt idx="31">
                  <c:v>41487</c:v>
                </c:pt>
                <c:pt idx="32">
                  <c:v>41518</c:v>
                </c:pt>
                <c:pt idx="33">
                  <c:v>41548</c:v>
                </c:pt>
                <c:pt idx="34">
                  <c:v>41579</c:v>
                </c:pt>
                <c:pt idx="35">
                  <c:v>41609</c:v>
                </c:pt>
                <c:pt idx="36">
                  <c:v>41640</c:v>
                </c:pt>
                <c:pt idx="37">
                  <c:v>41671</c:v>
                </c:pt>
                <c:pt idx="38">
                  <c:v>41699</c:v>
                </c:pt>
                <c:pt idx="39">
                  <c:v>41730</c:v>
                </c:pt>
                <c:pt idx="40">
                  <c:v>41760</c:v>
                </c:pt>
                <c:pt idx="41">
                  <c:v>41791</c:v>
                </c:pt>
                <c:pt idx="42">
                  <c:v>41821</c:v>
                </c:pt>
                <c:pt idx="43">
                  <c:v>41852</c:v>
                </c:pt>
                <c:pt idx="44">
                  <c:v>41883</c:v>
                </c:pt>
                <c:pt idx="45">
                  <c:v>41913</c:v>
                </c:pt>
                <c:pt idx="46">
                  <c:v>41944</c:v>
                </c:pt>
                <c:pt idx="47">
                  <c:v>41974</c:v>
                </c:pt>
                <c:pt idx="48">
                  <c:v>42005</c:v>
                </c:pt>
                <c:pt idx="49">
                  <c:v>42036</c:v>
                </c:pt>
                <c:pt idx="50">
                  <c:v>42064</c:v>
                </c:pt>
                <c:pt idx="51">
                  <c:v>42095</c:v>
                </c:pt>
                <c:pt idx="52">
                  <c:v>42125</c:v>
                </c:pt>
                <c:pt idx="53">
                  <c:v>42156</c:v>
                </c:pt>
                <c:pt idx="54">
                  <c:v>42186</c:v>
                </c:pt>
                <c:pt idx="55">
                  <c:v>42217</c:v>
                </c:pt>
                <c:pt idx="56">
                  <c:v>42248</c:v>
                </c:pt>
                <c:pt idx="57">
                  <c:v>42278</c:v>
                </c:pt>
                <c:pt idx="58">
                  <c:v>42309</c:v>
                </c:pt>
                <c:pt idx="59">
                  <c:v>42339</c:v>
                </c:pt>
                <c:pt idx="60">
                  <c:v>42370</c:v>
                </c:pt>
                <c:pt idx="61">
                  <c:v>42401</c:v>
                </c:pt>
                <c:pt idx="62">
                  <c:v>42430</c:v>
                </c:pt>
                <c:pt idx="63">
                  <c:v>42461</c:v>
                </c:pt>
                <c:pt idx="64">
                  <c:v>42491</c:v>
                </c:pt>
                <c:pt idx="65">
                  <c:v>42522</c:v>
                </c:pt>
                <c:pt idx="66">
                  <c:v>42552</c:v>
                </c:pt>
              </c:numCache>
            </c:numRef>
          </c:cat>
          <c:val>
            <c:numRef>
              <c:f>'3.0 Cu and Al'!$I$3:$I$69</c:f>
              <c:numCache>
                <c:formatCode>General</c:formatCode>
                <c:ptCount val="67"/>
                <c:pt idx="0">
                  <c:v>89.51</c:v>
                </c:pt>
                <c:pt idx="1">
                  <c:v>89.37</c:v>
                </c:pt>
                <c:pt idx="2">
                  <c:v>102.92</c:v>
                </c:pt>
                <c:pt idx="3">
                  <c:v>110.04</c:v>
                </c:pt>
                <c:pt idx="4">
                  <c:v>101.25</c:v>
                </c:pt>
                <c:pt idx="5">
                  <c:v>96.25</c:v>
                </c:pt>
                <c:pt idx="6">
                  <c:v>97.19</c:v>
                </c:pt>
                <c:pt idx="7">
                  <c:v>86.32</c:v>
                </c:pt>
                <c:pt idx="8">
                  <c:v>85.62</c:v>
                </c:pt>
                <c:pt idx="9">
                  <c:v>86.41</c:v>
                </c:pt>
                <c:pt idx="10">
                  <c:v>97.07</c:v>
                </c:pt>
                <c:pt idx="11">
                  <c:v>98.61</c:v>
                </c:pt>
                <c:pt idx="12">
                  <c:v>100.15</c:v>
                </c:pt>
                <c:pt idx="13">
                  <c:v>102.26</c:v>
                </c:pt>
                <c:pt idx="14">
                  <c:v>106.15</c:v>
                </c:pt>
                <c:pt idx="15">
                  <c:v>103.28</c:v>
                </c:pt>
                <c:pt idx="16">
                  <c:v>94.51</c:v>
                </c:pt>
                <c:pt idx="17">
                  <c:v>82.36</c:v>
                </c:pt>
                <c:pt idx="18">
                  <c:v>87.89</c:v>
                </c:pt>
                <c:pt idx="19">
                  <c:v>94.11</c:v>
                </c:pt>
                <c:pt idx="20">
                  <c:v>94.61</c:v>
                </c:pt>
                <c:pt idx="21">
                  <c:v>89.52</c:v>
                </c:pt>
                <c:pt idx="22">
                  <c:v>86.69</c:v>
                </c:pt>
                <c:pt idx="23">
                  <c:v>88.19</c:v>
                </c:pt>
                <c:pt idx="24">
                  <c:v>94.65</c:v>
                </c:pt>
                <c:pt idx="25">
                  <c:v>95.3</c:v>
                </c:pt>
                <c:pt idx="26">
                  <c:v>93.12</c:v>
                </c:pt>
                <c:pt idx="27">
                  <c:v>92.02</c:v>
                </c:pt>
                <c:pt idx="28">
                  <c:v>94.72</c:v>
                </c:pt>
                <c:pt idx="29">
                  <c:v>95.79</c:v>
                </c:pt>
                <c:pt idx="30">
                  <c:v>104.55</c:v>
                </c:pt>
                <c:pt idx="31">
                  <c:v>106.55</c:v>
                </c:pt>
                <c:pt idx="32">
                  <c:v>106.31</c:v>
                </c:pt>
                <c:pt idx="33">
                  <c:v>100.5</c:v>
                </c:pt>
                <c:pt idx="34">
                  <c:v>93.81</c:v>
                </c:pt>
                <c:pt idx="35">
                  <c:v>97.9</c:v>
                </c:pt>
                <c:pt idx="36">
                  <c:v>95</c:v>
                </c:pt>
                <c:pt idx="37">
                  <c:v>100.7</c:v>
                </c:pt>
                <c:pt idx="38">
                  <c:v>100.57</c:v>
                </c:pt>
                <c:pt idx="39">
                  <c:v>102.18</c:v>
                </c:pt>
                <c:pt idx="40">
                  <c:v>102</c:v>
                </c:pt>
                <c:pt idx="41">
                  <c:v>105.24</c:v>
                </c:pt>
                <c:pt idx="42">
                  <c:v>102.99</c:v>
                </c:pt>
                <c:pt idx="43">
                  <c:v>96.38</c:v>
                </c:pt>
                <c:pt idx="44">
                  <c:v>93.35</c:v>
                </c:pt>
                <c:pt idx="45">
                  <c:v>84.4</c:v>
                </c:pt>
                <c:pt idx="46">
                  <c:v>75.7</c:v>
                </c:pt>
                <c:pt idx="47">
                  <c:v>59.1</c:v>
                </c:pt>
                <c:pt idx="48">
                  <c:v>47.6</c:v>
                </c:pt>
                <c:pt idx="49">
                  <c:v>50.72</c:v>
                </c:pt>
                <c:pt idx="50">
                  <c:v>47.78</c:v>
                </c:pt>
                <c:pt idx="51">
                  <c:v>54.2</c:v>
                </c:pt>
                <c:pt idx="52">
                  <c:v>59.26</c:v>
                </c:pt>
                <c:pt idx="53">
                  <c:v>59.8</c:v>
                </c:pt>
                <c:pt idx="54">
                  <c:v>51.16</c:v>
                </c:pt>
                <c:pt idx="55">
                  <c:v>42.86</c:v>
                </c:pt>
                <c:pt idx="56">
                  <c:v>45.48</c:v>
                </c:pt>
                <c:pt idx="57">
                  <c:v>46.2</c:v>
                </c:pt>
                <c:pt idx="58">
                  <c:v>42.65</c:v>
                </c:pt>
                <c:pt idx="59">
                  <c:v>37.24</c:v>
                </c:pt>
                <c:pt idx="60">
                  <c:v>31.7</c:v>
                </c:pt>
                <c:pt idx="61">
                  <c:v>30.35</c:v>
                </c:pt>
                <c:pt idx="62">
                  <c:v>37.770000000000003</c:v>
                </c:pt>
                <c:pt idx="63">
                  <c:v>40.96</c:v>
                </c:pt>
                <c:pt idx="64">
                  <c:v>46.85</c:v>
                </c:pt>
                <c:pt idx="65">
                  <c:v>48.75</c:v>
                </c:pt>
                <c:pt idx="66">
                  <c:v>44.89</c:v>
                </c:pt>
              </c:numCache>
            </c:numRef>
          </c:val>
          <c:smooth val="0"/>
          <c:extLst>
            <c:ext xmlns:c16="http://schemas.microsoft.com/office/drawing/2014/chart" uri="{C3380CC4-5D6E-409C-BE32-E72D297353CC}">
              <c16:uniqueId val="{00000001-175A-4D55-888A-07F5C4ECA736}"/>
            </c:ext>
          </c:extLst>
        </c:ser>
        <c:dLbls>
          <c:showLegendKey val="0"/>
          <c:showVal val="0"/>
          <c:showCatName val="0"/>
          <c:showSerName val="0"/>
          <c:showPercent val="0"/>
          <c:showBubbleSize val="0"/>
        </c:dLbls>
        <c:marker val="1"/>
        <c:smooth val="0"/>
        <c:axId val="133912064"/>
        <c:axId val="133910528"/>
      </c:lineChart>
      <c:dateAx>
        <c:axId val="133903104"/>
        <c:scaling>
          <c:orientation val="minMax"/>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33904640"/>
        <c:crosses val="autoZero"/>
        <c:auto val="1"/>
        <c:lblOffset val="100"/>
        <c:baseTimeUnit val="months"/>
        <c:majorUnit val="12"/>
        <c:majorTimeUnit val="months"/>
      </c:dateAx>
      <c:valAx>
        <c:axId val="133904640"/>
        <c:scaling>
          <c:orientation val="minMax"/>
          <c:min val="120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33903104"/>
        <c:crosses val="autoZero"/>
        <c:crossBetween val="between"/>
      </c:valAx>
      <c:valAx>
        <c:axId val="133910528"/>
        <c:scaling>
          <c:orientation val="minMax"/>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33912064"/>
        <c:crosses val="max"/>
        <c:crossBetween val="between"/>
      </c:valAx>
      <c:dateAx>
        <c:axId val="133912064"/>
        <c:scaling>
          <c:orientation val="minMax"/>
        </c:scaling>
        <c:delete val="1"/>
        <c:axPos val="b"/>
        <c:numFmt formatCode="mmm\-yy" sourceLinked="1"/>
        <c:majorTickMark val="out"/>
        <c:minorTickMark val="none"/>
        <c:tickLblPos val="nextTo"/>
        <c:crossAx val="133910528"/>
        <c:crosses val="autoZero"/>
        <c:auto val="1"/>
        <c:lblOffset val="100"/>
        <c:baseTimeUnit val="months"/>
      </c:dateAx>
      <c:spPr>
        <a:noFill/>
        <a:ln>
          <a:noFill/>
        </a:ln>
        <a:effectLst/>
      </c:spPr>
    </c:plotArea>
    <c:legend>
      <c:legendPos val="b"/>
      <c:layout>
        <c:manualLayout>
          <c:xMode val="edge"/>
          <c:yMode val="edge"/>
          <c:x val="0"/>
          <c:y val="0.90139704268415211"/>
          <c:w val="1"/>
          <c:h val="6.9156549777567564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FFC000"/>
            </a:solidFill>
            <a:ln>
              <a:noFill/>
            </a:ln>
            <a:effectLst/>
          </c:spPr>
          <c:invertIfNegative val="0"/>
          <c:dPt>
            <c:idx val="2"/>
            <c:invertIfNegative val="0"/>
            <c:bubble3D val="0"/>
            <c:spPr>
              <a:solidFill>
                <a:srgbClr val="002060"/>
              </a:solidFill>
              <a:ln>
                <a:noFill/>
              </a:ln>
              <a:effectLst/>
            </c:spPr>
            <c:extLst>
              <c:ext xmlns:c16="http://schemas.microsoft.com/office/drawing/2014/chart" uri="{C3380CC4-5D6E-409C-BE32-E72D297353CC}">
                <c16:uniqueId val="{00000001-4BEE-490D-803F-5919605013A0}"/>
              </c:ext>
            </c:extLst>
          </c:dPt>
          <c:cat>
            <c:strRef>
              <c:f>'3.0 Cu and Al'!$N$60:$N$62</c:f>
              <c:strCache>
                <c:ptCount val="3"/>
                <c:pt idx="0">
                  <c:v>World Bank</c:v>
                </c:pt>
                <c:pt idx="1">
                  <c:v>Goldman Sachs</c:v>
                </c:pt>
                <c:pt idx="2">
                  <c:v>Used in FC Research forecast for ACL</c:v>
                </c:pt>
              </c:strCache>
            </c:strRef>
          </c:cat>
          <c:val>
            <c:numRef>
              <c:f>'3.0 Cu and Al'!$O$60:$O$62</c:f>
              <c:numCache>
                <c:formatCode>General</c:formatCode>
                <c:ptCount val="3"/>
                <c:pt idx="0">
                  <c:v>6187</c:v>
                </c:pt>
                <c:pt idx="1">
                  <c:v>7050</c:v>
                </c:pt>
                <c:pt idx="2">
                  <c:v>7176</c:v>
                </c:pt>
              </c:numCache>
            </c:numRef>
          </c:val>
          <c:extLst>
            <c:ext xmlns:c16="http://schemas.microsoft.com/office/drawing/2014/chart" uri="{C3380CC4-5D6E-409C-BE32-E72D297353CC}">
              <c16:uniqueId val="{00000002-4BEE-490D-803F-5919605013A0}"/>
            </c:ext>
          </c:extLst>
        </c:ser>
        <c:dLbls>
          <c:showLegendKey val="0"/>
          <c:showVal val="0"/>
          <c:showCatName val="0"/>
          <c:showSerName val="0"/>
          <c:showPercent val="0"/>
          <c:showBubbleSize val="0"/>
        </c:dLbls>
        <c:gapWidth val="75"/>
        <c:overlap val="-27"/>
        <c:axId val="133932544"/>
        <c:axId val="133934080"/>
      </c:barChart>
      <c:catAx>
        <c:axId val="133932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34080"/>
        <c:crosses val="autoZero"/>
        <c:auto val="1"/>
        <c:lblAlgn val="ctr"/>
        <c:lblOffset val="100"/>
        <c:noMultiLvlLbl val="0"/>
      </c:catAx>
      <c:valAx>
        <c:axId val="133934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325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rgbClr val="FFC000"/>
              </a:solidFill>
              <a:round/>
            </a:ln>
            <a:effectLst/>
          </c:spPr>
          <c:marker>
            <c:symbol val="none"/>
          </c:marker>
          <c:cat>
            <c:numRef>
              <c:f>'3.0Ex rate'!$C$382:$C$447</c:f>
              <c:numCache>
                <c:formatCode>[$-409]mmm\-yy;@</c:formatCode>
                <c:ptCount val="66"/>
                <c:pt idx="0">
                  <c:v>40544</c:v>
                </c:pt>
                <c:pt idx="1">
                  <c:v>40575</c:v>
                </c:pt>
                <c:pt idx="2">
                  <c:v>40603</c:v>
                </c:pt>
                <c:pt idx="3">
                  <c:v>40634</c:v>
                </c:pt>
                <c:pt idx="4">
                  <c:v>40664</c:v>
                </c:pt>
                <c:pt idx="5">
                  <c:v>40695</c:v>
                </c:pt>
                <c:pt idx="6">
                  <c:v>40725</c:v>
                </c:pt>
                <c:pt idx="7">
                  <c:v>40756</c:v>
                </c:pt>
                <c:pt idx="8">
                  <c:v>40787</c:v>
                </c:pt>
                <c:pt idx="9">
                  <c:v>40817</c:v>
                </c:pt>
                <c:pt idx="10">
                  <c:v>40848</c:v>
                </c:pt>
                <c:pt idx="11">
                  <c:v>40878</c:v>
                </c:pt>
                <c:pt idx="12">
                  <c:v>40909</c:v>
                </c:pt>
                <c:pt idx="13">
                  <c:v>40940</c:v>
                </c:pt>
                <c:pt idx="14">
                  <c:v>40969</c:v>
                </c:pt>
                <c:pt idx="15">
                  <c:v>41000</c:v>
                </c:pt>
                <c:pt idx="16">
                  <c:v>41030</c:v>
                </c:pt>
                <c:pt idx="17">
                  <c:v>41061</c:v>
                </c:pt>
                <c:pt idx="18">
                  <c:v>41091</c:v>
                </c:pt>
                <c:pt idx="19">
                  <c:v>41122</c:v>
                </c:pt>
                <c:pt idx="20">
                  <c:v>41153</c:v>
                </c:pt>
                <c:pt idx="21">
                  <c:v>41183</c:v>
                </c:pt>
                <c:pt idx="22">
                  <c:v>41214</c:v>
                </c:pt>
                <c:pt idx="23">
                  <c:v>41244</c:v>
                </c:pt>
                <c:pt idx="24">
                  <c:v>41275</c:v>
                </c:pt>
                <c:pt idx="25">
                  <c:v>41306</c:v>
                </c:pt>
                <c:pt idx="26">
                  <c:v>41334</c:v>
                </c:pt>
                <c:pt idx="27">
                  <c:v>41365</c:v>
                </c:pt>
                <c:pt idx="28">
                  <c:v>41395</c:v>
                </c:pt>
                <c:pt idx="29">
                  <c:v>41426</c:v>
                </c:pt>
                <c:pt idx="30">
                  <c:v>41456</c:v>
                </c:pt>
                <c:pt idx="31">
                  <c:v>41487</c:v>
                </c:pt>
                <c:pt idx="32">
                  <c:v>41518</c:v>
                </c:pt>
                <c:pt idx="33">
                  <c:v>41548</c:v>
                </c:pt>
                <c:pt idx="34">
                  <c:v>41579</c:v>
                </c:pt>
                <c:pt idx="35">
                  <c:v>41609</c:v>
                </c:pt>
                <c:pt idx="36">
                  <c:v>41640</c:v>
                </c:pt>
                <c:pt idx="37">
                  <c:v>41671</c:v>
                </c:pt>
                <c:pt idx="38">
                  <c:v>41699</c:v>
                </c:pt>
                <c:pt idx="39">
                  <c:v>41730</c:v>
                </c:pt>
                <c:pt idx="40">
                  <c:v>41760</c:v>
                </c:pt>
                <c:pt idx="41">
                  <c:v>41791</c:v>
                </c:pt>
                <c:pt idx="42">
                  <c:v>41821</c:v>
                </c:pt>
                <c:pt idx="43">
                  <c:v>41852</c:v>
                </c:pt>
                <c:pt idx="44">
                  <c:v>41883</c:v>
                </c:pt>
                <c:pt idx="45">
                  <c:v>41913</c:v>
                </c:pt>
                <c:pt idx="46">
                  <c:v>41944</c:v>
                </c:pt>
                <c:pt idx="47">
                  <c:v>41974</c:v>
                </c:pt>
                <c:pt idx="48">
                  <c:v>42005</c:v>
                </c:pt>
                <c:pt idx="49">
                  <c:v>42036</c:v>
                </c:pt>
                <c:pt idx="50">
                  <c:v>42064</c:v>
                </c:pt>
                <c:pt idx="51">
                  <c:v>42095</c:v>
                </c:pt>
                <c:pt idx="52">
                  <c:v>42125</c:v>
                </c:pt>
                <c:pt idx="53">
                  <c:v>42156</c:v>
                </c:pt>
                <c:pt idx="54">
                  <c:v>42186</c:v>
                </c:pt>
                <c:pt idx="55">
                  <c:v>42217</c:v>
                </c:pt>
                <c:pt idx="56">
                  <c:v>42248</c:v>
                </c:pt>
                <c:pt idx="57">
                  <c:v>42278</c:v>
                </c:pt>
                <c:pt idx="58">
                  <c:v>42309</c:v>
                </c:pt>
                <c:pt idx="59">
                  <c:v>42339</c:v>
                </c:pt>
                <c:pt idx="60">
                  <c:v>42370</c:v>
                </c:pt>
                <c:pt idx="61">
                  <c:v>42401</c:v>
                </c:pt>
                <c:pt idx="62">
                  <c:v>42430</c:v>
                </c:pt>
                <c:pt idx="63">
                  <c:v>42461</c:v>
                </c:pt>
                <c:pt idx="64">
                  <c:v>42491</c:v>
                </c:pt>
                <c:pt idx="65">
                  <c:v>42522</c:v>
                </c:pt>
              </c:numCache>
            </c:numRef>
          </c:cat>
          <c:val>
            <c:numRef>
              <c:f>'3.0Ex rate'!$D$382:$D$447</c:f>
              <c:numCache>
                <c:formatCode>0</c:formatCode>
                <c:ptCount val="66"/>
                <c:pt idx="0">
                  <c:v>110.897335</c:v>
                </c:pt>
                <c:pt idx="1">
                  <c:v>110.96498235294116</c:v>
                </c:pt>
                <c:pt idx="2">
                  <c:v>110.35884999999999</c:v>
                </c:pt>
                <c:pt idx="3">
                  <c:v>110.28969411764707</c:v>
                </c:pt>
                <c:pt idx="4">
                  <c:v>109.81657368421054</c:v>
                </c:pt>
                <c:pt idx="5">
                  <c:v>109.59328095238095</c:v>
                </c:pt>
                <c:pt idx="6">
                  <c:v>109.50241999999999</c:v>
                </c:pt>
                <c:pt idx="7">
                  <c:v>109.79894999999998</c:v>
                </c:pt>
                <c:pt idx="8">
                  <c:v>110.13596818181817</c:v>
                </c:pt>
                <c:pt idx="9">
                  <c:v>110.19164210526318</c:v>
                </c:pt>
                <c:pt idx="10">
                  <c:v>111.33303000000001</c:v>
                </c:pt>
                <c:pt idx="11">
                  <c:v>113.89973333333334</c:v>
                </c:pt>
                <c:pt idx="12">
                  <c:v>113.89960476190477</c:v>
                </c:pt>
                <c:pt idx="13">
                  <c:v>117.2322611111111</c:v>
                </c:pt>
                <c:pt idx="14">
                  <c:v>125.51524285714285</c:v>
                </c:pt>
                <c:pt idx="15">
                  <c:v>128.65764999999999</c:v>
                </c:pt>
                <c:pt idx="16">
                  <c:v>129.37788095238093</c:v>
                </c:pt>
                <c:pt idx="17">
                  <c:v>132.04018000000002</c:v>
                </c:pt>
                <c:pt idx="18">
                  <c:v>132.86918095238096</c:v>
                </c:pt>
                <c:pt idx="19">
                  <c:v>132.07084761904764</c:v>
                </c:pt>
                <c:pt idx="20">
                  <c:v>131.78463000000002</c:v>
                </c:pt>
                <c:pt idx="21">
                  <c:v>129.11185909090909</c:v>
                </c:pt>
                <c:pt idx="22">
                  <c:v>130.33470999999997</c:v>
                </c:pt>
                <c:pt idx="23">
                  <c:v>128.34619473684211</c:v>
                </c:pt>
                <c:pt idx="24">
                  <c:v>126.85358095238094</c:v>
                </c:pt>
                <c:pt idx="25">
                  <c:v>126.7025888888889</c:v>
                </c:pt>
                <c:pt idx="26">
                  <c:v>126.81498421052632</c:v>
                </c:pt>
                <c:pt idx="27">
                  <c:v>126.02995999999999</c:v>
                </c:pt>
                <c:pt idx="28">
                  <c:v>126.30676190476193</c:v>
                </c:pt>
                <c:pt idx="29">
                  <c:v>127.80649999999999</c:v>
                </c:pt>
                <c:pt idx="30">
                  <c:v>131.00989999999999</c:v>
                </c:pt>
                <c:pt idx="31">
                  <c:v>131.82826</c:v>
                </c:pt>
                <c:pt idx="32">
                  <c:v>132.468965</c:v>
                </c:pt>
                <c:pt idx="33">
                  <c:v>131.0965523809524</c:v>
                </c:pt>
                <c:pt idx="34">
                  <c:v>131.08254285714284</c:v>
                </c:pt>
                <c:pt idx="35">
                  <c:v>130.82774000000001</c:v>
                </c:pt>
                <c:pt idx="36">
                  <c:v>130.72937619047622</c:v>
                </c:pt>
                <c:pt idx="37">
                  <c:v>130.82041176470585</c:v>
                </c:pt>
                <c:pt idx="38">
                  <c:v>130.62817619047621</c:v>
                </c:pt>
                <c:pt idx="39">
                  <c:v>130.62219999999994</c:v>
                </c:pt>
                <c:pt idx="40">
                  <c:v>130.45497368421053</c:v>
                </c:pt>
                <c:pt idx="41">
                  <c:v>130.28733000000003</c:v>
                </c:pt>
                <c:pt idx="42">
                  <c:v>130.2402727272727</c:v>
                </c:pt>
                <c:pt idx="43">
                  <c:v>130.18850000000006</c:v>
                </c:pt>
                <c:pt idx="44">
                  <c:v>130.26052380952382</c:v>
                </c:pt>
                <c:pt idx="45">
                  <c:v>130.59949999999998</c:v>
                </c:pt>
                <c:pt idx="46">
                  <c:v>130.93755789473687</c:v>
                </c:pt>
                <c:pt idx="47">
                  <c:v>131.02158181818183</c:v>
                </c:pt>
                <c:pt idx="48">
                  <c:v>131.55075263157892</c:v>
                </c:pt>
                <c:pt idx="49">
                  <c:v>132.7292823529412</c:v>
                </c:pt>
                <c:pt idx="50">
                  <c:v>132.89895238095241</c:v>
                </c:pt>
                <c:pt idx="51">
                  <c:v>132.89925789473688</c:v>
                </c:pt>
                <c:pt idx="52">
                  <c:v>133.49602631578949</c:v>
                </c:pt>
                <c:pt idx="53">
                  <c:v>133.8952238095238</c:v>
                </c:pt>
                <c:pt idx="54">
                  <c:v>133.68600454545452</c:v>
                </c:pt>
                <c:pt idx="55">
                  <c:v>133.88293333333337</c:v>
                </c:pt>
                <c:pt idx="56">
                  <c:v>138.87692857142861</c:v>
                </c:pt>
                <c:pt idx="57">
                  <c:v>140.89449999999999</c:v>
                </c:pt>
                <c:pt idx="58">
                  <c:v>142.02476315789471</c:v>
                </c:pt>
                <c:pt idx="59">
                  <c:v>143.44832857142853</c:v>
                </c:pt>
                <c:pt idx="60">
                  <c:v>143.94025499999998</c:v>
                </c:pt>
                <c:pt idx="61">
                  <c:v>143.92836315789472</c:v>
                </c:pt>
                <c:pt idx="62">
                  <c:v>143.95937500000002</c:v>
                </c:pt>
                <c:pt idx="63">
                  <c:v>143.90013333333337</c:v>
                </c:pt>
                <c:pt idx="64">
                  <c:v>145.65021999999999</c:v>
                </c:pt>
                <c:pt idx="65">
                  <c:v>145.28357272727271</c:v>
                </c:pt>
              </c:numCache>
            </c:numRef>
          </c:val>
          <c:smooth val="0"/>
          <c:extLst>
            <c:ext xmlns:c16="http://schemas.microsoft.com/office/drawing/2014/chart" uri="{C3380CC4-5D6E-409C-BE32-E72D297353CC}">
              <c16:uniqueId val="{00000000-2F19-4243-95BB-055654D56E26}"/>
            </c:ext>
          </c:extLst>
        </c:ser>
        <c:dLbls>
          <c:showLegendKey val="0"/>
          <c:showVal val="0"/>
          <c:showCatName val="0"/>
          <c:showSerName val="0"/>
          <c:showPercent val="0"/>
          <c:showBubbleSize val="0"/>
        </c:dLbls>
        <c:smooth val="0"/>
        <c:axId val="133954560"/>
        <c:axId val="128152320"/>
      </c:lineChart>
      <c:dateAx>
        <c:axId val="13395456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8152320"/>
        <c:crosses val="autoZero"/>
        <c:auto val="1"/>
        <c:lblOffset val="100"/>
        <c:baseTimeUnit val="months"/>
        <c:majorUnit val="4"/>
        <c:majorTimeUnit val="months"/>
      </c:dateAx>
      <c:valAx>
        <c:axId val="128152320"/>
        <c:scaling>
          <c:orientation val="minMax"/>
          <c:min val="100"/>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395456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rgbClr val="FFC000"/>
              </a:solidFill>
              <a:round/>
            </a:ln>
            <a:effectLst/>
          </c:spPr>
          <c:marker>
            <c:symbol val="none"/>
          </c:marker>
          <c:dPt>
            <c:idx val="6"/>
            <c:marker>
              <c:symbol val="none"/>
            </c:marker>
            <c:bubble3D val="0"/>
            <c:spPr>
              <a:ln w="28575" cap="rnd">
                <a:solidFill>
                  <a:srgbClr val="002060"/>
                </a:solidFill>
                <a:round/>
              </a:ln>
              <a:effectLst/>
            </c:spPr>
            <c:extLst>
              <c:ext xmlns:c16="http://schemas.microsoft.com/office/drawing/2014/chart" uri="{C3380CC4-5D6E-409C-BE32-E72D297353CC}">
                <c16:uniqueId val="{00000001-1546-4641-A5DB-74C966D9406A}"/>
              </c:ext>
            </c:extLst>
          </c:dPt>
          <c:dPt>
            <c:idx val="7"/>
            <c:marker>
              <c:symbol val="none"/>
            </c:marker>
            <c:bubble3D val="0"/>
            <c:spPr>
              <a:ln w="28575" cap="rnd">
                <a:solidFill>
                  <a:srgbClr val="002060"/>
                </a:solidFill>
                <a:round/>
              </a:ln>
              <a:effectLst/>
            </c:spPr>
            <c:extLst>
              <c:ext xmlns:c16="http://schemas.microsoft.com/office/drawing/2014/chart" uri="{C3380CC4-5D6E-409C-BE32-E72D297353CC}">
                <c16:uniqueId val="{00000003-1546-4641-A5DB-74C966D9406A}"/>
              </c:ext>
            </c:extLst>
          </c:dPt>
          <c:dPt>
            <c:idx val="8"/>
            <c:marker>
              <c:symbol val="none"/>
            </c:marker>
            <c:bubble3D val="0"/>
            <c:spPr>
              <a:ln w="28575" cap="rnd">
                <a:solidFill>
                  <a:srgbClr val="002060"/>
                </a:solidFill>
                <a:round/>
              </a:ln>
              <a:effectLst/>
            </c:spPr>
            <c:extLst>
              <c:ext xmlns:c16="http://schemas.microsoft.com/office/drawing/2014/chart" uri="{C3380CC4-5D6E-409C-BE32-E72D297353CC}">
                <c16:uniqueId val="{00000005-1546-4641-A5DB-74C966D9406A}"/>
              </c:ext>
            </c:extLst>
          </c:dPt>
          <c:cat>
            <c:strRef>
              <c:f>'3.0Ex rate'!$E$475:$E$483</c:f>
              <c:strCache>
                <c:ptCount val="9"/>
                <c:pt idx="0">
                  <c:v>2011</c:v>
                </c:pt>
                <c:pt idx="1">
                  <c:v>2012</c:v>
                </c:pt>
                <c:pt idx="2">
                  <c:v>2013</c:v>
                </c:pt>
                <c:pt idx="3">
                  <c:v>2014</c:v>
                </c:pt>
                <c:pt idx="4">
                  <c:v>2015</c:v>
                </c:pt>
                <c:pt idx="5">
                  <c:v>2016E</c:v>
                </c:pt>
                <c:pt idx="6">
                  <c:v>2017E</c:v>
                </c:pt>
                <c:pt idx="7">
                  <c:v>2018E</c:v>
                </c:pt>
                <c:pt idx="8">
                  <c:v>2019E</c:v>
                </c:pt>
              </c:strCache>
            </c:strRef>
          </c:cat>
          <c:val>
            <c:numRef>
              <c:f>'3.0Ex rate'!$F$475:$F$483</c:f>
              <c:numCache>
                <c:formatCode>0.0</c:formatCode>
                <c:ptCount val="9"/>
                <c:pt idx="0">
                  <c:v>110.56520497729953</c:v>
                </c:pt>
                <c:pt idx="1">
                  <c:v>127.60335350680997</c:v>
                </c:pt>
                <c:pt idx="2">
                  <c:v>129.10990041152255</c:v>
                </c:pt>
                <c:pt idx="3">
                  <c:v>130.56058842975204</c:v>
                </c:pt>
                <c:pt idx="4">
                  <c:v>135.93778874999992</c:v>
                </c:pt>
                <c:pt idx="5">
                  <c:v>144.44</c:v>
                </c:pt>
                <c:pt idx="6">
                  <c:v>146</c:v>
                </c:pt>
                <c:pt idx="7">
                  <c:v>151.84</c:v>
                </c:pt>
                <c:pt idx="8">
                  <c:v>157.15439999999998</c:v>
                </c:pt>
              </c:numCache>
            </c:numRef>
          </c:val>
          <c:smooth val="0"/>
          <c:extLst>
            <c:ext xmlns:c16="http://schemas.microsoft.com/office/drawing/2014/chart" uri="{C3380CC4-5D6E-409C-BE32-E72D297353CC}">
              <c16:uniqueId val="{00000006-1546-4641-A5DB-74C966D9406A}"/>
            </c:ext>
          </c:extLst>
        </c:ser>
        <c:dLbls>
          <c:showLegendKey val="0"/>
          <c:showVal val="0"/>
          <c:showCatName val="0"/>
          <c:showSerName val="0"/>
          <c:showPercent val="0"/>
          <c:showBubbleSize val="0"/>
        </c:dLbls>
        <c:smooth val="0"/>
        <c:axId val="128189952"/>
        <c:axId val="128191488"/>
      </c:lineChart>
      <c:catAx>
        <c:axId val="12818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8191488"/>
        <c:crosses val="autoZero"/>
        <c:auto val="1"/>
        <c:lblAlgn val="ctr"/>
        <c:lblOffset val="100"/>
        <c:noMultiLvlLbl val="0"/>
      </c:catAx>
      <c:valAx>
        <c:axId val="128191488"/>
        <c:scaling>
          <c:orientation val="minMax"/>
          <c:min val="100"/>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81899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8">
  <a:schemeClr val="accent5"/>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16" fmlaLink="$A$4" fmlaRange="$A$98:$A$101" noThreeD="1" sel="4" val="0"/>
</file>

<file path=xl/ctrlProps/ctrlProp7.xml><?xml version="1.0" encoding="utf-8"?>
<formControlPr xmlns="http://schemas.microsoft.com/office/spreadsheetml/2009/9/main" objectType="Drop" dropStyle="combo" dx="16" fmlaLink="$B$4" fmlaRange="$J$79:$J$82" noThreeD="1" sel="4" val="0"/>
</file>

<file path=xl/ctrlProps/ctrlProp8.xml><?xml version="1.0" encoding="utf-8"?>
<formControlPr xmlns="http://schemas.microsoft.com/office/spreadsheetml/2009/9/main" objectType="Drop" dropStyle="combo" dx="16" fmlaLink="$A$4" fmlaRange="$A$62:$A$65" noThreeD="1" sel="4" val="0"/>
</file>

<file path=xl/ctrlProps/ctrlProp9.xml><?xml version="1.0" encoding="utf-8"?>
<formControlPr xmlns="http://schemas.microsoft.com/office/spreadsheetml/2009/9/main" objectType="Drop" dropStyle="combo" dx="16" fmlaLink="$B$4" fmlaRange="$A$67:$A$71" noThreeD="1" sel="3" val="0"/>
</file>

<file path=xl/ctrlProps/ctrlProp10.xml><?xml version="1.0" encoding="utf-8"?>
<formControlPr xmlns="http://schemas.microsoft.com/office/spreadsheetml/2009/9/main" objectType="Drop" dropStyle="combo" dx="16" fmlaLink="$C$4" fmlaRange="$A$73:$A$77" noThreeD="1" sel="2" val="0"/>
</file>

<file path=xl/ctrlProps/ctrlProp11.xml><?xml version="1.0" encoding="utf-8"?>
<formControlPr xmlns="http://schemas.microsoft.com/office/spreadsheetml/2009/9/main" objectType="Drop" dropStyle="combo" dx="16" fmlaLink="$D$4" fmlaRange="$A$79:$A$84"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6.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5" Type="http://schemas.openxmlformats.org/officeDocument/2006/relationships/chart" Target="../charts/chart35.xml"/><Relationship Id="rId4" Type="http://schemas.openxmlformats.org/officeDocument/2006/relationships/chart" Target="../charts/chart34.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chart" Target="../charts/chart36.xml"/><Relationship Id="rId5" Type="http://schemas.openxmlformats.org/officeDocument/2006/relationships/chart" Target="../charts/chart40.xml"/><Relationship Id="rId4" Type="http://schemas.openxmlformats.org/officeDocument/2006/relationships/chart" Target="../charts/chart39.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42.xml"/><Relationship Id="rId1" Type="http://schemas.openxmlformats.org/officeDocument/2006/relationships/chart" Target="../charts/chart41.xml"/></Relationships>
</file>

<file path=xl/drawings/drawing1.xml><?xml version="1.0" encoding="utf-8"?>
<xdr:wsDr xmlns:xdr="http://schemas.openxmlformats.org/drawingml/2006/spreadsheetDrawing" xmlns:a="http://schemas.openxmlformats.org/drawingml/2006/main">
  <xdr:twoCellAnchor editAs="oneCell">
    <xdr:from>
      <xdr:col>0</xdr:col>
      <xdr:colOff>457201</xdr:colOff>
      <xdr:row>7</xdr:row>
      <xdr:rowOff>66676</xdr:rowOff>
    </xdr:from>
    <xdr:to>
      <xdr:col>2</xdr:col>
      <xdr:colOff>127174</xdr:colOff>
      <xdr:row>13</xdr:row>
      <xdr:rowOff>85725</xdr:rowOff>
    </xdr:to>
    <xdr:pic>
      <xdr:nvPicPr>
        <xdr:cNvPr id="2" name="Picture 1" descr="https://www.cse.lk/cmt/upload_logo/644_1436154426.jpe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400176"/>
          <a:ext cx="2413173" cy="11620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693420</xdr:colOff>
          <xdr:row>4</xdr:row>
          <xdr:rowOff>76200</xdr:rowOff>
        </xdr:from>
        <xdr:to>
          <xdr:col>6</xdr:col>
          <xdr:colOff>708660</xdr:colOff>
          <xdr:row>6</xdr:row>
          <xdr:rowOff>60960</xdr:rowOff>
        </xdr:to>
        <xdr:sp macro="" textlink="">
          <xdr:nvSpPr>
            <xdr:cNvPr id="30723" name="Button 3" descr="Summary" hidden="1">
              <a:extLst>
                <a:ext uri="{63B3BB69-23CF-44E3-9099-C40C66FF867C}">
                  <a14:compatExt spid="_x0000_s30723"/>
                </a:ext>
                <a:ext uri="{FF2B5EF4-FFF2-40B4-BE49-F238E27FC236}">
                  <a16:creationId xmlns:a16="http://schemas.microsoft.com/office/drawing/2014/main" id="{00000000-0008-0000-00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716280</xdr:colOff>
          <xdr:row>7</xdr:row>
          <xdr:rowOff>114300</xdr:rowOff>
        </xdr:from>
        <xdr:to>
          <xdr:col>7</xdr:col>
          <xdr:colOff>7620</xdr:colOff>
          <xdr:row>9</xdr:row>
          <xdr:rowOff>99060</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0000-00000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Business segments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10</xdr:row>
          <xdr:rowOff>175260</xdr:rowOff>
        </xdr:from>
        <xdr:to>
          <xdr:col>7</xdr:col>
          <xdr:colOff>22860</xdr:colOff>
          <xdr:row>12</xdr:row>
          <xdr:rowOff>152400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000-00000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Comps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14</xdr:row>
          <xdr:rowOff>7620</xdr:rowOff>
        </xdr:from>
        <xdr:to>
          <xdr:col>7</xdr:col>
          <xdr:colOff>22860</xdr:colOff>
          <xdr:row>15</xdr:row>
          <xdr:rowOff>182880</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0000-00000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DCF Valuation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17</xdr:row>
          <xdr:rowOff>45720</xdr:rowOff>
        </xdr:from>
        <xdr:to>
          <xdr:col>7</xdr:col>
          <xdr:colOff>22860</xdr:colOff>
          <xdr:row>19</xdr:row>
          <xdr:rowOff>30480</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0000-00000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Relative valuation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4</xdr:row>
          <xdr:rowOff>45720</xdr:rowOff>
        </xdr:from>
        <xdr:to>
          <xdr:col>0</xdr:col>
          <xdr:colOff>1325880</xdr:colOff>
          <xdr:row>5</xdr:row>
          <xdr:rowOff>106680</xdr:rowOff>
        </xdr:to>
        <xdr:sp macro="" textlink="">
          <xdr:nvSpPr>
            <xdr:cNvPr id="23553" name="Drop Down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xdr:colOff>
      <xdr:row>7</xdr:row>
      <xdr:rowOff>4762</xdr:rowOff>
    </xdr:from>
    <xdr:to>
      <xdr:col>3</xdr:col>
      <xdr:colOff>495306</xdr:colOff>
      <xdr:row>21</xdr:row>
      <xdr:rowOff>80962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595312</xdr:colOff>
      <xdr:row>7</xdr:row>
      <xdr:rowOff>0</xdr:rowOff>
    </xdr:from>
    <xdr:to>
      <xdr:col>9</xdr:col>
      <xdr:colOff>481012</xdr:colOff>
      <xdr:row>21</xdr:row>
      <xdr:rowOff>61912</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60960</xdr:colOff>
          <xdr:row>22</xdr:row>
          <xdr:rowOff>60960</xdr:rowOff>
        </xdr:from>
        <xdr:to>
          <xdr:col>0</xdr:col>
          <xdr:colOff>1318260</xdr:colOff>
          <xdr:row>23</xdr:row>
          <xdr:rowOff>114300</xdr:rowOff>
        </xdr:to>
        <xdr:sp macro="" textlink="">
          <xdr:nvSpPr>
            <xdr:cNvPr id="23554" name="Drop Down 2" hidden="1">
              <a:extLst>
                <a:ext uri="{63B3BB69-23CF-44E3-9099-C40C66FF867C}">
                  <a14:compatExt spid="_x0000_s23554"/>
                </a:ext>
                <a:ext uri="{FF2B5EF4-FFF2-40B4-BE49-F238E27FC236}">
                  <a16:creationId xmlns:a16="http://schemas.microsoft.com/office/drawing/2014/main" id="{00000000-0008-0000-06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25</xdr:row>
      <xdr:rowOff>0</xdr:rowOff>
    </xdr:from>
    <xdr:to>
      <xdr:col>3</xdr:col>
      <xdr:colOff>495300</xdr:colOff>
      <xdr:row>39</xdr:row>
      <xdr:rowOff>76200</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95251</xdr:colOff>
      <xdr:row>25</xdr:row>
      <xdr:rowOff>85724</xdr:rowOff>
    </xdr:from>
    <xdr:to>
      <xdr:col>9</xdr:col>
      <xdr:colOff>247651</xdr:colOff>
      <xdr:row>38</xdr:row>
      <xdr:rowOff>171449</xdr:rowOff>
    </xdr:to>
    <xdr:graphicFrame macro="">
      <xdr:nvGraphicFramePr>
        <xdr:cNvPr id="11" name="Chart 10">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28575</xdr:colOff>
      <xdr:row>5</xdr:row>
      <xdr:rowOff>180975</xdr:rowOff>
    </xdr:from>
    <xdr:to>
      <xdr:col>3</xdr:col>
      <xdr:colOff>542925</xdr:colOff>
      <xdr:row>21</xdr:row>
      <xdr:rowOff>66675</xdr:rowOff>
    </xdr:to>
    <xdr:sp macro="" textlink="">
      <xdr:nvSpPr>
        <xdr:cNvPr id="6" name="Rectangle 5">
          <a:extLst>
            <a:ext uri="{FF2B5EF4-FFF2-40B4-BE49-F238E27FC236}">
              <a16:creationId xmlns:a16="http://schemas.microsoft.com/office/drawing/2014/main" id="{00000000-0008-0000-0600-000006000000}"/>
            </a:ext>
          </a:extLst>
        </xdr:cNvPr>
        <xdr:cNvSpPr/>
      </xdr:nvSpPr>
      <xdr:spPr>
        <a:xfrm>
          <a:off x="28575" y="1133475"/>
          <a:ext cx="4591050" cy="2933700"/>
        </a:xfrm>
        <a:prstGeom prst="rect">
          <a:avLst/>
        </a:prstGeom>
        <a:noFill/>
        <a:ln w="317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666750</xdr:colOff>
      <xdr:row>5</xdr:row>
      <xdr:rowOff>180975</xdr:rowOff>
    </xdr:from>
    <xdr:to>
      <xdr:col>9</xdr:col>
      <xdr:colOff>361950</xdr:colOff>
      <xdr:row>21</xdr:row>
      <xdr:rowOff>66675</xdr:rowOff>
    </xdr:to>
    <xdr:sp macro="" textlink="">
      <xdr:nvSpPr>
        <xdr:cNvPr id="13" name="Rectangle 12">
          <a:extLst>
            <a:ext uri="{FF2B5EF4-FFF2-40B4-BE49-F238E27FC236}">
              <a16:creationId xmlns:a16="http://schemas.microsoft.com/office/drawing/2014/main" id="{00000000-0008-0000-0600-00000D000000}"/>
            </a:ext>
          </a:extLst>
        </xdr:cNvPr>
        <xdr:cNvSpPr/>
      </xdr:nvSpPr>
      <xdr:spPr>
        <a:xfrm>
          <a:off x="4743450" y="1133475"/>
          <a:ext cx="4591050" cy="2933700"/>
        </a:xfrm>
        <a:prstGeom prst="rect">
          <a:avLst/>
        </a:prstGeom>
        <a:noFill/>
        <a:ln w="317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9525</xdr:colOff>
      <xdr:row>23</xdr:row>
      <xdr:rowOff>161925</xdr:rowOff>
    </xdr:from>
    <xdr:to>
      <xdr:col>3</xdr:col>
      <xdr:colOff>523875</xdr:colOff>
      <xdr:row>39</xdr:row>
      <xdr:rowOff>47625</xdr:rowOff>
    </xdr:to>
    <xdr:sp macro="" textlink="">
      <xdr:nvSpPr>
        <xdr:cNvPr id="14" name="Rectangle 13">
          <a:extLst>
            <a:ext uri="{FF2B5EF4-FFF2-40B4-BE49-F238E27FC236}">
              <a16:creationId xmlns:a16="http://schemas.microsoft.com/office/drawing/2014/main" id="{00000000-0008-0000-0600-00000E000000}"/>
            </a:ext>
          </a:extLst>
        </xdr:cNvPr>
        <xdr:cNvSpPr/>
      </xdr:nvSpPr>
      <xdr:spPr>
        <a:xfrm>
          <a:off x="9525" y="4543425"/>
          <a:ext cx="4591050" cy="2933700"/>
        </a:xfrm>
        <a:prstGeom prst="rect">
          <a:avLst/>
        </a:prstGeom>
        <a:noFill/>
        <a:ln w="317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666750</xdr:colOff>
      <xdr:row>23</xdr:row>
      <xdr:rowOff>161925</xdr:rowOff>
    </xdr:from>
    <xdr:to>
      <xdr:col>9</xdr:col>
      <xdr:colOff>361950</xdr:colOff>
      <xdr:row>39</xdr:row>
      <xdr:rowOff>47625</xdr:rowOff>
    </xdr:to>
    <xdr:sp macro="" textlink="">
      <xdr:nvSpPr>
        <xdr:cNvPr id="15" name="Rectangle 14">
          <a:extLst>
            <a:ext uri="{FF2B5EF4-FFF2-40B4-BE49-F238E27FC236}">
              <a16:creationId xmlns:a16="http://schemas.microsoft.com/office/drawing/2014/main" id="{00000000-0008-0000-0600-00000F000000}"/>
            </a:ext>
          </a:extLst>
        </xdr:cNvPr>
        <xdr:cNvSpPr/>
      </xdr:nvSpPr>
      <xdr:spPr>
        <a:xfrm>
          <a:off x="4743450" y="4543425"/>
          <a:ext cx="4591050" cy="2933700"/>
        </a:xfrm>
        <a:prstGeom prst="rect">
          <a:avLst/>
        </a:prstGeom>
        <a:noFill/>
        <a:ln w="317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175260</xdr:colOff>
          <xdr:row>4</xdr:row>
          <xdr:rowOff>144780</xdr:rowOff>
        </xdr:from>
        <xdr:to>
          <xdr:col>1</xdr:col>
          <xdr:colOff>83820</xdr:colOff>
          <xdr:row>6</xdr:row>
          <xdr:rowOff>99060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7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4</xdr:row>
          <xdr:rowOff>114300</xdr:rowOff>
        </xdr:from>
        <xdr:to>
          <xdr:col>7</xdr:col>
          <xdr:colOff>525780</xdr:colOff>
          <xdr:row>6</xdr:row>
          <xdr:rowOff>76200</xdr:rowOff>
        </xdr:to>
        <xdr:sp macro="" textlink="">
          <xdr:nvSpPr>
            <xdr:cNvPr id="34825" name="Drop Down 9" hidden="1">
              <a:extLst>
                <a:ext uri="{63B3BB69-23CF-44E3-9099-C40C66FF867C}">
                  <a14:compatExt spid="_x0000_s34825"/>
                </a:ext>
                <a:ext uri="{FF2B5EF4-FFF2-40B4-BE49-F238E27FC236}">
                  <a16:creationId xmlns:a16="http://schemas.microsoft.com/office/drawing/2014/main" id="{00000000-0008-0000-0700-000009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175260</xdr:colOff>
          <xdr:row>24</xdr:row>
          <xdr:rowOff>60960</xdr:rowOff>
        </xdr:from>
        <xdr:to>
          <xdr:col>1</xdr:col>
          <xdr:colOff>83820</xdr:colOff>
          <xdr:row>26</xdr:row>
          <xdr:rowOff>22860</xdr:rowOff>
        </xdr:to>
        <xdr:sp macro="" textlink="">
          <xdr:nvSpPr>
            <xdr:cNvPr id="34826" name="Drop Down 10" hidden="1">
              <a:extLst>
                <a:ext uri="{63B3BB69-23CF-44E3-9099-C40C66FF867C}">
                  <a14:compatExt spid="_x0000_s34826"/>
                </a:ext>
                <a:ext uri="{FF2B5EF4-FFF2-40B4-BE49-F238E27FC236}">
                  <a16:creationId xmlns:a16="http://schemas.microsoft.com/office/drawing/2014/main" id="{00000000-0008-0000-0700-00000A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693420</xdr:colOff>
          <xdr:row>24</xdr:row>
          <xdr:rowOff>45720</xdr:rowOff>
        </xdr:from>
        <xdr:to>
          <xdr:col>7</xdr:col>
          <xdr:colOff>495300</xdr:colOff>
          <xdr:row>26</xdr:row>
          <xdr:rowOff>7620</xdr:rowOff>
        </xdr:to>
        <xdr:sp macro="" textlink="">
          <xdr:nvSpPr>
            <xdr:cNvPr id="34827" name="Drop Down 11" hidden="1">
              <a:extLst>
                <a:ext uri="{63B3BB69-23CF-44E3-9099-C40C66FF867C}">
                  <a14:compatExt spid="_x0000_s34827"/>
                </a:ext>
                <a:ext uri="{FF2B5EF4-FFF2-40B4-BE49-F238E27FC236}">
                  <a16:creationId xmlns:a16="http://schemas.microsoft.com/office/drawing/2014/main" id="{00000000-0008-0000-0700-00000B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161925</xdr:colOff>
      <xdr:row>8</xdr:row>
      <xdr:rowOff>100012</xdr:rowOff>
    </xdr:from>
    <xdr:to>
      <xdr:col>4</xdr:col>
      <xdr:colOff>561975</xdr:colOff>
      <xdr:row>22</xdr:row>
      <xdr:rowOff>176212</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704850</xdr:colOff>
      <xdr:row>8</xdr:row>
      <xdr:rowOff>76200</xdr:rowOff>
    </xdr:from>
    <xdr:to>
      <xdr:col>11</xdr:col>
      <xdr:colOff>276225</xdr:colOff>
      <xdr:row>22</xdr:row>
      <xdr:rowOff>152400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142875</xdr:colOff>
      <xdr:row>28</xdr:row>
      <xdr:rowOff>152400</xdr:rowOff>
    </xdr:from>
    <xdr:to>
      <xdr:col>4</xdr:col>
      <xdr:colOff>542925</xdr:colOff>
      <xdr:row>43</xdr:row>
      <xdr:rowOff>38100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29</xdr:row>
      <xdr:rowOff>0</xdr:rowOff>
    </xdr:from>
    <xdr:to>
      <xdr:col>11</xdr:col>
      <xdr:colOff>285750</xdr:colOff>
      <xdr:row>43</xdr:row>
      <xdr:rowOff>76200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6</xdr:row>
      <xdr:rowOff>161925</xdr:rowOff>
    </xdr:from>
    <xdr:to>
      <xdr:col>4</xdr:col>
      <xdr:colOff>457200</xdr:colOff>
      <xdr:row>22</xdr:row>
      <xdr:rowOff>180975</xdr:rowOff>
    </xdr:to>
    <xdr:sp macro="" textlink="">
      <xdr:nvSpPr>
        <xdr:cNvPr id="10" name="Rectangle 9">
          <a:extLst>
            <a:ext uri="{FF2B5EF4-FFF2-40B4-BE49-F238E27FC236}">
              <a16:creationId xmlns:a16="http://schemas.microsoft.com/office/drawing/2014/main" id="{00000000-0008-0000-0700-00000A000000}"/>
            </a:ext>
          </a:extLst>
        </xdr:cNvPr>
        <xdr:cNvSpPr/>
      </xdr:nvSpPr>
      <xdr:spPr>
        <a:xfrm>
          <a:off x="76200" y="1304925"/>
          <a:ext cx="4552950" cy="3067050"/>
        </a:xfrm>
        <a:prstGeom prst="rect">
          <a:avLst/>
        </a:prstGeom>
        <a:noFill/>
        <a:ln w="317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676275</xdr:colOff>
      <xdr:row>6</xdr:row>
      <xdr:rowOff>161925</xdr:rowOff>
    </xdr:from>
    <xdr:to>
      <xdr:col>11</xdr:col>
      <xdr:colOff>228600</xdr:colOff>
      <xdr:row>22</xdr:row>
      <xdr:rowOff>180975</xdr:rowOff>
    </xdr:to>
    <xdr:sp macro="" textlink="">
      <xdr:nvSpPr>
        <xdr:cNvPr id="11" name="Rectangle 10">
          <a:extLst>
            <a:ext uri="{FF2B5EF4-FFF2-40B4-BE49-F238E27FC236}">
              <a16:creationId xmlns:a16="http://schemas.microsoft.com/office/drawing/2014/main" id="{00000000-0008-0000-0700-00000B000000}"/>
            </a:ext>
          </a:extLst>
        </xdr:cNvPr>
        <xdr:cNvSpPr/>
      </xdr:nvSpPr>
      <xdr:spPr>
        <a:xfrm>
          <a:off x="4848225" y="1304925"/>
          <a:ext cx="4552950" cy="3067050"/>
        </a:xfrm>
        <a:prstGeom prst="rect">
          <a:avLst/>
        </a:prstGeom>
        <a:noFill/>
        <a:ln w="317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676275</xdr:colOff>
      <xdr:row>26</xdr:row>
      <xdr:rowOff>180975</xdr:rowOff>
    </xdr:from>
    <xdr:to>
      <xdr:col>11</xdr:col>
      <xdr:colOff>228600</xdr:colOff>
      <xdr:row>43</xdr:row>
      <xdr:rowOff>9525</xdr:rowOff>
    </xdr:to>
    <xdr:sp macro="" textlink="">
      <xdr:nvSpPr>
        <xdr:cNvPr id="12" name="Rectangle 11">
          <a:extLst>
            <a:ext uri="{FF2B5EF4-FFF2-40B4-BE49-F238E27FC236}">
              <a16:creationId xmlns:a16="http://schemas.microsoft.com/office/drawing/2014/main" id="{00000000-0008-0000-0700-00000C000000}"/>
            </a:ext>
          </a:extLst>
        </xdr:cNvPr>
        <xdr:cNvSpPr/>
      </xdr:nvSpPr>
      <xdr:spPr>
        <a:xfrm>
          <a:off x="4848225" y="5514975"/>
          <a:ext cx="4552950" cy="3067050"/>
        </a:xfrm>
        <a:prstGeom prst="rect">
          <a:avLst/>
        </a:prstGeom>
        <a:noFill/>
        <a:ln w="317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26</xdr:row>
      <xdr:rowOff>171450</xdr:rowOff>
    </xdr:from>
    <xdr:to>
      <xdr:col>4</xdr:col>
      <xdr:colOff>466725</xdr:colOff>
      <xdr:row>43</xdr:row>
      <xdr:rowOff>0</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85725" y="5505450"/>
          <a:ext cx="4552950" cy="3067050"/>
        </a:xfrm>
        <a:prstGeom prst="rect">
          <a:avLst/>
        </a:prstGeom>
        <a:noFill/>
        <a:ln w="317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523876</xdr:colOff>
      <xdr:row>4</xdr:row>
      <xdr:rowOff>90488</xdr:rowOff>
    </xdr:from>
    <xdr:to>
      <xdr:col>12</xdr:col>
      <xdr:colOff>85725</xdr:colOff>
      <xdr:row>15</xdr:row>
      <xdr:rowOff>180975</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0.02523</cdr:x>
      <cdr:y>0.18779</cdr:y>
    </cdr:from>
    <cdr:to>
      <cdr:x>0.06847</cdr:x>
      <cdr:y>0.51145</cdr:y>
    </cdr:to>
    <cdr:sp macro="" textlink="">
      <cdr:nvSpPr>
        <cdr:cNvPr id="2" name="TextBox 1"/>
        <cdr:cNvSpPr txBox="1"/>
      </cdr:nvSpPr>
      <cdr:spPr>
        <a:xfrm xmlns:a="http://schemas.openxmlformats.org/drawingml/2006/main">
          <a:off x="133350" y="585788"/>
          <a:ext cx="228600" cy="10096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0.00901</cdr:x>
      <cdr:y>0.18518</cdr:y>
    </cdr:from>
    <cdr:to>
      <cdr:x>0.06867</cdr:x>
      <cdr:y>0.43511</cdr:y>
    </cdr:to>
    <cdr:sp macro="" textlink="">
      <cdr:nvSpPr>
        <cdr:cNvPr id="3" name="TextBox 2"/>
        <cdr:cNvSpPr txBox="1"/>
      </cdr:nvSpPr>
      <cdr:spPr>
        <a:xfrm xmlns:a="http://schemas.openxmlformats.org/drawingml/2006/main" rot="16200000">
          <a:off x="-100776" y="545577"/>
          <a:ext cx="546343" cy="26481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00">
              <a:solidFill>
                <a:schemeClr val="tx1">
                  <a:lumMod val="50000"/>
                  <a:lumOff val="50000"/>
                </a:schemeClr>
              </a:solidFill>
            </a:rPr>
            <a:t>Price</a:t>
          </a:r>
          <a:endParaRPr lang="en-US" sz="1100">
            <a:solidFill>
              <a:schemeClr val="tx1">
                <a:lumMod val="50000"/>
                <a:lumOff val="50000"/>
              </a:schemeClr>
            </a:solidFill>
          </a:endParaRPr>
        </a:p>
      </cdr:txBody>
    </cdr:sp>
  </cdr:relSizeAnchor>
  <cdr:relSizeAnchor xmlns:cdr="http://schemas.openxmlformats.org/drawingml/2006/chartDrawing">
    <cdr:from>
      <cdr:x>0.93562</cdr:x>
      <cdr:y>0.25519</cdr:y>
    </cdr:from>
    <cdr:to>
      <cdr:x>0.98927</cdr:x>
      <cdr:y>0.57298</cdr:y>
    </cdr:to>
    <cdr:sp macro="" textlink="">
      <cdr:nvSpPr>
        <cdr:cNvPr id="4" name="TextBox 3"/>
        <cdr:cNvSpPr txBox="1"/>
      </cdr:nvSpPr>
      <cdr:spPr>
        <a:xfrm xmlns:a="http://schemas.openxmlformats.org/drawingml/2006/main" rot="5400000">
          <a:off x="3924609" y="786124"/>
          <a:ext cx="694703" cy="23812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00">
              <a:solidFill>
                <a:schemeClr val="tx1">
                  <a:lumMod val="50000"/>
                  <a:lumOff val="50000"/>
                </a:schemeClr>
              </a:solidFill>
            </a:rPr>
            <a:t>Volume</a:t>
          </a:r>
        </a:p>
      </cdr:txBody>
    </cdr:sp>
  </cdr:relSizeAnchor>
</c:userShapes>
</file>

<file path=xl/drawings/drawing6.xml><?xml version="1.0" encoding="utf-8"?>
<xdr:wsDr xmlns:xdr="http://schemas.openxmlformats.org/drawingml/2006/spreadsheetDrawing" xmlns:a="http://schemas.openxmlformats.org/drawingml/2006/main">
  <xdr:twoCellAnchor>
    <xdr:from>
      <xdr:col>8</xdr:col>
      <xdr:colOff>438149</xdr:colOff>
      <xdr:row>16</xdr:row>
      <xdr:rowOff>9524</xdr:rowOff>
    </xdr:from>
    <xdr:to>
      <xdr:col>15</xdr:col>
      <xdr:colOff>161925</xdr:colOff>
      <xdr:row>26</xdr:row>
      <xdr:rowOff>180975</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16</xdr:row>
      <xdr:rowOff>14287</xdr:rowOff>
    </xdr:from>
    <xdr:to>
      <xdr:col>8</xdr:col>
      <xdr:colOff>400050</xdr:colOff>
      <xdr:row>26</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0.00825</cdr:x>
      <cdr:y>0.22449</cdr:y>
    </cdr:from>
    <cdr:to>
      <cdr:x>0.06186</cdr:x>
      <cdr:y>0.56586</cdr:y>
    </cdr:to>
    <cdr:sp macro="" textlink="">
      <cdr:nvSpPr>
        <cdr:cNvPr id="2" name="TextBox 1"/>
        <cdr:cNvSpPr txBox="1"/>
      </cdr:nvSpPr>
      <cdr:spPr>
        <a:xfrm xmlns:a="http://schemas.openxmlformats.org/drawingml/2006/main" rot="16200000">
          <a:off x="-276227" y="890588"/>
          <a:ext cx="876301" cy="2476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00">
              <a:solidFill>
                <a:schemeClr val="tx1">
                  <a:lumMod val="65000"/>
                  <a:lumOff val="35000"/>
                </a:schemeClr>
              </a:solidFill>
            </a:rPr>
            <a:t>USD per MT</a:t>
          </a:r>
        </a:p>
      </cdr:txBody>
    </cdr:sp>
  </cdr:relSizeAnchor>
  <cdr:relSizeAnchor xmlns:cdr="http://schemas.openxmlformats.org/drawingml/2006/chartDrawing">
    <cdr:from>
      <cdr:x>0.00825</cdr:x>
      <cdr:y>0.22449</cdr:y>
    </cdr:from>
    <cdr:to>
      <cdr:x>0.06186</cdr:x>
      <cdr:y>0.56586</cdr:y>
    </cdr:to>
    <cdr:sp macro="" textlink="">
      <cdr:nvSpPr>
        <cdr:cNvPr id="3" name="TextBox 1"/>
        <cdr:cNvSpPr txBox="1"/>
      </cdr:nvSpPr>
      <cdr:spPr>
        <a:xfrm xmlns:a="http://schemas.openxmlformats.org/drawingml/2006/main" rot="16200000">
          <a:off x="-276227" y="890588"/>
          <a:ext cx="876301" cy="2476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00">
              <a:solidFill>
                <a:schemeClr val="tx1">
                  <a:lumMod val="65000"/>
                  <a:lumOff val="35000"/>
                </a:schemeClr>
              </a:solidFill>
            </a:rPr>
            <a:t>USD per MT</a:t>
          </a:r>
        </a:p>
      </cdr:txBody>
    </cdr:sp>
  </cdr:relSizeAnchor>
  <cdr:relSizeAnchor xmlns:cdr="http://schemas.openxmlformats.org/drawingml/2006/chartDrawing">
    <cdr:from>
      <cdr:x>0.00825</cdr:x>
      <cdr:y>0.22449</cdr:y>
    </cdr:from>
    <cdr:to>
      <cdr:x>0.06186</cdr:x>
      <cdr:y>0.56586</cdr:y>
    </cdr:to>
    <cdr:sp macro="" textlink="">
      <cdr:nvSpPr>
        <cdr:cNvPr id="4" name="TextBox 1"/>
        <cdr:cNvSpPr txBox="1"/>
      </cdr:nvSpPr>
      <cdr:spPr>
        <a:xfrm xmlns:a="http://schemas.openxmlformats.org/drawingml/2006/main" rot="16200000">
          <a:off x="-276227" y="890588"/>
          <a:ext cx="876301" cy="2476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00">
              <a:solidFill>
                <a:schemeClr val="tx1">
                  <a:lumMod val="65000"/>
                  <a:lumOff val="35000"/>
                </a:schemeClr>
              </a:solidFill>
            </a:rPr>
            <a:t>USD per MT</a:t>
          </a:r>
        </a:p>
      </cdr:txBody>
    </cdr:sp>
  </cdr:relSizeAnchor>
  <cdr:relSizeAnchor xmlns:cdr="http://schemas.openxmlformats.org/drawingml/2006/chartDrawing">
    <cdr:from>
      <cdr:x>0.00825</cdr:x>
      <cdr:y>0.11558</cdr:y>
    </cdr:from>
    <cdr:to>
      <cdr:x>0.06427</cdr:x>
      <cdr:y>0.56586</cdr:y>
    </cdr:to>
    <cdr:sp macro="" textlink="">
      <cdr:nvSpPr>
        <cdr:cNvPr id="5" name="TextBox 1"/>
        <cdr:cNvSpPr txBox="1"/>
      </cdr:nvSpPr>
      <cdr:spPr>
        <a:xfrm xmlns:a="http://schemas.openxmlformats.org/drawingml/2006/main" rot="16200000">
          <a:off x="-292402" y="542045"/>
          <a:ext cx="853498" cy="20755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00">
              <a:solidFill>
                <a:schemeClr val="tx1">
                  <a:lumMod val="85000"/>
                  <a:lumOff val="15000"/>
                </a:schemeClr>
              </a:solidFill>
            </a:rPr>
            <a:t>USD per </a:t>
          </a:r>
          <a:r>
            <a:rPr lang="en-US" sz="1000" b="1">
              <a:solidFill>
                <a:schemeClr val="tx1">
                  <a:lumMod val="85000"/>
                  <a:lumOff val="15000"/>
                </a:schemeClr>
              </a:solidFill>
            </a:rPr>
            <a:t>MT</a:t>
          </a:r>
        </a:p>
      </cdr:txBody>
    </cdr:sp>
  </cdr:relSizeAnchor>
</c:userShapes>
</file>

<file path=xl/drawings/drawing8.xml><?xml version="1.0" encoding="utf-8"?>
<c:userShapes xmlns:c="http://schemas.openxmlformats.org/drawingml/2006/chart">
  <cdr:relSizeAnchor xmlns:cdr="http://schemas.openxmlformats.org/drawingml/2006/chartDrawing">
    <cdr:from>
      <cdr:x>0.00204</cdr:x>
      <cdr:y>0.13329</cdr:y>
    </cdr:from>
    <cdr:to>
      <cdr:x>0.05933</cdr:x>
      <cdr:y>0.58151</cdr:y>
    </cdr:to>
    <cdr:sp macro="" textlink="">
      <cdr:nvSpPr>
        <cdr:cNvPr id="2" name="TextBox 1"/>
        <cdr:cNvSpPr txBox="1"/>
      </cdr:nvSpPr>
      <cdr:spPr>
        <a:xfrm xmlns:a="http://schemas.openxmlformats.org/drawingml/2006/main" rot="16200000">
          <a:off x="-315022" y="584149"/>
          <a:ext cx="877342" cy="230833"/>
        </a:xfrm>
        <a:prstGeom xmlns:a="http://schemas.openxmlformats.org/drawingml/2006/main" prst="rect">
          <a:avLst/>
        </a:prstGeom>
        <a:ln xmlns:a="http://schemas.openxmlformats.org/drawingml/2006/main">
          <a:solidFill>
            <a:schemeClr val="bg1"/>
          </a:solidFill>
        </a:ln>
      </cdr:spPr>
      <cdr:txBody>
        <a:bodyPr xmlns:a="http://schemas.openxmlformats.org/drawingml/2006/main" vertOverflow="clip" wrap="square" rtlCol="0"/>
        <a:lstStyle xmlns:a="http://schemas.openxmlformats.org/drawingml/2006/main"/>
        <a:p xmlns:a="http://schemas.openxmlformats.org/drawingml/2006/main">
          <a:r>
            <a:rPr lang="en-US" sz="1000" b="1">
              <a:solidFill>
                <a:schemeClr val="tx1">
                  <a:lumMod val="85000"/>
                  <a:lumOff val="15000"/>
                </a:schemeClr>
              </a:solidFill>
            </a:rPr>
            <a:t>USD per MT</a:t>
          </a:r>
        </a:p>
      </cdr:txBody>
    </cdr:sp>
  </cdr:relSizeAnchor>
</c:userShapes>
</file>

<file path=xl/drawings/drawing9.xml><?xml version="1.0" encoding="utf-8"?>
<xdr:wsDr xmlns:xdr="http://schemas.openxmlformats.org/drawingml/2006/spreadsheetDrawing" xmlns:a="http://schemas.openxmlformats.org/drawingml/2006/main">
  <xdr:twoCellAnchor>
    <xdr:from>
      <xdr:col>7</xdr:col>
      <xdr:colOff>342900</xdr:colOff>
      <xdr:row>2737</xdr:row>
      <xdr:rowOff>9525</xdr:rowOff>
    </xdr:from>
    <xdr:to>
      <xdr:col>14</xdr:col>
      <xdr:colOff>123825</xdr:colOff>
      <xdr:row>2753</xdr:row>
      <xdr:rowOff>133350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0.01458</cdr:x>
      <cdr:y>0.21528</cdr:y>
    </cdr:from>
    <cdr:to>
      <cdr:x>0.0625</cdr:x>
      <cdr:y>0.54861</cdr:y>
    </cdr:to>
    <cdr:sp macro="" textlink="">
      <cdr:nvSpPr>
        <cdr:cNvPr id="2" name="TextBox 1"/>
        <cdr:cNvSpPr txBox="1"/>
      </cdr:nvSpPr>
      <cdr:spPr>
        <a:xfrm xmlns:a="http://schemas.openxmlformats.org/drawingml/2006/main" rot="16200000">
          <a:off x="-280988" y="938211"/>
          <a:ext cx="914400" cy="2190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900" b="1">
              <a:solidFill>
                <a:schemeClr val="tx1">
                  <a:lumMod val="75000"/>
                  <a:lumOff val="25000"/>
                </a:schemeClr>
              </a:solidFill>
            </a:rPr>
            <a:t>Price - LKR</a:t>
          </a:r>
        </a:p>
      </cdr:txBody>
    </cdr:sp>
  </cdr:relSizeAnchor>
  <cdr:relSizeAnchor xmlns:cdr="http://schemas.openxmlformats.org/drawingml/2006/chartDrawing">
    <cdr:from>
      <cdr:x>0.94375</cdr:x>
      <cdr:y>0.23611</cdr:y>
    </cdr:from>
    <cdr:to>
      <cdr:x>1</cdr:x>
      <cdr:y>0.58681</cdr:y>
    </cdr:to>
    <cdr:sp macro="" textlink="">
      <cdr:nvSpPr>
        <cdr:cNvPr id="3" name="TextBox 2"/>
        <cdr:cNvSpPr txBox="1"/>
      </cdr:nvSpPr>
      <cdr:spPr>
        <a:xfrm xmlns:a="http://schemas.openxmlformats.org/drawingml/2006/main" rot="5400000">
          <a:off x="3962400" y="1000125"/>
          <a:ext cx="962025" cy="2571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900" b="1">
              <a:solidFill>
                <a:schemeClr val="tx1">
                  <a:lumMod val="75000"/>
                  <a:lumOff val="25000"/>
                </a:schemeClr>
              </a:solidFill>
            </a:rPr>
            <a:t>Volume - '000</a:t>
          </a:r>
        </a:p>
      </cdr:txBody>
    </cdr:sp>
  </cdr:relSizeAnchor>
</c:userShapes>
</file>

<file path=xl/drawings/drawing11.xml><?xml version="1.0" encoding="utf-8"?>
<xdr:wsDr xmlns:xdr="http://schemas.openxmlformats.org/drawingml/2006/spreadsheetDrawing" xmlns:a="http://schemas.openxmlformats.org/drawingml/2006/main">
  <xdr:twoCellAnchor>
    <xdr:from>
      <xdr:col>9</xdr:col>
      <xdr:colOff>295275</xdr:colOff>
      <xdr:row>4</xdr:row>
      <xdr:rowOff>133350</xdr:rowOff>
    </xdr:from>
    <xdr:to>
      <xdr:col>18</xdr:col>
      <xdr:colOff>19050</xdr:colOff>
      <xdr:row>20</xdr:row>
      <xdr:rowOff>152400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0</xdr:colOff>
      <xdr:row>10</xdr:row>
      <xdr:rowOff>0</xdr:rowOff>
    </xdr:from>
    <xdr:to>
      <xdr:col>38</xdr:col>
      <xdr:colOff>247650</xdr:colOff>
      <xdr:row>23</xdr:row>
      <xdr:rowOff>14288</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0</xdr:colOff>
      <xdr:row>1267</xdr:row>
      <xdr:rowOff>0</xdr:rowOff>
    </xdr:from>
    <xdr:to>
      <xdr:col>17</xdr:col>
      <xdr:colOff>304800</xdr:colOff>
      <xdr:row>1281</xdr:row>
      <xdr:rowOff>76200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1828</xdr:row>
      <xdr:rowOff>0</xdr:rowOff>
    </xdr:from>
    <xdr:to>
      <xdr:col>15</xdr:col>
      <xdr:colOff>171452</xdr:colOff>
      <xdr:row>1839</xdr:row>
      <xdr:rowOff>27021</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9</xdr:col>
      <xdr:colOff>0</xdr:colOff>
      <xdr:row>1450</xdr:row>
      <xdr:rowOff>0</xdr:rowOff>
    </xdr:from>
    <xdr:to>
      <xdr:col>16</xdr:col>
      <xdr:colOff>561974</xdr:colOff>
      <xdr:row>1465</xdr:row>
      <xdr:rowOff>57151</xdr:rowOff>
    </xdr:to>
    <xdr:graphicFrame macro="">
      <xdr:nvGraphicFramePr>
        <xdr:cNvPr id="4" name="Chart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333375</xdr:colOff>
      <xdr:row>1425</xdr:row>
      <xdr:rowOff>161925</xdr:rowOff>
    </xdr:from>
    <xdr:to>
      <xdr:col>16</xdr:col>
      <xdr:colOff>28575</xdr:colOff>
      <xdr:row>1440</xdr:row>
      <xdr:rowOff>47625</xdr:rowOff>
    </xdr:to>
    <xdr:graphicFrame macro="">
      <xdr:nvGraphicFramePr>
        <xdr:cNvPr id="5" name="Chart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27</xdr:col>
      <xdr:colOff>57149</xdr:colOff>
      <xdr:row>167</xdr:row>
      <xdr:rowOff>142875</xdr:rowOff>
    </xdr:from>
    <xdr:to>
      <xdr:col>32</xdr:col>
      <xdr:colOff>381000</xdr:colOff>
      <xdr:row>183</xdr:row>
      <xdr:rowOff>0</xdr:rowOff>
    </xdr:to>
    <xdr:graphicFrame macro="">
      <xdr:nvGraphicFramePr>
        <xdr:cNvPr id="3" name="Chart 2">
          <a:extLst>
            <a:ext uri="{FF2B5EF4-FFF2-40B4-BE49-F238E27FC236}">
              <a16:creationId xmlns:a16="http://schemas.microsoft.com/office/drawing/2014/main" id="{00000000-0008-0000-1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247650</xdr:colOff>
      <xdr:row>11</xdr:row>
      <xdr:rowOff>23812</xdr:rowOff>
    </xdr:from>
    <xdr:to>
      <xdr:col>7</xdr:col>
      <xdr:colOff>361950</xdr:colOff>
      <xdr:row>25</xdr:row>
      <xdr:rowOff>100012</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10</xdr:col>
      <xdr:colOff>552450</xdr:colOff>
      <xdr:row>42</xdr:row>
      <xdr:rowOff>33337</xdr:rowOff>
    </xdr:from>
    <xdr:to>
      <xdr:col>18</xdr:col>
      <xdr:colOff>209550</xdr:colOff>
      <xdr:row>56</xdr:row>
      <xdr:rowOff>109537</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342900</xdr:colOff>
      <xdr:row>65</xdr:row>
      <xdr:rowOff>90487</xdr:rowOff>
    </xdr:from>
    <xdr:to>
      <xdr:col>17</xdr:col>
      <xdr:colOff>0</xdr:colOff>
      <xdr:row>79</xdr:row>
      <xdr:rowOff>171450</xdr:rowOff>
    </xdr:to>
    <xdr:graphicFrame macro="">
      <xdr:nvGraphicFramePr>
        <xdr:cNvPr id="3" name="Chart 2">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9525</xdr:colOff>
      <xdr:row>83</xdr:row>
      <xdr:rowOff>4762</xdr:rowOff>
    </xdr:from>
    <xdr:to>
      <xdr:col>12</xdr:col>
      <xdr:colOff>152400</xdr:colOff>
      <xdr:row>97</xdr:row>
      <xdr:rowOff>80962</xdr:rowOff>
    </xdr:to>
    <xdr:graphicFrame macro="">
      <xdr:nvGraphicFramePr>
        <xdr:cNvPr id="4" name="Chart 3">
          <a:extLst>
            <a:ext uri="{FF2B5EF4-FFF2-40B4-BE49-F238E27FC236}">
              <a16:creationId xmlns:a16="http://schemas.microsoft.com/office/drawing/2014/main" id="{00000000-0008-0000-1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485774</xdr:colOff>
      <xdr:row>100</xdr:row>
      <xdr:rowOff>180974</xdr:rowOff>
    </xdr:from>
    <xdr:to>
      <xdr:col>12</xdr:col>
      <xdr:colOff>14286</xdr:colOff>
      <xdr:row>113</xdr:row>
      <xdr:rowOff>176211</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342900</xdr:colOff>
      <xdr:row>115</xdr:row>
      <xdr:rowOff>142875</xdr:rowOff>
    </xdr:from>
    <xdr:to>
      <xdr:col>13</xdr:col>
      <xdr:colOff>495300</xdr:colOff>
      <xdr:row>130</xdr:row>
      <xdr:rowOff>28575</xdr:rowOff>
    </xdr:to>
    <xdr:graphicFrame macro="">
      <xdr:nvGraphicFramePr>
        <xdr:cNvPr id="6" name="Chart 5">
          <a:extLst>
            <a:ext uri="{FF2B5EF4-FFF2-40B4-BE49-F238E27FC236}">
              <a16:creationId xmlns:a16="http://schemas.microsoft.com/office/drawing/2014/main" id="{00000000-0008-0000-1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161925</xdr:colOff>
      <xdr:row>0</xdr:row>
      <xdr:rowOff>0</xdr:rowOff>
    </xdr:from>
    <xdr:to>
      <xdr:col>12</xdr:col>
      <xdr:colOff>57150</xdr:colOff>
      <xdr:row>13</xdr:row>
      <xdr:rowOff>66675</xdr:rowOff>
    </xdr:to>
    <xdr:graphicFrame macro="">
      <xdr:nvGraphicFramePr>
        <xdr:cNvPr id="8" name="Chart 7">
          <a:extLst>
            <a:ext uri="{FF2B5EF4-FFF2-40B4-BE49-F238E27FC236}">
              <a16:creationId xmlns:a16="http://schemas.microsoft.com/office/drawing/2014/main" id="{00000000-0008-0000-1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142875</xdr:colOff>
      <xdr:row>14</xdr:row>
      <xdr:rowOff>9525</xdr:rowOff>
    </xdr:from>
    <xdr:to>
      <xdr:col>12</xdr:col>
      <xdr:colOff>38100</xdr:colOff>
      <xdr:row>28</xdr:row>
      <xdr:rowOff>76200</xdr:rowOff>
    </xdr:to>
    <xdr:graphicFrame macro="">
      <xdr:nvGraphicFramePr>
        <xdr:cNvPr id="9" name="Chart 8">
          <a:extLst>
            <a:ext uri="{FF2B5EF4-FFF2-40B4-BE49-F238E27FC236}">
              <a16:creationId xmlns:a16="http://schemas.microsoft.com/office/drawing/2014/main" id="{00000000-0008-0000-1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23</xdr:row>
      <xdr:rowOff>0</xdr:rowOff>
    </xdr:from>
    <xdr:to>
      <xdr:col>4</xdr:col>
      <xdr:colOff>209550</xdr:colOff>
      <xdr:row>37</xdr:row>
      <xdr:rowOff>66675</xdr:rowOff>
    </xdr:to>
    <xdr:graphicFrame macro="">
      <xdr:nvGraphicFramePr>
        <xdr:cNvPr id="10" name="Chart 9">
          <a:extLst>
            <a:ext uri="{FF2B5EF4-FFF2-40B4-BE49-F238E27FC236}">
              <a16:creationId xmlns:a16="http://schemas.microsoft.com/office/drawing/2014/main" id="{00000000-0008-0000-1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204787</xdr:colOff>
      <xdr:row>132</xdr:row>
      <xdr:rowOff>71437</xdr:rowOff>
    </xdr:from>
    <xdr:to>
      <xdr:col>13</xdr:col>
      <xdr:colOff>357187</xdr:colOff>
      <xdr:row>146</xdr:row>
      <xdr:rowOff>147637</xdr:rowOff>
    </xdr:to>
    <xdr:graphicFrame macro="">
      <xdr:nvGraphicFramePr>
        <xdr:cNvPr id="11" name="Chart 10">
          <a:extLst>
            <a:ext uri="{FF2B5EF4-FFF2-40B4-BE49-F238E27FC236}">
              <a16:creationId xmlns:a16="http://schemas.microsoft.com/office/drawing/2014/main" id="{00000000-0008-0000-1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542925</xdr:colOff>
      <xdr:row>145</xdr:row>
      <xdr:rowOff>128587</xdr:rowOff>
    </xdr:from>
    <xdr:to>
      <xdr:col>4</xdr:col>
      <xdr:colOff>180975</xdr:colOff>
      <xdr:row>159</xdr:row>
      <xdr:rowOff>85725</xdr:rowOff>
    </xdr:to>
    <xdr:graphicFrame macro="">
      <xdr:nvGraphicFramePr>
        <xdr:cNvPr id="7" name="Chart 6">
          <a:extLst>
            <a:ext uri="{FF2B5EF4-FFF2-40B4-BE49-F238E27FC236}">
              <a16:creationId xmlns:a16="http://schemas.microsoft.com/office/drawing/2014/main" id="{00000000-0008-0000-1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4</xdr:col>
      <xdr:colOff>157162</xdr:colOff>
      <xdr:row>8</xdr:row>
      <xdr:rowOff>176212</xdr:rowOff>
    </xdr:from>
    <xdr:to>
      <xdr:col>11</xdr:col>
      <xdr:colOff>461962</xdr:colOff>
      <xdr:row>23</xdr:row>
      <xdr:rowOff>61912</xdr:rowOff>
    </xdr:to>
    <xdr:graphicFrame macro="">
      <xdr:nvGraphicFramePr>
        <xdr:cNvPr id="3" name="Chart 2">
          <a:extLst>
            <a:ext uri="{FF2B5EF4-FFF2-40B4-BE49-F238E27FC236}">
              <a16:creationId xmlns:a16="http://schemas.microsoft.com/office/drawing/2014/main" id="{00000000-0008-0000-1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8</xdr:row>
      <xdr:rowOff>0</xdr:rowOff>
    </xdr:from>
    <xdr:to>
      <xdr:col>20</xdr:col>
      <xdr:colOff>304800</xdr:colOff>
      <xdr:row>22</xdr:row>
      <xdr:rowOff>76200</xdr:rowOff>
    </xdr:to>
    <xdr:graphicFrame macro="">
      <xdr:nvGraphicFramePr>
        <xdr:cNvPr id="4" name="Chart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242887</xdr:colOff>
      <xdr:row>29</xdr:row>
      <xdr:rowOff>80962</xdr:rowOff>
    </xdr:from>
    <xdr:to>
      <xdr:col>10</xdr:col>
      <xdr:colOff>547687</xdr:colOff>
      <xdr:row>43</xdr:row>
      <xdr:rowOff>157162</xdr:rowOff>
    </xdr:to>
    <xdr:graphicFrame macro="">
      <xdr:nvGraphicFramePr>
        <xdr:cNvPr id="5" name="Chart 4">
          <a:extLst>
            <a:ext uri="{FF2B5EF4-FFF2-40B4-BE49-F238E27FC236}">
              <a16:creationId xmlns:a16="http://schemas.microsoft.com/office/drawing/2014/main" id="{00000000-0008-0000-1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138112</xdr:colOff>
      <xdr:row>50</xdr:row>
      <xdr:rowOff>166687</xdr:rowOff>
    </xdr:from>
    <xdr:to>
      <xdr:col>10</xdr:col>
      <xdr:colOff>442912</xdr:colOff>
      <xdr:row>65</xdr:row>
      <xdr:rowOff>52387</xdr:rowOff>
    </xdr:to>
    <xdr:graphicFrame macro="">
      <xdr:nvGraphicFramePr>
        <xdr:cNvPr id="7" name="Chart 6">
          <a:extLst>
            <a:ext uri="{FF2B5EF4-FFF2-40B4-BE49-F238E27FC236}">
              <a16:creationId xmlns:a16="http://schemas.microsoft.com/office/drawing/2014/main" id="{00000000-0008-0000-1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1281112</xdr:colOff>
      <xdr:row>86</xdr:row>
      <xdr:rowOff>166687</xdr:rowOff>
    </xdr:from>
    <xdr:to>
      <xdr:col>9</xdr:col>
      <xdr:colOff>604837</xdr:colOff>
      <xdr:row>101</xdr:row>
      <xdr:rowOff>52387</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219075</xdr:colOff>
      <xdr:row>22</xdr:row>
      <xdr:rowOff>4762</xdr:rowOff>
    </xdr:from>
    <xdr:to>
      <xdr:col>17</xdr:col>
      <xdr:colOff>523875</xdr:colOff>
      <xdr:row>36</xdr:row>
      <xdr:rowOff>80962</xdr:rowOff>
    </xdr:to>
    <xdr:graphicFrame macro="">
      <xdr:nvGraphicFramePr>
        <xdr:cNvPr id="3" name="Chart 2">
          <a:extLst>
            <a:ext uri="{FF2B5EF4-FFF2-40B4-BE49-F238E27FC236}">
              <a16:creationId xmlns:a16="http://schemas.microsoft.com/office/drawing/2014/main" id="{00000000-0008-0000-1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200025</xdr:colOff>
      <xdr:row>21</xdr:row>
      <xdr:rowOff>85725</xdr:rowOff>
    </xdr:from>
    <xdr:to>
      <xdr:col>26</xdr:col>
      <xdr:colOff>504825</xdr:colOff>
      <xdr:row>35</xdr:row>
      <xdr:rowOff>161925</xdr:rowOff>
    </xdr:to>
    <xdr:graphicFrame macro="">
      <xdr:nvGraphicFramePr>
        <xdr:cNvPr id="4" name="Chart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xdr:colOff>
      <xdr:row>40</xdr:row>
      <xdr:rowOff>0</xdr:rowOff>
    </xdr:from>
    <xdr:to>
      <xdr:col>15</xdr:col>
      <xdr:colOff>487681</xdr:colOff>
      <xdr:row>53</xdr:row>
      <xdr:rowOff>114300</xdr:rowOff>
    </xdr:to>
    <xdr:graphicFrame macro="">
      <xdr:nvGraphicFramePr>
        <xdr:cNvPr id="6" name="Chart 5">
          <a:extLst>
            <a:ext uri="{FF2B5EF4-FFF2-40B4-BE49-F238E27FC236}">
              <a16:creationId xmlns:a16="http://schemas.microsoft.com/office/drawing/2014/main" id="{00000000-0008-0000-1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304800</xdr:colOff>
      <xdr:row>40</xdr:row>
      <xdr:rowOff>0</xdr:rowOff>
    </xdr:from>
    <xdr:to>
      <xdr:col>24</xdr:col>
      <xdr:colOff>182880</xdr:colOff>
      <xdr:row>53</xdr:row>
      <xdr:rowOff>111252</xdr:rowOff>
    </xdr:to>
    <xdr:graphicFrame macro="">
      <xdr:nvGraphicFramePr>
        <xdr:cNvPr id="7" name="Chart 6">
          <a:extLst>
            <a:ext uri="{FF2B5EF4-FFF2-40B4-BE49-F238E27FC236}">
              <a16:creationId xmlns:a16="http://schemas.microsoft.com/office/drawing/2014/main" id="{00000000-0008-0000-1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85725</xdr:colOff>
      <xdr:row>62</xdr:row>
      <xdr:rowOff>185737</xdr:rowOff>
    </xdr:from>
    <xdr:to>
      <xdr:col>18</xdr:col>
      <xdr:colOff>390525</xdr:colOff>
      <xdr:row>77</xdr:row>
      <xdr:rowOff>71437</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9</xdr:col>
      <xdr:colOff>323856</xdr:colOff>
      <xdr:row>454</xdr:row>
      <xdr:rowOff>138112</xdr:rowOff>
    </xdr:from>
    <xdr:to>
      <xdr:col>15</xdr:col>
      <xdr:colOff>381000</xdr:colOff>
      <xdr:row>471</xdr:row>
      <xdr:rowOff>109537</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473</xdr:row>
      <xdr:rowOff>52387</xdr:rowOff>
    </xdr:from>
    <xdr:to>
      <xdr:col>12</xdr:col>
      <xdr:colOff>76200</xdr:colOff>
      <xdr:row>490</xdr:row>
      <xdr:rowOff>42862</xdr:rowOff>
    </xdr:to>
    <xdr:graphicFrame macro="">
      <xdr:nvGraphicFramePr>
        <xdr:cNvPr id="3" name="Chart 2">
          <a:extLst>
            <a:ext uri="{FF2B5EF4-FFF2-40B4-BE49-F238E27FC236}">
              <a16:creationId xmlns:a16="http://schemas.microsoft.com/office/drawing/2014/main" id="{00000000-0008-0000-1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6.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7"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drawing" Target="../drawings/drawing3.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26" Type="http://schemas.openxmlformats.org/officeDocument/2006/relationships/hyperlink" Target="http://www.accessengsl.com/project/buildings/design-construction-of-access-tower-ii-28-storey-office-complex/" TargetMode="External"/><Relationship Id="rId21" Type="http://schemas.openxmlformats.org/officeDocument/2006/relationships/hyperlink" Target="http://www.accessengsl.com/project/telecommunication/sri-lanka-telecom-new-subscriber-connection-project/" TargetMode="External"/><Relationship Id="rId42" Type="http://schemas.openxmlformats.org/officeDocument/2006/relationships/hyperlink" Target="http://www.accessengsl.com/project/piling/piling-works-for-proposed-office-building-at-no-286-r-a-de-mel-mawatha-colombo-03/" TargetMode="External"/><Relationship Id="rId47" Type="http://schemas.openxmlformats.org/officeDocument/2006/relationships/hyperlink" Target="http://www.accessengsl.com/project/piling/piling-works-for-proposed-appartment-project-at-no-67a-addul-gafoor-mawatha-colombo-03/" TargetMode="External"/><Relationship Id="rId63" Type="http://schemas.openxmlformats.org/officeDocument/2006/relationships/hyperlink" Target="http://www.accessengsl.com/project/piling/concrete-bored-piling-work-for-proposed-apartment-building-complex-at-45-alfred-housed-gardens-colombo-03/" TargetMode="External"/><Relationship Id="rId68" Type="http://schemas.openxmlformats.org/officeDocument/2006/relationships/hyperlink" Target="http://www.accessengsl.com/project/piling/piling-works-construction-of-housing-for-relocation-of-under-served-settlements-in-the-city-of-colombo-henamulla-phase-ii/" TargetMode="External"/><Relationship Id="rId16" Type="http://schemas.openxmlformats.org/officeDocument/2006/relationships/hyperlink" Target="http://www.accessengsl.com/project/bridges-flyovers/design-construction-of-ganemulla-flyover/" TargetMode="External"/><Relationship Id="rId11" Type="http://schemas.openxmlformats.org/officeDocument/2006/relationships/hyperlink" Target="http://www.accessengsl.com/projects/piling/" TargetMode="External"/><Relationship Id="rId24" Type="http://schemas.openxmlformats.org/officeDocument/2006/relationships/hyperlink" Target="http://www.accessengsl.com/project/buildings/urban-regeneration-project-city-of-colombo-construction-of-608-housing-units-for-government-servants-at-borella/" TargetMode="External"/><Relationship Id="rId32" Type="http://schemas.openxmlformats.org/officeDocument/2006/relationships/hyperlink" Target="http://www.accessengsl.com/project/irrigation-land-drainage/climate-resilience-improvement-project/" TargetMode="External"/><Relationship Id="rId37" Type="http://schemas.openxmlformats.org/officeDocument/2006/relationships/hyperlink" Target="http://www.accessengsl.com/project/dredgin-reclamation/dredging-of-dutch-canal-on-colombo-%E2%80%90-katunayaka-expressway-project-2/" TargetMode="External"/><Relationship Id="rId40" Type="http://schemas.openxmlformats.org/officeDocument/2006/relationships/hyperlink" Target="http://www.accessengsl.com/project/environment-waste-management/greater-colombo-flood-control/" TargetMode="External"/><Relationship Id="rId45" Type="http://schemas.openxmlformats.org/officeDocument/2006/relationships/hyperlink" Target="http://www.accessengsl.com/project/piling/piling-works-for-ceylon-tea-services-plc-at-no-111-negombo-road-peliyagoda/" TargetMode="External"/><Relationship Id="rId53" Type="http://schemas.openxmlformats.org/officeDocument/2006/relationships/hyperlink" Target="http://www.accessengsl.com/project/piling/piling-works-for-the-apartment-complex-at-alliwatta-mattakkuliya/" TargetMode="External"/><Relationship Id="rId58" Type="http://schemas.openxmlformats.org/officeDocument/2006/relationships/hyperlink" Target="http://www.accessengsl.com/project/piling/piling-works-for-proposed-apartment-complex-project-at-galle/" TargetMode="External"/><Relationship Id="rId66" Type="http://schemas.openxmlformats.org/officeDocument/2006/relationships/hyperlink" Target="http://www.accessengsl.com/project/piling/piling-works-for-proposed-city-hotel-damro-showroom/" TargetMode="External"/><Relationship Id="rId74" Type="http://schemas.openxmlformats.org/officeDocument/2006/relationships/hyperlink" Target="http://www.accessengsl.com/project/piling/piling-works-for-proposed-office-building-at-no-15-lauries-lane-colombo-04/" TargetMode="External"/><Relationship Id="rId5" Type="http://schemas.openxmlformats.org/officeDocument/2006/relationships/hyperlink" Target="http://www.accessengsl.com/projects/telecommunication/" TargetMode="External"/><Relationship Id="rId61" Type="http://schemas.openxmlformats.org/officeDocument/2006/relationships/hyperlink" Target="http://www.accessengsl.com/project/piling/piling-works-for-proposed-keels-super-market-building-wattala/" TargetMode="External"/><Relationship Id="rId19" Type="http://schemas.openxmlformats.org/officeDocument/2006/relationships/hyperlink" Target="http://www.accessengsl.com/project/water-waste-water/rehabilitation-of-labugama-kalatuwawa-water-treatment-plants/" TargetMode="External"/><Relationship Id="rId14" Type="http://schemas.openxmlformats.org/officeDocument/2006/relationships/hyperlink" Target="http://www.accessengsl.com/project/bridges-flyovers/design-construction-of-rajagiriya-flyover/" TargetMode="External"/><Relationship Id="rId22" Type="http://schemas.openxmlformats.org/officeDocument/2006/relationships/hyperlink" Target="http://www.accessengsl.com/project/telecommunication/dialog-optical-fiber-backbone-network-project-phase-v/" TargetMode="External"/><Relationship Id="rId27" Type="http://schemas.openxmlformats.org/officeDocument/2006/relationships/hyperlink" Target="http://www.accessengsl.com/project/buildings/subcontract-for-temporary-works-at-waterfront-integrated-resort/" TargetMode="External"/><Relationship Id="rId30" Type="http://schemas.openxmlformats.org/officeDocument/2006/relationships/hyperlink" Target="http://www.accessengsl.com/project/irrigation-land-drainage/rehabilitation-of-downstream-upstream-dam-embankments-of-iranamadu/" TargetMode="External"/><Relationship Id="rId35" Type="http://schemas.openxmlformats.org/officeDocument/2006/relationships/hyperlink" Target="http://www.accessengsl.com/project/irrigation-land-drainage/raising-of-unnichchai-tank/" TargetMode="External"/><Relationship Id="rId43" Type="http://schemas.openxmlformats.org/officeDocument/2006/relationships/hyperlink" Target="http://www.accessengsl.com/project/piling/piling-works-for-itc-colombo-one-hotel-and-luxury-apartment-at-galle-face-colombo-01/" TargetMode="External"/><Relationship Id="rId48" Type="http://schemas.openxmlformats.org/officeDocument/2006/relationships/hyperlink" Target="http://www.accessengsl.com/project/piling/pilling-work-for-proposed-apartment-building-complex-at-no-73-gregorys-road-colombo-07/" TargetMode="External"/><Relationship Id="rId56" Type="http://schemas.openxmlformats.org/officeDocument/2006/relationships/hyperlink" Target="http://www.accessengsl.com/project/piling/piling-works-for-proposed-prime-homes-appartment-prime-libra-at-koswatta/" TargetMode="External"/><Relationship Id="rId64" Type="http://schemas.openxmlformats.org/officeDocument/2006/relationships/hyperlink" Target="http://www.accessengsl.com/project/piling/piling-works-for-construction-of-housing-for-relocation-of-under-served-settlements-in-the-city-of-colombo-henamulla-modara/" TargetMode="External"/><Relationship Id="rId69" Type="http://schemas.openxmlformats.org/officeDocument/2006/relationships/hyperlink" Target="http://www.accessengsl.com/project/piling/piling-works-for-shangri-la-hotel-development-pvtltd/" TargetMode="External"/><Relationship Id="rId77" Type="http://schemas.openxmlformats.org/officeDocument/2006/relationships/hyperlink" Target="http://www.accessengsl.com/project/water-waste-water/mattala-pipe-laying-project/" TargetMode="External"/><Relationship Id="rId8" Type="http://schemas.openxmlformats.org/officeDocument/2006/relationships/hyperlink" Target="http://www.accessengsl.com/projects/irrigation-land-drainage/" TargetMode="External"/><Relationship Id="rId51" Type="http://schemas.openxmlformats.org/officeDocument/2006/relationships/hyperlink" Target="http://www.accessengsl.com/project/piling/piling-works-for-proposed-apartment-building-complex-at-no-502-havelock-road-colombo-06/" TargetMode="External"/><Relationship Id="rId72" Type="http://schemas.openxmlformats.org/officeDocument/2006/relationships/hyperlink" Target="http://www.accessengsl.com/project/piling/piling-works-for-proposed-prime-homes-apartment-prime-194-at-nugegoda/" TargetMode="External"/><Relationship Id="rId3" Type="http://schemas.openxmlformats.org/officeDocument/2006/relationships/hyperlink" Target="http://www.accessengsl.com/projects/water-waste-water/" TargetMode="External"/><Relationship Id="rId12" Type="http://schemas.openxmlformats.org/officeDocument/2006/relationships/hyperlink" Target="http://www.accessengsl.com/project/roads-highways/rehabilitation-improvements-to-colombo-kandy-road-section-from-kadawatha-to-nittambuwa/" TargetMode="External"/><Relationship Id="rId17" Type="http://schemas.openxmlformats.org/officeDocument/2006/relationships/hyperlink" Target="http://www.accessengsl.com/project/bridges-flyovers/construction-of-3-bridges-major-bridge-construction-projects-of-the-national-road-network/" TargetMode="External"/><Relationship Id="rId25" Type="http://schemas.openxmlformats.org/officeDocument/2006/relationships/hyperlink" Target="http://www.accessengsl.com/project/buildings/construction-of-housing-for-relocation-of-underserved-settlement-in-the-city-of-colombo-at-henamulla-phase-ii/" TargetMode="External"/><Relationship Id="rId33" Type="http://schemas.openxmlformats.org/officeDocument/2006/relationships/hyperlink" Target="http://www.accessengsl.com/project/irrigation-land-drainage/construction-of-canal-bank-protection-works-of-st-sebastian-south-canal/" TargetMode="External"/><Relationship Id="rId38" Type="http://schemas.openxmlformats.org/officeDocument/2006/relationships/hyperlink" Target="http://www.accessengsl.com/project/dredgin-reclamation/lunawa-lagoon-dredging-improvements-of-sea-outfalls-coastal-project/" TargetMode="External"/><Relationship Id="rId46" Type="http://schemas.openxmlformats.org/officeDocument/2006/relationships/hyperlink" Target="http://www.accessengsl.com/project/piling/pile-drivins-work-in-bridge-no-05-07-major-bridges-construction-project-of-national-road-network-package-01/" TargetMode="External"/><Relationship Id="rId59" Type="http://schemas.openxmlformats.org/officeDocument/2006/relationships/hyperlink" Target="http://www.accessengsl.com/project/piling/piling-works-for-fairway-appartments-at-rajagiriya/" TargetMode="External"/><Relationship Id="rId67" Type="http://schemas.openxmlformats.org/officeDocument/2006/relationships/hyperlink" Target="http://www.accessengsl.com/project/piling/piling-works-construction-of-1777-housing-units-at-colombage-mawatha-nawala/" TargetMode="External"/><Relationship Id="rId20" Type="http://schemas.openxmlformats.org/officeDocument/2006/relationships/hyperlink" Target="http://www.accessengsl.com/project/water-waste-water/greater-colombo-waste-water-management-project/" TargetMode="External"/><Relationship Id="rId41" Type="http://schemas.openxmlformats.org/officeDocument/2006/relationships/hyperlink" Target="http://www.accessengsl.com/project/piling/piling-works-for-extension-of-southern-expressway-project-section-3-from-wetiya-to-andarawewa/" TargetMode="External"/><Relationship Id="rId54" Type="http://schemas.openxmlformats.org/officeDocument/2006/relationships/hyperlink" Target="http://www.accessengsl.com/project/piling/piling-works-for-30m-mono-pole-relocation-at-peliyagoda-junction/" TargetMode="External"/><Relationship Id="rId62" Type="http://schemas.openxmlformats.org/officeDocument/2006/relationships/hyperlink" Target="http://www.accessengsl.com/project/piling/piling-works-of-proposed-six-storied-officers-married-quarter-building-block-1-2-for-general-sir-john-kothalawala-defense-university/" TargetMode="External"/><Relationship Id="rId70" Type="http://schemas.openxmlformats.org/officeDocument/2006/relationships/hyperlink" Target="http://www.accessengsl.com/project/piling/piling-works-of-proposed-six-storied-cadet-officer-accommodation-building-for-general-sir-john-kothalawala-defense-university/" TargetMode="External"/><Relationship Id="rId75" Type="http://schemas.openxmlformats.org/officeDocument/2006/relationships/hyperlink" Target="http://www.accessengsl.com/project/dredgin-reclamation/thotagamuwa-molapu-estuary-de-silting-project/" TargetMode="External"/><Relationship Id="rId1" Type="http://schemas.openxmlformats.org/officeDocument/2006/relationships/hyperlink" Target="http://www.accessengsl.com/projects/roads-highways/" TargetMode="External"/><Relationship Id="rId6" Type="http://schemas.openxmlformats.org/officeDocument/2006/relationships/hyperlink" Target="http://www.accessengsl.com/projects/harbours-marine-work/" TargetMode="External"/><Relationship Id="rId15" Type="http://schemas.openxmlformats.org/officeDocument/2006/relationships/hyperlink" Target="http://www.accessengsl.com/project/bridges-flyovers/design-construction-of-polgahawela-flyover/" TargetMode="External"/><Relationship Id="rId23" Type="http://schemas.openxmlformats.org/officeDocument/2006/relationships/hyperlink" Target="http://www.accessengsl.com/project/harbours-marine-work/design-and-construction-of-jetty-at-kapprathota/" TargetMode="External"/><Relationship Id="rId28" Type="http://schemas.openxmlformats.org/officeDocument/2006/relationships/hyperlink" Target="http://www.accessengsl.com/project/buildings/construction-of-pre-fabricated-dormitories-for-workers-of-lak-vijaya-power-station-at-norochcholai-puttalam-stage-2/" TargetMode="External"/><Relationship Id="rId36" Type="http://schemas.openxmlformats.org/officeDocument/2006/relationships/hyperlink" Target="http://www.accessengsl.com/project/dredgin-reclamation/desilting-of-ceb-intake-in-rawan-oya-polgolla-dam-kandy/" TargetMode="External"/><Relationship Id="rId49" Type="http://schemas.openxmlformats.org/officeDocument/2006/relationships/hyperlink" Target="http://www.accessengsl.com/project/piling/piling-works-for-construction-of-proposed-divisional-secretariat-complex-at-ja-ela/" TargetMode="External"/><Relationship Id="rId57" Type="http://schemas.openxmlformats.org/officeDocument/2006/relationships/hyperlink" Target="http://www.accessengsl.com/project/piling/piling-works-for-relocation-development-of-the-institute-of-technology-university-of-moratuwa-itum-diyagama-homagama/" TargetMode="External"/><Relationship Id="rId10" Type="http://schemas.openxmlformats.org/officeDocument/2006/relationships/hyperlink" Target="http://www.accessengsl.com/projects/environment-waste-management/" TargetMode="External"/><Relationship Id="rId31" Type="http://schemas.openxmlformats.org/officeDocument/2006/relationships/hyperlink" Target="http://www.accessengsl.com/project/irrigation-land-drainage/rehabilitation-of-spillway-supplying-installation-of-new-radial-gates-and-automation-of-spill-sluice-gates-of-iranamadu-reservoir/" TargetMode="External"/><Relationship Id="rId44" Type="http://schemas.openxmlformats.org/officeDocument/2006/relationships/hyperlink" Target="http://www.accessengsl.com/project/piling/itc-colombo-one-development-construction-of-diaphragm-wall-anchoring-and-excavation-for-the-basement-car-parks/" TargetMode="External"/><Relationship Id="rId52" Type="http://schemas.openxmlformats.org/officeDocument/2006/relationships/hyperlink" Target="http://www.accessengsl.com/project/piling/piling-works-for-construction-of-proposed-divisional-secretariat-complex-at-wattala/" TargetMode="External"/><Relationship Id="rId60" Type="http://schemas.openxmlformats.org/officeDocument/2006/relationships/hyperlink" Target="http://www.accessengsl.com/project/piling/piling-works-for-damro-showroom-building-at-moratuwa/" TargetMode="External"/><Relationship Id="rId65" Type="http://schemas.openxmlformats.org/officeDocument/2006/relationships/hyperlink" Target="http://www.accessengsl.com/project/piling/civil-piling-work-for-proposed-modifying-cement-unloading-transport-system-for-ultratech-cement/" TargetMode="External"/><Relationship Id="rId73" Type="http://schemas.openxmlformats.org/officeDocument/2006/relationships/hyperlink" Target="http://www.accessengsl.com/project/piling/piling-works-for-proposed-urban-homes-at-koswatta/" TargetMode="External"/><Relationship Id="rId78" Type="http://schemas.openxmlformats.org/officeDocument/2006/relationships/printerSettings" Target="../printerSettings/printerSettings19.bin"/><Relationship Id="rId4" Type="http://schemas.openxmlformats.org/officeDocument/2006/relationships/hyperlink" Target="http://www.accessengsl.com/projects/buildings/" TargetMode="External"/><Relationship Id="rId9" Type="http://schemas.openxmlformats.org/officeDocument/2006/relationships/hyperlink" Target="http://www.accessengsl.com/projects/dredgin-reclamation/" TargetMode="External"/><Relationship Id="rId13" Type="http://schemas.openxmlformats.org/officeDocument/2006/relationships/hyperlink" Target="http://www.accessengsl.com/project/roads-highways/rehabilitation-improvement-to-a029-vavuniya-horowpathana-road-from-5000-km-to-16000-km-under-adb-funded-northern-road-connectivity-project/" TargetMode="External"/><Relationship Id="rId18" Type="http://schemas.openxmlformats.org/officeDocument/2006/relationships/hyperlink" Target="http://www.accessengsl.com/project/water-waste-water/town-east-of-colombo-district-water-supply-project-package-i-supply-laying-of-hdpedi-pipes-for-distribution-network-in-padukka-seethawaka-ds-area/" TargetMode="External"/><Relationship Id="rId39" Type="http://schemas.openxmlformats.org/officeDocument/2006/relationships/hyperlink" Target="http://www.accessengsl.com/project/environment-waste-management/construction-of-civil-works-and-installation-of-incinerator/" TargetMode="External"/><Relationship Id="rId34" Type="http://schemas.openxmlformats.org/officeDocument/2006/relationships/hyperlink" Target="http://www.accessengsl.com/project/irrigation-land-drainage/construction-of-close-conduits-on-53-65m-length-4-nos-of-overcrossings-in-right-bank-transbasin-canal-under-deduruoya-reservior-project/" TargetMode="External"/><Relationship Id="rId50" Type="http://schemas.openxmlformats.org/officeDocument/2006/relationships/hyperlink" Target="http://www.accessengsl.com/project/piling/piling-works-for-proposed-apartment-building-complex-at-no-08-jayasinghe-road-colombo-05/" TargetMode="External"/><Relationship Id="rId55" Type="http://schemas.openxmlformats.org/officeDocument/2006/relationships/hyperlink" Target="http://www.accessengsl.com/project/piling/supply-installation-testing-of-piling-works-badulla-haliela-ella-integrated-water-supply-project/" TargetMode="External"/><Relationship Id="rId76" Type="http://schemas.openxmlformats.org/officeDocument/2006/relationships/hyperlink" Target="http://www.accessengsl.com/project/irrigation-land-drainage/construction-of-weerayadi-anicut/" TargetMode="External"/><Relationship Id="rId7" Type="http://schemas.openxmlformats.org/officeDocument/2006/relationships/hyperlink" Target="http://www.accessengsl.com/projects/aviation/" TargetMode="External"/><Relationship Id="rId71" Type="http://schemas.openxmlformats.org/officeDocument/2006/relationships/hyperlink" Target="http://www.accessengsl.com/project/piling/piling-works-for-raththanapitiya-bridge-stage-i-ii/" TargetMode="External"/><Relationship Id="rId2" Type="http://schemas.openxmlformats.org/officeDocument/2006/relationships/hyperlink" Target="http://www.accessengsl.com/projects/bridges-flyovers/" TargetMode="External"/><Relationship Id="rId29" Type="http://schemas.openxmlformats.org/officeDocument/2006/relationships/hyperlink" Target="http://www.accessengsl.com/project/piling/piling-work-for-proposed-senior-officers-married-quarters-in-welisara-naval-base/" TargetMode="Externa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K24"/>
  <sheetViews>
    <sheetView showGridLines="0" tabSelected="1" workbookViewId="0">
      <selection sqref="A1:A2"/>
    </sheetView>
  </sheetViews>
  <sheetFormatPr defaultRowHeight="14.4"/>
  <cols>
    <col min="1" max="1" width="30.44140625" customWidth="1"/>
    <col min="2" max="11" width="10.6640625" customWidth="1"/>
  </cols>
  <sheetData>
    <row r="1" spans="1:11">
      <c r="A1" s="681" t="s">
        <v>397</v>
      </c>
      <c r="B1" s="3"/>
      <c r="C1" s="3"/>
      <c r="D1" s="3"/>
      <c r="E1" s="3"/>
      <c r="F1" s="3"/>
      <c r="G1" s="3"/>
      <c r="H1" s="3"/>
      <c r="I1" s="3"/>
      <c r="J1" s="3"/>
      <c r="K1" s="3"/>
    </row>
    <row r="2" spans="1:11">
      <c r="A2" s="681"/>
      <c r="B2" s="3"/>
      <c r="C2" s="3"/>
      <c r="D2" s="3"/>
      <c r="E2" s="3"/>
      <c r="F2" s="3"/>
      <c r="G2" s="3"/>
      <c r="H2" s="3"/>
      <c r="I2" s="3"/>
      <c r="J2" s="3"/>
      <c r="K2" s="3"/>
    </row>
    <row r="3" spans="1:11">
      <c r="A3" s="3" t="s">
        <v>351</v>
      </c>
      <c r="B3" s="3"/>
      <c r="C3" s="3"/>
      <c r="D3" s="3"/>
      <c r="E3" s="3"/>
      <c r="F3" s="3"/>
      <c r="G3" s="3"/>
      <c r="H3" s="3"/>
      <c r="I3" s="3"/>
      <c r="J3" s="3"/>
      <c r="K3" s="3"/>
    </row>
    <row r="22" spans="1:11">
      <c r="A22" s="3"/>
      <c r="B22" s="3"/>
      <c r="C22" s="3"/>
      <c r="D22" s="3"/>
      <c r="E22" s="3"/>
      <c r="F22" s="3"/>
      <c r="G22" s="3"/>
      <c r="H22" s="3"/>
      <c r="I22" s="3"/>
      <c r="J22" s="3"/>
      <c r="K22" s="3"/>
    </row>
    <row r="23" spans="1:11">
      <c r="A23" s="3" t="s">
        <v>398</v>
      </c>
      <c r="B23" s="3"/>
      <c r="C23" s="3"/>
      <c r="D23" s="3"/>
      <c r="E23" s="3"/>
      <c r="F23" s="3"/>
      <c r="G23" s="3"/>
      <c r="H23" s="3"/>
      <c r="I23" s="3"/>
      <c r="J23" s="3"/>
      <c r="K23" s="3"/>
    </row>
    <row r="24" spans="1:11">
      <c r="A24" s="3" t="s">
        <v>3963</v>
      </c>
      <c r="B24" s="3"/>
      <c r="C24" s="3"/>
      <c r="D24" s="3"/>
      <c r="E24" s="3"/>
      <c r="F24" s="3"/>
      <c r="G24" s="3"/>
      <c r="H24" s="3"/>
      <c r="I24" s="3"/>
      <c r="J24" s="3"/>
      <c r="K24" s="3"/>
    </row>
  </sheetData>
  <mergeCells count="1">
    <mergeCell ref="A1:A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3" r:id="rId4" name="Button 3">
              <controlPr defaultSize="0" print="0" autoFill="0" autoPict="0" macro="[0]!Button3_Click" altText="Summary">
                <anchor moveWithCells="1">
                  <from>
                    <xdr:col>4</xdr:col>
                    <xdr:colOff>693420</xdr:colOff>
                    <xdr:row>4</xdr:row>
                    <xdr:rowOff>76200</xdr:rowOff>
                  </from>
                  <to>
                    <xdr:col>6</xdr:col>
                    <xdr:colOff>708660</xdr:colOff>
                    <xdr:row>6</xdr:row>
                    <xdr:rowOff>60960</xdr:rowOff>
                  </to>
                </anchor>
              </controlPr>
            </control>
          </mc:Choice>
        </mc:AlternateContent>
        <mc:AlternateContent xmlns:mc="http://schemas.openxmlformats.org/markup-compatibility/2006">
          <mc:Choice Requires="x14">
            <control shapeId="30724" r:id="rId5" name="Button 4">
              <controlPr defaultSize="0" print="0" autoFill="0" autoPict="0" macro="[0]!Button4_Click">
                <anchor moveWithCells="1">
                  <from>
                    <xdr:col>4</xdr:col>
                    <xdr:colOff>716280</xdr:colOff>
                    <xdr:row>7</xdr:row>
                    <xdr:rowOff>114300</xdr:rowOff>
                  </from>
                  <to>
                    <xdr:col>7</xdr:col>
                    <xdr:colOff>7620</xdr:colOff>
                    <xdr:row>9</xdr:row>
                    <xdr:rowOff>99060</xdr:rowOff>
                  </to>
                </anchor>
              </controlPr>
            </control>
          </mc:Choice>
        </mc:AlternateContent>
        <mc:AlternateContent xmlns:mc="http://schemas.openxmlformats.org/markup-compatibility/2006">
          <mc:Choice Requires="x14">
            <control shapeId="30725" r:id="rId6" name="Button 5">
              <controlPr defaultSize="0" print="0" autoFill="0" autoPict="0" macro="[0]!Button5_Click">
                <anchor moveWithCells="1" sizeWithCells="1">
                  <from>
                    <xdr:col>5</xdr:col>
                    <xdr:colOff>7620</xdr:colOff>
                    <xdr:row>10</xdr:row>
                    <xdr:rowOff>175260</xdr:rowOff>
                  </from>
                  <to>
                    <xdr:col>7</xdr:col>
                    <xdr:colOff>22860</xdr:colOff>
                    <xdr:row>12</xdr:row>
                    <xdr:rowOff>152400</xdr:rowOff>
                  </to>
                </anchor>
              </controlPr>
            </control>
          </mc:Choice>
        </mc:AlternateContent>
        <mc:AlternateContent xmlns:mc="http://schemas.openxmlformats.org/markup-compatibility/2006">
          <mc:Choice Requires="x14">
            <control shapeId="30726" r:id="rId7" name="Button 6">
              <controlPr defaultSize="0" print="0" autoFill="0" autoPict="0" macro="[0]!Button6_Click">
                <anchor moveWithCells="1">
                  <from>
                    <xdr:col>5</xdr:col>
                    <xdr:colOff>7620</xdr:colOff>
                    <xdr:row>14</xdr:row>
                    <xdr:rowOff>7620</xdr:rowOff>
                  </from>
                  <to>
                    <xdr:col>7</xdr:col>
                    <xdr:colOff>22860</xdr:colOff>
                    <xdr:row>15</xdr:row>
                    <xdr:rowOff>182880</xdr:rowOff>
                  </to>
                </anchor>
              </controlPr>
            </control>
          </mc:Choice>
        </mc:AlternateContent>
        <mc:AlternateContent xmlns:mc="http://schemas.openxmlformats.org/markup-compatibility/2006">
          <mc:Choice Requires="x14">
            <control shapeId="30727" r:id="rId8" name="Button 7">
              <controlPr defaultSize="0" print="0" autoFill="0" autoPict="0" macro="[0]!Button7_Click">
                <anchor moveWithCells="1">
                  <from>
                    <xdr:col>5</xdr:col>
                    <xdr:colOff>7620</xdr:colOff>
                    <xdr:row>17</xdr:row>
                    <xdr:rowOff>45720</xdr:rowOff>
                  </from>
                  <to>
                    <xdr:col>7</xdr:col>
                    <xdr:colOff>22860</xdr:colOff>
                    <xdr:row>19</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N58"/>
  <sheetViews>
    <sheetView showGridLines="0" workbookViewId="0">
      <pane xSplit="1" ySplit="3" topLeftCell="B4" activePane="bottomRight" state="frozen"/>
      <selection pane="topRight" activeCell="B1" sqref="B1"/>
      <selection pane="bottomLeft" activeCell="A4" sqref="A4"/>
      <selection pane="bottomRight" activeCell="B4" sqref="B4"/>
    </sheetView>
  </sheetViews>
  <sheetFormatPr defaultRowHeight="14.4"/>
  <cols>
    <col min="1" max="1" width="30.44140625" customWidth="1"/>
    <col min="2" max="14" width="10.6640625" customWidth="1"/>
  </cols>
  <sheetData>
    <row r="1" spans="1:14">
      <c r="A1" s="3" t="s">
        <v>0</v>
      </c>
      <c r="B1" s="2"/>
      <c r="C1" s="2"/>
      <c r="D1" s="2"/>
      <c r="E1" s="2"/>
      <c r="F1" s="2"/>
      <c r="G1" s="2"/>
      <c r="H1" s="2"/>
      <c r="I1" s="2"/>
      <c r="J1" s="2"/>
      <c r="K1" s="2"/>
      <c r="L1" s="2"/>
      <c r="M1" s="2"/>
      <c r="N1" s="2"/>
    </row>
    <row r="2" spans="1:14" s="1" customFormat="1" ht="15.75" customHeight="1">
      <c r="A2" s="3" t="s">
        <v>386</v>
      </c>
      <c r="B2" s="6"/>
      <c r="C2" s="6"/>
      <c r="D2" s="6"/>
      <c r="E2" s="6"/>
      <c r="F2" s="6"/>
      <c r="G2" s="6"/>
      <c r="H2" s="6"/>
      <c r="I2" s="6"/>
      <c r="J2" s="6"/>
      <c r="K2" s="6"/>
      <c r="L2" s="6"/>
      <c r="M2" s="6"/>
      <c r="N2" s="6"/>
    </row>
    <row r="3" spans="1:14" s="1" customFormat="1" ht="15.75" customHeight="1">
      <c r="A3" s="3" t="s">
        <v>371</v>
      </c>
      <c r="B3" s="6" t="str">
        <f>'IS &amp; BS'!B3</f>
        <v>FY11</v>
      </c>
      <c r="C3" s="6" t="str">
        <f>'IS &amp; BS'!C3</f>
        <v>FY12</v>
      </c>
      <c r="D3" s="6" t="str">
        <f>'IS &amp; BS'!D3</f>
        <v>FY13</v>
      </c>
      <c r="E3" s="6" t="str">
        <f>'IS &amp; BS'!E3</f>
        <v>FY14</v>
      </c>
      <c r="F3" s="6" t="str">
        <f>'IS &amp; BS'!F3</f>
        <v>FY15</v>
      </c>
      <c r="G3" s="6" t="str">
        <f>'IS &amp; BS'!G3</f>
        <v>FY16</v>
      </c>
      <c r="H3" s="6" t="str">
        <f>'IS &amp; BS'!H3</f>
        <v>FY17</v>
      </c>
      <c r="I3" s="6" t="str">
        <f>'IS &amp; BS'!I3</f>
        <v>FY18E</v>
      </c>
      <c r="J3" s="6" t="str">
        <f>'IS &amp; BS'!J3</f>
        <v>FY19E</v>
      </c>
      <c r="K3" s="6" t="str">
        <f>'IS &amp; BS'!K3</f>
        <v>FY20E</v>
      </c>
      <c r="L3" s="6" t="str">
        <f>'IS &amp; BS'!L3</f>
        <v>FY21E</v>
      </c>
      <c r="M3" s="6" t="str">
        <f>'IS &amp; BS'!M3</f>
        <v>FY22E</v>
      </c>
      <c r="N3" s="6" t="str">
        <f>'IS &amp; BS'!N3</f>
        <v>FY23E</v>
      </c>
    </row>
    <row r="4" spans="1:14" s="1" customFormat="1" ht="15.75" customHeight="1">
      <c r="A4" s="3" t="s">
        <v>3</v>
      </c>
      <c r="B4" s="6"/>
      <c r="C4" s="6"/>
      <c r="D4" s="6"/>
      <c r="E4" s="6"/>
      <c r="F4" s="6"/>
      <c r="G4" s="6"/>
      <c r="H4" s="6"/>
      <c r="I4" s="6"/>
      <c r="J4" s="6"/>
      <c r="K4" s="6"/>
      <c r="L4" s="6"/>
      <c r="M4" s="6"/>
      <c r="N4" s="6"/>
    </row>
    <row r="5" spans="1:14">
      <c r="A5" t="s">
        <v>1</v>
      </c>
      <c r="B5" s="99">
        <f>'IS &amp; BS'!B4</f>
        <v>9569.7711149999996</v>
      </c>
      <c r="C5" s="99">
        <f>'IS &amp; BS'!C4</f>
        <v>10306.180165</v>
      </c>
      <c r="D5" s="99">
        <f>'IS &amp; BS'!D4</f>
        <v>11326.520709</v>
      </c>
      <c r="E5" s="99">
        <f>'IS &amp; BS'!E4</f>
        <v>11446.861999999999</v>
      </c>
      <c r="F5" s="99">
        <f>'IS &amp; BS'!F4</f>
        <v>14427.236000000001</v>
      </c>
      <c r="G5" s="99">
        <f>'IS &amp; BS'!G4</f>
        <v>12811.224</v>
      </c>
      <c r="H5" s="99">
        <f>'IS &amp; BS'!H4</f>
        <v>14669.734999999999</v>
      </c>
      <c r="I5" s="107">
        <f>'IS &amp; BS'!I4</f>
        <v>20978.830515386398</v>
      </c>
      <c r="J5" s="107">
        <f>'IS &amp; BS'!J4</f>
        <v>26472.353120886062</v>
      </c>
      <c r="K5" s="107">
        <f>'IS &amp; BS'!K4</f>
        <v>30050.591938632362</v>
      </c>
      <c r="L5" s="107">
        <f>'IS &amp; BS'!L4</f>
        <v>34404.069105118462</v>
      </c>
      <c r="M5" s="107">
        <f>'IS &amp; BS'!M4</f>
        <v>36058.231947051921</v>
      </c>
      <c r="N5" s="107">
        <f>'IS &amp; BS'!N4</f>
        <v>39848.460074464616</v>
      </c>
    </row>
    <row r="6" spans="1:14">
      <c r="A6" t="s">
        <v>383</v>
      </c>
      <c r="B6" s="99">
        <f>'IS &amp; BS'!B6</f>
        <v>1288.9619779999994</v>
      </c>
      <c r="C6" s="99">
        <f>'IS &amp; BS'!C6</f>
        <v>1711.3548919999994</v>
      </c>
      <c r="D6" s="99">
        <f>'IS &amp; BS'!D6</f>
        <v>1864.3530570000003</v>
      </c>
      <c r="E6" s="99">
        <f>'IS &amp; BS'!E6</f>
        <v>1923.9379999999983</v>
      </c>
      <c r="F6" s="99">
        <f>'IS &amp; BS'!F6</f>
        <v>2549.768</v>
      </c>
      <c r="G6" s="99">
        <f>'IS &amp; BS'!G6</f>
        <v>3057.1139999999996</v>
      </c>
      <c r="H6" s="99">
        <f>'IS &amp; BS'!H6</f>
        <v>3242.619999999999</v>
      </c>
      <c r="I6" s="107">
        <f>'IS &amp; BS'!I6</f>
        <v>3291.5520521099315</v>
      </c>
      <c r="J6" s="107">
        <f>'IS &amp; BS'!J6</f>
        <v>4544.1300460060556</v>
      </c>
      <c r="K6" s="107">
        <f>'IS &amp; BS'!K6</f>
        <v>5275.1152127208516</v>
      </c>
      <c r="L6" s="107">
        <f>'IS &amp; BS'!L6</f>
        <v>6722.1378821811631</v>
      </c>
      <c r="M6" s="107">
        <f>'IS &amp; BS'!M6</f>
        <v>6814.3746956801042</v>
      </c>
      <c r="N6" s="107">
        <f>'IS &amp; BS'!N6</f>
        <v>6392.3314168143697</v>
      </c>
    </row>
    <row r="7" spans="1:14" s="48" customFormat="1">
      <c r="A7" s="49" t="s">
        <v>387</v>
      </c>
      <c r="B7" s="52">
        <f>B6/B5</f>
        <v>0.13469099339059787</v>
      </c>
      <c r="C7" s="161">
        <f t="shared" ref="C7:K7" si="0">C6/C5</f>
        <v>0.16605132693214464</v>
      </c>
      <c r="D7" s="161">
        <f t="shared" si="0"/>
        <v>0.16460068408461867</v>
      </c>
      <c r="E7" s="161">
        <f t="shared" si="0"/>
        <v>0.16807558263566019</v>
      </c>
      <c r="F7" s="161">
        <f t="shared" si="0"/>
        <v>0.1767329514814896</v>
      </c>
      <c r="G7" s="161">
        <f t="shared" si="0"/>
        <v>0.23862778451145647</v>
      </c>
      <c r="H7" s="161">
        <f t="shared" si="0"/>
        <v>0.22104148438945892</v>
      </c>
      <c r="I7" s="634">
        <f t="shared" si="0"/>
        <v>0.15689873893093445</v>
      </c>
      <c r="J7" s="634">
        <f t="shared" si="0"/>
        <v>0.17165569019328486</v>
      </c>
      <c r="K7" s="634">
        <f t="shared" si="0"/>
        <v>0.17554114153536132</v>
      </c>
      <c r="L7" s="634">
        <f t="shared" ref="L7:N7" si="1">L6/L5</f>
        <v>0.19538787291823798</v>
      </c>
      <c r="M7" s="634">
        <f t="shared" si="1"/>
        <v>0.18898249658181701</v>
      </c>
      <c r="N7" s="634">
        <f t="shared" si="1"/>
        <v>0.16041602121811113</v>
      </c>
    </row>
    <row r="8" spans="1:14">
      <c r="A8" t="s">
        <v>384</v>
      </c>
      <c r="B8" s="99">
        <f>('IS &amp; BS'!B8+'IS &amp; BS'!B9)</f>
        <v>-662.92063600000006</v>
      </c>
      <c r="C8" s="99">
        <f>('IS &amp; BS'!C8+'IS &amp; BS'!C9)</f>
        <v>-705.16403799999989</v>
      </c>
      <c r="D8" s="99">
        <f>('IS &amp; BS'!D8+'IS &amp; BS'!D9)</f>
        <v>-790.52376299999992</v>
      </c>
      <c r="E8" s="99">
        <f>('IS &amp; BS'!E8+'IS &amp; BS'!E9)</f>
        <v>-979.42900000000009</v>
      </c>
      <c r="F8" s="99">
        <f>('IS &amp; BS'!F8+'IS &amp; BS'!F9)</f>
        <v>-1145.8609999999999</v>
      </c>
      <c r="G8" s="99">
        <f>('IS &amp; BS'!G8+'IS &amp; BS'!G9)</f>
        <v>-1209.5419999999999</v>
      </c>
      <c r="H8" s="99">
        <f>('IS &amp; BS'!H8+'IS &amp; BS'!H9)</f>
        <v>-1286.182</v>
      </c>
      <c r="I8" s="107">
        <f>('IS &amp; BS'!I8+'IS &amp; BS'!I9)</f>
        <v>-1671.8236630119275</v>
      </c>
      <c r="J8" s="107">
        <f>('IS &amp; BS'!J8+'IS &amp; BS'!J9)</f>
        <v>-2019.152346322941</v>
      </c>
      <c r="K8" s="107">
        <f>('IS &amp; BS'!K8+'IS &amp; BS'!K9)</f>
        <v>-2267.6926774807202</v>
      </c>
      <c r="L8" s="107">
        <f>('IS &amp; BS'!L8+'IS &amp; BS'!L9)</f>
        <v>-2575.7937466138487</v>
      </c>
      <c r="M8" s="107">
        <f>('IS &amp; BS'!M8+'IS &amp; BS'!M9)</f>
        <v>-2748.6133595412384</v>
      </c>
      <c r="N8" s="107">
        <f>('IS &amp; BS'!N8+'IS &amp; BS'!N9)</f>
        <v>-3071.3439171958075</v>
      </c>
    </row>
    <row r="9" spans="1:14">
      <c r="A9" t="s">
        <v>385</v>
      </c>
      <c r="B9" s="99">
        <f>'IS &amp; BS'!B15</f>
        <v>286.74021299999936</v>
      </c>
      <c r="C9" s="99">
        <f>'IS &amp; BS'!C15</f>
        <v>565.45299699999964</v>
      </c>
      <c r="D9" s="99">
        <f>'IS &amp; BS'!D15</f>
        <v>590.48385600000006</v>
      </c>
      <c r="E9" s="99">
        <f>'IS &amp; BS'!E15</f>
        <v>511.21299999999815</v>
      </c>
      <c r="F9" s="99">
        <f>'IS &amp; BS'!F15</f>
        <v>954.08699999999976</v>
      </c>
      <c r="G9" s="99">
        <f>'IS &amp; BS'!G15</f>
        <v>1269.2279999999992</v>
      </c>
      <c r="H9" s="99">
        <f>'IS &amp; BS'!H15</f>
        <v>1255.4369999999985</v>
      </c>
      <c r="I9" s="107">
        <f>'IS &amp; BS'!I15</f>
        <v>853.3132804160274</v>
      </c>
      <c r="J9" s="107">
        <f>'IS &amp; BS'!J15</f>
        <v>1461.9821670785298</v>
      </c>
      <c r="K9" s="107">
        <f>'IS &amp; BS'!K15</f>
        <v>1768.8634984120808</v>
      </c>
      <c r="L9" s="107">
        <f>'IS &amp; BS'!L15</f>
        <v>2554.3877662453237</v>
      </c>
      <c r="M9" s="107">
        <f>'IS &amp; BS'!M15</f>
        <v>2494.446184612505</v>
      </c>
      <c r="N9" s="107">
        <f>'IS &amp; BS'!N15</f>
        <v>1961.9945085050381</v>
      </c>
    </row>
    <row r="10" spans="1:14" s="48" customFormat="1">
      <c r="A10" s="49" t="s">
        <v>372</v>
      </c>
      <c r="B10" s="635">
        <f>B9/B5</f>
        <v>2.9963121328006742E-2</v>
      </c>
      <c r="C10" s="635">
        <f t="shared" ref="C10:K10" si="2">C9/C5</f>
        <v>5.4865429086936562E-2</v>
      </c>
      <c r="D10" s="635">
        <f t="shared" si="2"/>
        <v>5.2132854489976288E-2</v>
      </c>
      <c r="E10" s="635">
        <f t="shared" si="2"/>
        <v>4.4659663058749043E-2</v>
      </c>
      <c r="F10" s="635">
        <f t="shared" si="2"/>
        <v>6.6130962299362106E-2</v>
      </c>
      <c r="G10" s="635">
        <f t="shared" si="2"/>
        <v>9.9071564122210271E-2</v>
      </c>
      <c r="H10" s="635">
        <f t="shared" si="2"/>
        <v>8.5580073532343884E-2</v>
      </c>
      <c r="I10" s="634">
        <f t="shared" si="2"/>
        <v>4.0674968978379709E-2</v>
      </c>
      <c r="J10" s="634">
        <f t="shared" si="2"/>
        <v>5.5226755264346346E-2</v>
      </c>
      <c r="K10" s="634">
        <f t="shared" si="2"/>
        <v>5.8862850423191497E-2</v>
      </c>
      <c r="L10" s="634">
        <f t="shared" ref="L10:N10" si="3">L9/L5</f>
        <v>7.4246675834786502E-2</v>
      </c>
      <c r="M10" s="634">
        <f t="shared" si="3"/>
        <v>6.9178272198020183E-2</v>
      </c>
      <c r="N10" s="634">
        <f t="shared" si="3"/>
        <v>4.923639470229637E-2</v>
      </c>
    </row>
    <row r="11" spans="1:14">
      <c r="A11" t="s">
        <v>393</v>
      </c>
      <c r="B11" s="7">
        <f>'IS &amp; BS'!B20</f>
        <v>1.9413303957946759</v>
      </c>
      <c r="C11" s="7">
        <f>'IS &amp; BS'!C20</f>
        <v>4.0851622491721971</v>
      </c>
      <c r="D11" s="7">
        <f>'IS &amp; BS'!D20</f>
        <v>4.4632818270642245</v>
      </c>
      <c r="E11" s="7">
        <f>'IS &amp; BS'!E20</f>
        <v>3.6856559824007986</v>
      </c>
      <c r="F11" s="7">
        <f>'IS &amp; BS'!F20</f>
        <v>7.1758155451459968</v>
      </c>
      <c r="G11" s="7">
        <f>'IS &amp; BS'!G20</f>
        <v>9.1296110040324709</v>
      </c>
      <c r="H11" s="7">
        <f>'IS &amp; BS'!H20</f>
        <v>9.3319695834351677</v>
      </c>
      <c r="I11" s="93">
        <f>'IS &amp; BS'!I20</f>
        <v>6.3399745980733222</v>
      </c>
      <c r="J11" s="93">
        <f>'IS &amp; BS'!J20</f>
        <v>10.86228237019241</v>
      </c>
      <c r="K11" s="93">
        <f>'IS &amp; BS'!K20</f>
        <v>13.142359207071195</v>
      </c>
      <c r="L11" s="93">
        <f>'IS &amp; BS'!L20</f>
        <v>18.97867280786836</v>
      </c>
      <c r="M11" s="93">
        <f>'IS &amp; BS'!M20</f>
        <v>18.533316906768206</v>
      </c>
      <c r="N11" s="93">
        <f>'IS &amp; BS'!N20</f>
        <v>14.577290229699392</v>
      </c>
    </row>
    <row r="12" spans="1:14">
      <c r="A12" t="s">
        <v>394</v>
      </c>
      <c r="B12" s="7">
        <f>'IS &amp; BS'!B21</f>
        <v>0</v>
      </c>
      <c r="C12" s="7">
        <f>'IS &amp; BS'!C21</f>
        <v>0.35</v>
      </c>
      <c r="D12" s="7">
        <f>'IS &amp; BS'!D21</f>
        <v>0.50000267140038812</v>
      </c>
      <c r="E12" s="7">
        <f>'IS &amp; BS'!E21</f>
        <v>0.50000267140038812</v>
      </c>
      <c r="F12" s="7">
        <f>'IS &amp; BS'!F21</f>
        <v>0.50000267140038812</v>
      </c>
      <c r="G12" s="7">
        <f>'IS &amp; BS'!G21</f>
        <v>1</v>
      </c>
      <c r="H12" s="7">
        <f>'IS &amp; BS'!H21</f>
        <v>1.5</v>
      </c>
      <c r="I12" s="93">
        <f>'IS &amp; BS'!I21</f>
        <v>0.95099618971099831</v>
      </c>
      <c r="J12" s="93">
        <f>'IS &amp; BS'!J21</f>
        <v>1.6293423555288615</v>
      </c>
      <c r="K12" s="93">
        <f>'IS &amp; BS'!K21</f>
        <v>1.9713538810606792</v>
      </c>
      <c r="L12" s="93">
        <f>'IS &amp; BS'!L21</f>
        <v>2.8468009211802543</v>
      </c>
      <c r="M12" s="93">
        <f>'IS &amp; BS'!M21</f>
        <v>2.7799975360152307</v>
      </c>
      <c r="N12" s="93">
        <f>'IS &amp; BS'!N21</f>
        <v>2.186593534454909</v>
      </c>
    </row>
    <row r="14" spans="1:14" s="1" customFormat="1" ht="15.75" customHeight="1">
      <c r="A14" s="3" t="s">
        <v>19</v>
      </c>
      <c r="B14" s="6"/>
      <c r="C14" s="6"/>
      <c r="D14" s="6"/>
      <c r="E14" s="6"/>
      <c r="F14" s="6"/>
      <c r="G14" s="6"/>
      <c r="H14" s="6"/>
      <c r="I14" s="6"/>
      <c r="J14" s="6"/>
      <c r="K14" s="6"/>
      <c r="L14" s="6"/>
      <c r="M14" s="6"/>
      <c r="N14" s="6"/>
    </row>
    <row r="15" spans="1:14">
      <c r="A15" t="s">
        <v>73</v>
      </c>
      <c r="B15" s="99">
        <f>'IS &amp; BS'!B31</f>
        <v>1943.59412</v>
      </c>
      <c r="C15" s="99">
        <f>'IS &amp; BS'!C31</f>
        <v>3019.097025</v>
      </c>
      <c r="D15" s="99">
        <f>'IS &amp; BS'!D31</f>
        <v>3104.4852980000001</v>
      </c>
      <c r="E15" s="99">
        <f>'IS &amp; BS'!E31</f>
        <v>2949.2159999999999</v>
      </c>
      <c r="F15" s="99">
        <f>'IS &amp; BS'!F31</f>
        <v>3535.21</v>
      </c>
      <c r="G15" s="99">
        <f>'IS &amp; BS'!G31</f>
        <v>3466.4969999999998</v>
      </c>
      <c r="H15" s="99">
        <f>'IS &amp; BS'!H31</f>
        <v>3347.7089999999998</v>
      </c>
      <c r="I15" s="107">
        <f>'IS &amp; BS'!I31</f>
        <v>3263.4209033956149</v>
      </c>
      <c r="J15" s="107">
        <f>'IS &amp; BS'!J31</f>
        <v>3182.0739591277807</v>
      </c>
      <c r="K15" s="107">
        <f>'IS &amp; BS'!K31</f>
        <v>3103.5655385049577</v>
      </c>
      <c r="L15" s="107">
        <f>'IS &amp; BS'!L31</f>
        <v>3027.7965939654246</v>
      </c>
      <c r="M15" s="107">
        <f>'IS &amp; BS'!M31</f>
        <v>2954.6715341171825</v>
      </c>
      <c r="N15" s="107">
        <f>'IS &amp; BS'!N31</f>
        <v>2884.0981031382285</v>
      </c>
    </row>
    <row r="16" spans="1:14">
      <c r="A16" t="s">
        <v>388</v>
      </c>
      <c r="B16" s="99">
        <f>'IS &amp; BS'!B39-'IS &amp; BS'!B31</f>
        <v>291.83391200000028</v>
      </c>
      <c r="C16" s="99">
        <f>'IS &amp; BS'!C39-'IS &amp; BS'!C31</f>
        <v>224.34275100000013</v>
      </c>
      <c r="D16" s="99">
        <f>'IS &amp; BS'!D39-'IS &amp; BS'!D31</f>
        <v>202.624413</v>
      </c>
      <c r="E16" s="99">
        <f>'IS &amp; BS'!E39-'IS &amp; BS'!E31</f>
        <v>408.38799999999992</v>
      </c>
      <c r="F16" s="99">
        <f>'IS &amp; BS'!F39-'IS &amp; BS'!F31</f>
        <v>1426.42</v>
      </c>
      <c r="G16" s="99">
        <f>'IS &amp; BS'!G39-'IS &amp; BS'!G31</f>
        <v>895.16000000000031</v>
      </c>
      <c r="H16" s="99">
        <f>'IS &amp; BS'!H39-'IS &amp; BS'!H31</f>
        <v>892.5029999999997</v>
      </c>
      <c r="I16" s="107">
        <f>'IS &amp; BS'!I39-'IS &amp; BS'!I31</f>
        <v>924.72027206873918</v>
      </c>
      <c r="J16" s="107">
        <f>'IS &amp; BS'!J39-'IS &amp; BS'!J31</f>
        <v>965.24344298643973</v>
      </c>
      <c r="K16" s="107">
        <f>'IS &amp; BS'!K39-'IS &amp; BS'!K31</f>
        <v>994.14640727126425</v>
      </c>
      <c r="L16" s="107">
        <f>'IS &amp; BS'!L39-'IS &amp; BS'!L31</f>
        <v>1033.96404670932</v>
      </c>
      <c r="M16" s="107">
        <f>'IS &amp; BS'!M39-'IS &amp; BS'!M31</f>
        <v>1072.1247648985714</v>
      </c>
      <c r="N16" s="107">
        <f>'IS &amp; BS'!N39-'IS &amp; BS'!N31</f>
        <v>1112.9734283347398</v>
      </c>
    </row>
    <row r="17" spans="1:14">
      <c r="A17" t="s">
        <v>389</v>
      </c>
      <c r="B17" s="99">
        <f>'IS &amp; BS'!B46</f>
        <v>6710.6775650000009</v>
      </c>
      <c r="C17" s="99">
        <f>'IS &amp; BS'!C46</f>
        <v>6324.3088800000005</v>
      </c>
      <c r="D17" s="99">
        <f>'IS &amp; BS'!D46</f>
        <v>7602.0557250000002</v>
      </c>
      <c r="E17" s="99">
        <f>'IS &amp; BS'!E46</f>
        <v>8690.8690000000006</v>
      </c>
      <c r="F17" s="99">
        <f>'IS &amp; BS'!F46</f>
        <v>11106.443000000001</v>
      </c>
      <c r="G17" s="99">
        <f>'IS &amp; BS'!G46</f>
        <v>11012.139000000001</v>
      </c>
      <c r="H17" s="99">
        <f>'IS &amp; BS'!H46</f>
        <v>12325.252000000002</v>
      </c>
      <c r="I17" s="107">
        <f>'IS &amp; BS'!I46</f>
        <v>15361.540192506327</v>
      </c>
      <c r="J17" s="107">
        <f>'IS &amp; BS'!J46</f>
        <v>18038.097169956294</v>
      </c>
      <c r="K17" s="107">
        <f>'IS &amp; BS'!K46</f>
        <v>20096.600604072999</v>
      </c>
      <c r="L17" s="107">
        <f>'IS &amp; BS'!L46</f>
        <v>23491.640718632396</v>
      </c>
      <c r="M17" s="107">
        <f>'IS &amp; BS'!M46</f>
        <v>26001.40773469974</v>
      </c>
      <c r="N17" s="107">
        <f>'IS &amp; BS'!N46</f>
        <v>28558.29529318172</v>
      </c>
    </row>
    <row r="18" spans="1:14" ht="15" thickBot="1">
      <c r="A18" s="13" t="s">
        <v>361</v>
      </c>
      <c r="B18" s="146">
        <f>'IS &amp; BS'!B47</f>
        <v>8946.1055970000016</v>
      </c>
      <c r="C18" s="146">
        <f>'IS &amp; BS'!C47</f>
        <v>9567.7486559999998</v>
      </c>
      <c r="D18" s="146">
        <f>'IS &amp; BS'!D47</f>
        <v>10909.165435999999</v>
      </c>
      <c r="E18" s="146">
        <f>'IS &amp; BS'!E47</f>
        <v>12048.473</v>
      </c>
      <c r="F18" s="146">
        <f>'IS &amp; BS'!F47</f>
        <v>16068.073</v>
      </c>
      <c r="G18" s="146">
        <f>'IS &amp; BS'!G47</f>
        <v>15373.796000000002</v>
      </c>
      <c r="H18" s="146">
        <f>'IS &amp; BS'!H47</f>
        <v>16565.464</v>
      </c>
      <c r="I18" s="147">
        <f>'IS &amp; BS'!I47</f>
        <v>19549.681367970683</v>
      </c>
      <c r="J18" s="147">
        <f>'IS &amp; BS'!J47</f>
        <v>22185.414572070513</v>
      </c>
      <c r="K18" s="147">
        <f>'IS &amp; BS'!K47</f>
        <v>24194.312549849223</v>
      </c>
      <c r="L18" s="147">
        <f>'IS &amp; BS'!L47</f>
        <v>27553.40135930714</v>
      </c>
      <c r="M18" s="147">
        <f>'IS &amp; BS'!M47</f>
        <v>30028.204033715494</v>
      </c>
      <c r="N18" s="147">
        <f>'IS &amp; BS'!N47</f>
        <v>32555.366824654688</v>
      </c>
    </row>
    <row r="19" spans="1:14" ht="15" thickTop="1">
      <c r="A19" t="s">
        <v>390</v>
      </c>
      <c r="B19" s="99">
        <f>'IS &amp; BS'!B58</f>
        <v>4517.058043</v>
      </c>
      <c r="C19" s="99">
        <f>'IS &amp; BS'!C58</f>
        <v>5877.9361719999997</v>
      </c>
      <c r="D19" s="99">
        <f>'IS &amp; BS'!D58</f>
        <v>6402.3208170000007</v>
      </c>
      <c r="E19" s="99">
        <f>'IS &amp; BS'!E58</f>
        <v>6844.8330000000005</v>
      </c>
      <c r="F19" s="99">
        <f>'IS &amp; BS'!F58</f>
        <v>8260.3959999999988</v>
      </c>
      <c r="G19" s="99">
        <f>'IS &amp; BS'!G58</f>
        <v>9471.5589999999993</v>
      </c>
      <c r="H19" s="99">
        <f>'IS &amp; BS'!H58</f>
        <v>10466.569</v>
      </c>
      <c r="I19" s="107">
        <f>'IS &amp; BS'!I58</f>
        <v>11205.964957480488</v>
      </c>
      <c r="J19" s="107">
        <f>'IS &amp; BS'!J58</f>
        <v>12472.772505254034</v>
      </c>
      <c r="K19" s="107">
        <f>'IS &amp; BS'!K58</f>
        <v>14005.492726628101</v>
      </c>
      <c r="L19" s="107">
        <f>'IS &amp; BS'!L58</f>
        <v>16218.869726079674</v>
      </c>
      <c r="M19" s="107">
        <f>'IS &amp; BS'!M58</f>
        <v>18380.307345046411</v>
      </c>
      <c r="N19" s="107">
        <f>'IS &amp; BS'!N58</f>
        <v>20080.375586666029</v>
      </c>
    </row>
    <row r="20" spans="1:14">
      <c r="A20" t="s">
        <v>391</v>
      </c>
      <c r="B20" s="99">
        <f>'IS &amp; BS'!B66</f>
        <v>501.607687</v>
      </c>
      <c r="C20" s="99">
        <f>'IS &amp; BS'!C66</f>
        <v>584.09979900000008</v>
      </c>
      <c r="D20" s="99">
        <f>'IS &amp; BS'!D66</f>
        <v>513.38263800000004</v>
      </c>
      <c r="E20" s="99">
        <f>'IS &amp; BS'!E66</f>
        <v>516.03399999999999</v>
      </c>
      <c r="F20" s="99">
        <f>'IS &amp; BS'!F66</f>
        <v>1786.0099999999998</v>
      </c>
      <c r="G20" s="99">
        <f>'IS &amp; BS'!G66</f>
        <v>1377.423</v>
      </c>
      <c r="H20" s="99">
        <f>'IS &amp; BS'!H66</f>
        <v>718.33400000000006</v>
      </c>
      <c r="I20" s="107">
        <f>'IS &amp; BS'!I66</f>
        <v>918.33400000000006</v>
      </c>
      <c r="J20" s="107">
        <f>'IS &amp; BS'!J66</f>
        <v>918.33400000000006</v>
      </c>
      <c r="K20" s="107">
        <f>'IS &amp; BS'!K66</f>
        <v>918.33400000000006</v>
      </c>
      <c r="L20" s="107">
        <f>'IS &amp; BS'!L66</f>
        <v>918.33400000000006</v>
      </c>
      <c r="M20" s="107">
        <f>'IS &amp; BS'!M66</f>
        <v>918.33400000000006</v>
      </c>
      <c r="N20" s="107">
        <f>'IS &amp; BS'!N66</f>
        <v>918.33400000000006</v>
      </c>
    </row>
    <row r="21" spans="1:14">
      <c r="A21" t="s">
        <v>392</v>
      </c>
      <c r="B21" s="99">
        <f>'IS &amp; BS'!B74</f>
        <v>3927.439867</v>
      </c>
      <c r="C21" s="99">
        <f>'IS &amp; BS'!C74</f>
        <v>3105.712685</v>
      </c>
      <c r="D21" s="99">
        <f>'IS &amp; BS'!D74</f>
        <v>3993.4619809999999</v>
      </c>
      <c r="E21" s="99">
        <f>'IS &amp; BS'!E74</f>
        <v>4687.6059999999998</v>
      </c>
      <c r="F21" s="99">
        <f>'IS &amp; BS'!F74</f>
        <v>6021.6670000000004</v>
      </c>
      <c r="G21" s="99">
        <f>'IS &amp; BS'!G74</f>
        <v>4524.8140000000003</v>
      </c>
      <c r="H21" s="99">
        <f>'IS &amp; BS'!H74</f>
        <v>5380.5609999999997</v>
      </c>
      <c r="I21" s="107">
        <f>'IS &amp; BS'!I74</f>
        <v>7425.3844504901954</v>
      </c>
      <c r="J21" s="107">
        <f>'IS &amp; BS'!J74</f>
        <v>8794.3101068164833</v>
      </c>
      <c r="K21" s="107">
        <f>'IS &amp; BS'!K74</f>
        <v>9270.4878632211221</v>
      </c>
      <c r="L21" s="107">
        <f>'IS &amp; BS'!L74</f>
        <v>10416.199673227469</v>
      </c>
      <c r="M21" s="107">
        <f>'IS &amp; BS'!M74</f>
        <v>10729.564728669089</v>
      </c>
      <c r="N21" s="107">
        <f>'IS &amp; BS'!N74</f>
        <v>11556.659277988665</v>
      </c>
    </row>
    <row r="22" spans="1:14" ht="15" thickBot="1">
      <c r="A22" s="13" t="s">
        <v>395</v>
      </c>
      <c r="B22" s="146">
        <f>'IS &amp; BS'!B76</f>
        <v>8946.1055969999998</v>
      </c>
      <c r="C22" s="146">
        <f>'IS &amp; BS'!C76</f>
        <v>9567.7486559999998</v>
      </c>
      <c r="D22" s="146">
        <f>'IS &amp; BS'!D76</f>
        <v>10909.165435999999</v>
      </c>
      <c r="E22" s="146">
        <f>'IS &amp; BS'!E76</f>
        <v>12048.473</v>
      </c>
      <c r="F22" s="146">
        <f>'IS &amp; BS'!F76</f>
        <v>16068.072999999999</v>
      </c>
      <c r="G22" s="146">
        <f>'IS &amp; BS'!G76</f>
        <v>15373.795999999998</v>
      </c>
      <c r="H22" s="146">
        <f>'IS &amp; BS'!H76</f>
        <v>16565.464</v>
      </c>
      <c r="I22" s="147">
        <f>'IS &amp; BS'!I76</f>
        <v>19549.683407970682</v>
      </c>
      <c r="J22" s="147">
        <f>'IS &amp; BS'!J76</f>
        <v>22185.416612070519</v>
      </c>
      <c r="K22" s="147">
        <f>'IS &amp; BS'!K76</f>
        <v>24194.314589849222</v>
      </c>
      <c r="L22" s="147">
        <f>'IS &amp; BS'!L76</f>
        <v>27553.403399307143</v>
      </c>
      <c r="M22" s="147">
        <f>'IS &amp; BS'!M76</f>
        <v>30028.206073715501</v>
      </c>
      <c r="N22" s="147">
        <f>'IS &amp; BS'!N76</f>
        <v>32555.368864654694</v>
      </c>
    </row>
    <row r="23" spans="1:14" ht="15" thickTop="1">
      <c r="A23" t="s">
        <v>346</v>
      </c>
      <c r="B23" s="7">
        <f>'IS &amp; BS'!B78</f>
        <v>33.473819224332182</v>
      </c>
      <c r="C23" s="7">
        <f>'IS &amp; BS'!C78</f>
        <v>43.769714542502648</v>
      </c>
      <c r="D23" s="7">
        <f>'IS &amp; BS'!D78</f>
        <v>47.737604652110207</v>
      </c>
      <c r="E23" s="7">
        <f>'IS &amp; BS'!E78</f>
        <v>50.921148942592943</v>
      </c>
      <c r="F23" s="7">
        <f>'IS &amp; BS'!F78</f>
        <v>61.692844720845329</v>
      </c>
      <c r="G23" s="7">
        <f>'IS &amp; BS'!G78</f>
        <v>70.502062988949746</v>
      </c>
      <c r="H23" s="7">
        <f>'IS &amp; BS'!H78</f>
        <v>77.898461073021394</v>
      </c>
      <c r="I23" s="93">
        <f>'IS &amp; BS'!I78</f>
        <v>83.287439481383714</v>
      </c>
      <c r="J23" s="93">
        <f>'IS &amp; BS'!J78</f>
        <v>92.520379496047255</v>
      </c>
      <c r="K23" s="93">
        <f>'IS &amp; BS'!K78</f>
        <v>103.69138482205777</v>
      </c>
      <c r="L23" s="93">
        <f>'IS &amp; BS'!L78</f>
        <v>119.82325670874589</v>
      </c>
      <c r="M23" s="93">
        <f>'IS &amp; BS'!M78</f>
        <v>135.57657607949886</v>
      </c>
      <c r="N23" s="93">
        <f>'IS &amp; BS'!N78</f>
        <v>147.96727277474335</v>
      </c>
    </row>
    <row r="24" spans="1:14">
      <c r="A24" t="s">
        <v>288</v>
      </c>
      <c r="C24" s="17">
        <f>'IS &amp; BS'!C17/(('IS &amp; BS'!C56+'IS &amp; BS'!B56)/2)</f>
        <v>0.1057735722320409</v>
      </c>
      <c r="D24" s="17">
        <f>'IS &amp; BS'!D17/(('IS &amp; BS'!D56+'IS &amp; BS'!C56)/2)</f>
        <v>9.7550269559792416E-2</v>
      </c>
      <c r="E24" s="17">
        <f>'IS &amp; BS'!E17/(('IS &amp; BS'!E56+'IS &amp; BS'!D56)/2)</f>
        <v>7.4715235052364895E-2</v>
      </c>
      <c r="F24" s="17">
        <f>'IS &amp; BS'!F17/(('IS &amp; BS'!F56+'IS &amp; BS'!E56)/2)</f>
        <v>0.12744092118057485</v>
      </c>
      <c r="G24" s="17">
        <f>'IS &amp; BS'!G17/(('IS &amp; BS'!G56+'IS &amp; BS'!F56)/2)</f>
        <v>0.13812348996187554</v>
      </c>
      <c r="H24" s="17">
        <f>'IS &amp; BS'!H17/(('IS &amp; BS'!H56+'IS &amp; BS'!G56)/2)</f>
        <v>0.1257673400066727</v>
      </c>
      <c r="I24" s="124">
        <f>'IS &amp; BS'!I17/(('IS &amp; BS'!I56+'IS &amp; BS'!H56)/2)</f>
        <v>7.8666615085646263E-2</v>
      </c>
      <c r="J24" s="124">
        <f>'IS &amp; BS'!J17/(('IS &amp; BS'!J56+'IS &amp; BS'!I56)/2)</f>
        <v>0.12356995762044959</v>
      </c>
      <c r="K24" s="124">
        <f>'IS &amp; BS'!K17/(('IS &amp; BS'!K56+'IS &amp; BS'!J56)/2)</f>
        <v>0.13396097071696847</v>
      </c>
      <c r="L24" s="124">
        <f>'IS &amp; BS'!L17/(('IS &amp; BS'!L56+'IS &amp; BS'!K56)/2)</f>
        <v>0.16982039903862689</v>
      </c>
      <c r="M24" s="124">
        <f>'IS &amp; BS'!M17/(('IS &amp; BS'!M56+'IS &amp; BS'!L56)/2)</f>
        <v>0.14513178575284671</v>
      </c>
      <c r="N24" s="124">
        <f>'IS &amp; BS'!N17/(('IS &amp; BS'!N56+'IS &amp; BS'!M56)/2)</f>
        <v>0.10282212284698834</v>
      </c>
    </row>
    <row r="25" spans="1:14">
      <c r="C25" s="17"/>
      <c r="D25" s="17"/>
      <c r="E25" s="17"/>
      <c r="F25" s="17"/>
      <c r="G25" s="17"/>
      <c r="H25" s="17"/>
      <c r="I25" s="124"/>
      <c r="J25" s="124"/>
      <c r="K25" s="124"/>
      <c r="L25" s="124"/>
      <c r="M25" s="124"/>
      <c r="N25" s="124"/>
    </row>
    <row r="27" spans="1:14" s="1" customFormat="1" ht="15.75" customHeight="1">
      <c r="A27" s="3" t="s">
        <v>305</v>
      </c>
      <c r="B27" s="6"/>
      <c r="C27" s="6"/>
      <c r="D27" s="6"/>
      <c r="E27" s="6"/>
      <c r="F27" s="6"/>
      <c r="G27" s="6"/>
      <c r="H27" s="6"/>
      <c r="I27" s="6"/>
      <c r="J27" s="6"/>
      <c r="K27" s="6"/>
      <c r="L27" s="6"/>
      <c r="M27" s="6"/>
      <c r="N27" s="6"/>
    </row>
    <row r="29" spans="1:14">
      <c r="A29" t="s">
        <v>319</v>
      </c>
      <c r="G29" s="145">
        <f>DCF!G50</f>
        <v>43</v>
      </c>
    </row>
    <row r="30" spans="1:14">
      <c r="A30" s="4" t="s">
        <v>316</v>
      </c>
      <c r="G30" s="145"/>
    </row>
    <row r="31" spans="1:14">
      <c r="A31" s="49" t="s">
        <v>179</v>
      </c>
      <c r="B31" s="48"/>
      <c r="C31" s="48"/>
      <c r="D31" s="48"/>
      <c r="E31" s="48"/>
      <c r="F31" s="48"/>
      <c r="H31" s="150">
        <f>DCF!H10</f>
        <v>11.779515327332362</v>
      </c>
      <c r="I31" s="150">
        <f>DCF!I10</f>
        <v>12.091341580866654</v>
      </c>
      <c r="J31" s="150">
        <f>DCF!J10</f>
        <v>0</v>
      </c>
    </row>
    <row r="32" spans="1:14">
      <c r="A32" s="49" t="s">
        <v>334</v>
      </c>
      <c r="B32" s="48"/>
      <c r="C32" s="48"/>
      <c r="D32" s="48"/>
      <c r="E32" s="48"/>
      <c r="F32" s="48"/>
      <c r="H32" s="150">
        <f>DCF!H33</f>
        <v>8.2268449486411104</v>
      </c>
      <c r="I32" s="150">
        <f>DCF!I33</f>
        <v>36.9501636171847</v>
      </c>
      <c r="J32" s="150">
        <f>DCF!J33</f>
        <v>32.51756655746712</v>
      </c>
    </row>
    <row r="33" spans="1:14">
      <c r="A33" s="49" t="s">
        <v>126</v>
      </c>
      <c r="B33" s="48"/>
      <c r="C33" s="48"/>
      <c r="D33" s="48"/>
      <c r="E33" s="48"/>
      <c r="F33" s="48"/>
      <c r="H33" s="150">
        <f>Multiplier!H11</f>
        <v>74.655756667481342</v>
      </c>
      <c r="I33" s="150">
        <f>Multiplier!I11</f>
        <v>50.719796784586578</v>
      </c>
      <c r="J33" s="150">
        <f>Multiplier!J11</f>
        <v>86.898258961539284</v>
      </c>
    </row>
    <row r="34" spans="1:14">
      <c r="A34" s="49" t="s">
        <v>337</v>
      </c>
      <c r="B34" s="48"/>
      <c r="C34" s="48"/>
      <c r="D34" s="48"/>
      <c r="E34" s="48"/>
      <c r="F34" s="48"/>
      <c r="H34" s="150">
        <f>Multiplier!H29</f>
        <v>51.007332400561999</v>
      </c>
      <c r="I34" s="150">
        <f>Multiplier!I29</f>
        <v>27.71385624322803</v>
      </c>
      <c r="J34" s="150">
        <f>Multiplier!J29</f>
        <v>59.191609154311976</v>
      </c>
    </row>
    <row r="35" spans="1:14">
      <c r="A35" s="49" t="s">
        <v>178</v>
      </c>
      <c r="B35" s="48"/>
      <c r="C35" s="48"/>
      <c r="D35" s="48"/>
      <c r="E35" s="48"/>
      <c r="F35" s="48"/>
      <c r="H35" s="150">
        <f>Multiplier!G51</f>
        <v>60.324605012791558</v>
      </c>
      <c r="I35" s="150">
        <f>Multiplier!H51</f>
        <v>0</v>
      </c>
      <c r="J35" s="150">
        <f>Multiplier!I51</f>
        <v>0</v>
      </c>
    </row>
    <row r="36" spans="1:14">
      <c r="A36" s="46" t="s">
        <v>2984</v>
      </c>
      <c r="H36" s="187">
        <f>AVERAGE(H32:H33)</f>
        <v>41.441300808061229</v>
      </c>
      <c r="I36" s="187">
        <f>AVERAGE(I32:I33)</f>
        <v>43.834980200885639</v>
      </c>
      <c r="J36" s="187">
        <f>AVERAGE(J32:J33)</f>
        <v>59.707912759503202</v>
      </c>
    </row>
    <row r="38" spans="1:14">
      <c r="A38" s="3" t="s">
        <v>438</v>
      </c>
      <c r="B38" s="3"/>
      <c r="C38" s="3"/>
      <c r="D38" s="3"/>
      <c r="E38" s="3"/>
      <c r="F38" s="3"/>
      <c r="G38" s="3"/>
      <c r="H38" s="3"/>
      <c r="I38" s="3"/>
      <c r="J38" s="3"/>
      <c r="K38" s="3"/>
      <c r="L38" s="3"/>
      <c r="M38" s="3"/>
      <c r="N38" s="3"/>
    </row>
    <row r="40" spans="1:14">
      <c r="A40" t="s">
        <v>435</v>
      </c>
      <c r="H40" s="184">
        <f>DCF!H6</f>
        <v>1.5</v>
      </c>
      <c r="I40" s="184">
        <f>DCF!I6</f>
        <v>0.95099618971099831</v>
      </c>
      <c r="J40" s="184">
        <f>DCF!J6</f>
        <v>1.6293423555288615</v>
      </c>
    </row>
    <row r="41" spans="1:14">
      <c r="A41" t="s">
        <v>436</v>
      </c>
      <c r="H41" s="184">
        <f>AVERAGE(H32:H33)</f>
        <v>41.441300808061229</v>
      </c>
      <c r="I41" s="184">
        <f>AVERAGE(I32:I33)</f>
        <v>43.834980200885639</v>
      </c>
      <c r="J41" s="184">
        <f>AVERAGE(J32:J33)</f>
        <v>59.707912759503202</v>
      </c>
    </row>
    <row r="42" spans="1:14">
      <c r="A42" t="s">
        <v>2980</v>
      </c>
      <c r="H42" s="145">
        <f>ROUND(H41,0)</f>
        <v>41</v>
      </c>
      <c r="I42" s="145">
        <f>ROUND(I41,0)</f>
        <v>44</v>
      </c>
      <c r="J42" s="145">
        <f>ROUND(J41,0)</f>
        <v>60</v>
      </c>
    </row>
    <row r="43" spans="1:14">
      <c r="A43" t="s">
        <v>434</v>
      </c>
      <c r="H43" s="184">
        <f>(H42+H40)/(1+((1+Summary!F54)^(H51/365)-1))</f>
        <v>42.5</v>
      </c>
      <c r="I43" s="184">
        <f ca="1">(I42+I40)/(1+((1+Summary!G54)^(I51/365)-1))</f>
        <v>169.74628004764068</v>
      </c>
      <c r="J43" s="184">
        <f ca="1">(J42+J40)/(1+((1+Summary!G54)^(J51/365)-1))</f>
        <v>197.99890649451018</v>
      </c>
    </row>
    <row r="44" spans="1:14">
      <c r="A44" t="s">
        <v>319</v>
      </c>
      <c r="H44" s="184">
        <f>DCF!G50</f>
        <v>43</v>
      </c>
      <c r="I44" s="184">
        <f>DCF!$G$50</f>
        <v>43</v>
      </c>
      <c r="J44" s="184">
        <f>DCF!$G$50</f>
        <v>43</v>
      </c>
    </row>
    <row r="45" spans="1:14" ht="15" customHeight="1">
      <c r="A45" t="s">
        <v>438</v>
      </c>
      <c r="H45" s="595" t="str">
        <f>IF(H46&gt;=Summary!G53,Summary!A53,IF(AND(H46&gt;=Summary!G54,H46&lt;Summary!G53),Summary!A54,IF(AND(H46&gt;=Summary!G55,H46&lt;Summary!G54),Summary!A55,IF(H46&lt;Summary!G56,Summary!A56,"ERROR"))))</f>
        <v>SELL</v>
      </c>
      <c r="I45" s="595" t="str">
        <f ca="1">IF(I49&gt;=Summary!G53,Summary!A53,IF(AND(I49&gt;=Summary!G54,I49&lt;Summary!G53),Summary!A54,IF(AND(I49&gt;=Summary!G55,I49&lt;Summary!G54),Summary!A55,IF(I49&lt;Summary!G56,Summary!A56,"ERROR"))))</f>
        <v>SELL</v>
      </c>
      <c r="J45" s="595" t="str">
        <f ca="1">IF(J49&gt;=Summary!G53,Summary!A53,IF(AND(J49&gt;=Summary!G54,J49&lt;Summary!G53),Summary!A54,IF(AND(J49&gt;=Summary!G55,J49&lt;Summary!G54),Summary!A55,IF(J49&lt;Summary!G56,Summary!A56,"ERROR"))))</f>
        <v>SELL</v>
      </c>
      <c r="K45" s="154"/>
      <c r="L45" s="154"/>
      <c r="M45" s="154"/>
      <c r="N45" s="154"/>
    </row>
    <row r="46" spans="1:14">
      <c r="A46" t="s">
        <v>3895</v>
      </c>
      <c r="H46" s="17">
        <f>(H42-H44)/H44</f>
        <v>-4.6511627906976744E-2</v>
      </c>
      <c r="I46" s="154">
        <f>((I42-I44)/I44)</f>
        <v>2.3255813953488372E-2</v>
      </c>
      <c r="J46" s="154">
        <f>((J42-J44)/J44)</f>
        <v>0.39534883720930231</v>
      </c>
      <c r="K46" s="262"/>
      <c r="L46" s="262"/>
      <c r="M46" s="262"/>
      <c r="N46" s="262"/>
    </row>
    <row r="47" spans="1:14">
      <c r="A47" t="s">
        <v>3896</v>
      </c>
      <c r="H47" s="17">
        <f>H40/H44</f>
        <v>3.4883720930232558E-2</v>
      </c>
      <c r="I47" s="154">
        <f>I40/I44</f>
        <v>2.2116190458395309E-2</v>
      </c>
      <c r="J47" s="154">
        <f>J40/J44</f>
        <v>3.7891682686717713E-2</v>
      </c>
      <c r="K47" s="145"/>
      <c r="L47" s="145"/>
      <c r="M47" s="145"/>
      <c r="N47" s="145"/>
    </row>
    <row r="48" spans="1:14">
      <c r="A48" t="s">
        <v>2964</v>
      </c>
      <c r="H48" s="137">
        <f>H46+H47</f>
        <v>-1.1627906976744186E-2</v>
      </c>
      <c r="I48" s="641">
        <f>I46+I47</f>
        <v>4.537200441188368E-2</v>
      </c>
      <c r="J48" s="641">
        <f>J46+J47</f>
        <v>0.43324051989602003</v>
      </c>
      <c r="K48" s="410"/>
      <c r="L48" s="410"/>
      <c r="M48" s="410"/>
      <c r="N48" s="410"/>
    </row>
    <row r="49" spans="1:14">
      <c r="A49" t="s">
        <v>3897</v>
      </c>
      <c r="H49" s="596">
        <f>((1+H46)^(12/6))-1</f>
        <v>-9.0859924283396398E-2</v>
      </c>
      <c r="I49" s="154">
        <f ca="1">((1+I48)^(365/I51))-1</f>
        <v>-5.3823555113570176E-3</v>
      </c>
      <c r="J49" s="154">
        <f ca="1">((1+J48)^(365/J51))-1</f>
        <v>-4.86180497667551E-2</v>
      </c>
      <c r="K49" s="145"/>
      <c r="L49" s="145"/>
      <c r="M49" s="145"/>
      <c r="N49" s="145"/>
    </row>
    <row r="50" spans="1:14">
      <c r="G50" s="662">
        <f ca="1">TODAY()</f>
        <v>46191</v>
      </c>
      <c r="I50" s="662">
        <v>43190</v>
      </c>
      <c r="J50" s="662">
        <v>43555</v>
      </c>
      <c r="K50" s="410"/>
      <c r="L50" s="410"/>
      <c r="M50" s="410"/>
      <c r="N50" s="410"/>
    </row>
    <row r="51" spans="1:14">
      <c r="G51" s="662"/>
      <c r="I51" s="145">
        <f ca="1">_xlfn.DAYS(I50,$G$50)</f>
        <v>-3001</v>
      </c>
      <c r="J51" s="145">
        <f ca="1">_xlfn.DAYS(J50,$G$50)</f>
        <v>-2636</v>
      </c>
      <c r="K51" s="410"/>
      <c r="L51" s="410"/>
      <c r="M51" s="410"/>
      <c r="N51" s="410"/>
    </row>
    <row r="52" spans="1:14">
      <c r="A52" s="46" t="s">
        <v>439</v>
      </c>
      <c r="G52" s="105"/>
    </row>
    <row r="53" spans="1:14">
      <c r="A53" s="135" t="s">
        <v>3898</v>
      </c>
      <c r="G53" s="638">
        <f>DCF!G41+13%</f>
        <v>0.22539999999999999</v>
      </c>
    </row>
    <row r="54" spans="1:14">
      <c r="A54" s="135" t="s">
        <v>440</v>
      </c>
      <c r="G54" s="638">
        <f>DCF!G41+8%</f>
        <v>0.1754</v>
      </c>
      <c r="H54" s="17"/>
    </row>
    <row r="55" spans="1:14">
      <c r="A55" s="135" t="s">
        <v>441</v>
      </c>
      <c r="G55" s="638">
        <f>DCF!G41+3%</f>
        <v>0.12540000000000001</v>
      </c>
    </row>
    <row r="56" spans="1:14">
      <c r="A56" s="135" t="s">
        <v>442</v>
      </c>
      <c r="G56" s="639">
        <f>G55</f>
        <v>0.12540000000000001</v>
      </c>
    </row>
    <row r="58" spans="1:14">
      <c r="A58" s="135" t="s">
        <v>3939</v>
      </c>
      <c r="G58" s="17"/>
    </row>
  </sheetData>
  <conditionalFormatting sqref="H45">
    <cfRule type="containsText" dxfId="63" priority="9" operator="containsText" text="SELL">
      <formula>NOT(ISERROR(SEARCH("SELL",H45)))</formula>
    </cfRule>
    <cfRule type="containsText" dxfId="62" priority="10" operator="containsText" text="HOLD">
      <formula>NOT(ISERROR(SEARCH("HOLD",H45)))</formula>
    </cfRule>
    <cfRule type="containsText" dxfId="61" priority="11" operator="containsText" text="BUY">
      <formula>NOT(ISERROR(SEARCH("BUY",H45)))</formula>
    </cfRule>
    <cfRule type="containsText" dxfId="60" priority="14" operator="containsText" text="STRONG BUY">
      <formula>NOT(ISERROR(SEARCH("STRONG BUY",H45)))</formula>
    </cfRule>
  </conditionalFormatting>
  <conditionalFormatting sqref="I45">
    <cfRule type="containsText" dxfId="59" priority="5" operator="containsText" text="SELL">
      <formula>NOT(ISERROR(SEARCH("SELL",I45)))</formula>
    </cfRule>
    <cfRule type="containsText" dxfId="58" priority="6" operator="containsText" text="HOLD">
      <formula>NOT(ISERROR(SEARCH("HOLD",I45)))</formula>
    </cfRule>
    <cfRule type="containsText" dxfId="57" priority="7" operator="containsText" text="BUY">
      <formula>NOT(ISERROR(SEARCH("BUY",I45)))</formula>
    </cfRule>
    <cfRule type="containsText" dxfId="56" priority="8" operator="containsText" text="STRONG BUY">
      <formula>NOT(ISERROR(SEARCH("STRONG BUY",I45)))</formula>
    </cfRule>
  </conditionalFormatting>
  <conditionalFormatting sqref="J45">
    <cfRule type="containsText" dxfId="55" priority="1" operator="containsText" text="SELL">
      <formula>NOT(ISERROR(SEARCH("SELL",J45)))</formula>
    </cfRule>
    <cfRule type="containsText" dxfId="54" priority="2" operator="containsText" text="HOLD">
      <formula>NOT(ISERROR(SEARCH("HOLD",J45)))</formula>
    </cfRule>
    <cfRule type="containsText" dxfId="53" priority="3" operator="containsText" text="BUY">
      <formula>NOT(ISERROR(SEARCH("BUY",J45)))</formula>
    </cfRule>
    <cfRule type="containsText" dxfId="52" priority="4" operator="containsText" text="STRONG BUY">
      <formula>NOT(ISERROR(SEARCH("STRONG BUY",J45)))</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R84"/>
  <sheetViews>
    <sheetView showGridLines="0" zoomScaleNormal="100" workbookViewId="0">
      <pane xSplit="1" ySplit="3" topLeftCell="D4" activePane="bottomRight" state="frozen"/>
      <selection pane="topRight" activeCell="B1" sqref="B1"/>
      <selection pane="bottomLeft" activeCell="A4" sqref="A4"/>
      <selection pane="bottomRight" activeCell="H20" sqref="H20"/>
    </sheetView>
  </sheetViews>
  <sheetFormatPr defaultRowHeight="14.4"/>
  <cols>
    <col min="1" max="1" width="30.44140625" customWidth="1"/>
    <col min="2" max="16" width="10.6640625" customWidth="1"/>
    <col min="17" max="17" width="9.5546875" bestFit="1" customWidth="1"/>
  </cols>
  <sheetData>
    <row r="1" spans="1:18">
      <c r="A1" s="3" t="s">
        <v>0</v>
      </c>
      <c r="B1" s="2"/>
      <c r="C1" s="2"/>
      <c r="D1" s="2"/>
      <c r="E1" s="2"/>
      <c r="F1" s="2"/>
      <c r="G1" s="2"/>
      <c r="H1" s="6"/>
      <c r="I1" s="6"/>
      <c r="J1" s="6"/>
      <c r="K1" s="2"/>
      <c r="L1" s="2"/>
      <c r="M1" s="2"/>
      <c r="N1" s="2"/>
      <c r="O1" s="2"/>
      <c r="P1" s="2"/>
    </row>
    <row r="2" spans="1:18" s="1" customFormat="1" ht="15.75" customHeight="1">
      <c r="A2" s="3" t="s">
        <v>3</v>
      </c>
      <c r="B2" s="6"/>
      <c r="C2" s="6"/>
      <c r="D2" s="6"/>
      <c r="E2" s="6"/>
      <c r="F2" s="6"/>
      <c r="G2" s="6"/>
      <c r="H2" s="6"/>
      <c r="I2" s="6"/>
      <c r="J2" s="6"/>
      <c r="K2" s="6"/>
      <c r="L2" s="6"/>
      <c r="M2" s="6"/>
      <c r="N2" s="6"/>
      <c r="O2" s="6"/>
      <c r="P2" s="6"/>
    </row>
    <row r="3" spans="1:18" s="1" customFormat="1" ht="15.75" customHeight="1">
      <c r="A3" s="3" t="s">
        <v>104</v>
      </c>
      <c r="B3" s="6" t="s">
        <v>18</v>
      </c>
      <c r="C3" s="6" t="s">
        <v>17</v>
      </c>
      <c r="D3" s="6" t="s">
        <v>5</v>
      </c>
      <c r="E3" s="6" t="s">
        <v>4</v>
      </c>
      <c r="F3" s="6" t="s">
        <v>105</v>
      </c>
      <c r="G3" s="6" t="s">
        <v>150</v>
      </c>
      <c r="H3" s="6" t="s">
        <v>3944</v>
      </c>
      <c r="I3" s="6" t="s">
        <v>152</v>
      </c>
      <c r="J3" s="6" t="s">
        <v>153</v>
      </c>
      <c r="K3" s="6" t="s">
        <v>309</v>
      </c>
      <c r="L3" s="6" t="s">
        <v>3940</v>
      </c>
      <c r="M3" s="6" t="s">
        <v>3941</v>
      </c>
      <c r="N3" s="6" t="s">
        <v>3942</v>
      </c>
      <c r="O3" s="6" t="s">
        <v>2386</v>
      </c>
      <c r="P3" s="6" t="s">
        <v>2387</v>
      </c>
    </row>
    <row r="4" spans="1:18" s="1" customFormat="1" ht="15.75" customHeight="1">
      <c r="A4" s="1" t="s">
        <v>1</v>
      </c>
      <c r="B4" s="105">
        <v>9569.7711149999996</v>
      </c>
      <c r="C4" s="105">
        <v>10306.180165</v>
      </c>
      <c r="D4" s="105">
        <v>11326.520709</v>
      </c>
      <c r="E4" s="105">
        <f>Segment!E53</f>
        <v>11446.861999999999</v>
      </c>
      <c r="F4" s="105">
        <f>Segment!F53</f>
        <v>14427.236000000001</v>
      </c>
      <c r="G4" s="99">
        <v>12811.224</v>
      </c>
      <c r="H4" s="99">
        <f>IS_BS_Assumptions!H6</f>
        <v>14669.734999999999</v>
      </c>
      <c r="I4" s="106">
        <f>IS_BS_Assumptions!I6</f>
        <v>20978.830515386398</v>
      </c>
      <c r="J4" s="106">
        <f>IS_BS_Assumptions!J6</f>
        <v>26472.353120886062</v>
      </c>
      <c r="K4" s="106">
        <f>IS_BS_Assumptions!K6</f>
        <v>30050.591938632362</v>
      </c>
      <c r="L4" s="106">
        <f>IS_BS_Assumptions!L6</f>
        <v>34404.069105118462</v>
      </c>
      <c r="M4" s="106">
        <f>IS_BS_Assumptions!M6</f>
        <v>36058.231947051921</v>
      </c>
      <c r="N4" s="106">
        <f>IS_BS_Assumptions!N6</f>
        <v>39848.460074464616</v>
      </c>
      <c r="O4" s="204">
        <f>((K4/H4)^(1/3))-1</f>
        <v>0.27001910514202643</v>
      </c>
      <c r="P4" s="204">
        <f>((G4/D4)^(1/3))-1</f>
        <v>4.1912784918129775E-2</v>
      </c>
      <c r="Q4" s="169"/>
    </row>
    <row r="5" spans="1:18" s="1" customFormat="1">
      <c r="A5" s="1" t="s">
        <v>2</v>
      </c>
      <c r="B5" s="108">
        <v>-8280.8091370000002</v>
      </c>
      <c r="C5" s="108">
        <v>-8594.8252730000004</v>
      </c>
      <c r="D5" s="108">
        <v>-9462.1676520000001</v>
      </c>
      <c r="E5" s="108">
        <v>-9522.9240000000009</v>
      </c>
      <c r="F5" s="108">
        <v>-11877.468000000001</v>
      </c>
      <c r="G5" s="108">
        <v>-9754.11</v>
      </c>
      <c r="H5" s="108">
        <f>-IS_BS_Assumptions!H31</f>
        <v>-11427.115</v>
      </c>
      <c r="I5" s="109">
        <f>-IS_BS_Assumptions!I31</f>
        <v>-17687.278463276467</v>
      </c>
      <c r="J5" s="109">
        <f>-IS_BS_Assumptions!J31</f>
        <v>-21928.223074880007</v>
      </c>
      <c r="K5" s="109">
        <f>-IS_BS_Assumptions!K31</f>
        <v>-24775.476725911511</v>
      </c>
      <c r="L5" s="109">
        <f>-IS_BS_Assumptions!L31</f>
        <v>-27681.931222937299</v>
      </c>
      <c r="M5" s="109">
        <f>-IS_BS_Assumptions!M31</f>
        <v>-29243.857251371817</v>
      </c>
      <c r="N5" s="109">
        <f>-IS_BS_Assumptions!N31</f>
        <v>-33456.128657650246</v>
      </c>
      <c r="O5" s="107"/>
      <c r="P5" s="107"/>
      <c r="Q5" s="169"/>
    </row>
    <row r="6" spans="1:18">
      <c r="A6" s="1" t="s">
        <v>6</v>
      </c>
      <c r="B6" s="105">
        <f t="shared" ref="B6:K6" si="0">SUM(B4:B5)</f>
        <v>1288.9619779999994</v>
      </c>
      <c r="C6" s="105">
        <f t="shared" si="0"/>
        <v>1711.3548919999994</v>
      </c>
      <c r="D6" s="105">
        <f t="shared" si="0"/>
        <v>1864.3530570000003</v>
      </c>
      <c r="E6" s="105">
        <f t="shared" si="0"/>
        <v>1923.9379999999983</v>
      </c>
      <c r="F6" s="105">
        <f t="shared" si="0"/>
        <v>2549.768</v>
      </c>
      <c r="G6" s="105">
        <f t="shared" si="0"/>
        <v>3057.1139999999996</v>
      </c>
      <c r="H6" s="105">
        <f t="shared" si="0"/>
        <v>3242.619999999999</v>
      </c>
      <c r="I6" s="110">
        <f t="shared" si="0"/>
        <v>3291.5520521099315</v>
      </c>
      <c r="J6" s="110">
        <f t="shared" si="0"/>
        <v>4544.1300460060556</v>
      </c>
      <c r="K6" s="110">
        <f t="shared" si="0"/>
        <v>5275.1152127208516</v>
      </c>
      <c r="L6" s="110">
        <f t="shared" ref="L6:N6" si="1">SUM(L4:L5)</f>
        <v>6722.1378821811631</v>
      </c>
      <c r="M6" s="110">
        <f t="shared" si="1"/>
        <v>6814.3746956801042</v>
      </c>
      <c r="N6" s="110">
        <f t="shared" si="1"/>
        <v>6392.3314168143697</v>
      </c>
      <c r="O6" s="204">
        <f>((J6/G6)^(1/3))-1</f>
        <v>0.14124714985801989</v>
      </c>
      <c r="P6" s="204">
        <f>((G6/D6)^(1/3))-1</f>
        <v>0.17921906378015451</v>
      </c>
      <c r="Q6" s="99"/>
    </row>
    <row r="7" spans="1:18">
      <c r="A7" s="1" t="s">
        <v>7</v>
      </c>
      <c r="B7" s="105">
        <v>50.413969999999999</v>
      </c>
      <c r="C7" s="105">
        <v>14.485879000000001</v>
      </c>
      <c r="D7" s="105">
        <v>15.962888</v>
      </c>
      <c r="E7" s="105">
        <v>27.565000000000001</v>
      </c>
      <c r="F7" s="105">
        <v>192.60400000000001</v>
      </c>
      <c r="G7" s="105">
        <v>45.017000000000003</v>
      </c>
      <c r="H7" s="105">
        <f>IS_BS_Assumptions!H73</f>
        <v>52.432000000000002</v>
      </c>
      <c r="I7" s="107">
        <f>IS_BS_Assumptions!I73</f>
        <v>46.10602810077517</v>
      </c>
      <c r="J7" s="107">
        <f>IS_BS_Assumptions!J73</f>
        <v>47.153278855218268</v>
      </c>
      <c r="K7" s="107">
        <f>IS_BS_Assumptions!K73</f>
        <v>48.246702002420243</v>
      </c>
      <c r="L7" s="107">
        <f>IS_BS_Assumptions!L73</f>
        <v>49.388333243806009</v>
      </c>
      <c r="M7" s="107">
        <f>IS_BS_Assumptions!M73</f>
        <v>50.580298033140529</v>
      </c>
      <c r="N7" s="107">
        <f>IS_BS_Assumptions!N73</f>
        <v>51.824815533632595</v>
      </c>
      <c r="O7" s="107"/>
      <c r="P7" s="107"/>
      <c r="Q7" s="99"/>
    </row>
    <row r="8" spans="1:18">
      <c r="A8" s="1" t="s">
        <v>8</v>
      </c>
      <c r="B8" s="105">
        <v>-403.21662300000003</v>
      </c>
      <c r="C8" s="105">
        <v>-430.11573399999997</v>
      </c>
      <c r="D8" s="105">
        <v>-492.34749399999998</v>
      </c>
      <c r="E8" s="105">
        <v>-636.65300000000002</v>
      </c>
      <c r="F8" s="105">
        <v>-747.30700000000002</v>
      </c>
      <c r="G8" s="105">
        <v>-805.23299999999995</v>
      </c>
      <c r="H8" s="105">
        <f>-IS_BS_Assumptions!H80</f>
        <v>-843.81100000000004</v>
      </c>
      <c r="I8" s="107">
        <f>-IS_BS_Assumptions!I80</f>
        <v>-1206.7135470421731</v>
      </c>
      <c r="J8" s="107">
        <f>-IS_BS_Assumptions!J80</f>
        <v>-1522.7039042823876</v>
      </c>
      <c r="K8" s="107">
        <f>-IS_BS_Assumptions!K80</f>
        <v>-1728.5261140933571</v>
      </c>
      <c r="L8" s="107">
        <f>-IS_BS_Assumptions!L80</f>
        <v>-1978.9404481852682</v>
      </c>
      <c r="M8" s="107">
        <f>-IS_BS_Assumptions!M80</f>
        <v>-2074.0887792092926</v>
      </c>
      <c r="N8" s="107">
        <f>-IS_BS_Assumptions!N80</f>
        <v>-2292.1047274469556</v>
      </c>
      <c r="O8" s="107"/>
      <c r="P8" s="107"/>
      <c r="Q8" s="99"/>
    </row>
    <row r="9" spans="1:18">
      <c r="A9" s="1" t="s">
        <v>9</v>
      </c>
      <c r="B9" s="108">
        <v>-259.70401299999997</v>
      </c>
      <c r="C9" s="108">
        <v>-275.04830399999997</v>
      </c>
      <c r="D9" s="108">
        <v>-298.17626899999999</v>
      </c>
      <c r="E9" s="108">
        <v>-342.77600000000001</v>
      </c>
      <c r="F9" s="108">
        <v>-398.55399999999997</v>
      </c>
      <c r="G9" s="108">
        <v>-404.30900000000003</v>
      </c>
      <c r="H9" s="108">
        <f>-IS_BS_Assumptions!H84</f>
        <v>-442.37099999999998</v>
      </c>
      <c r="I9" s="109">
        <f>-IS_BS_Assumptions!I84</f>
        <v>-465.1101159697543</v>
      </c>
      <c r="J9" s="109">
        <f>-IS_BS_Assumptions!J84</f>
        <v>-496.44844204055329</v>
      </c>
      <c r="K9" s="109">
        <f>-IS_BS_Assumptions!K84</f>
        <v>-539.16656338736323</v>
      </c>
      <c r="L9" s="109">
        <f>-IS_BS_Assumptions!L84</f>
        <v>-596.85329842858039</v>
      </c>
      <c r="M9" s="109">
        <f>-IS_BS_Assumptions!M84</f>
        <v>-674.52458033194557</v>
      </c>
      <c r="N9" s="109">
        <f>-IS_BS_Assumptions!N84</f>
        <v>-779.23918974885203</v>
      </c>
      <c r="O9" s="107"/>
      <c r="P9" s="107"/>
      <c r="Q9" s="99"/>
    </row>
    <row r="10" spans="1:18">
      <c r="A10" s="1" t="s">
        <v>10</v>
      </c>
      <c r="B10" s="112">
        <f>SUM(B6:B9)</f>
        <v>676.45531199999937</v>
      </c>
      <c r="C10" s="112">
        <f>SUM(C6:C9)</f>
        <v>1020.6767329999996</v>
      </c>
      <c r="D10" s="112">
        <f>SUM(D6:D9)</f>
        <v>1089.7921820000001</v>
      </c>
      <c r="E10" s="112">
        <f>SUM(E6:E9)</f>
        <v>972.07399999999825</v>
      </c>
      <c r="F10" s="112">
        <f t="shared" ref="F10:K10" si="2">SUM(F6:F9)</f>
        <v>1596.511</v>
      </c>
      <c r="G10" s="112">
        <f t="shared" si="2"/>
        <v>1892.5889999999993</v>
      </c>
      <c r="H10" s="112">
        <f t="shared" si="2"/>
        <v>2008.8699999999985</v>
      </c>
      <c r="I10" s="107">
        <f t="shared" si="2"/>
        <v>1665.8344171987794</v>
      </c>
      <c r="J10" s="107">
        <f t="shared" si="2"/>
        <v>2572.1309785383332</v>
      </c>
      <c r="K10" s="107">
        <f t="shared" si="2"/>
        <v>3055.6692372425518</v>
      </c>
      <c r="L10" s="107">
        <f t="shared" ref="L10:N10" si="3">SUM(L6:L9)</f>
        <v>4195.7324688111212</v>
      </c>
      <c r="M10" s="107">
        <f t="shared" si="3"/>
        <v>4116.3416341720067</v>
      </c>
      <c r="N10" s="107">
        <f t="shared" si="3"/>
        <v>3372.8123151521945</v>
      </c>
      <c r="O10" s="107"/>
      <c r="P10" s="107"/>
      <c r="Q10" s="99"/>
    </row>
    <row r="11" spans="1:18">
      <c r="A11" s="1" t="s">
        <v>11</v>
      </c>
      <c r="B11" s="105">
        <v>-226.755191</v>
      </c>
      <c r="C11" s="105">
        <v>-248.94845699999999</v>
      </c>
      <c r="D11" s="105">
        <v>-336.35411900000003</v>
      </c>
      <c r="E11" s="105">
        <v>-284.44900000000001</v>
      </c>
      <c r="F11" s="105">
        <v>-387.72</v>
      </c>
      <c r="G11" s="105">
        <v>-251.702</v>
      </c>
      <c r="H11" s="105">
        <f>-IS_BS_Assumptions!H91</f>
        <v>-219.02500000000001</v>
      </c>
      <c r="I11" s="107">
        <f>-IS_BS_Assumptions!I91</f>
        <v>-474.72971411030346</v>
      </c>
      <c r="J11" s="107">
        <f>-IS_BS_Assumptions!J91</f>
        <v>-525.76746688450362</v>
      </c>
      <c r="K11" s="107">
        <f>-IS_BS_Assumptions!K91</f>
        <v>-578.22788771973171</v>
      </c>
      <c r="L11" s="107">
        <f>-IS_BS_Assumptions!L91</f>
        <v>-614.47063905249354</v>
      </c>
      <c r="M11" s="107">
        <f>-IS_BS_Assumptions!M91</f>
        <v>-619.60063905249353</v>
      </c>
      <c r="N11" s="107">
        <f>-IS_BS_Assumptions!N91</f>
        <v>-624.73063905249353</v>
      </c>
      <c r="O11" s="107"/>
      <c r="P11" s="107"/>
      <c r="Q11" s="99"/>
    </row>
    <row r="12" spans="1:18">
      <c r="A12" s="14" t="s">
        <v>401</v>
      </c>
      <c r="B12" s="108">
        <v>0</v>
      </c>
      <c r="C12" s="108">
        <v>0</v>
      </c>
      <c r="D12" s="108">
        <v>0</v>
      </c>
      <c r="E12" s="108">
        <v>0</v>
      </c>
      <c r="F12" s="108">
        <v>45.947000000000003</v>
      </c>
      <c r="G12" s="108">
        <v>54.734999999999999</v>
      </c>
      <c r="H12" s="108">
        <f>IS_BS_Assumptions!H183</f>
        <v>-25.282</v>
      </c>
      <c r="I12" s="109">
        <f>IS_BS_Assumptions!I183</f>
        <v>8.2585800000000003</v>
      </c>
      <c r="J12" s="109">
        <f>IS_BS_Assumptions!J183</f>
        <v>8.5063373999999996</v>
      </c>
      <c r="K12" s="109">
        <f>IS_BS_Assumptions!K183</f>
        <v>8.7615275219999997</v>
      </c>
      <c r="L12" s="109">
        <f>IS_BS_Assumptions!L183</f>
        <v>9.0243733476599992</v>
      </c>
      <c r="M12" s="109">
        <f>IS_BS_Assumptions!M183</f>
        <v>9.2951045480897996</v>
      </c>
      <c r="N12" s="109">
        <f>IS_BS_Assumptions!N183</f>
        <v>9.573957684532493</v>
      </c>
      <c r="O12" s="107"/>
      <c r="P12" s="107"/>
      <c r="Q12" s="99"/>
    </row>
    <row r="13" spans="1:18">
      <c r="A13" s="1" t="s">
        <v>12</v>
      </c>
      <c r="B13" s="105">
        <f t="shared" ref="B13:K13" si="4">SUM(B10:B12)</f>
        <v>449.7001209999994</v>
      </c>
      <c r="C13" s="105">
        <f t="shared" si="4"/>
        <v>771.7282759999996</v>
      </c>
      <c r="D13" s="105">
        <f t="shared" si="4"/>
        <v>753.43806300000006</v>
      </c>
      <c r="E13" s="105">
        <f t="shared" si="4"/>
        <v>687.62499999999818</v>
      </c>
      <c r="F13" s="105">
        <f t="shared" si="4"/>
        <v>1254.7379999999998</v>
      </c>
      <c r="G13" s="105">
        <f t="shared" si="4"/>
        <v>1695.6219999999992</v>
      </c>
      <c r="H13" s="105">
        <f t="shared" si="4"/>
        <v>1764.5629999999985</v>
      </c>
      <c r="I13" s="107">
        <f t="shared" si="4"/>
        <v>1199.363283088476</v>
      </c>
      <c r="J13" s="107">
        <f t="shared" si="4"/>
        <v>2054.8698490538295</v>
      </c>
      <c r="K13" s="107">
        <f t="shared" si="4"/>
        <v>2486.2028770448201</v>
      </c>
      <c r="L13" s="107">
        <f t="shared" ref="L13:N13" si="5">SUM(L10:L12)</f>
        <v>3590.2862031062878</v>
      </c>
      <c r="M13" s="107">
        <f t="shared" si="5"/>
        <v>3506.0360996676031</v>
      </c>
      <c r="N13" s="107">
        <f t="shared" si="5"/>
        <v>2757.6556337842335</v>
      </c>
      <c r="O13" s="107"/>
      <c r="P13" s="107"/>
      <c r="Q13" s="99"/>
    </row>
    <row r="14" spans="1:18">
      <c r="A14" s="1" t="s">
        <v>13</v>
      </c>
      <c r="B14" s="108">
        <v>-162.95990800000001</v>
      </c>
      <c r="C14" s="108">
        <v>-206.27527900000001</v>
      </c>
      <c r="D14" s="108">
        <v>-162.954207</v>
      </c>
      <c r="E14" s="108">
        <v>-176.41200000000001</v>
      </c>
      <c r="F14" s="108">
        <v>-300.65100000000001</v>
      </c>
      <c r="G14" s="108">
        <v>-426.39400000000001</v>
      </c>
      <c r="H14" s="108">
        <v>-509.12599999999998</v>
      </c>
      <c r="I14" s="107">
        <f>-IS_BS_Assumptions!I100</f>
        <v>-346.05000267244861</v>
      </c>
      <c r="J14" s="107">
        <f>-IS_BS_Assumptions!J100</f>
        <v>-592.88768197529976</v>
      </c>
      <c r="K14" s="107">
        <f>-IS_BS_Assumptions!K100</f>
        <v>-717.33937863273911</v>
      </c>
      <c r="L14" s="107">
        <f>-IS_BS_Assumptions!L100</f>
        <v>-1035.898436860964</v>
      </c>
      <c r="M14" s="107">
        <f>-IS_BS_Assumptions!M100</f>
        <v>-1011.5899150550983</v>
      </c>
      <c r="N14" s="107">
        <f>-IS_BS_Assumptions!N100</f>
        <v>-795.6611252791954</v>
      </c>
      <c r="O14" s="107"/>
      <c r="P14" s="107"/>
      <c r="Q14" s="99"/>
    </row>
    <row r="15" spans="1:18" ht="15" thickBot="1">
      <c r="A15" s="1" t="s">
        <v>14</v>
      </c>
      <c r="B15" s="113">
        <f t="shared" ref="B15:K15" si="6">SUM(B13:B14)</f>
        <v>286.74021299999936</v>
      </c>
      <c r="C15" s="113">
        <f t="shared" si="6"/>
        <v>565.45299699999964</v>
      </c>
      <c r="D15" s="113">
        <f t="shared" si="6"/>
        <v>590.48385600000006</v>
      </c>
      <c r="E15" s="113">
        <f t="shared" si="6"/>
        <v>511.21299999999815</v>
      </c>
      <c r="F15" s="113">
        <f t="shared" si="6"/>
        <v>954.08699999999976</v>
      </c>
      <c r="G15" s="113">
        <f t="shared" si="6"/>
        <v>1269.2279999999992</v>
      </c>
      <c r="H15" s="113">
        <f t="shared" si="6"/>
        <v>1255.4369999999985</v>
      </c>
      <c r="I15" s="114">
        <f t="shared" si="6"/>
        <v>853.3132804160274</v>
      </c>
      <c r="J15" s="114">
        <f t="shared" si="6"/>
        <v>1461.9821670785298</v>
      </c>
      <c r="K15" s="114">
        <f t="shared" si="6"/>
        <v>1768.8634984120808</v>
      </c>
      <c r="L15" s="114">
        <f t="shared" ref="L15:N15" si="7">SUM(L13:L14)</f>
        <v>2554.3877662453237</v>
      </c>
      <c r="M15" s="114">
        <f t="shared" si="7"/>
        <v>2494.446184612505</v>
      </c>
      <c r="N15" s="114">
        <f t="shared" si="7"/>
        <v>1961.9945085050381</v>
      </c>
      <c r="O15" s="204">
        <f>((J15/G15)^(1/3))-1</f>
        <v>4.8256289799049945E-2</v>
      </c>
      <c r="P15" s="204">
        <f>((G15/D15)^(1/3))-1</f>
        <v>0.29055704323451659</v>
      </c>
      <c r="Q15" s="99"/>
    </row>
    <row r="16" spans="1:18" ht="15" thickTop="1">
      <c r="A16" s="1" t="s">
        <v>3945</v>
      </c>
      <c r="B16" s="185">
        <v>-54.193370000000002</v>
      </c>
      <c r="C16" s="185">
        <v>-76.102196000000006</v>
      </c>
      <c r="D16" s="185">
        <v>-55.839109000000001</v>
      </c>
      <c r="E16" s="185">
        <v>-69.718000000000004</v>
      </c>
      <c r="F16" s="185">
        <v>-94.515000000000001</v>
      </c>
      <c r="G16" s="185">
        <v>-175.61600000000001</v>
      </c>
      <c r="H16" s="185">
        <v>-137.58500000000001</v>
      </c>
      <c r="I16" s="107">
        <f>-IS_BS_Assumptions!I176</f>
        <v>-93.86446084576302</v>
      </c>
      <c r="J16" s="107">
        <f>-IS_BS_Assumptions!J176</f>
        <v>-160.81803837863828</v>
      </c>
      <c r="K16" s="107">
        <f>-IS_BS_Assumptions!K176</f>
        <v>-194.5749848253289</v>
      </c>
      <c r="L16" s="107">
        <f>-IS_BS_Assumptions!L176</f>
        <v>-280.98265428698562</v>
      </c>
      <c r="M16" s="107">
        <f>-IS_BS_Assumptions!M176</f>
        <v>-274.38908030737554</v>
      </c>
      <c r="N16" s="107">
        <f>-IS_BS_Assumptions!N176</f>
        <v>-215.81939593555418</v>
      </c>
      <c r="O16" s="107"/>
      <c r="P16" s="107"/>
      <c r="Q16" s="17"/>
      <c r="R16" s="17"/>
    </row>
    <row r="17" spans="1:17">
      <c r="A17" s="1" t="s">
        <v>16</v>
      </c>
      <c r="B17" s="185">
        <f>SUM(B15:B16)</f>
        <v>232.54684299999934</v>
      </c>
      <c r="C17" s="185">
        <f>SUM(C15:C16)</f>
        <v>489.35080099999965</v>
      </c>
      <c r="D17" s="185">
        <f t="shared" ref="D17:K17" si="8">SUM(D15:D16)</f>
        <v>534.64474700000005</v>
      </c>
      <c r="E17" s="185">
        <f t="shared" si="8"/>
        <v>441.49499999999813</v>
      </c>
      <c r="F17" s="185">
        <f t="shared" si="8"/>
        <v>859.57199999999978</v>
      </c>
      <c r="G17" s="185">
        <f t="shared" si="8"/>
        <v>1093.6119999999992</v>
      </c>
      <c r="H17" s="185">
        <f t="shared" si="8"/>
        <v>1117.8519999999985</v>
      </c>
      <c r="I17" s="186">
        <f t="shared" si="8"/>
        <v>759.44881957026439</v>
      </c>
      <c r="J17" s="186">
        <f t="shared" si="8"/>
        <v>1301.1641286998915</v>
      </c>
      <c r="K17" s="186">
        <f t="shared" si="8"/>
        <v>1574.2885135867518</v>
      </c>
      <c r="L17" s="186">
        <f t="shared" ref="L17:N17" si="9">SUM(L15:L16)</f>
        <v>2273.4051119583382</v>
      </c>
      <c r="M17" s="186">
        <f t="shared" si="9"/>
        <v>2220.0571043051295</v>
      </c>
      <c r="N17" s="186">
        <f t="shared" si="9"/>
        <v>1746.1751125694839</v>
      </c>
      <c r="O17" s="204">
        <f>((J17/G17)^(1/3))-1</f>
        <v>5.9634943651158068E-2</v>
      </c>
      <c r="P17" s="186"/>
      <c r="Q17" s="99"/>
    </row>
    <row r="18" spans="1:17">
      <c r="A18" s="1"/>
      <c r="B18" s="1"/>
      <c r="C18" s="26"/>
      <c r="D18" s="26"/>
      <c r="E18" s="26"/>
      <c r="F18" s="26"/>
      <c r="G18" s="26"/>
      <c r="H18" s="26"/>
      <c r="I18" s="57"/>
      <c r="J18" s="57"/>
      <c r="K18" s="57"/>
      <c r="L18" s="57"/>
      <c r="M18" s="57"/>
      <c r="N18" s="57"/>
      <c r="O18" s="57"/>
      <c r="P18" s="57"/>
    </row>
    <row r="19" spans="1:17">
      <c r="A19" s="1" t="s">
        <v>302</v>
      </c>
      <c r="B19" s="67">
        <v>3.88</v>
      </c>
      <c r="C19" s="67">
        <v>8.17</v>
      </c>
      <c r="D19" s="67">
        <v>8.93</v>
      </c>
      <c r="E19" s="67">
        <v>7.37</v>
      </c>
      <c r="F19" s="67">
        <v>14.35</v>
      </c>
      <c r="G19" s="67">
        <v>18.260000000000002</v>
      </c>
      <c r="H19" s="67">
        <f>H17/IS_BS_Assumptions!H169</f>
        <v>18.663939166870335</v>
      </c>
      <c r="I19" s="127">
        <f>I17/IS_BS_Assumptions!I169</f>
        <v>12.679949196146644</v>
      </c>
      <c r="J19" s="127">
        <f>J17/IS_BS_Assumptions!J169</f>
        <v>21.724564740384821</v>
      </c>
      <c r="K19" s="127">
        <f>K17/IS_BS_Assumptions!K169</f>
        <v>26.28471841414239</v>
      </c>
      <c r="L19" s="127">
        <f>L17/IS_BS_Assumptions!L169</f>
        <v>37.95734561573672</v>
      </c>
      <c r="M19" s="127">
        <f>M17/IS_BS_Assumptions!M169</f>
        <v>37.066633813536413</v>
      </c>
      <c r="N19" s="127">
        <f>N17/IS_BS_Assumptions!N169</f>
        <v>29.154580459398783</v>
      </c>
      <c r="O19" s="127"/>
      <c r="P19" s="127"/>
    </row>
    <row r="20" spans="1:17">
      <c r="A20" s="1" t="s">
        <v>303</v>
      </c>
      <c r="B20" s="67">
        <f>B17/IS_BS_Assumptions!B170</f>
        <v>1.9413303957946759</v>
      </c>
      <c r="C20" s="67">
        <f>C17/IS_BS_Assumptions!C170</f>
        <v>4.0851622491721971</v>
      </c>
      <c r="D20" s="67">
        <f>D17/IS_BS_Assumptions!D170</f>
        <v>4.4632818270642245</v>
      </c>
      <c r="E20" s="67">
        <f>E17/IS_BS_Assumptions!E170</f>
        <v>3.6856559824007986</v>
      </c>
      <c r="F20" s="67">
        <f>F17/IS_BS_Assumptions!F170</f>
        <v>7.1758155451459968</v>
      </c>
      <c r="G20" s="67">
        <f>G17/IS_BS_Assumptions!G170</f>
        <v>9.1296110040324709</v>
      </c>
      <c r="H20" s="67">
        <f>H17/IS_BS_Assumptions!H170</f>
        <v>9.3319695834351677</v>
      </c>
      <c r="I20" s="127">
        <f>I17/IS_BS_Assumptions!I170</f>
        <v>6.3399745980733222</v>
      </c>
      <c r="J20" s="127">
        <f>J17/IS_BS_Assumptions!J170</f>
        <v>10.86228237019241</v>
      </c>
      <c r="K20" s="127">
        <f>K17/IS_BS_Assumptions!K170</f>
        <v>13.142359207071195</v>
      </c>
      <c r="L20" s="127">
        <f>L17/IS_BS_Assumptions!L170</f>
        <v>18.97867280786836</v>
      </c>
      <c r="M20" s="127">
        <f>M17/IS_BS_Assumptions!M170</f>
        <v>18.533316906768206</v>
      </c>
      <c r="N20" s="127">
        <f>N17/IS_BS_Assumptions!N170</f>
        <v>14.577290229699392</v>
      </c>
      <c r="O20" s="127"/>
      <c r="P20" s="127"/>
    </row>
    <row r="21" spans="1:17">
      <c r="A21" s="1" t="s">
        <v>2799</v>
      </c>
      <c r="B21" s="67">
        <f>IS_BS_Assumptions!B167</f>
        <v>0</v>
      </c>
      <c r="C21" s="67">
        <f>IS_BS_Assumptions!C167</f>
        <v>0.35</v>
      </c>
      <c r="D21" s="67">
        <f>IS_BS_Assumptions!D167</f>
        <v>0.50000267140038812</v>
      </c>
      <c r="E21" s="67">
        <f>IS_BS_Assumptions!E167</f>
        <v>0.50000267140038812</v>
      </c>
      <c r="F21" s="67">
        <f>IS_BS_Assumptions!F167</f>
        <v>0.50000267140038812</v>
      </c>
      <c r="G21" s="67">
        <f>IS_BS_Assumptions!G167</f>
        <v>1</v>
      </c>
      <c r="H21" s="67">
        <f>IS_BS_Assumptions!H167</f>
        <v>1.5</v>
      </c>
      <c r="I21" s="127">
        <f>IS_BS_Assumptions!I167</f>
        <v>0.95099618971099831</v>
      </c>
      <c r="J21" s="127">
        <f>IS_BS_Assumptions!J167</f>
        <v>1.6293423555288615</v>
      </c>
      <c r="K21" s="127">
        <f>IS_BS_Assumptions!K167</f>
        <v>1.9713538810606792</v>
      </c>
      <c r="L21" s="127">
        <f>IS_BS_Assumptions!L167</f>
        <v>2.8468009211802543</v>
      </c>
      <c r="M21" s="127">
        <f>IS_BS_Assumptions!M167</f>
        <v>2.7799975360152307</v>
      </c>
      <c r="N21" s="127">
        <f>IS_BS_Assumptions!N167</f>
        <v>2.186593534454909</v>
      </c>
      <c r="O21" s="127"/>
      <c r="P21" s="127"/>
    </row>
    <row r="22" spans="1:17">
      <c r="A22" s="1" t="s">
        <v>348</v>
      </c>
      <c r="B22" s="67">
        <f>B56/IS_BS_Assumptions!B169</f>
        <v>66.947638448664364</v>
      </c>
      <c r="C22" s="67">
        <f>C56/IS_BS_Assumptions!C169</f>
        <v>87.539429085005295</v>
      </c>
      <c r="D22" s="67">
        <f>D56/IS_BS_Assumptions!D169</f>
        <v>95.475209304220414</v>
      </c>
      <c r="E22" s="67">
        <f>E56/IS_BS_Assumptions!E169</f>
        <v>101.84229788518589</v>
      </c>
      <c r="F22" s="67">
        <f>F56/IS_BS_Assumptions!F169</f>
        <v>123.38568944169066</v>
      </c>
      <c r="G22" s="67">
        <f>G56/IS_BS_Assumptions!G169</f>
        <v>141.00412597789949</v>
      </c>
      <c r="H22" s="67">
        <f>H56/IS_BS_Assumptions!H169</f>
        <v>155.79692214604279</v>
      </c>
      <c r="I22" s="127">
        <f>I56/IS_BS_Assumptions!I169</f>
        <v>166.57487896276743</v>
      </c>
      <c r="J22" s="127">
        <f>J56/IS_BS_Assumptions!J169</f>
        <v>185.04075899209451</v>
      </c>
      <c r="K22" s="127">
        <f>K56/IS_BS_Assumptions!K169</f>
        <v>207.38276964411554</v>
      </c>
      <c r="L22" s="127">
        <f>L56/IS_BS_Assumptions!L169</f>
        <v>239.64651341749178</v>
      </c>
      <c r="M22" s="127">
        <f>M56/IS_BS_Assumptions!M169</f>
        <v>271.15315215899773</v>
      </c>
      <c r="N22" s="127">
        <f>N56/IS_BS_Assumptions!N169</f>
        <v>295.9345455494867</v>
      </c>
      <c r="O22" s="127"/>
      <c r="P22" s="127"/>
    </row>
    <row r="23" spans="1:17">
      <c r="A23" s="1" t="s">
        <v>347</v>
      </c>
      <c r="B23" s="67">
        <f>B56/IS_BS_Assumptions!B170</f>
        <v>33.473819224332182</v>
      </c>
      <c r="C23" s="67">
        <f>C56/IS_BS_Assumptions!C170</f>
        <v>43.769714542502648</v>
      </c>
      <c r="D23" s="67">
        <f>D56/IS_BS_Assumptions!D170</f>
        <v>47.737604652110207</v>
      </c>
      <c r="E23" s="67">
        <f>E56/IS_BS_Assumptions!E170</f>
        <v>50.921148942592943</v>
      </c>
      <c r="F23" s="67">
        <f>F56/IS_BS_Assumptions!F170</f>
        <v>61.692844720845329</v>
      </c>
      <c r="G23" s="67">
        <f>G56/IS_BS_Assumptions!G170</f>
        <v>70.502062988949746</v>
      </c>
      <c r="H23" s="67">
        <f>H56/IS_BS_Assumptions!H170</f>
        <v>77.898461073021394</v>
      </c>
      <c r="I23" s="127">
        <f>I56/IS_BS_Assumptions!I170</f>
        <v>83.287439481383714</v>
      </c>
      <c r="J23" s="127">
        <f>J56/IS_BS_Assumptions!J170</f>
        <v>92.520379496047255</v>
      </c>
      <c r="K23" s="127">
        <f>K56/IS_BS_Assumptions!K170</f>
        <v>103.69138482205777</v>
      </c>
      <c r="L23" s="127">
        <f>L56/IS_BS_Assumptions!L170</f>
        <v>119.82325670874589</v>
      </c>
      <c r="M23" s="127">
        <f>M56/IS_BS_Assumptions!M170</f>
        <v>135.57657607949886</v>
      </c>
      <c r="N23" s="127">
        <f>N56/IS_BS_Assumptions!N170</f>
        <v>147.96727277474335</v>
      </c>
      <c r="O23" s="127"/>
      <c r="P23" s="127"/>
    </row>
    <row r="24" spans="1:17">
      <c r="A24" s="1" t="s">
        <v>387</v>
      </c>
      <c r="B24" s="26">
        <f>B6/B4</f>
        <v>0.13469099339059787</v>
      </c>
      <c r="C24" s="26">
        <f t="shared" ref="C24:K24" si="10">C6/C4</f>
        <v>0.16605132693214464</v>
      </c>
      <c r="D24" s="26">
        <f t="shared" si="10"/>
        <v>0.16460068408461867</v>
      </c>
      <c r="E24" s="26">
        <f t="shared" si="10"/>
        <v>0.16807558263566019</v>
      </c>
      <c r="F24" s="26">
        <f t="shared" si="10"/>
        <v>0.1767329514814896</v>
      </c>
      <c r="G24" s="26">
        <f t="shared" si="10"/>
        <v>0.23862778451145647</v>
      </c>
      <c r="H24" s="26">
        <f t="shared" si="10"/>
        <v>0.22104148438945892</v>
      </c>
      <c r="I24" s="124">
        <f t="shared" si="10"/>
        <v>0.15689873893093445</v>
      </c>
      <c r="J24" s="124">
        <f t="shared" si="10"/>
        <v>0.17165569019328486</v>
      </c>
      <c r="K24" s="124">
        <f t="shared" si="10"/>
        <v>0.17554114153536132</v>
      </c>
      <c r="L24" s="124">
        <f t="shared" ref="L24:N24" si="11">L6/L4</f>
        <v>0.19538787291823798</v>
      </c>
      <c r="M24" s="124">
        <f t="shared" si="11"/>
        <v>0.18898249658181701</v>
      </c>
      <c r="N24" s="124">
        <f t="shared" si="11"/>
        <v>0.16041602121811113</v>
      </c>
      <c r="O24" s="204"/>
      <c r="P24" s="204"/>
    </row>
    <row r="25" spans="1:17">
      <c r="A25" s="1" t="s">
        <v>372</v>
      </c>
      <c r="B25" s="26">
        <f t="shared" ref="B25:D25" si="12">B15/B4</f>
        <v>2.9963121328006742E-2</v>
      </c>
      <c r="C25" s="26">
        <f t="shared" si="12"/>
        <v>5.4865429086936562E-2</v>
      </c>
      <c r="D25" s="26">
        <f t="shared" si="12"/>
        <v>5.2132854489976288E-2</v>
      </c>
      <c r="E25" s="26">
        <f>E15/E4</f>
        <v>4.4659663058749043E-2</v>
      </c>
      <c r="F25" s="26">
        <f t="shared" ref="F25:K25" si="13">F15/F4</f>
        <v>6.6130962299362106E-2</v>
      </c>
      <c r="G25" s="26">
        <f t="shared" si="13"/>
        <v>9.9071564122210271E-2</v>
      </c>
      <c r="H25" s="26">
        <f t="shared" si="13"/>
        <v>8.5580073532343884E-2</v>
      </c>
      <c r="I25" s="124">
        <f t="shared" si="13"/>
        <v>4.0674968978379709E-2</v>
      </c>
      <c r="J25" s="124">
        <f t="shared" si="13"/>
        <v>5.5226755264346346E-2</v>
      </c>
      <c r="K25" s="124">
        <f t="shared" si="13"/>
        <v>5.8862850423191497E-2</v>
      </c>
      <c r="L25" s="124">
        <f t="shared" ref="L25:N25" si="14">L15/L4</f>
        <v>7.4246675834786502E-2</v>
      </c>
      <c r="M25" s="124">
        <f t="shared" si="14"/>
        <v>6.9178272198020183E-2</v>
      </c>
      <c r="N25" s="124">
        <f t="shared" si="14"/>
        <v>4.923639470229637E-2</v>
      </c>
      <c r="O25" s="204"/>
      <c r="P25" s="204"/>
    </row>
    <row r="26" spans="1:17">
      <c r="B26" s="1"/>
      <c r="C26" s="1"/>
      <c r="D26" s="1"/>
      <c r="E26" s="1"/>
      <c r="F26" s="1"/>
      <c r="G26" s="1"/>
      <c r="H26" s="1"/>
      <c r="I26" s="57"/>
      <c r="J26" s="57"/>
      <c r="K26" s="57"/>
      <c r="L26" s="57"/>
      <c r="M26" s="57"/>
      <c r="N26" s="57"/>
      <c r="O26" s="57"/>
      <c r="P26" s="57"/>
    </row>
    <row r="27" spans="1:17">
      <c r="A27" s="3" t="s">
        <v>19</v>
      </c>
      <c r="B27" s="9"/>
      <c r="C27" s="9"/>
      <c r="D27" s="9"/>
      <c r="E27" s="9"/>
      <c r="F27" s="9"/>
      <c r="G27" s="9"/>
      <c r="H27" s="9"/>
      <c r="I27" s="9"/>
      <c r="J27" s="9"/>
      <c r="K27" s="9"/>
      <c r="L27" s="9"/>
      <c r="M27" s="9"/>
      <c r="N27" s="9"/>
      <c r="O27" s="9"/>
      <c r="P27" s="9"/>
    </row>
    <row r="28" spans="1:17">
      <c r="A28" s="3" t="s">
        <v>104</v>
      </c>
      <c r="B28" s="6" t="str">
        <f t="shared" ref="B28:K28" si="15">B3</f>
        <v>FY11</v>
      </c>
      <c r="C28" s="6" t="str">
        <f t="shared" si="15"/>
        <v>FY12</v>
      </c>
      <c r="D28" s="6" t="str">
        <f t="shared" si="15"/>
        <v>FY13</v>
      </c>
      <c r="E28" s="6" t="str">
        <f t="shared" si="15"/>
        <v>FY14</v>
      </c>
      <c r="F28" s="6" t="str">
        <f t="shared" si="15"/>
        <v>FY15</v>
      </c>
      <c r="G28" s="6" t="str">
        <f t="shared" si="15"/>
        <v>FY16</v>
      </c>
      <c r="H28" s="6" t="str">
        <f t="shared" si="15"/>
        <v>FY17</v>
      </c>
      <c r="I28" s="6" t="str">
        <f t="shared" si="15"/>
        <v>FY18E</v>
      </c>
      <c r="J28" s="6" t="str">
        <f t="shared" si="15"/>
        <v>FY19E</v>
      </c>
      <c r="K28" s="6" t="str">
        <f t="shared" si="15"/>
        <v>FY20E</v>
      </c>
      <c r="L28" s="6" t="str">
        <f t="shared" ref="L28:N28" si="16">L3</f>
        <v>FY21E</v>
      </c>
      <c r="M28" s="6" t="str">
        <f t="shared" si="16"/>
        <v>FY22E</v>
      </c>
      <c r="N28" s="6" t="str">
        <f t="shared" si="16"/>
        <v>FY23E</v>
      </c>
      <c r="O28" s="6"/>
      <c r="P28" s="6"/>
    </row>
    <row r="29" spans="1:17">
      <c r="A29" s="4" t="s">
        <v>20</v>
      </c>
      <c r="I29" s="57"/>
      <c r="J29" s="57"/>
      <c r="K29" s="57"/>
      <c r="L29" s="57"/>
      <c r="M29" s="57"/>
      <c r="N29" s="57"/>
      <c r="O29" s="57"/>
      <c r="P29" s="57"/>
    </row>
    <row r="30" spans="1:17">
      <c r="A30" s="4" t="s">
        <v>21</v>
      </c>
      <c r="I30" s="57"/>
      <c r="J30" s="57"/>
      <c r="K30" s="57"/>
      <c r="L30" s="57"/>
      <c r="M30" s="57"/>
      <c r="N30" s="57"/>
      <c r="O30" s="57"/>
      <c r="P30" s="57"/>
    </row>
    <row r="31" spans="1:17">
      <c r="A31" t="s">
        <v>73</v>
      </c>
      <c r="B31" s="115">
        <v>1943.59412</v>
      </c>
      <c r="C31" s="115">
        <v>3019.097025</v>
      </c>
      <c r="D31" s="115">
        <v>3104.4852980000001</v>
      </c>
      <c r="E31" s="115">
        <v>2949.2159999999999</v>
      </c>
      <c r="F31" s="115">
        <v>3535.21</v>
      </c>
      <c r="G31" s="115">
        <f>IS_BS_Assumptions!G105</f>
        <v>3466.4969999999998</v>
      </c>
      <c r="H31" s="115">
        <f>IS_BS_Assumptions!H105</f>
        <v>3347.7089999999998</v>
      </c>
      <c r="I31" s="107">
        <f>IS_BS_Assumptions!I105</f>
        <v>3263.4209033956149</v>
      </c>
      <c r="J31" s="107">
        <f>IS_BS_Assumptions!J105</f>
        <v>3182.0739591277807</v>
      </c>
      <c r="K31" s="107">
        <f>IS_BS_Assumptions!K105</f>
        <v>3103.5655385049577</v>
      </c>
      <c r="L31" s="107">
        <f>IS_BS_Assumptions!L105</f>
        <v>3027.7965939654246</v>
      </c>
      <c r="M31" s="107">
        <f>IS_BS_Assumptions!M105</f>
        <v>2954.6715341171825</v>
      </c>
      <c r="N31" s="107">
        <f>IS_BS_Assumptions!N105</f>
        <v>2884.0981031382285</v>
      </c>
      <c r="O31" s="107"/>
      <c r="P31" s="107"/>
    </row>
    <row r="32" spans="1:17">
      <c r="A32" t="s">
        <v>196</v>
      </c>
      <c r="B32" s="115">
        <v>133.22561899999999</v>
      </c>
      <c r="C32" s="115">
        <v>58.475347999999997</v>
      </c>
      <c r="D32" s="115">
        <v>37.951718</v>
      </c>
      <c r="E32" s="115">
        <v>49.764000000000003</v>
      </c>
      <c r="F32" s="115">
        <v>64.126999999999995</v>
      </c>
      <c r="G32" s="115">
        <f>IS_BS_Assumptions!G115</f>
        <v>32.853000000000002</v>
      </c>
      <c r="H32" s="115">
        <f>IS_BS_Assumptions!H115</f>
        <v>31.678000000000001</v>
      </c>
      <c r="I32" s="107">
        <f>IS_BS_Assumptions!I115</f>
        <v>32.067333333333337</v>
      </c>
      <c r="J32" s="107">
        <f>IS_BS_Assumptions!J115</f>
        <v>39.423666666666676</v>
      </c>
      <c r="K32" s="107">
        <f>IS_BS_Assumptions!K115</f>
        <v>33.777777777777786</v>
      </c>
      <c r="L32" s="107">
        <f>IS_BS_Assumptions!L115</f>
        <v>37.616666666666674</v>
      </c>
      <c r="M32" s="107">
        <f>IS_BS_Assumptions!M115</f>
        <v>38.316592592592599</v>
      </c>
      <c r="N32" s="107">
        <f>IS_BS_Assumptions!N115</f>
        <v>40.166370370370387</v>
      </c>
      <c r="O32" s="107"/>
      <c r="P32" s="107"/>
    </row>
    <row r="33" spans="1:16">
      <c r="A33" t="s">
        <v>50</v>
      </c>
      <c r="B33" s="115">
        <v>125</v>
      </c>
      <c r="C33" s="115">
        <v>130</v>
      </c>
      <c r="D33" s="115">
        <v>130</v>
      </c>
      <c r="E33" s="115">
        <v>317</v>
      </c>
      <c r="F33" s="115">
        <v>493</v>
      </c>
      <c r="G33" s="115">
        <f>IS_BS_Assumptions!G122</f>
        <v>516</v>
      </c>
      <c r="H33" s="115">
        <f>IS_BS_Assumptions!H122</f>
        <v>538.75</v>
      </c>
      <c r="I33" s="107">
        <f>IS_BS_Assumptions!I122</f>
        <v>562.50302810077517</v>
      </c>
      <c r="J33" s="107">
        <f>IS_BS_Assumptions!J122</f>
        <v>587.30330695599343</v>
      </c>
      <c r="K33" s="107">
        <f>IS_BS_Assumptions!K122</f>
        <v>613.19700895841368</v>
      </c>
      <c r="L33" s="107">
        <f>IS_BS_Assumptions!L122</f>
        <v>640.23234220221968</v>
      </c>
      <c r="M33" s="107">
        <f>IS_BS_Assumptions!M122</f>
        <v>668.45964023536021</v>
      </c>
      <c r="N33" s="107">
        <f>IS_BS_Assumptions!N122</f>
        <v>697.93145576899281</v>
      </c>
      <c r="O33" s="107"/>
      <c r="P33" s="107"/>
    </row>
    <row r="34" spans="1:16">
      <c r="A34" t="s">
        <v>102</v>
      </c>
      <c r="B34" s="115">
        <v>5.9937019999999999</v>
      </c>
      <c r="C34" s="115">
        <v>5.9937019999999999</v>
      </c>
      <c r="D34" s="115">
        <v>5.9937019999999999</v>
      </c>
      <c r="E34" s="115">
        <v>14.06</v>
      </c>
      <c r="F34" s="115">
        <v>13.689</v>
      </c>
      <c r="G34" s="115">
        <f>IS_BS_Assumptions!G127</f>
        <v>11.487</v>
      </c>
      <c r="H34" s="115">
        <f>IS_BS_Assumptions!H127</f>
        <v>9.1379999999999999</v>
      </c>
      <c r="I34" s="107">
        <f>IS_BS_Assumptions!I127</f>
        <v>8.9543306346304519</v>
      </c>
      <c r="J34" s="107">
        <f>IS_BS_Assumptions!J127</f>
        <v>8.8145519637798735</v>
      </c>
      <c r="K34" s="107">
        <f>IS_BS_Assumptions!K127</f>
        <v>8.7081756130724859</v>
      </c>
      <c r="L34" s="107">
        <f>IS_BS_Assumptions!L127</f>
        <v>8.6272195707738888</v>
      </c>
      <c r="M34" s="107">
        <f>IS_BS_Assumptions!M127</f>
        <v>8.5656092528689243</v>
      </c>
      <c r="N34" s="107">
        <f>IS_BS_Assumptions!N127</f>
        <v>8.5187216930948146</v>
      </c>
      <c r="O34" s="107"/>
      <c r="P34" s="107"/>
    </row>
    <row r="35" spans="1:16">
      <c r="A35" t="s">
        <v>3946</v>
      </c>
      <c r="B35" s="115">
        <v>1.7984439999999999</v>
      </c>
      <c r="C35" s="115">
        <v>1.77624</v>
      </c>
      <c r="D35" s="115">
        <v>1.7540370000000001</v>
      </c>
      <c r="E35" s="115">
        <v>1.732</v>
      </c>
      <c r="F35" s="115">
        <v>1.71</v>
      </c>
      <c r="G35" s="115">
        <v>1.6879999999999999</v>
      </c>
      <c r="H35" s="115">
        <f>1.666+1.774</f>
        <v>3.44</v>
      </c>
      <c r="I35" s="107">
        <f t="shared" ref="H35:N36" si="17">H35</f>
        <v>3.44</v>
      </c>
      <c r="J35" s="107">
        <f t="shared" si="17"/>
        <v>3.44</v>
      </c>
      <c r="K35" s="107">
        <f t="shared" si="17"/>
        <v>3.44</v>
      </c>
      <c r="L35" s="107">
        <f t="shared" si="17"/>
        <v>3.44</v>
      </c>
      <c r="M35" s="107">
        <f t="shared" si="17"/>
        <v>3.44</v>
      </c>
      <c r="N35" s="107">
        <f t="shared" si="17"/>
        <v>3.44</v>
      </c>
      <c r="O35" s="107"/>
      <c r="P35" s="107"/>
    </row>
    <row r="36" spans="1:16">
      <c r="A36" t="s">
        <v>103</v>
      </c>
      <c r="B36" s="115" t="s">
        <v>88</v>
      </c>
      <c r="C36" s="115">
        <v>0</v>
      </c>
      <c r="D36" s="115">
        <v>0</v>
      </c>
      <c r="E36" s="115">
        <v>0</v>
      </c>
      <c r="F36" s="115">
        <v>0</v>
      </c>
      <c r="G36" s="115">
        <v>0</v>
      </c>
      <c r="H36" s="115">
        <f t="shared" si="17"/>
        <v>0</v>
      </c>
      <c r="I36" s="107">
        <f t="shared" si="17"/>
        <v>0</v>
      </c>
      <c r="J36" s="107">
        <f t="shared" si="17"/>
        <v>0</v>
      </c>
      <c r="K36" s="107">
        <f t="shared" si="17"/>
        <v>0</v>
      </c>
      <c r="L36" s="107">
        <f t="shared" si="17"/>
        <v>0</v>
      </c>
      <c r="M36" s="107">
        <f t="shared" si="17"/>
        <v>0</v>
      </c>
      <c r="N36" s="107">
        <f t="shared" si="17"/>
        <v>0</v>
      </c>
      <c r="O36" s="107"/>
      <c r="P36" s="107"/>
    </row>
    <row r="37" spans="1:16">
      <c r="A37" t="s">
        <v>94</v>
      </c>
      <c r="B37" s="115">
        <v>25.816147000000001</v>
      </c>
      <c r="C37" s="115">
        <v>0</v>
      </c>
      <c r="D37" s="115">
        <v>0</v>
      </c>
      <c r="E37" s="115">
        <v>0</v>
      </c>
      <c r="F37" s="115">
        <v>823.74900000000002</v>
      </c>
      <c r="G37" s="115">
        <v>301.50299999999999</v>
      </c>
      <c r="H37" s="115">
        <f>IS_BS_Assumptions!H181</f>
        <v>275.286</v>
      </c>
      <c r="I37" s="107">
        <f>IS_BS_Assumptions!I181</f>
        <v>283.54458</v>
      </c>
      <c r="J37" s="107">
        <f>IS_BS_Assumptions!J181</f>
        <v>292.0509174</v>
      </c>
      <c r="K37" s="107">
        <f>IS_BS_Assumptions!K181</f>
        <v>300.812444922</v>
      </c>
      <c r="L37" s="107">
        <f>IS_BS_Assumptions!L181</f>
        <v>309.83681826966</v>
      </c>
      <c r="M37" s="107">
        <f>IS_BS_Assumptions!M181</f>
        <v>319.1319228177498</v>
      </c>
      <c r="N37" s="107">
        <f>IS_BS_Assumptions!N181</f>
        <v>328.7058805022823</v>
      </c>
      <c r="O37" s="107"/>
      <c r="P37" s="107"/>
    </row>
    <row r="38" spans="1:16">
      <c r="A38" t="s">
        <v>23</v>
      </c>
      <c r="B38" s="116">
        <v>0</v>
      </c>
      <c r="C38" s="116">
        <v>28.097460999999999</v>
      </c>
      <c r="D38" s="116">
        <v>26.924956000000002</v>
      </c>
      <c r="E38" s="116">
        <v>25.832000000000001</v>
      </c>
      <c r="F38" s="116">
        <v>30.145</v>
      </c>
      <c r="G38" s="116">
        <v>31.629000000000001</v>
      </c>
      <c r="H38" s="116">
        <v>34.210999999999999</v>
      </c>
      <c r="I38" s="107">
        <f t="shared" ref="I38:N38" si="18">H38</f>
        <v>34.210999999999999</v>
      </c>
      <c r="J38" s="107">
        <f t="shared" si="18"/>
        <v>34.210999999999999</v>
      </c>
      <c r="K38" s="107">
        <f t="shared" si="18"/>
        <v>34.210999999999999</v>
      </c>
      <c r="L38" s="107">
        <f t="shared" si="18"/>
        <v>34.210999999999999</v>
      </c>
      <c r="M38" s="107">
        <f t="shared" si="18"/>
        <v>34.210999999999999</v>
      </c>
      <c r="N38" s="107">
        <f t="shared" si="18"/>
        <v>34.210999999999999</v>
      </c>
      <c r="O38" s="107"/>
      <c r="P38" s="107"/>
    </row>
    <row r="39" spans="1:16" ht="15" thickBot="1">
      <c r="A39" t="s">
        <v>431</v>
      </c>
      <c r="B39" s="117">
        <f t="shared" ref="B39:G39" si="19">SUM(B31:B38)</f>
        <v>2235.4280320000003</v>
      </c>
      <c r="C39" s="117">
        <f t="shared" si="19"/>
        <v>3243.4397760000002</v>
      </c>
      <c r="D39" s="117">
        <f t="shared" si="19"/>
        <v>3307.1097110000001</v>
      </c>
      <c r="E39" s="117">
        <f t="shared" si="19"/>
        <v>3357.6039999999998</v>
      </c>
      <c r="F39" s="117">
        <f t="shared" si="19"/>
        <v>4961.63</v>
      </c>
      <c r="G39" s="117">
        <f t="shared" si="19"/>
        <v>4361.6570000000002</v>
      </c>
      <c r="H39" s="117">
        <f t="shared" ref="H39:N39" si="20">SUM(H31:H38)</f>
        <v>4240.2119999999995</v>
      </c>
      <c r="I39" s="118">
        <f t="shared" si="20"/>
        <v>4188.1411754643541</v>
      </c>
      <c r="J39" s="118">
        <f t="shared" si="20"/>
        <v>4147.3174021142204</v>
      </c>
      <c r="K39" s="118">
        <f t="shared" si="20"/>
        <v>4097.7119457762219</v>
      </c>
      <c r="L39" s="118">
        <f t="shared" si="20"/>
        <v>4061.7606406747445</v>
      </c>
      <c r="M39" s="118">
        <f t="shared" si="20"/>
        <v>4026.7962990157539</v>
      </c>
      <c r="N39" s="118">
        <f t="shared" si="20"/>
        <v>3997.0715314729682</v>
      </c>
      <c r="O39" s="203"/>
      <c r="P39" s="203"/>
    </row>
    <row r="40" spans="1:16">
      <c r="A40" s="4" t="s">
        <v>51</v>
      </c>
      <c r="B40" s="99"/>
      <c r="C40" s="99"/>
      <c r="D40" s="99"/>
      <c r="E40" s="99"/>
      <c r="F40" s="99"/>
      <c r="G40" s="99"/>
      <c r="H40" s="99"/>
      <c r="I40" s="107"/>
      <c r="J40" s="107"/>
      <c r="K40" s="107"/>
      <c r="L40" s="107"/>
      <c r="M40" s="107"/>
      <c r="N40" s="107"/>
      <c r="O40" s="107"/>
      <c r="P40" s="107"/>
    </row>
    <row r="41" spans="1:16">
      <c r="A41" t="s">
        <v>52</v>
      </c>
      <c r="B41" s="115">
        <v>3414.6610089999999</v>
      </c>
      <c r="C41" s="115">
        <v>2875.0318160000002</v>
      </c>
      <c r="D41" s="115">
        <v>3230.029673</v>
      </c>
      <c r="E41" s="115">
        <v>3940.0540000000001</v>
      </c>
      <c r="F41" s="115">
        <v>5099.2759999999998</v>
      </c>
      <c r="G41" s="115">
        <f>IS_BS_Assumptions!G135</f>
        <v>3986.77</v>
      </c>
      <c r="H41" s="115">
        <f>IS_BS_Assumptions!H135</f>
        <v>4363.3370000000004</v>
      </c>
      <c r="I41" s="107">
        <f>IS_BS_Assumptions!I135</f>
        <v>6250.7943159185807</v>
      </c>
      <c r="J41" s="107">
        <f>IS_BS_Assumptions!J135</f>
        <v>7792.9628726709334</v>
      </c>
      <c r="K41" s="107">
        <f>IS_BS_Assumptions!K135</f>
        <v>8953.5320391987643</v>
      </c>
      <c r="L41" s="107">
        <f>IS_BS_Assumptions!L135</f>
        <v>9931.8587034778739</v>
      </c>
      <c r="M41" s="107">
        <f>IS_BS_Assumptions!M135</f>
        <v>10518.885328455211</v>
      </c>
      <c r="N41" s="107">
        <f>IS_BS_Assumptions!N135</f>
        <v>12085.13456223229</v>
      </c>
      <c r="O41" s="107"/>
      <c r="P41" s="107"/>
    </row>
    <row r="42" spans="1:16">
      <c r="A42" t="s">
        <v>25</v>
      </c>
      <c r="B42" s="115">
        <v>2913.9024760000002</v>
      </c>
      <c r="C42" s="115">
        <v>2783.9522919999999</v>
      </c>
      <c r="D42" s="115">
        <v>3356.4190570000001</v>
      </c>
      <c r="E42" s="115">
        <v>3985.3240000000001</v>
      </c>
      <c r="F42" s="115">
        <v>4968.3869999999997</v>
      </c>
      <c r="G42" s="115">
        <f>IS_BS_Assumptions!G147</f>
        <v>4250.7269999999999</v>
      </c>
      <c r="H42" s="115">
        <f>IS_BS_Assumptions!H147</f>
        <v>5334.17</v>
      </c>
      <c r="I42" s="107">
        <f>IS_BS_Assumptions!I147</f>
        <v>6470.5623251898223</v>
      </c>
      <c r="J42" s="107">
        <f>IS_BS_Assumptions!J147</f>
        <v>8164.94564067799</v>
      </c>
      <c r="K42" s="107">
        <f>IS_BS_Assumptions!K147</f>
        <v>9268.5923509967488</v>
      </c>
      <c r="L42" s="107">
        <f>IS_BS_Assumptions!L147</f>
        <v>10611.348102628324</v>
      </c>
      <c r="M42" s="107">
        <f>IS_BS_Assumptions!M147</f>
        <v>11862.982834544804</v>
      </c>
      <c r="N42" s="107">
        <f>IS_BS_Assumptions!N147</f>
        <v>13109.949443460353</v>
      </c>
      <c r="O42" s="107"/>
      <c r="P42" s="107"/>
    </row>
    <row r="43" spans="1:16">
      <c r="A43" t="s">
        <v>22</v>
      </c>
      <c r="B43" s="115">
        <v>2.2203000000000001E-2</v>
      </c>
      <c r="C43" s="115">
        <v>2.2203000000000001E-2</v>
      </c>
      <c r="D43" s="115">
        <v>2.2203000000000001E-2</v>
      </c>
      <c r="E43" s="115">
        <v>2.1999999999999999E-2</v>
      </c>
      <c r="F43" s="115">
        <v>2.1999999999999999E-2</v>
      </c>
      <c r="G43" s="115">
        <f>F43</f>
        <v>2.1999999999999999E-2</v>
      </c>
      <c r="H43" s="115">
        <v>2.1999999999999999E-2</v>
      </c>
      <c r="I43" s="107">
        <f t="shared" ref="I43:N43" si="21">H43</f>
        <v>2.1999999999999999E-2</v>
      </c>
      <c r="J43" s="107">
        <f t="shared" si="21"/>
        <v>2.1999999999999999E-2</v>
      </c>
      <c r="K43" s="107">
        <f t="shared" si="21"/>
        <v>2.1999999999999999E-2</v>
      </c>
      <c r="L43" s="107">
        <f t="shared" si="21"/>
        <v>2.1999999999999999E-2</v>
      </c>
      <c r="M43" s="107">
        <f t="shared" si="21"/>
        <v>2.1999999999999999E-2</v>
      </c>
      <c r="N43" s="107">
        <f t="shared" si="21"/>
        <v>2.1999999999999999E-2</v>
      </c>
      <c r="O43" s="107"/>
      <c r="P43" s="107"/>
    </row>
    <row r="44" spans="1:16">
      <c r="A44" t="s">
        <v>255</v>
      </c>
      <c r="B44" s="115">
        <v>0</v>
      </c>
      <c r="C44" s="115">
        <v>0</v>
      </c>
      <c r="D44" s="115">
        <v>0</v>
      </c>
      <c r="E44" s="115">
        <v>0</v>
      </c>
      <c r="F44" s="115">
        <v>0</v>
      </c>
      <c r="G44" s="115">
        <v>1067.3150000000001</v>
      </c>
      <c r="H44" s="115">
        <v>402.75200000000001</v>
      </c>
      <c r="I44" s="107">
        <f>IS_BS_Assumptions!I201</f>
        <v>502.75200000000001</v>
      </c>
      <c r="J44" s="107">
        <f>IS_BS_Assumptions!J201</f>
        <v>602.75199999999995</v>
      </c>
      <c r="K44" s="107">
        <f>IS_BS_Assumptions!K201</f>
        <v>702.75199999999995</v>
      </c>
      <c r="L44" s="107">
        <f>IS_BS_Assumptions!L201</f>
        <v>802.75199999999995</v>
      </c>
      <c r="M44" s="107">
        <f>IS_BS_Assumptions!M201</f>
        <v>902.75199999999995</v>
      </c>
      <c r="N44" s="107">
        <f>IS_BS_Assumptions!N201</f>
        <v>1002.752</v>
      </c>
      <c r="O44" s="107"/>
      <c r="P44" s="107"/>
    </row>
    <row r="45" spans="1:16">
      <c r="A45" t="s">
        <v>26</v>
      </c>
      <c r="B45" s="119">
        <v>382.09187700000001</v>
      </c>
      <c r="C45" s="119">
        <v>665.30256899999995</v>
      </c>
      <c r="D45" s="119">
        <v>1015.584792</v>
      </c>
      <c r="E45" s="119">
        <v>765.46900000000005</v>
      </c>
      <c r="F45" s="119">
        <v>1038.758</v>
      </c>
      <c r="G45" s="119">
        <f>IS_BS_Assumptions!G205</f>
        <v>1707.3049999999998</v>
      </c>
      <c r="H45" s="119">
        <f>IS_BS_Assumptions!H205</f>
        <v>2224.971</v>
      </c>
      <c r="I45" s="107">
        <f>IS_BS_Assumptions!I205</f>
        <v>2137.4095513979237</v>
      </c>
      <c r="J45" s="107">
        <f>IS_BS_Assumptions!J205</f>
        <v>1477.4146566073698</v>
      </c>
      <c r="K45" s="107">
        <f>IS_BS_Assumptions!K205</f>
        <v>1171.702213877486</v>
      </c>
      <c r="L45" s="107">
        <f>IS_BS_Assumptions!L205</f>
        <v>2145.6599125261978</v>
      </c>
      <c r="M45" s="107">
        <f>IS_BS_Assumptions!M205</f>
        <v>2716.7655716997256</v>
      </c>
      <c r="N45" s="107">
        <f>IS_BS_Assumptions!N205</f>
        <v>2360.4372874890746</v>
      </c>
      <c r="O45" s="107"/>
      <c r="P45" s="107"/>
    </row>
    <row r="46" spans="1:16">
      <c r="A46" t="s">
        <v>432</v>
      </c>
      <c r="B46" s="120">
        <f t="shared" ref="B46:G46" si="22">SUM(B41:B45)</f>
        <v>6710.6775650000009</v>
      </c>
      <c r="C46" s="120">
        <f t="shared" si="22"/>
        <v>6324.3088800000005</v>
      </c>
      <c r="D46" s="120">
        <f t="shared" si="22"/>
        <v>7602.0557250000002</v>
      </c>
      <c r="E46" s="120">
        <f t="shared" si="22"/>
        <v>8690.8690000000006</v>
      </c>
      <c r="F46" s="120">
        <f t="shared" si="22"/>
        <v>11106.443000000001</v>
      </c>
      <c r="G46" s="120">
        <f t="shared" si="22"/>
        <v>11012.139000000001</v>
      </c>
      <c r="H46" s="120">
        <f t="shared" ref="H46:N46" si="23">SUM(H41:H45)</f>
        <v>12325.252000000002</v>
      </c>
      <c r="I46" s="121">
        <f t="shared" si="23"/>
        <v>15361.540192506327</v>
      </c>
      <c r="J46" s="121">
        <f t="shared" si="23"/>
        <v>18038.097169956294</v>
      </c>
      <c r="K46" s="121">
        <f t="shared" si="23"/>
        <v>20096.600604072999</v>
      </c>
      <c r="L46" s="121">
        <f t="shared" si="23"/>
        <v>23491.640718632396</v>
      </c>
      <c r="M46" s="121">
        <f t="shared" si="23"/>
        <v>26001.40773469974</v>
      </c>
      <c r="N46" s="121">
        <f t="shared" si="23"/>
        <v>28558.29529318172</v>
      </c>
      <c r="O46" s="203"/>
      <c r="P46" s="203"/>
    </row>
    <row r="47" spans="1:16" ht="15" thickBot="1">
      <c r="A47" s="4" t="s">
        <v>27</v>
      </c>
      <c r="B47" s="117">
        <f t="shared" ref="B47:G47" si="24">B46+B39</f>
        <v>8946.1055970000016</v>
      </c>
      <c r="C47" s="117">
        <f t="shared" si="24"/>
        <v>9567.7486559999998</v>
      </c>
      <c r="D47" s="117">
        <f t="shared" si="24"/>
        <v>10909.165435999999</v>
      </c>
      <c r="E47" s="117">
        <f t="shared" si="24"/>
        <v>12048.473</v>
      </c>
      <c r="F47" s="117">
        <f t="shared" si="24"/>
        <v>16068.073</v>
      </c>
      <c r="G47" s="117">
        <f t="shared" si="24"/>
        <v>15373.796000000002</v>
      </c>
      <c r="H47" s="117">
        <f t="shared" ref="H47:N47" si="25">H46+H39</f>
        <v>16565.464</v>
      </c>
      <c r="I47" s="118">
        <f t="shared" si="25"/>
        <v>19549.681367970683</v>
      </c>
      <c r="J47" s="118">
        <f t="shared" si="25"/>
        <v>22185.414572070513</v>
      </c>
      <c r="K47" s="118">
        <f t="shared" si="25"/>
        <v>24194.312549849223</v>
      </c>
      <c r="L47" s="118">
        <f t="shared" si="25"/>
        <v>27553.40135930714</v>
      </c>
      <c r="M47" s="118">
        <f t="shared" si="25"/>
        <v>30028.204033715494</v>
      </c>
      <c r="N47" s="118">
        <f t="shared" si="25"/>
        <v>32555.366824654688</v>
      </c>
      <c r="O47" s="203"/>
      <c r="P47" s="203"/>
    </row>
    <row r="48" spans="1:16">
      <c r="B48" s="115"/>
      <c r="C48" s="115"/>
      <c r="D48" s="115"/>
      <c r="E48" s="115"/>
      <c r="F48" s="115"/>
      <c r="G48" s="115"/>
      <c r="H48" s="115"/>
      <c r="I48" s="111"/>
      <c r="J48" s="111"/>
      <c r="K48" s="111"/>
      <c r="L48" s="111"/>
      <c r="M48" s="111"/>
      <c r="N48" s="111"/>
      <c r="O48" s="111"/>
      <c r="P48" s="111"/>
    </row>
    <row r="49" spans="1:17">
      <c r="A49" s="4" t="s">
        <v>28</v>
      </c>
      <c r="B49" s="115"/>
      <c r="C49" s="115"/>
      <c r="D49" s="115"/>
      <c r="E49" s="115"/>
      <c r="F49" s="115"/>
      <c r="G49" s="115"/>
      <c r="H49" s="115"/>
      <c r="I49" s="122"/>
      <c r="J49" s="122"/>
      <c r="K49" s="122"/>
      <c r="L49" s="122"/>
      <c r="M49" s="122"/>
      <c r="N49" s="122"/>
      <c r="O49" s="205"/>
      <c r="P49" s="205"/>
    </row>
    <row r="50" spans="1:17">
      <c r="A50" s="4" t="s">
        <v>29</v>
      </c>
      <c r="B50" s="115"/>
      <c r="C50" s="115"/>
      <c r="D50" s="115"/>
      <c r="E50" s="115"/>
      <c r="F50" s="115"/>
      <c r="G50" s="115"/>
      <c r="H50" s="115"/>
      <c r="I50" s="111"/>
      <c r="J50" s="111"/>
      <c r="K50" s="111"/>
      <c r="L50" s="111"/>
      <c r="M50" s="111"/>
      <c r="N50" s="111"/>
      <c r="O50" s="111"/>
      <c r="P50" s="111"/>
    </row>
    <row r="51" spans="1:17">
      <c r="A51" t="s">
        <v>30</v>
      </c>
      <c r="B51" s="115">
        <v>299.48840000000001</v>
      </c>
      <c r="C51" s="115">
        <v>299.48840000000001</v>
      </c>
      <c r="D51" s="115">
        <v>299.48840000000001</v>
      </c>
      <c r="E51" s="115">
        <v>299.488</v>
      </c>
      <c r="F51" s="115">
        <v>299.488</v>
      </c>
      <c r="G51" s="115">
        <f>F51</f>
        <v>299.488</v>
      </c>
      <c r="H51" s="115">
        <f t="shared" ref="H51:N52" si="26">G51</f>
        <v>299.488</v>
      </c>
      <c r="I51" s="107">
        <f t="shared" si="26"/>
        <v>299.488</v>
      </c>
      <c r="J51" s="107">
        <f t="shared" si="26"/>
        <v>299.488</v>
      </c>
      <c r="K51" s="107">
        <f t="shared" si="26"/>
        <v>299.488</v>
      </c>
      <c r="L51" s="107">
        <f t="shared" si="26"/>
        <v>299.488</v>
      </c>
      <c r="M51" s="107">
        <f t="shared" si="26"/>
        <v>299.488</v>
      </c>
      <c r="N51" s="107">
        <f t="shared" si="26"/>
        <v>299.488</v>
      </c>
      <c r="O51" s="107"/>
      <c r="P51" s="107"/>
    </row>
    <row r="52" spans="1:17">
      <c r="A52" t="s">
        <v>31</v>
      </c>
      <c r="B52" s="115">
        <v>863.31952000000001</v>
      </c>
      <c r="C52" s="115">
        <v>1447.7807479999999</v>
      </c>
      <c r="D52" s="115">
        <v>1443.836425</v>
      </c>
      <c r="E52" s="115">
        <v>1357.9570000000001</v>
      </c>
      <c r="F52" s="115">
        <v>1818.019</v>
      </c>
      <c r="G52" s="115">
        <v>1875.347</v>
      </c>
      <c r="H52" s="115">
        <v>1790.5889999999999</v>
      </c>
      <c r="I52" s="107">
        <f t="shared" si="26"/>
        <v>1790.5889999999999</v>
      </c>
      <c r="J52" s="107">
        <f t="shared" si="26"/>
        <v>1790.5889999999999</v>
      </c>
      <c r="K52" s="107">
        <f t="shared" si="26"/>
        <v>1790.5889999999999</v>
      </c>
      <c r="L52" s="107">
        <f t="shared" si="26"/>
        <v>1790.5889999999999</v>
      </c>
      <c r="M52" s="107">
        <f t="shared" si="26"/>
        <v>1790.5889999999999</v>
      </c>
      <c r="N52" s="107">
        <f t="shared" si="26"/>
        <v>1790.5889999999999</v>
      </c>
      <c r="O52" s="107"/>
      <c r="P52" s="107"/>
    </row>
    <row r="53" spans="1:17">
      <c r="A53" t="s">
        <v>32</v>
      </c>
      <c r="B53" s="115">
        <v>1123.8250800000001</v>
      </c>
      <c r="C53" s="115">
        <v>1123.8250800000001</v>
      </c>
      <c r="D53" s="115">
        <v>1123.8250800000001</v>
      </c>
      <c r="E53" s="115">
        <v>1123.825</v>
      </c>
      <c r="F53" s="115">
        <v>1123.825</v>
      </c>
      <c r="G53" s="115">
        <v>1123.825</v>
      </c>
      <c r="H53" s="115">
        <v>1123.825</v>
      </c>
      <c r="I53" s="107">
        <f t="shared" ref="I53:N54" si="27">H53</f>
        <v>1123.825</v>
      </c>
      <c r="J53" s="107">
        <f t="shared" si="27"/>
        <v>1123.825</v>
      </c>
      <c r="K53" s="107">
        <f t="shared" si="27"/>
        <v>1123.825</v>
      </c>
      <c r="L53" s="107">
        <f t="shared" si="27"/>
        <v>1123.825</v>
      </c>
      <c r="M53" s="107">
        <f t="shared" si="27"/>
        <v>1123.825</v>
      </c>
      <c r="N53" s="107">
        <f t="shared" si="27"/>
        <v>1123.825</v>
      </c>
      <c r="O53" s="107"/>
      <c r="P53" s="107"/>
    </row>
    <row r="54" spans="1:17">
      <c r="A54" t="s">
        <v>33</v>
      </c>
      <c r="B54" s="115">
        <v>0</v>
      </c>
      <c r="C54" s="115">
        <v>-2.150614</v>
      </c>
      <c r="D54" s="115">
        <v>-2.5432260000000002</v>
      </c>
      <c r="E54" s="115">
        <v>-3.7389999999999999</v>
      </c>
      <c r="F54" s="115">
        <v>10.528</v>
      </c>
      <c r="G54" s="115">
        <v>4.8540000000000001</v>
      </c>
      <c r="H54" s="115">
        <v>6.7519999999999998</v>
      </c>
      <c r="I54" s="107">
        <f t="shared" si="27"/>
        <v>6.7519999999999998</v>
      </c>
      <c r="J54" s="107">
        <f t="shared" si="27"/>
        <v>6.7519999999999998</v>
      </c>
      <c r="K54" s="107">
        <f t="shared" si="27"/>
        <v>6.7519999999999998</v>
      </c>
      <c r="L54" s="107">
        <f t="shared" si="27"/>
        <v>6.7519999999999998</v>
      </c>
      <c r="M54" s="107">
        <f t="shared" si="27"/>
        <v>6.7519999999999998</v>
      </c>
      <c r="N54" s="107">
        <f t="shared" si="27"/>
        <v>6.7519999999999998</v>
      </c>
      <c r="O54" s="107"/>
      <c r="P54" s="107"/>
    </row>
    <row r="55" spans="1:17">
      <c r="A55" t="s">
        <v>34</v>
      </c>
      <c r="B55" s="119">
        <v>1723.107434</v>
      </c>
      <c r="C55" s="119">
        <v>2374.114939</v>
      </c>
      <c r="D55" s="119">
        <v>2853.7549549999999</v>
      </c>
      <c r="E55" s="119">
        <v>3322.1790000000001</v>
      </c>
      <c r="F55" s="119">
        <v>4138.1629999999996</v>
      </c>
      <c r="G55" s="119">
        <v>5141.7420000000002</v>
      </c>
      <c r="H55" s="119">
        <f>IS_BS_Assumptions!H163</f>
        <v>6110.5969999999998</v>
      </c>
      <c r="I55" s="109">
        <f>IS_BS_Assumptions!I163</f>
        <v>6756.1284966347248</v>
      </c>
      <c r="J55" s="109">
        <f>IS_BS_Assumptions!J163</f>
        <v>7862.1180060296319</v>
      </c>
      <c r="K55" s="109">
        <f>IS_BS_Assumptions!K163</f>
        <v>9200.2632425783704</v>
      </c>
      <c r="L55" s="109">
        <f>IS_BS_Assumptions!L163</f>
        <v>11132.657587742959</v>
      </c>
      <c r="M55" s="109">
        <f>IS_BS_Assumptions!M163</f>
        <v>13019.70612640232</v>
      </c>
      <c r="N55" s="109">
        <f>IS_BS_Assumptions!N163</f>
        <v>14503.954972086382</v>
      </c>
      <c r="O55" s="107"/>
      <c r="P55" s="107"/>
    </row>
    <row r="56" spans="1:17">
      <c r="A56" s="4" t="s">
        <v>35</v>
      </c>
      <c r="B56" s="115">
        <f t="shared" ref="B56:G56" si="28">SUM(B51:B55)</f>
        <v>4009.7404339999998</v>
      </c>
      <c r="C56" s="115">
        <f t="shared" si="28"/>
        <v>5243.0585529999998</v>
      </c>
      <c r="D56" s="115">
        <f t="shared" si="28"/>
        <v>5718.3616340000008</v>
      </c>
      <c r="E56" s="115">
        <f t="shared" si="28"/>
        <v>6099.7100000000009</v>
      </c>
      <c r="F56" s="115">
        <f t="shared" si="28"/>
        <v>7390.0229999999992</v>
      </c>
      <c r="G56" s="115">
        <f t="shared" si="28"/>
        <v>8445.2559999999994</v>
      </c>
      <c r="H56" s="115">
        <f t="shared" ref="H56:N56" si="29">SUM(H51:H55)</f>
        <v>9331.2510000000002</v>
      </c>
      <c r="I56" s="106">
        <f t="shared" si="29"/>
        <v>9976.7824966347252</v>
      </c>
      <c r="J56" s="106">
        <f t="shared" si="29"/>
        <v>11082.772006029632</v>
      </c>
      <c r="K56" s="106">
        <f t="shared" si="29"/>
        <v>12420.917242578371</v>
      </c>
      <c r="L56" s="106">
        <f t="shared" si="29"/>
        <v>14353.311587742959</v>
      </c>
      <c r="M56" s="106">
        <f t="shared" si="29"/>
        <v>16240.36012640232</v>
      </c>
      <c r="N56" s="106">
        <f t="shared" si="29"/>
        <v>17724.608972086382</v>
      </c>
      <c r="O56" s="203"/>
      <c r="P56" s="203"/>
    </row>
    <row r="57" spans="1:17">
      <c r="A57" t="s">
        <v>36</v>
      </c>
      <c r="B57" s="115">
        <v>507.317609</v>
      </c>
      <c r="C57" s="115">
        <v>634.87761899999998</v>
      </c>
      <c r="D57" s="115">
        <v>683.95918300000005</v>
      </c>
      <c r="E57" s="115">
        <v>745.12300000000005</v>
      </c>
      <c r="F57" s="115">
        <v>870.37300000000005</v>
      </c>
      <c r="G57" s="115">
        <v>1026.3030000000001</v>
      </c>
      <c r="H57" s="115">
        <f>IS_BS_Assumptions!H174</f>
        <v>1135.318</v>
      </c>
      <c r="I57" s="107">
        <f>IS_BS_Assumptions!I174</f>
        <v>1229.182460845763</v>
      </c>
      <c r="J57" s="107">
        <f>IS_BS_Assumptions!J174</f>
        <v>1390.0004992244012</v>
      </c>
      <c r="K57" s="107">
        <f>IS_BS_Assumptions!K174</f>
        <v>1584.5754840497302</v>
      </c>
      <c r="L57" s="107">
        <f>IS_BS_Assumptions!L174</f>
        <v>1865.5581383367157</v>
      </c>
      <c r="M57" s="107">
        <f>IS_BS_Assumptions!M174</f>
        <v>2139.9472186440912</v>
      </c>
      <c r="N57" s="107">
        <f>IS_BS_Assumptions!N174</f>
        <v>2355.7666145796452</v>
      </c>
      <c r="O57" s="107"/>
      <c r="P57" s="107"/>
      <c r="Q57" s="299"/>
    </row>
    <row r="58" spans="1:17" ht="15" thickBot="1">
      <c r="A58" s="4" t="s">
        <v>37</v>
      </c>
      <c r="B58" s="117">
        <f t="shared" ref="B58:G58" si="30">SUM(B56:B57)</f>
        <v>4517.058043</v>
      </c>
      <c r="C58" s="117">
        <f t="shared" si="30"/>
        <v>5877.9361719999997</v>
      </c>
      <c r="D58" s="117">
        <f t="shared" si="30"/>
        <v>6402.3208170000007</v>
      </c>
      <c r="E58" s="117">
        <f t="shared" si="30"/>
        <v>6844.8330000000005</v>
      </c>
      <c r="F58" s="117">
        <f t="shared" si="30"/>
        <v>8260.3959999999988</v>
      </c>
      <c r="G58" s="117">
        <f t="shared" si="30"/>
        <v>9471.5589999999993</v>
      </c>
      <c r="H58" s="117">
        <f t="shared" ref="H58:N58" si="31">SUM(H56:H57)</f>
        <v>10466.569</v>
      </c>
      <c r="I58" s="118">
        <f t="shared" si="31"/>
        <v>11205.964957480488</v>
      </c>
      <c r="J58" s="118">
        <f t="shared" si="31"/>
        <v>12472.772505254034</v>
      </c>
      <c r="K58" s="118">
        <f t="shared" si="31"/>
        <v>14005.492726628101</v>
      </c>
      <c r="L58" s="118">
        <f t="shared" si="31"/>
        <v>16218.869726079674</v>
      </c>
      <c r="M58" s="118">
        <f t="shared" si="31"/>
        <v>18380.307345046411</v>
      </c>
      <c r="N58" s="118">
        <f t="shared" si="31"/>
        <v>20080.375586666029</v>
      </c>
      <c r="O58" s="203"/>
      <c r="P58" s="203"/>
    </row>
    <row r="59" spans="1:17">
      <c r="B59" s="115"/>
      <c r="C59" s="115"/>
      <c r="D59" s="115"/>
      <c r="E59" s="115"/>
      <c r="F59" s="115"/>
      <c r="G59" s="115"/>
      <c r="H59" s="115"/>
      <c r="I59" s="111"/>
      <c r="J59" s="111"/>
      <c r="K59" s="111"/>
      <c r="L59" s="111"/>
      <c r="M59" s="111"/>
      <c r="N59" s="111"/>
      <c r="O59" s="111"/>
      <c r="P59" s="111"/>
    </row>
    <row r="60" spans="1:17">
      <c r="A60" s="4" t="s">
        <v>38</v>
      </c>
      <c r="B60" s="115"/>
      <c r="C60" s="115"/>
      <c r="D60" s="115"/>
      <c r="E60" s="115"/>
      <c r="F60" s="115"/>
      <c r="G60" s="115"/>
      <c r="H60" s="115"/>
      <c r="I60" s="107"/>
      <c r="J60" s="107"/>
      <c r="K60" s="107"/>
      <c r="L60" s="107"/>
      <c r="M60" s="107"/>
      <c r="N60" s="107"/>
      <c r="O60" s="107"/>
      <c r="P60" s="107"/>
    </row>
    <row r="61" spans="1:17">
      <c r="A61" t="s">
        <v>39</v>
      </c>
      <c r="B61" s="115">
        <v>2.7753290000000002</v>
      </c>
      <c r="C61" s="115">
        <v>2.5326659999999999</v>
      </c>
      <c r="D61" s="115">
        <v>2.223061</v>
      </c>
      <c r="E61" s="115">
        <v>0</v>
      </c>
      <c r="F61" s="115">
        <v>0</v>
      </c>
      <c r="G61" s="115">
        <v>0</v>
      </c>
      <c r="H61" s="115">
        <f t="shared" ref="H61:N63" si="32">G61</f>
        <v>0</v>
      </c>
      <c r="I61" s="107">
        <f t="shared" si="32"/>
        <v>0</v>
      </c>
      <c r="J61" s="107">
        <f t="shared" si="32"/>
        <v>0</v>
      </c>
      <c r="K61" s="107">
        <f t="shared" si="32"/>
        <v>0</v>
      </c>
      <c r="L61" s="107">
        <f t="shared" si="32"/>
        <v>0</v>
      </c>
      <c r="M61" s="107">
        <f t="shared" si="32"/>
        <v>0</v>
      </c>
      <c r="N61" s="107">
        <f t="shared" si="32"/>
        <v>0</v>
      </c>
      <c r="O61" s="107"/>
      <c r="P61" s="107"/>
    </row>
    <row r="62" spans="1:17">
      <c r="A62" t="s">
        <v>40</v>
      </c>
      <c r="B62" s="115">
        <v>144.798835</v>
      </c>
      <c r="C62" s="115">
        <v>178.02758499999999</v>
      </c>
      <c r="D62" s="115">
        <v>209.92781500000001</v>
      </c>
      <c r="E62" s="115">
        <v>227.93299999999999</v>
      </c>
      <c r="F62" s="115">
        <v>242.71899999999999</v>
      </c>
      <c r="G62" s="115">
        <v>253.46199999999999</v>
      </c>
      <c r="H62" s="115">
        <v>241.24100000000001</v>
      </c>
      <c r="I62" s="107">
        <f t="shared" si="32"/>
        <v>241.24100000000001</v>
      </c>
      <c r="J62" s="107">
        <f t="shared" si="32"/>
        <v>241.24100000000001</v>
      </c>
      <c r="K62" s="107">
        <f t="shared" si="32"/>
        <v>241.24100000000001</v>
      </c>
      <c r="L62" s="107">
        <f t="shared" si="32"/>
        <v>241.24100000000001</v>
      </c>
      <c r="M62" s="107">
        <f t="shared" si="32"/>
        <v>241.24100000000001</v>
      </c>
      <c r="N62" s="107">
        <f t="shared" si="32"/>
        <v>241.24100000000001</v>
      </c>
      <c r="O62" s="107"/>
      <c r="P62" s="107"/>
    </row>
    <row r="63" spans="1:17">
      <c r="A63" t="s">
        <v>41</v>
      </c>
      <c r="B63" s="115">
        <v>53.493462000000001</v>
      </c>
      <c r="C63" s="115">
        <v>203.493235</v>
      </c>
      <c r="D63" s="115">
        <v>201.231762</v>
      </c>
      <c r="E63" s="115">
        <v>210.26</v>
      </c>
      <c r="F63" s="115">
        <v>310.45</v>
      </c>
      <c r="G63" s="115">
        <v>209.37</v>
      </c>
      <c r="H63" s="115">
        <v>269.25200000000001</v>
      </c>
      <c r="I63" s="107">
        <f t="shared" si="32"/>
        <v>269.25200000000001</v>
      </c>
      <c r="J63" s="107">
        <f t="shared" si="32"/>
        <v>269.25200000000001</v>
      </c>
      <c r="K63" s="107">
        <f t="shared" si="32"/>
        <v>269.25200000000001</v>
      </c>
      <c r="L63" s="107">
        <f t="shared" si="32"/>
        <v>269.25200000000001</v>
      </c>
      <c r="M63" s="107">
        <f t="shared" si="32"/>
        <v>269.25200000000001</v>
      </c>
      <c r="N63" s="107">
        <f t="shared" si="32"/>
        <v>269.25200000000001</v>
      </c>
      <c r="O63" s="107"/>
      <c r="P63" s="107"/>
    </row>
    <row r="64" spans="1:17">
      <c r="A64" t="s">
        <v>42</v>
      </c>
      <c r="B64" s="115">
        <v>300</v>
      </c>
      <c r="C64" s="115">
        <v>200</v>
      </c>
      <c r="D64" s="115">
        <v>100</v>
      </c>
      <c r="E64" s="115">
        <v>77.840999999999994</v>
      </c>
      <c r="F64" s="115">
        <v>1232.8409999999999</v>
      </c>
      <c r="G64" s="115">
        <f>IS_BS_Assumptions!G190</f>
        <v>914.59100000000001</v>
      </c>
      <c r="H64" s="115">
        <f>IS_BS_Assumptions!H190</f>
        <v>207.84100000000001</v>
      </c>
      <c r="I64" s="107">
        <f>IS_BS_Assumptions!I190</f>
        <v>407.84100000000001</v>
      </c>
      <c r="J64" s="107">
        <f>IS_BS_Assumptions!J190</f>
        <v>407.84100000000001</v>
      </c>
      <c r="K64" s="107">
        <f>IS_BS_Assumptions!K190</f>
        <v>407.84100000000001</v>
      </c>
      <c r="L64" s="107">
        <f>IS_BS_Assumptions!L190</f>
        <v>407.84100000000001</v>
      </c>
      <c r="M64" s="107">
        <f>IS_BS_Assumptions!M190</f>
        <v>407.84100000000001</v>
      </c>
      <c r="N64" s="107">
        <f>IS_BS_Assumptions!N190</f>
        <v>407.84100000000001</v>
      </c>
      <c r="O64" s="107"/>
      <c r="P64" s="107"/>
    </row>
    <row r="65" spans="1:16">
      <c r="A65" t="s">
        <v>43</v>
      </c>
      <c r="B65" s="115">
        <v>0.54006100000000001</v>
      </c>
      <c r="C65" s="115">
        <v>4.6313E-2</v>
      </c>
      <c r="D65" s="115">
        <v>0</v>
      </c>
      <c r="E65" s="115">
        <v>0</v>
      </c>
      <c r="F65" s="115">
        <v>0</v>
      </c>
      <c r="G65" s="115">
        <v>0</v>
      </c>
      <c r="H65" s="115">
        <v>0</v>
      </c>
      <c r="I65" s="107">
        <f t="shared" ref="I65:N65" si="33">H65</f>
        <v>0</v>
      </c>
      <c r="J65" s="107">
        <f t="shared" si="33"/>
        <v>0</v>
      </c>
      <c r="K65" s="107">
        <f t="shared" si="33"/>
        <v>0</v>
      </c>
      <c r="L65" s="107">
        <f t="shared" si="33"/>
        <v>0</v>
      </c>
      <c r="M65" s="107">
        <f t="shared" si="33"/>
        <v>0</v>
      </c>
      <c r="N65" s="107">
        <f t="shared" si="33"/>
        <v>0</v>
      </c>
      <c r="O65" s="107"/>
      <c r="P65" s="107"/>
    </row>
    <row r="66" spans="1:16" ht="15" thickBot="1">
      <c r="A66" t="s">
        <v>399</v>
      </c>
      <c r="B66" s="117">
        <f t="shared" ref="B66:K66" si="34">SUM(B61:B65)</f>
        <v>501.607687</v>
      </c>
      <c r="C66" s="117">
        <f t="shared" si="34"/>
        <v>584.09979900000008</v>
      </c>
      <c r="D66" s="117">
        <f t="shared" si="34"/>
        <v>513.38263800000004</v>
      </c>
      <c r="E66" s="117">
        <f t="shared" si="34"/>
        <v>516.03399999999999</v>
      </c>
      <c r="F66" s="117">
        <f t="shared" si="34"/>
        <v>1786.0099999999998</v>
      </c>
      <c r="G66" s="117">
        <f t="shared" si="34"/>
        <v>1377.423</v>
      </c>
      <c r="H66" s="117">
        <f t="shared" si="34"/>
        <v>718.33400000000006</v>
      </c>
      <c r="I66" s="118">
        <f t="shared" si="34"/>
        <v>918.33400000000006</v>
      </c>
      <c r="J66" s="118">
        <f t="shared" si="34"/>
        <v>918.33400000000006</v>
      </c>
      <c r="K66" s="118">
        <f t="shared" si="34"/>
        <v>918.33400000000006</v>
      </c>
      <c r="L66" s="118">
        <f t="shared" ref="L66:N66" si="35">SUM(L61:L65)</f>
        <v>918.33400000000006</v>
      </c>
      <c r="M66" s="118">
        <f t="shared" si="35"/>
        <v>918.33400000000006</v>
      </c>
      <c r="N66" s="118">
        <f t="shared" si="35"/>
        <v>918.33400000000006</v>
      </c>
      <c r="O66" s="203"/>
      <c r="P66" s="203"/>
    </row>
    <row r="67" spans="1:16">
      <c r="A67" s="4" t="s">
        <v>24</v>
      </c>
      <c r="B67" s="115"/>
      <c r="C67" s="115"/>
      <c r="D67" s="115"/>
      <c r="E67" s="115"/>
      <c r="F67" s="115"/>
      <c r="G67" s="115"/>
      <c r="H67" s="115"/>
      <c r="I67" s="107"/>
      <c r="J67" s="107"/>
      <c r="K67" s="107"/>
      <c r="L67" s="107"/>
      <c r="M67" s="107"/>
      <c r="N67" s="107"/>
      <c r="O67" s="107"/>
      <c r="P67" s="107"/>
    </row>
    <row r="68" spans="1:16">
      <c r="A68" t="s">
        <v>44</v>
      </c>
      <c r="B68" s="115">
        <v>1204.2044020000001</v>
      </c>
      <c r="C68" s="115">
        <v>1029.929347</v>
      </c>
      <c r="D68" s="115">
        <v>876.96040700000003</v>
      </c>
      <c r="E68" s="115">
        <v>1381.692</v>
      </c>
      <c r="F68" s="115">
        <v>3288.8139999999999</v>
      </c>
      <c r="G68" s="115">
        <f>IS_BS_Assumptions!G156</f>
        <v>2010.09</v>
      </c>
      <c r="H68" s="115">
        <f>IS_BS_Assumptions!H156</f>
        <v>1950.2169999999999</v>
      </c>
      <c r="I68" s="107">
        <f>IS_BS_Assumptions!I156</f>
        <v>3997.3708737548386</v>
      </c>
      <c r="J68" s="107">
        <f>IS_BS_Assumptions!J156</f>
        <v>5060.2448449197909</v>
      </c>
      <c r="K68" s="107">
        <f>IS_BS_Assumptions!K156</f>
        <v>5220.88646242291</v>
      </c>
      <c r="L68" s="107">
        <f>IS_BS_Assumptions!L156</f>
        <v>6159.1799302108448</v>
      </c>
      <c r="M68" s="107">
        <f>IS_BS_Assumptions!M156</f>
        <v>6472.5449856524647</v>
      </c>
      <c r="N68" s="107">
        <f>IS_BS_Assumptions!N156</f>
        <v>7299.6395349720406</v>
      </c>
      <c r="O68" s="107"/>
      <c r="P68" s="107"/>
    </row>
    <row r="69" spans="1:16">
      <c r="A69" t="s">
        <v>45</v>
      </c>
      <c r="B69" s="115">
        <v>137.81961100000001</v>
      </c>
      <c r="C69" s="115">
        <v>149.96113</v>
      </c>
      <c r="D69" s="115">
        <v>202.014117</v>
      </c>
      <c r="E69" s="115">
        <v>294.44</v>
      </c>
      <c r="F69" s="115">
        <v>463.029</v>
      </c>
      <c r="G69" s="115">
        <v>781.91899999999998</v>
      </c>
      <c r="H69" s="115">
        <v>842.93100000000004</v>
      </c>
      <c r="I69" s="107">
        <f t="shared" ref="H69:N71" si="36">H69</f>
        <v>842.93100000000004</v>
      </c>
      <c r="J69" s="107">
        <f t="shared" si="36"/>
        <v>842.93100000000004</v>
      </c>
      <c r="K69" s="107">
        <f t="shared" si="36"/>
        <v>842.93100000000004</v>
      </c>
      <c r="L69" s="107">
        <f t="shared" si="36"/>
        <v>842.93100000000004</v>
      </c>
      <c r="M69" s="107">
        <f t="shared" si="36"/>
        <v>842.93100000000004</v>
      </c>
      <c r="N69" s="107">
        <f t="shared" si="36"/>
        <v>842.93100000000004</v>
      </c>
      <c r="O69" s="107"/>
      <c r="P69" s="107"/>
    </row>
    <row r="70" spans="1:16">
      <c r="A70" t="s">
        <v>43</v>
      </c>
      <c r="B70" s="115">
        <v>0.77610999999999997</v>
      </c>
      <c r="C70" s="115">
        <v>0.631768</v>
      </c>
      <c r="D70" s="115">
        <v>5.2629000000000002E-2</v>
      </c>
      <c r="E70" s="115">
        <v>0</v>
      </c>
      <c r="F70" s="115">
        <v>0</v>
      </c>
      <c r="G70" s="115">
        <v>0</v>
      </c>
      <c r="H70" s="115">
        <f t="shared" si="36"/>
        <v>0</v>
      </c>
      <c r="I70" s="107">
        <f t="shared" si="36"/>
        <v>0</v>
      </c>
      <c r="J70" s="107">
        <f t="shared" si="36"/>
        <v>0</v>
      </c>
      <c r="K70" s="107">
        <f t="shared" si="36"/>
        <v>0</v>
      </c>
      <c r="L70" s="107">
        <f t="shared" si="36"/>
        <v>0</v>
      </c>
      <c r="M70" s="107">
        <f t="shared" si="36"/>
        <v>0</v>
      </c>
      <c r="N70" s="107">
        <f t="shared" si="36"/>
        <v>0</v>
      </c>
      <c r="O70" s="107"/>
      <c r="P70" s="107"/>
    </row>
    <row r="71" spans="1:16">
      <c r="A71" t="s">
        <v>46</v>
      </c>
      <c r="B71" s="115">
        <v>4.7464259999999996</v>
      </c>
      <c r="C71" s="115">
        <v>9.3678100000000004</v>
      </c>
      <c r="D71" s="115">
        <v>0</v>
      </c>
      <c r="E71" s="115">
        <v>0</v>
      </c>
      <c r="F71" s="115">
        <v>0</v>
      </c>
      <c r="G71" s="115">
        <v>0</v>
      </c>
      <c r="H71" s="115">
        <f t="shared" si="36"/>
        <v>0</v>
      </c>
      <c r="I71" s="107">
        <f t="shared" si="36"/>
        <v>0</v>
      </c>
      <c r="J71" s="107">
        <f t="shared" si="36"/>
        <v>0</v>
      </c>
      <c r="K71" s="107">
        <f t="shared" si="36"/>
        <v>0</v>
      </c>
      <c r="L71" s="107">
        <f t="shared" si="36"/>
        <v>0</v>
      </c>
      <c r="M71" s="107">
        <f t="shared" si="36"/>
        <v>0</v>
      </c>
      <c r="N71" s="107">
        <f t="shared" si="36"/>
        <v>0</v>
      </c>
      <c r="O71" s="107"/>
      <c r="P71" s="107"/>
    </row>
    <row r="72" spans="1:16">
      <c r="A72" t="s">
        <v>47</v>
      </c>
      <c r="B72" s="115">
        <f>IS_BS_Assumptions!B193</f>
        <v>1913.4513099999999</v>
      </c>
      <c r="C72" s="115">
        <f>IS_BS_Assumptions!C193</f>
        <v>1387.8661090000001</v>
      </c>
      <c r="D72" s="115">
        <f>IS_BS_Assumptions!D193</f>
        <v>2301.1279999999997</v>
      </c>
      <c r="E72" s="115">
        <f>IS_BS_Assumptions!E193</f>
        <v>2559.89</v>
      </c>
      <c r="F72" s="115">
        <f>IS_BS_Assumptions!F193</f>
        <v>1861.8979999999999</v>
      </c>
      <c r="G72" s="115">
        <f>IS_BS_Assumptions!G193</f>
        <v>808.28300000000002</v>
      </c>
      <c r="H72" s="115">
        <f>IS_BS_Assumptions!H193</f>
        <v>1555.134</v>
      </c>
      <c r="I72" s="106">
        <f>IS_BS_Assumptions!I193</f>
        <v>1455.134</v>
      </c>
      <c r="J72" s="106">
        <f>IS_BS_Assumptions!J193</f>
        <v>1435.134</v>
      </c>
      <c r="K72" s="106">
        <f>IS_BS_Assumptions!K193</f>
        <v>1435.134</v>
      </c>
      <c r="L72" s="106">
        <f>IS_BS_Assumptions!L193</f>
        <v>1435.134</v>
      </c>
      <c r="M72" s="106">
        <f>IS_BS_Assumptions!M193</f>
        <v>1435.134</v>
      </c>
      <c r="N72" s="106">
        <f>IS_BS_Assumptions!N193</f>
        <v>1435.134</v>
      </c>
      <c r="O72" s="203"/>
      <c r="P72" s="203"/>
    </row>
    <row r="73" spans="1:16">
      <c r="A73" t="s">
        <v>68</v>
      </c>
      <c r="B73" s="115">
        <f>IS_BS_Assumptions!B195</f>
        <v>666.44200799999999</v>
      </c>
      <c r="C73" s="115">
        <f>IS_BS_Assumptions!C195</f>
        <v>527.95652099999995</v>
      </c>
      <c r="D73" s="115">
        <f>IS_BS_Assumptions!D195</f>
        <v>613.30700000000002</v>
      </c>
      <c r="E73" s="115">
        <f>IS_BS_Assumptions!E195</f>
        <v>451.584</v>
      </c>
      <c r="F73" s="115">
        <f>IS_BS_Assumptions!F195</f>
        <v>407.92599999999999</v>
      </c>
      <c r="G73" s="115">
        <f>IS_BS_Assumptions!G195</f>
        <v>924.52200000000005</v>
      </c>
      <c r="H73" s="115">
        <f>IS_BS_Assumptions!H195</f>
        <v>1032.279</v>
      </c>
      <c r="I73" s="106">
        <f>IS_BS_Assumptions!I195</f>
        <v>1129.9485767353563</v>
      </c>
      <c r="J73" s="106">
        <f>IS_BS_Assumptions!J195</f>
        <v>1456.0002618966914</v>
      </c>
      <c r="K73" s="106">
        <f>IS_BS_Assumptions!K195</f>
        <v>1771.5364007982121</v>
      </c>
      <c r="L73" s="106">
        <f>IS_BS_Assumptions!L195</f>
        <v>1978.9547430166247</v>
      </c>
      <c r="M73" s="106">
        <f>IS_BS_Assumptions!M195</f>
        <v>1978.9547430166247</v>
      </c>
      <c r="N73" s="106">
        <f>IS_BS_Assumptions!N195</f>
        <v>1978.9547430166247</v>
      </c>
      <c r="O73" s="203"/>
      <c r="P73" s="203"/>
    </row>
    <row r="74" spans="1:16" ht="15" thickBot="1">
      <c r="A74" t="s">
        <v>400</v>
      </c>
      <c r="B74" s="117">
        <v>3927.439867</v>
      </c>
      <c r="C74" s="117">
        <v>3105.712685</v>
      </c>
      <c r="D74" s="117">
        <v>3993.4619809999999</v>
      </c>
      <c r="E74" s="117">
        <f t="shared" ref="E74:K74" si="37">SUM(E68:E73)</f>
        <v>4687.6059999999998</v>
      </c>
      <c r="F74" s="117">
        <f t="shared" si="37"/>
        <v>6021.6670000000004</v>
      </c>
      <c r="G74" s="117">
        <f t="shared" si="37"/>
        <v>4524.8140000000003</v>
      </c>
      <c r="H74" s="117">
        <f t="shared" si="37"/>
        <v>5380.5609999999997</v>
      </c>
      <c r="I74" s="118">
        <f t="shared" si="37"/>
        <v>7425.3844504901954</v>
      </c>
      <c r="J74" s="118">
        <f t="shared" si="37"/>
        <v>8794.3101068164833</v>
      </c>
      <c r="K74" s="118">
        <f t="shared" si="37"/>
        <v>9270.4878632211221</v>
      </c>
      <c r="L74" s="118">
        <f t="shared" ref="L74:N74" si="38">SUM(L68:L73)</f>
        <v>10416.199673227469</v>
      </c>
      <c r="M74" s="118">
        <f t="shared" si="38"/>
        <v>10729.564728669089</v>
      </c>
      <c r="N74" s="118">
        <f t="shared" si="38"/>
        <v>11556.659277988665</v>
      </c>
      <c r="O74" s="203"/>
      <c r="P74" s="203"/>
    </row>
    <row r="75" spans="1:16">
      <c r="A75" s="4" t="s">
        <v>48</v>
      </c>
      <c r="B75" s="115">
        <f t="shared" ref="B75:K75" si="39">B66+B74</f>
        <v>4429.0475539999998</v>
      </c>
      <c r="C75" s="115">
        <f t="shared" si="39"/>
        <v>3689.812484</v>
      </c>
      <c r="D75" s="115">
        <f t="shared" si="39"/>
        <v>4506.8446189999995</v>
      </c>
      <c r="E75" s="115">
        <f t="shared" si="39"/>
        <v>5203.6399999999994</v>
      </c>
      <c r="F75" s="115">
        <f t="shared" si="39"/>
        <v>7807.6769999999997</v>
      </c>
      <c r="G75" s="115">
        <f t="shared" si="39"/>
        <v>5902.2370000000001</v>
      </c>
      <c r="H75" s="115">
        <f t="shared" si="39"/>
        <v>6098.8949999999995</v>
      </c>
      <c r="I75" s="106">
        <f t="shared" si="39"/>
        <v>8343.7184504901961</v>
      </c>
      <c r="J75" s="106">
        <f t="shared" si="39"/>
        <v>9712.6441068164841</v>
      </c>
      <c r="K75" s="106">
        <f t="shared" si="39"/>
        <v>10188.821863221123</v>
      </c>
      <c r="L75" s="106">
        <f t="shared" ref="L75:N75" si="40">L66+L74</f>
        <v>11334.53367322747</v>
      </c>
      <c r="M75" s="106">
        <f t="shared" si="40"/>
        <v>11647.89872866909</v>
      </c>
      <c r="N75" s="106">
        <f t="shared" si="40"/>
        <v>12474.993277988666</v>
      </c>
      <c r="O75" s="203"/>
      <c r="P75" s="203"/>
    </row>
    <row r="76" spans="1:16" ht="15" thickBot="1">
      <c r="A76" s="4" t="s">
        <v>49</v>
      </c>
      <c r="B76" s="117">
        <f t="shared" ref="B76:K76" si="41">B75+B58</f>
        <v>8946.1055969999998</v>
      </c>
      <c r="C76" s="117">
        <f t="shared" si="41"/>
        <v>9567.7486559999998</v>
      </c>
      <c r="D76" s="117">
        <f t="shared" si="41"/>
        <v>10909.165435999999</v>
      </c>
      <c r="E76" s="117">
        <f t="shared" si="41"/>
        <v>12048.473</v>
      </c>
      <c r="F76" s="117">
        <f t="shared" si="41"/>
        <v>16068.072999999999</v>
      </c>
      <c r="G76" s="117">
        <f t="shared" si="41"/>
        <v>15373.795999999998</v>
      </c>
      <c r="H76" s="117">
        <f t="shared" si="41"/>
        <v>16565.464</v>
      </c>
      <c r="I76" s="118">
        <f t="shared" si="41"/>
        <v>19549.683407970682</v>
      </c>
      <c r="J76" s="118">
        <f t="shared" si="41"/>
        <v>22185.416612070519</v>
      </c>
      <c r="K76" s="118">
        <f t="shared" si="41"/>
        <v>24194.314589849222</v>
      </c>
      <c r="L76" s="118">
        <f t="shared" ref="L76:N76" si="42">L75+L58</f>
        <v>27553.403399307143</v>
      </c>
      <c r="M76" s="118">
        <f t="shared" si="42"/>
        <v>30028.206073715501</v>
      </c>
      <c r="N76" s="118">
        <f t="shared" si="42"/>
        <v>32555.368864654694</v>
      </c>
      <c r="O76" s="203"/>
      <c r="P76" s="203"/>
    </row>
    <row r="77" spans="1:16">
      <c r="I77" s="57"/>
      <c r="J77" s="57"/>
      <c r="K77" s="57"/>
      <c r="L77" s="57"/>
      <c r="M77" s="57"/>
      <c r="N77" s="57"/>
      <c r="O77" s="57"/>
      <c r="P77" s="57"/>
    </row>
    <row r="78" spans="1:16">
      <c r="A78" t="s">
        <v>346</v>
      </c>
      <c r="B78" s="7">
        <f>B56/IS_BS_Assumptions!B170</f>
        <v>33.473819224332182</v>
      </c>
      <c r="C78" s="7">
        <f>C56/IS_BS_Assumptions!C170</f>
        <v>43.769714542502648</v>
      </c>
      <c r="D78" s="7">
        <f>D56/IS_BS_Assumptions!D170</f>
        <v>47.737604652110207</v>
      </c>
      <c r="E78" s="7">
        <f>E56/IS_BS_Assumptions!E170</f>
        <v>50.921148942592943</v>
      </c>
      <c r="F78" s="7">
        <f>F56/IS_BS_Assumptions!F170</f>
        <v>61.692844720845329</v>
      </c>
      <c r="G78" s="7">
        <f>G56/IS_BS_Assumptions!G170</f>
        <v>70.502062988949746</v>
      </c>
      <c r="H78" s="7">
        <f>H56/IS_BS_Assumptions!H170</f>
        <v>77.898461073021394</v>
      </c>
      <c r="I78" s="93">
        <f>I56/IS_BS_Assumptions!I170</f>
        <v>83.287439481383714</v>
      </c>
      <c r="J78" s="93">
        <f>J56/IS_BS_Assumptions!J170</f>
        <v>92.520379496047255</v>
      </c>
      <c r="K78" s="93">
        <f>K56/IS_BS_Assumptions!K170</f>
        <v>103.69138482205777</v>
      </c>
      <c r="L78" s="93">
        <f>L56/IS_BS_Assumptions!L170</f>
        <v>119.82325670874589</v>
      </c>
      <c r="M78" s="93">
        <f>M56/IS_BS_Assumptions!M170</f>
        <v>135.57657607949886</v>
      </c>
      <c r="N78" s="93">
        <f>N56/IS_BS_Assumptions!N170</f>
        <v>147.96727277474335</v>
      </c>
      <c r="O78" s="93"/>
      <c r="P78" s="93"/>
    </row>
    <row r="79" spans="1:16">
      <c r="A79" t="s">
        <v>3947</v>
      </c>
      <c r="D79" s="7">
        <f>D58/IS_BS_Assumptions!D170</f>
        <v>53.447382236322767</v>
      </c>
      <c r="E79" s="7">
        <f>E58/IS_BS_Assumptions!E170</f>
        <v>57.141529790789278</v>
      </c>
      <c r="F79" s="7">
        <f>F58/IS_BS_Assumptions!F170</f>
        <v>68.958828377217756</v>
      </c>
      <c r="G79" s="7">
        <f>G58/IS_BS_Assumptions!G170</f>
        <v>79.069769965712567</v>
      </c>
      <c r="H79" s="7">
        <f>H58/IS_BS_Assumptions!H170</f>
        <v>87.376239028892527</v>
      </c>
      <c r="I79" s="57"/>
      <c r="J79" s="57"/>
      <c r="K79" s="57"/>
      <c r="L79" s="57"/>
      <c r="M79" s="57"/>
      <c r="N79" s="57"/>
      <c r="O79" s="57"/>
      <c r="P79" s="57"/>
    </row>
    <row r="80" spans="1:16">
      <c r="A80" s="156" t="s">
        <v>164</v>
      </c>
      <c r="B80" s="669">
        <f>B76-B47</f>
        <v>0</v>
      </c>
      <c r="C80" s="669">
        <f t="shared" ref="C80:K80" si="43">C47-C76</f>
        <v>0</v>
      </c>
      <c r="D80" s="669">
        <f t="shared" si="43"/>
        <v>0</v>
      </c>
      <c r="E80" s="669">
        <f t="shared" si="43"/>
        <v>0</v>
      </c>
      <c r="F80" s="669">
        <f t="shared" si="43"/>
        <v>0</v>
      </c>
      <c r="G80" s="669">
        <f t="shared" si="43"/>
        <v>0</v>
      </c>
      <c r="H80" s="628">
        <f t="shared" si="43"/>
        <v>0</v>
      </c>
      <c r="I80" s="628">
        <f t="shared" si="43"/>
        <v>-2.0399999993969686E-3</v>
      </c>
      <c r="J80" s="628">
        <f t="shared" si="43"/>
        <v>-2.0400000066729262E-3</v>
      </c>
      <c r="K80" s="628">
        <f t="shared" si="43"/>
        <v>-2.0399999993969686E-3</v>
      </c>
      <c r="L80" s="628">
        <f t="shared" ref="L80:N80" si="44">L47-L76</f>
        <v>-2.0400000030349474E-3</v>
      </c>
      <c r="M80" s="628">
        <f t="shared" si="44"/>
        <v>-2.0400000066729262E-3</v>
      </c>
      <c r="N80" s="628">
        <f t="shared" si="44"/>
        <v>-2.0400000066729262E-3</v>
      </c>
      <c r="O80" s="141"/>
      <c r="P80" s="141"/>
    </row>
    <row r="81" spans="8:16">
      <c r="I81" s="153"/>
      <c r="J81" s="153"/>
      <c r="K81" s="153"/>
      <c r="L81" s="153"/>
      <c r="M81" s="153"/>
      <c r="N81" s="153"/>
      <c r="O81" s="153"/>
      <c r="P81" s="153"/>
    </row>
    <row r="82" spans="8:16">
      <c r="H82" s="7"/>
      <c r="I82" s="55"/>
    </row>
    <row r="83" spans="8:16">
      <c r="H83" s="7"/>
    </row>
    <row r="84" spans="8:16">
      <c r="H84" s="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T68"/>
  <sheetViews>
    <sheetView showGridLines="0" workbookViewId="0">
      <pane xSplit="1" ySplit="3" topLeftCell="B52" activePane="bottomRight" state="frozen"/>
      <selection pane="topRight" activeCell="B1" sqref="B1"/>
      <selection pane="bottomLeft" activeCell="A4" sqref="A4"/>
      <selection pane="bottomRight" activeCell="L60" sqref="L60"/>
    </sheetView>
  </sheetViews>
  <sheetFormatPr defaultRowHeight="15" customHeight="1"/>
  <cols>
    <col min="1" max="1" width="30.44140625" customWidth="1"/>
    <col min="2" max="14" width="10.6640625" customWidth="1"/>
  </cols>
  <sheetData>
    <row r="1" spans="1:20" ht="15" customHeight="1">
      <c r="A1" s="3" t="s">
        <v>0</v>
      </c>
      <c r="B1" s="2"/>
      <c r="C1" s="2"/>
      <c r="D1" s="2"/>
      <c r="E1" s="2"/>
      <c r="F1" s="2"/>
      <c r="G1" s="2"/>
      <c r="H1" s="2"/>
      <c r="I1" s="2"/>
      <c r="J1" s="2"/>
      <c r="K1" s="2"/>
      <c r="L1" s="2"/>
      <c r="M1" s="2"/>
      <c r="N1" s="2"/>
    </row>
    <row r="2" spans="1:20" ht="15" customHeight="1">
      <c r="A2" s="3" t="s">
        <v>165</v>
      </c>
      <c r="B2" s="6"/>
      <c r="C2" s="6"/>
      <c r="D2" s="6"/>
      <c r="E2" s="6"/>
      <c r="F2" s="6"/>
      <c r="G2" s="6"/>
      <c r="H2" s="6"/>
      <c r="I2" s="6"/>
      <c r="J2" s="6"/>
      <c r="K2" s="6"/>
      <c r="L2" s="6"/>
      <c r="M2" s="6"/>
      <c r="N2" s="6"/>
    </row>
    <row r="3" spans="1:20" ht="15" customHeight="1">
      <c r="A3" s="3" t="s">
        <v>104</v>
      </c>
      <c r="B3" s="6" t="str">
        <f>'IS &amp; BS'!B3</f>
        <v>FY11</v>
      </c>
      <c r="C3" s="6" t="str">
        <f>'IS &amp; BS'!C3</f>
        <v>FY12</v>
      </c>
      <c r="D3" s="6" t="str">
        <f>'IS &amp; BS'!D3</f>
        <v>FY13</v>
      </c>
      <c r="E3" s="6" t="str">
        <f>'IS &amp; BS'!E3</f>
        <v>FY14</v>
      </c>
      <c r="F3" s="6" t="str">
        <f>'IS &amp; BS'!F3</f>
        <v>FY15</v>
      </c>
      <c r="G3" s="6" t="str">
        <f>'IS &amp; BS'!G3</f>
        <v>FY16</v>
      </c>
      <c r="H3" s="6" t="str">
        <f>'IS &amp; BS'!H3</f>
        <v>FY17</v>
      </c>
      <c r="I3" s="6" t="str">
        <f>'IS &amp; BS'!I3</f>
        <v>FY18E</v>
      </c>
      <c r="J3" s="6" t="str">
        <f>'IS &amp; BS'!J3</f>
        <v>FY19E</v>
      </c>
      <c r="K3" s="6" t="str">
        <f>'IS &amp; BS'!K3</f>
        <v>FY20E</v>
      </c>
      <c r="L3" s="6" t="str">
        <f>'IS &amp; BS'!L3</f>
        <v>FY21E</v>
      </c>
      <c r="M3" s="6" t="str">
        <f>'IS &amp; BS'!M3</f>
        <v>FY22E</v>
      </c>
      <c r="N3" s="6" t="str">
        <f>'IS &amp; BS'!N3</f>
        <v>FY23E</v>
      </c>
    </row>
    <row r="4" spans="1:20" ht="15" customHeight="1">
      <c r="A4" s="4" t="s">
        <v>69</v>
      </c>
      <c r="I4" s="57"/>
      <c r="J4" s="57"/>
      <c r="K4" s="57"/>
      <c r="L4" s="57"/>
      <c r="M4" s="57"/>
      <c r="N4" s="57"/>
    </row>
    <row r="5" spans="1:20" ht="15" customHeight="1">
      <c r="A5" t="s">
        <v>70</v>
      </c>
      <c r="B5" s="99">
        <v>449.70012100000002</v>
      </c>
      <c r="C5" s="99">
        <v>771.7282759999996</v>
      </c>
      <c r="D5" s="99">
        <v>753.43806300000006</v>
      </c>
      <c r="E5" s="99">
        <v>690.44299999999998</v>
      </c>
      <c r="F5" s="99">
        <v>1254.7380000000001</v>
      </c>
      <c r="G5" s="99">
        <f>'IS &amp; BS'!G13</f>
        <v>1695.6219999999992</v>
      </c>
      <c r="H5" s="99">
        <f>'IS &amp; BS'!H13</f>
        <v>1764.5629999999985</v>
      </c>
      <c r="I5" s="94">
        <f>'IS &amp; BS'!I13</f>
        <v>1199.363283088476</v>
      </c>
      <c r="J5" s="94">
        <f>'IS &amp; BS'!J13</f>
        <v>2054.8698490538295</v>
      </c>
      <c r="K5" s="94">
        <f>'IS &amp; BS'!K13</f>
        <v>2486.2028770448201</v>
      </c>
      <c r="L5" s="94">
        <f>'IS &amp; BS'!L13</f>
        <v>3590.2862031062878</v>
      </c>
      <c r="M5" s="94">
        <f>'IS &amp; BS'!M13</f>
        <v>3506.0360996676031</v>
      </c>
      <c r="N5" s="94">
        <f>'IS &amp; BS'!N13</f>
        <v>2757.6556337842335</v>
      </c>
      <c r="R5" s="1"/>
      <c r="S5" s="1"/>
      <c r="T5" s="1"/>
    </row>
    <row r="6" spans="1:20" ht="15" customHeight="1">
      <c r="A6" s="4" t="s">
        <v>71</v>
      </c>
      <c r="B6" s="99"/>
      <c r="C6" s="99"/>
      <c r="D6" s="99"/>
      <c r="E6" s="99"/>
      <c r="F6" s="99"/>
      <c r="G6" s="99"/>
      <c r="H6" s="99"/>
      <c r="I6" s="94"/>
      <c r="J6" s="94"/>
      <c r="K6" s="94"/>
      <c r="L6" s="94"/>
      <c r="M6" s="94"/>
      <c r="N6" s="94"/>
      <c r="R6" s="1"/>
      <c r="S6" s="1"/>
      <c r="T6" s="1"/>
    </row>
    <row r="7" spans="1:20" ht="15" customHeight="1">
      <c r="A7" t="s">
        <v>72</v>
      </c>
      <c r="B7" s="105">
        <v>117.59742</v>
      </c>
      <c r="C7" s="105">
        <v>145.60977199999999</v>
      </c>
      <c r="D7" s="105">
        <v>163.89403999999999</v>
      </c>
      <c r="E7" s="105">
        <v>177.89</v>
      </c>
      <c r="F7" s="105">
        <v>191.74600000000001</v>
      </c>
      <c r="G7" s="105">
        <f>IS_BS_Assumptions!G111</f>
        <v>230.37700000000001</v>
      </c>
      <c r="H7" s="105">
        <f>IS_BS_Assumptions!H111</f>
        <v>224.95500000000001</v>
      </c>
      <c r="I7" s="94">
        <f>IS_BS_Assumptions!I111</f>
        <v>217.2463666043848</v>
      </c>
      <c r="J7" s="94">
        <f>IS_BS_Assumptions!J111</f>
        <v>211.77657136970279</v>
      </c>
      <c r="K7" s="94">
        <f>IS_BS_Assumptions!K111</f>
        <v>206.49763939665604</v>
      </c>
      <c r="L7" s="94">
        <f>IS_BS_Assumptions!L111</f>
        <v>201.40291069468194</v>
      </c>
      <c r="M7" s="94">
        <f>IS_BS_Assumptions!M111</f>
        <v>196.48595766720473</v>
      </c>
      <c r="N7" s="94">
        <f>IS_BS_Assumptions!N111</f>
        <v>191.74057700246991</v>
      </c>
      <c r="R7" s="1"/>
      <c r="S7" s="1"/>
      <c r="T7" s="1"/>
    </row>
    <row r="8" spans="1:20" ht="15" customHeight="1">
      <c r="A8" t="s">
        <v>166</v>
      </c>
      <c r="B8" s="99">
        <v>0</v>
      </c>
      <c r="C8" s="99">
        <v>0</v>
      </c>
      <c r="D8" s="99">
        <v>0</v>
      </c>
      <c r="E8" s="99">
        <v>0</v>
      </c>
      <c r="F8" s="99">
        <v>-45.947000000000003</v>
      </c>
      <c r="G8" s="99">
        <f>-IS_BS_Assumptions!G183</f>
        <v>-54.734999999999999</v>
      </c>
      <c r="H8" s="99">
        <f>-IS_BS_Assumptions!H183</f>
        <v>25.282</v>
      </c>
      <c r="I8" s="133">
        <f>-IS_BS_Assumptions!I183</f>
        <v>-8.2585800000000003</v>
      </c>
      <c r="J8" s="133">
        <f>-IS_BS_Assumptions!J183</f>
        <v>-8.5063373999999996</v>
      </c>
      <c r="K8" s="133">
        <f>-IS_BS_Assumptions!K183</f>
        <v>-8.7615275219999997</v>
      </c>
      <c r="L8" s="133">
        <f>-IS_BS_Assumptions!L183</f>
        <v>-9.0243733476599992</v>
      </c>
      <c r="M8" s="133">
        <f>-IS_BS_Assumptions!M183</f>
        <v>-9.2951045480897996</v>
      </c>
      <c r="N8" s="133">
        <f>-IS_BS_Assumptions!N183</f>
        <v>-9.573957684532493</v>
      </c>
      <c r="R8" s="1"/>
      <c r="S8" s="1"/>
      <c r="T8" s="1"/>
    </row>
    <row r="9" spans="1:20" ht="15" customHeight="1">
      <c r="A9" t="s">
        <v>167</v>
      </c>
      <c r="B9" s="99">
        <v>0</v>
      </c>
      <c r="C9" s="99">
        <v>0</v>
      </c>
      <c r="D9" s="99">
        <v>0</v>
      </c>
      <c r="E9" s="99">
        <v>0</v>
      </c>
      <c r="F9" s="99">
        <v>3.03</v>
      </c>
      <c r="G9" s="99">
        <f>IS_BS_Assumptions!G131</f>
        <v>6.1820000000000004</v>
      </c>
      <c r="H9" s="99">
        <f>IS_BS_Assumptions!H131</f>
        <v>2.7450000000000001</v>
      </c>
      <c r="I9" s="94">
        <f>IS_BS_Assumptions!I131</f>
        <v>2.1836693653695485</v>
      </c>
      <c r="J9" s="94">
        <f>IS_BS_Assumptions!J131</f>
        <v>2.1397786708505784</v>
      </c>
      <c r="K9" s="94">
        <f>IS_BS_Assumptions!K131</f>
        <v>2.1063763507073872</v>
      </c>
      <c r="L9" s="94">
        <f>IS_BS_Assumptions!L131</f>
        <v>2.0809560422985962</v>
      </c>
      <c r="M9" s="94">
        <f>IS_BS_Assumptions!M131</f>
        <v>2.0616103179049645</v>
      </c>
      <c r="N9" s="94">
        <f>IS_BS_Assumptions!N131</f>
        <v>2.0468875597741096</v>
      </c>
      <c r="R9" s="1"/>
      <c r="S9" s="1"/>
      <c r="T9" s="1"/>
    </row>
    <row r="10" spans="1:20" ht="15" customHeight="1">
      <c r="A10" t="s">
        <v>74</v>
      </c>
      <c r="B10" s="99">
        <v>-0.94477199999999995</v>
      </c>
      <c r="C10" s="99">
        <v>-0.63163999999999998</v>
      </c>
      <c r="D10" s="99">
        <v>-0.14544899999999999</v>
      </c>
      <c r="E10" s="99">
        <v>-0.68799999999999994</v>
      </c>
      <c r="F10" s="99">
        <v>-0.221</v>
      </c>
      <c r="G10" s="99">
        <f>-IS_BS_Assumptions!G74</f>
        <v>-0.49199999999999999</v>
      </c>
      <c r="H10" s="99">
        <f>-IS_BS_Assumptions!H74</f>
        <v>-1.78</v>
      </c>
      <c r="I10" s="94">
        <f>-IS_BS_Assumptions!I74</f>
        <v>-1.78</v>
      </c>
      <c r="J10" s="94">
        <f>-IS_BS_Assumptions!J74</f>
        <v>-1.78</v>
      </c>
      <c r="K10" s="94">
        <f>-IS_BS_Assumptions!K74</f>
        <v>-1.78</v>
      </c>
      <c r="L10" s="94">
        <f>-IS_BS_Assumptions!L74</f>
        <v>-1.78</v>
      </c>
      <c r="M10" s="94">
        <f>-IS_BS_Assumptions!M74</f>
        <v>-1.78</v>
      </c>
      <c r="N10" s="94">
        <f>-IS_BS_Assumptions!N74</f>
        <v>-1.78</v>
      </c>
      <c r="R10" s="1"/>
      <c r="S10" s="1"/>
      <c r="T10" s="1"/>
    </row>
    <row r="11" spans="1:20" ht="15" customHeight="1">
      <c r="A11" t="s">
        <v>89</v>
      </c>
      <c r="B11" s="99">
        <v>243.34868299999999</v>
      </c>
      <c r="C11" s="99">
        <v>262.58402000000001</v>
      </c>
      <c r="D11" s="99">
        <v>361.83086900000001</v>
      </c>
      <c r="E11" s="99">
        <v>294.10000000000002</v>
      </c>
      <c r="F11" s="99">
        <v>399.29599999999999</v>
      </c>
      <c r="G11" s="99">
        <f>IS_BS_Assumptions!G96</f>
        <v>350.11</v>
      </c>
      <c r="H11" s="99">
        <f>IS_BS_Assumptions!H96</f>
        <v>345.637</v>
      </c>
      <c r="I11" s="94">
        <f>IS_BS_Assumptions!I96</f>
        <v>448.93853651030344</v>
      </c>
      <c r="J11" s="94">
        <f>IS_BS_Assumptions!J96</f>
        <v>494.84628928450365</v>
      </c>
      <c r="K11" s="94">
        <f>IS_BS_Assumptions!K96</f>
        <v>542.17671011973175</v>
      </c>
      <c r="L11" s="94">
        <f>IS_BS_Assumptions!L96</f>
        <v>573.28946145249358</v>
      </c>
      <c r="M11" s="94">
        <f>IS_BS_Assumptions!M96</f>
        <v>573.28946145249358</v>
      </c>
      <c r="N11" s="94">
        <f>IS_BS_Assumptions!N96</f>
        <v>573.28946145249358</v>
      </c>
      <c r="R11" s="1"/>
      <c r="S11" s="1"/>
      <c r="T11" s="1"/>
    </row>
    <row r="12" spans="1:20" ht="15" customHeight="1">
      <c r="A12" t="s">
        <v>90</v>
      </c>
      <c r="B12" s="99">
        <v>-16.593492000000001</v>
      </c>
      <c r="C12" s="99">
        <v>-13.635562999999999</v>
      </c>
      <c r="D12" s="99">
        <v>-25.476749999999999</v>
      </c>
      <c r="E12" s="99">
        <v>0</v>
      </c>
      <c r="F12" s="99">
        <v>-11.576000000000001</v>
      </c>
      <c r="G12" s="99">
        <f>-IS_BS_Assumptions!G92</f>
        <v>-98.408000000000001</v>
      </c>
      <c r="H12" s="99">
        <f>-IS_BS_Assumptions!H92</f>
        <v>-126.61199999999999</v>
      </c>
      <c r="I12" s="94">
        <f>-IS_BS_Assumptions!I92</f>
        <v>0</v>
      </c>
      <c r="J12" s="94">
        <f>-IS_BS_Assumptions!J92</f>
        <v>0</v>
      </c>
      <c r="K12" s="94">
        <f>-IS_BS_Assumptions!K92</f>
        <v>0</v>
      </c>
      <c r="L12" s="94">
        <f>-IS_BS_Assumptions!L92</f>
        <v>0</v>
      </c>
      <c r="M12" s="94">
        <f>-IS_BS_Assumptions!M92</f>
        <v>0</v>
      </c>
      <c r="N12" s="94">
        <f>-IS_BS_Assumptions!N92</f>
        <v>0</v>
      </c>
      <c r="O12" s="28"/>
      <c r="R12" s="1"/>
      <c r="S12" s="1"/>
      <c r="T12" s="1"/>
    </row>
    <row r="13" spans="1:20" ht="15" customHeight="1">
      <c r="A13" t="s">
        <v>75</v>
      </c>
      <c r="B13" s="99">
        <v>-5</v>
      </c>
      <c r="C13" s="99">
        <v>-5</v>
      </c>
      <c r="D13" s="99">
        <v>0</v>
      </c>
      <c r="E13" s="99">
        <v>0</v>
      </c>
      <c r="F13" s="99">
        <v>0</v>
      </c>
      <c r="G13" s="99">
        <v>0</v>
      </c>
      <c r="H13" s="99">
        <v>-20.236000000000001</v>
      </c>
      <c r="I13" s="94">
        <v>0</v>
      </c>
      <c r="J13" s="94">
        <v>0</v>
      </c>
      <c r="K13" s="94">
        <v>0</v>
      </c>
      <c r="L13" s="94">
        <v>0</v>
      </c>
      <c r="M13" s="94">
        <v>0</v>
      </c>
      <c r="N13" s="94">
        <v>0</v>
      </c>
      <c r="R13" s="1"/>
      <c r="S13" s="1"/>
      <c r="T13" s="1"/>
    </row>
    <row r="14" spans="1:20" ht="15" customHeight="1">
      <c r="A14" t="s">
        <v>76</v>
      </c>
      <c r="B14" s="99">
        <v>-1.285871</v>
      </c>
      <c r="C14" s="99">
        <v>3.7513719999999999</v>
      </c>
      <c r="D14" s="99">
        <v>0.353099</v>
      </c>
      <c r="E14" s="99">
        <v>-12.552</v>
      </c>
      <c r="F14" s="99">
        <v>-1.859</v>
      </c>
      <c r="G14" s="99">
        <v>-4.6189999999999998</v>
      </c>
      <c r="H14" s="99">
        <v>-7.3289999999999997</v>
      </c>
      <c r="I14" s="94">
        <v>0</v>
      </c>
      <c r="J14" s="94">
        <v>0</v>
      </c>
      <c r="K14" s="94">
        <v>0</v>
      </c>
      <c r="L14" s="94">
        <v>0</v>
      </c>
      <c r="M14" s="94">
        <v>0</v>
      </c>
      <c r="N14" s="94">
        <v>0</v>
      </c>
      <c r="R14" s="1"/>
      <c r="S14" s="1"/>
      <c r="T14" s="1"/>
    </row>
    <row r="15" spans="1:20" ht="15" customHeight="1">
      <c r="A15" t="s">
        <v>95</v>
      </c>
      <c r="B15" s="99">
        <v>-30.356369000000001</v>
      </c>
      <c r="C15" s="99">
        <v>0</v>
      </c>
      <c r="D15" s="99">
        <v>0</v>
      </c>
      <c r="E15" s="99">
        <v>0</v>
      </c>
      <c r="F15" s="99">
        <v>0</v>
      </c>
      <c r="G15" s="99">
        <v>-3.2959999999999998</v>
      </c>
      <c r="H15" s="99">
        <v>0</v>
      </c>
      <c r="I15" s="94">
        <v>0</v>
      </c>
      <c r="J15" s="94">
        <v>0</v>
      </c>
      <c r="K15" s="94">
        <v>0</v>
      </c>
      <c r="L15" s="94">
        <v>0</v>
      </c>
      <c r="M15" s="94">
        <v>0</v>
      </c>
      <c r="N15" s="94">
        <v>0</v>
      </c>
      <c r="R15" s="1"/>
      <c r="S15" s="1"/>
      <c r="T15" s="1"/>
    </row>
    <row r="16" spans="1:20" ht="15" customHeight="1">
      <c r="A16" t="s">
        <v>93</v>
      </c>
      <c r="B16" s="99">
        <v>2.1935E-2</v>
      </c>
      <c r="C16" s="99">
        <v>2.2203000000000001E-2</v>
      </c>
      <c r="D16" s="99">
        <v>2.2203000000000001E-2</v>
      </c>
      <c r="E16" s="99">
        <v>2.1999999999999999E-2</v>
      </c>
      <c r="F16" s="99">
        <v>2.1999999999999999E-2</v>
      </c>
      <c r="G16" s="99">
        <v>0.02</v>
      </c>
      <c r="H16" s="99">
        <v>2.1999999999999999E-2</v>
      </c>
      <c r="I16" s="94">
        <v>0</v>
      </c>
      <c r="J16" s="94">
        <v>0</v>
      </c>
      <c r="K16" s="94">
        <v>0</v>
      </c>
      <c r="L16" s="94">
        <v>0</v>
      </c>
      <c r="M16" s="94">
        <v>0</v>
      </c>
      <c r="N16" s="94">
        <v>0</v>
      </c>
      <c r="R16" s="1"/>
      <c r="S16" s="1"/>
      <c r="T16" s="1"/>
    </row>
    <row r="17" spans="1:20" ht="15" customHeight="1">
      <c r="A17" t="s">
        <v>168</v>
      </c>
      <c r="B17" s="99">
        <v>0</v>
      </c>
      <c r="C17" s="99">
        <v>0</v>
      </c>
      <c r="D17" s="99">
        <v>0</v>
      </c>
      <c r="E17" s="99">
        <v>0</v>
      </c>
      <c r="F17" s="99">
        <v>11.145</v>
      </c>
      <c r="G17" s="99">
        <v>0.50800000000000001</v>
      </c>
      <c r="H17" s="99">
        <v>0</v>
      </c>
      <c r="I17" s="94">
        <v>0</v>
      </c>
      <c r="J17" s="94">
        <v>0</v>
      </c>
      <c r="K17" s="94">
        <v>0</v>
      </c>
      <c r="L17" s="94">
        <v>0</v>
      </c>
      <c r="M17" s="94">
        <v>0</v>
      </c>
      <c r="N17" s="94">
        <v>0</v>
      </c>
      <c r="R17" s="1"/>
      <c r="S17" s="1"/>
      <c r="T17" s="1"/>
    </row>
    <row r="18" spans="1:20" ht="15" customHeight="1">
      <c r="A18" t="s">
        <v>169</v>
      </c>
      <c r="B18" s="99">
        <v>0</v>
      </c>
      <c r="C18" s="99">
        <v>0.87165000000000004</v>
      </c>
      <c r="D18" s="99">
        <v>0</v>
      </c>
      <c r="E18" s="99">
        <v>0</v>
      </c>
      <c r="F18" s="99">
        <f>-IS_BS_Assumptions!F124</f>
        <v>-176</v>
      </c>
      <c r="G18" s="99">
        <f>-IS_BS_Assumptions!G124</f>
        <v>-23</v>
      </c>
      <c r="H18" s="99">
        <f>-IS_BS_Assumptions!H124</f>
        <v>-22.75</v>
      </c>
      <c r="I18" s="94">
        <f>-IS_BS_Assumptions!I124</f>
        <v>-23.753028100775168</v>
      </c>
      <c r="J18" s="94">
        <f>-IS_BS_Assumptions!J124</f>
        <v>-24.800278855218266</v>
      </c>
      <c r="K18" s="94">
        <f>-IS_BS_Assumptions!K124</f>
        <v>-25.893702002420241</v>
      </c>
      <c r="L18" s="94">
        <f>-IS_BS_Assumptions!L124</f>
        <v>-27.035333243806008</v>
      </c>
      <c r="M18" s="94">
        <f>-IS_BS_Assumptions!M124</f>
        <v>-28.227298033140528</v>
      </c>
      <c r="N18" s="94">
        <f>-IS_BS_Assumptions!N124</f>
        <v>-29.471815533632594</v>
      </c>
      <c r="R18" s="1"/>
      <c r="S18" s="1"/>
      <c r="T18" s="1"/>
    </row>
    <row r="19" spans="1:20" ht="15" customHeight="1">
      <c r="A19" t="s">
        <v>40</v>
      </c>
      <c r="B19" s="99">
        <v>0</v>
      </c>
      <c r="C19" s="99">
        <v>42.357771</v>
      </c>
      <c r="D19" s="99">
        <v>45.745260999999999</v>
      </c>
      <c r="E19" s="99">
        <v>43.445</v>
      </c>
      <c r="F19" s="99">
        <v>42.765999999999998</v>
      </c>
      <c r="G19" s="99">
        <v>42.404000000000003</v>
      </c>
      <c r="H19" s="99">
        <v>43.389000000000003</v>
      </c>
      <c r="I19" s="94">
        <v>0</v>
      </c>
      <c r="J19" s="94">
        <v>0</v>
      </c>
      <c r="K19" s="94">
        <v>0</v>
      </c>
      <c r="L19" s="94">
        <v>0</v>
      </c>
      <c r="M19" s="94">
        <v>0</v>
      </c>
      <c r="N19" s="94">
        <v>0</v>
      </c>
      <c r="R19" s="1"/>
      <c r="S19" s="1"/>
      <c r="T19" s="1"/>
    </row>
    <row r="20" spans="1:20" ht="15" customHeight="1">
      <c r="A20" t="s">
        <v>86</v>
      </c>
      <c r="B20" s="99">
        <v>0</v>
      </c>
      <c r="C20" s="99">
        <v>2.8059789999999998</v>
      </c>
      <c r="D20" s="99">
        <v>0</v>
      </c>
      <c r="E20" s="99">
        <v>0</v>
      </c>
      <c r="F20" s="99">
        <v>0</v>
      </c>
      <c r="G20" s="99">
        <v>0</v>
      </c>
      <c r="H20" s="99">
        <v>4.6470000000000002</v>
      </c>
      <c r="I20" s="94">
        <v>0</v>
      </c>
      <c r="J20" s="94">
        <v>0</v>
      </c>
      <c r="K20" s="94">
        <v>0</v>
      </c>
      <c r="L20" s="94">
        <v>0</v>
      </c>
      <c r="M20" s="94">
        <v>0</v>
      </c>
      <c r="N20" s="94">
        <v>0</v>
      </c>
      <c r="R20" s="1"/>
      <c r="S20" s="1"/>
      <c r="T20" s="1"/>
    </row>
    <row r="21" spans="1:20" ht="15" customHeight="1">
      <c r="A21" s="4"/>
      <c r="B21" s="99"/>
      <c r="C21" s="99"/>
      <c r="D21" s="99"/>
      <c r="E21" s="99"/>
      <c r="F21" s="99"/>
      <c r="G21" s="99"/>
      <c r="H21" s="99"/>
      <c r="I21" s="57"/>
      <c r="J21" s="57"/>
      <c r="K21" s="57"/>
      <c r="L21" s="57"/>
      <c r="M21" s="57"/>
      <c r="N21" s="57"/>
    </row>
    <row r="22" spans="1:20" ht="15" customHeight="1">
      <c r="A22" s="4" t="s">
        <v>77</v>
      </c>
      <c r="B22" s="99"/>
      <c r="C22" s="99"/>
      <c r="D22" s="99"/>
      <c r="E22" s="99"/>
      <c r="F22" s="99"/>
      <c r="G22" s="99"/>
      <c r="H22" s="99"/>
      <c r="I22" s="57"/>
      <c r="J22" s="57"/>
      <c r="K22" s="57"/>
      <c r="L22" s="57"/>
      <c r="M22" s="57"/>
      <c r="N22" s="57"/>
    </row>
    <row r="23" spans="1:20" ht="15" customHeight="1">
      <c r="A23" s="45" t="s">
        <v>170</v>
      </c>
      <c r="B23" s="99">
        <v>-633.29949599999998</v>
      </c>
      <c r="C23" s="99">
        <v>539.62919099999999</v>
      </c>
      <c r="D23" s="99">
        <v>-354.99785700000001</v>
      </c>
      <c r="E23" s="99">
        <v>-743.048</v>
      </c>
      <c r="F23" s="99">
        <v>-1159.222</v>
      </c>
      <c r="G23" s="99">
        <f>-IS_BS_Assumptions!G135+IS_BS_Assumptions!F135</f>
        <v>1112.5060000000008</v>
      </c>
      <c r="H23" s="99">
        <f>-IS_BS_Assumptions!H135+IS_BS_Assumptions!G135</f>
        <v>-376.56700000000046</v>
      </c>
      <c r="I23" s="94">
        <f>-IS_BS_Assumptions!I135+IS_BS_Assumptions!H135</f>
        <v>-1887.4573159185802</v>
      </c>
      <c r="J23" s="94">
        <f>-IS_BS_Assumptions!J135+IS_BS_Assumptions!I135</f>
        <v>-1542.1685567523527</v>
      </c>
      <c r="K23" s="94">
        <f>-IS_BS_Assumptions!K135+IS_BS_Assumptions!J135</f>
        <v>-1160.5691665278309</v>
      </c>
      <c r="L23" s="94">
        <f>-IS_BS_Assumptions!L135+IS_BS_Assumptions!K135</f>
        <v>-978.32666427910954</v>
      </c>
      <c r="M23" s="94">
        <f>-IS_BS_Assumptions!M135+IS_BS_Assumptions!L135</f>
        <v>-587.02662497733763</v>
      </c>
      <c r="N23" s="94">
        <f>-IS_BS_Assumptions!N135+IS_BS_Assumptions!M135</f>
        <v>-1566.2492337770782</v>
      </c>
      <c r="R23" s="1"/>
      <c r="S23" s="1"/>
      <c r="T23" s="1"/>
    </row>
    <row r="24" spans="1:20" ht="15" customHeight="1">
      <c r="A24" s="45" t="s">
        <v>171</v>
      </c>
      <c r="B24" s="99">
        <v>-652.48093100000006</v>
      </c>
      <c r="C24" s="99">
        <v>127.96250999999999</v>
      </c>
      <c r="D24" s="99">
        <v>-573.49407299999996</v>
      </c>
      <c r="E24" s="99">
        <v>-505.286</v>
      </c>
      <c r="F24" s="99">
        <v>-985.42899999999997</v>
      </c>
      <c r="G24" s="99">
        <v>717.83500000000004</v>
      </c>
      <c r="H24" s="99">
        <f>-IS_BS_Assumptions!H147+IS_BS_Assumptions!G147</f>
        <v>-1083.4430000000002</v>
      </c>
      <c r="I24" s="94">
        <f>-IS_BS_Assumptions!I147+IS_BS_Assumptions!H147</f>
        <v>-1136.3923251898223</v>
      </c>
      <c r="J24" s="94">
        <f>-IS_BS_Assumptions!J147+IS_BS_Assumptions!I147</f>
        <v>-1694.3833154881677</v>
      </c>
      <c r="K24" s="94">
        <f>-IS_BS_Assumptions!K147+IS_BS_Assumptions!J147</f>
        <v>-1103.6467103187588</v>
      </c>
      <c r="L24" s="94">
        <f>-IS_BS_Assumptions!L147+IS_BS_Assumptions!K147</f>
        <v>-1342.7557516315755</v>
      </c>
      <c r="M24" s="94">
        <f>-IS_BS_Assumptions!M147+IS_BS_Assumptions!L147</f>
        <v>-1251.6347319164797</v>
      </c>
      <c r="N24" s="94">
        <f>-IS_BS_Assumptions!N147+IS_BS_Assumptions!M147</f>
        <v>-1246.9666089155489</v>
      </c>
      <c r="R24" s="1"/>
      <c r="S24" s="1"/>
      <c r="T24" s="1"/>
    </row>
    <row r="25" spans="1:20" ht="15" customHeight="1">
      <c r="A25" s="45" t="s">
        <v>172</v>
      </c>
      <c r="B25" s="99">
        <v>679.20267899999999</v>
      </c>
      <c r="C25" s="99">
        <v>-179.20356899999999</v>
      </c>
      <c r="D25" s="99">
        <v>-152.968941</v>
      </c>
      <c r="E25" s="99">
        <v>449.17</v>
      </c>
      <c r="F25" s="99">
        <v>1907.123</v>
      </c>
      <c r="G25" s="99">
        <f>IS_BS_Assumptions!G156-IS_BS_Assumptions!F156</f>
        <v>-1278.7250000000001</v>
      </c>
      <c r="H25" s="99">
        <f>IS_BS_Assumptions!H156-IS_BS_Assumptions!G156</f>
        <v>-59.873000000000047</v>
      </c>
      <c r="I25" s="94">
        <f>IS_BS_Assumptions!I156-IS_BS_Assumptions!H156</f>
        <v>2047.1538737548387</v>
      </c>
      <c r="J25" s="94">
        <f>IS_BS_Assumptions!J156-IS_BS_Assumptions!I156</f>
        <v>1062.8739711649523</v>
      </c>
      <c r="K25" s="94">
        <f>IS_BS_Assumptions!K156-IS_BS_Assumptions!J156</f>
        <v>160.64161750311905</v>
      </c>
      <c r="L25" s="94">
        <f>IS_BS_Assumptions!L156-IS_BS_Assumptions!K156</f>
        <v>938.29346778793479</v>
      </c>
      <c r="M25" s="94">
        <f>IS_BS_Assumptions!M156-IS_BS_Assumptions!L156</f>
        <v>313.36505544161992</v>
      </c>
      <c r="N25" s="94">
        <f>IS_BS_Assumptions!N156-IS_BS_Assumptions!M156</f>
        <v>827.09454931957589</v>
      </c>
      <c r="R25" s="1"/>
      <c r="S25" s="1"/>
      <c r="T25" s="1"/>
    </row>
    <row r="26" spans="1:20" ht="15" customHeight="1">
      <c r="A26" s="45" t="s">
        <v>87</v>
      </c>
      <c r="B26" s="99">
        <v>48.22</v>
      </c>
      <c r="C26" s="99">
        <v>9.5498980000000007</v>
      </c>
      <c r="D26" s="99">
        <v>-9.3678100000000004</v>
      </c>
      <c r="E26" s="99"/>
      <c r="F26" s="99">
        <v>0</v>
      </c>
      <c r="G26" s="99">
        <v>0</v>
      </c>
      <c r="H26" s="99">
        <v>0</v>
      </c>
      <c r="I26" s="94">
        <v>0</v>
      </c>
      <c r="J26" s="94">
        <v>0</v>
      </c>
      <c r="K26" s="94">
        <v>0</v>
      </c>
      <c r="L26" s="94">
        <v>0</v>
      </c>
      <c r="M26" s="94">
        <v>0</v>
      </c>
      <c r="N26" s="94">
        <v>0</v>
      </c>
      <c r="P26" s="99"/>
      <c r="R26" s="1"/>
      <c r="S26" s="1"/>
      <c r="T26" s="1"/>
    </row>
    <row r="27" spans="1:20" ht="15" customHeight="1">
      <c r="A27" s="45" t="s">
        <v>40</v>
      </c>
      <c r="B27" s="99">
        <v>28.716407</v>
      </c>
      <c r="C27" s="99">
        <v>0</v>
      </c>
      <c r="D27" s="99">
        <v>0</v>
      </c>
      <c r="E27" s="99">
        <v>0</v>
      </c>
      <c r="F27" s="99">
        <v>0</v>
      </c>
      <c r="G27" s="99">
        <v>0</v>
      </c>
      <c r="H27" s="99">
        <v>0</v>
      </c>
      <c r="I27" s="95">
        <v>0</v>
      </c>
      <c r="J27" s="95">
        <v>0</v>
      </c>
      <c r="K27" s="95">
        <v>0</v>
      </c>
      <c r="L27" s="95">
        <v>0</v>
      </c>
      <c r="M27" s="95">
        <v>0</v>
      </c>
      <c r="N27" s="95">
        <v>0</v>
      </c>
      <c r="P27" s="28"/>
      <c r="R27" s="1"/>
      <c r="S27" s="1"/>
      <c r="T27" s="1"/>
    </row>
    <row r="28" spans="1:20" ht="15" customHeight="1">
      <c r="A28" s="46" t="s">
        <v>53</v>
      </c>
      <c r="B28" s="100">
        <v>178.674533</v>
      </c>
      <c r="C28" s="100">
        <v>1700.899126</v>
      </c>
      <c r="D28" s="100">
        <v>208.83265299999999</v>
      </c>
      <c r="E28" s="100">
        <v>393.49599999999998</v>
      </c>
      <c r="F28" s="100">
        <f t="shared" ref="F28:J28" si="0">SUM(F5:F27)</f>
        <v>1429.6120000000005</v>
      </c>
      <c r="G28" s="100">
        <f t="shared" si="0"/>
        <v>2692.2889999999998</v>
      </c>
      <c r="H28" s="100">
        <f t="shared" si="0"/>
        <v>712.64999999999736</v>
      </c>
      <c r="I28" s="98">
        <f t="shared" si="0"/>
        <v>857.24448011419486</v>
      </c>
      <c r="J28" s="98">
        <f t="shared" si="0"/>
        <v>554.86797104810012</v>
      </c>
      <c r="K28" s="98">
        <f t="shared" ref="K28:N28" si="1">SUM(K5:K27)</f>
        <v>1096.9741140440237</v>
      </c>
      <c r="L28" s="98">
        <f t="shared" si="1"/>
        <v>2946.4308765815449</v>
      </c>
      <c r="M28" s="98">
        <f t="shared" si="1"/>
        <v>2713.2744250717778</v>
      </c>
      <c r="N28" s="98">
        <f t="shared" si="1"/>
        <v>1497.7854932077539</v>
      </c>
      <c r="P28" s="99"/>
      <c r="R28" s="1"/>
      <c r="S28" s="1"/>
      <c r="T28" s="1"/>
    </row>
    <row r="29" spans="1:20" ht="15" customHeight="1">
      <c r="A29" s="4"/>
      <c r="B29" s="99"/>
      <c r="C29" s="99"/>
      <c r="D29" s="99"/>
      <c r="E29" s="99"/>
      <c r="F29" s="99"/>
      <c r="G29" s="99"/>
      <c r="H29" s="99"/>
      <c r="I29" s="57"/>
      <c r="J29" s="57"/>
      <c r="K29" s="57"/>
      <c r="L29" s="57"/>
      <c r="M29" s="57"/>
      <c r="N29" s="57"/>
      <c r="R29" s="1"/>
      <c r="S29" s="1"/>
      <c r="T29" s="1"/>
    </row>
    <row r="30" spans="1:20" ht="15" customHeight="1">
      <c r="A30" t="s">
        <v>285</v>
      </c>
      <c r="B30" s="99">
        <v>-243.34868299999999</v>
      </c>
      <c r="C30" s="99">
        <v>-262.58402000000001</v>
      </c>
      <c r="D30" s="99">
        <v>-361.83086900000001</v>
      </c>
      <c r="E30" s="99">
        <v>-294.10000000000002</v>
      </c>
      <c r="F30" s="99">
        <v>-399.29599999999999</v>
      </c>
      <c r="G30" s="99">
        <f>-IS_BS_Assumptions!G96</f>
        <v>-350.11</v>
      </c>
      <c r="H30" s="99">
        <f>-IS_BS_Assumptions!H96</f>
        <v>-345.637</v>
      </c>
      <c r="I30" s="94">
        <f>-IS_BS_Assumptions!I96</f>
        <v>-448.93853651030344</v>
      </c>
      <c r="J30" s="94">
        <f>-IS_BS_Assumptions!J96</f>
        <v>-494.84628928450365</v>
      </c>
      <c r="K30" s="94">
        <f>-IS_BS_Assumptions!K96</f>
        <v>-542.17671011973175</v>
      </c>
      <c r="L30" s="94">
        <f>-IS_BS_Assumptions!L96</f>
        <v>-573.28946145249358</v>
      </c>
      <c r="M30" s="94">
        <f>-IS_BS_Assumptions!M96</f>
        <v>-573.28946145249358</v>
      </c>
      <c r="N30" s="94">
        <f>-IS_BS_Assumptions!N96</f>
        <v>-573.28946145249358</v>
      </c>
      <c r="R30" s="1"/>
      <c r="S30" s="1"/>
      <c r="T30" s="1"/>
    </row>
    <row r="31" spans="1:20" ht="15" customHeight="1">
      <c r="A31" t="s">
        <v>78</v>
      </c>
      <c r="B31" s="99">
        <v>-8.7771819999999998</v>
      </c>
      <c r="C31" s="99">
        <v>0</v>
      </c>
      <c r="D31" s="99">
        <v>0</v>
      </c>
      <c r="E31" s="99">
        <v>-27.974</v>
      </c>
      <c r="F31" s="99">
        <v>0</v>
      </c>
      <c r="G31" s="99">
        <v>0</v>
      </c>
      <c r="H31" s="99">
        <v>0</v>
      </c>
      <c r="I31" s="94">
        <v>0</v>
      </c>
      <c r="J31" s="94">
        <v>0</v>
      </c>
      <c r="K31" s="94">
        <v>0</v>
      </c>
      <c r="L31" s="94">
        <v>0</v>
      </c>
      <c r="M31" s="94">
        <v>0</v>
      </c>
      <c r="N31" s="94">
        <v>0</v>
      </c>
      <c r="R31" s="1"/>
      <c r="S31" s="1"/>
      <c r="T31" s="1"/>
    </row>
    <row r="32" spans="1:20" ht="15" customHeight="1">
      <c r="A32" t="s">
        <v>54</v>
      </c>
      <c r="B32" s="99">
        <v>0</v>
      </c>
      <c r="C32" s="99">
        <v>-9.1290209999999998</v>
      </c>
      <c r="D32" s="99">
        <v>-13.845031000000001</v>
      </c>
      <c r="E32" s="99">
        <v>0</v>
      </c>
      <c r="F32" s="99">
        <v>-14.696</v>
      </c>
      <c r="G32" s="99">
        <v>-22.844000000000001</v>
      </c>
      <c r="H32" s="99">
        <v>-22.727</v>
      </c>
      <c r="I32" s="94">
        <v>0</v>
      </c>
      <c r="J32" s="94">
        <v>0</v>
      </c>
      <c r="K32" s="94">
        <v>0</v>
      </c>
      <c r="L32" s="94">
        <v>0</v>
      </c>
      <c r="M32" s="94">
        <v>0</v>
      </c>
      <c r="N32" s="94">
        <v>0</v>
      </c>
      <c r="R32" s="1"/>
      <c r="S32" s="1"/>
      <c r="T32" s="1"/>
    </row>
    <row r="33" spans="1:20" ht="15" customHeight="1">
      <c r="A33" t="s">
        <v>55</v>
      </c>
      <c r="B33" s="99">
        <v>-0.14504</v>
      </c>
      <c r="C33" s="99">
        <v>-0.24266299999999999</v>
      </c>
      <c r="D33" s="99">
        <v>-0.30960500000000002</v>
      </c>
      <c r="E33" s="99">
        <v>-0.254</v>
      </c>
      <c r="F33" s="99">
        <v>0</v>
      </c>
      <c r="G33" s="99">
        <v>0</v>
      </c>
      <c r="H33" s="99">
        <v>0</v>
      </c>
      <c r="I33" s="94">
        <v>0</v>
      </c>
      <c r="J33" s="94">
        <v>0</v>
      </c>
      <c r="K33" s="94">
        <v>0</v>
      </c>
      <c r="L33" s="94">
        <v>0</v>
      </c>
      <c r="M33" s="94">
        <v>0</v>
      </c>
      <c r="N33" s="94">
        <v>0</v>
      </c>
      <c r="R33" s="1"/>
      <c r="S33" s="1"/>
      <c r="T33" s="1"/>
    </row>
    <row r="34" spans="1:20" ht="15" customHeight="1">
      <c r="A34" t="s">
        <v>56</v>
      </c>
      <c r="B34" s="99">
        <v>-263.35490099999998</v>
      </c>
      <c r="C34" s="99">
        <v>-183.53002599999999</v>
      </c>
      <c r="D34" s="99">
        <v>-107.770438</v>
      </c>
      <c r="E34" s="99">
        <v>-70.298000000000002</v>
      </c>
      <c r="F34" s="99">
        <v>-115.196</v>
      </c>
      <c r="G34" s="99">
        <v>-132.221</v>
      </c>
      <c r="H34" s="99">
        <v>-476.029</v>
      </c>
      <c r="I34" s="94">
        <f>'IS &amp; BS'!I14</f>
        <v>-346.05000267244861</v>
      </c>
      <c r="J34" s="94">
        <f>'IS &amp; BS'!J14</f>
        <v>-592.88768197529976</v>
      </c>
      <c r="K34" s="94">
        <f>'IS &amp; BS'!K14</f>
        <v>-717.33937863273911</v>
      </c>
      <c r="L34" s="94">
        <f>'IS &amp; BS'!L14</f>
        <v>-1035.898436860964</v>
      </c>
      <c r="M34" s="94">
        <f>'IS &amp; BS'!M14</f>
        <v>-1011.5899150550983</v>
      </c>
      <c r="N34" s="94">
        <f>'IS &amp; BS'!N14</f>
        <v>-795.6611252791954</v>
      </c>
      <c r="R34" s="1"/>
      <c r="S34" s="1"/>
      <c r="T34" s="1"/>
    </row>
    <row r="35" spans="1:20" ht="15" customHeight="1">
      <c r="A35" t="s">
        <v>57</v>
      </c>
      <c r="B35" s="99">
        <v>-3.7962340000000001</v>
      </c>
      <c r="C35" s="99">
        <v>-6.8650359999999999</v>
      </c>
      <c r="D35" s="99">
        <v>-3.4203209999999999</v>
      </c>
      <c r="E35" s="99">
        <v>-6.6840000000000002</v>
      </c>
      <c r="F35" s="99">
        <v>-7.0880000000000001</v>
      </c>
      <c r="G35" s="99">
        <v>-13.61</v>
      </c>
      <c r="H35" s="99">
        <v>0</v>
      </c>
      <c r="I35" s="94">
        <v>0</v>
      </c>
      <c r="J35" s="94">
        <v>0</v>
      </c>
      <c r="K35" s="94">
        <v>0</v>
      </c>
      <c r="L35" s="94">
        <v>0</v>
      </c>
      <c r="M35" s="94">
        <v>0</v>
      </c>
      <c r="N35" s="94">
        <v>0</v>
      </c>
      <c r="R35" s="1"/>
      <c r="S35" s="1"/>
      <c r="T35" s="1"/>
    </row>
    <row r="36" spans="1:20" ht="15" customHeight="1" thickBot="1">
      <c r="A36" s="4" t="s">
        <v>58</v>
      </c>
      <c r="B36" s="101">
        <v>-340.74750699999998</v>
      </c>
      <c r="C36" s="101">
        <v>1238.54836</v>
      </c>
      <c r="D36" s="101">
        <v>-278.34361100000001</v>
      </c>
      <c r="E36" s="101">
        <v>-5.8150000000000004</v>
      </c>
      <c r="F36" s="101">
        <f t="shared" ref="F36:J36" si="2">SUM(F28:F35)</f>
        <v>893.33600000000047</v>
      </c>
      <c r="G36" s="101">
        <f t="shared" si="2"/>
        <v>2173.5039999999995</v>
      </c>
      <c r="H36" s="101">
        <f t="shared" si="2"/>
        <v>-131.74300000000261</v>
      </c>
      <c r="I36" s="96">
        <f t="shared" si="2"/>
        <v>62.255940931442808</v>
      </c>
      <c r="J36" s="96">
        <f t="shared" si="2"/>
        <v>-532.86600021170329</v>
      </c>
      <c r="K36" s="96">
        <f t="shared" ref="K36:N36" si="3">SUM(K28:K35)</f>
        <v>-162.54197470844713</v>
      </c>
      <c r="L36" s="96">
        <f t="shared" si="3"/>
        <v>1337.2429782680874</v>
      </c>
      <c r="M36" s="96">
        <f t="shared" si="3"/>
        <v>1128.395048564186</v>
      </c>
      <c r="N36" s="96">
        <f t="shared" si="3"/>
        <v>128.83490647606493</v>
      </c>
      <c r="R36" s="1"/>
      <c r="S36" s="1"/>
      <c r="T36" s="1"/>
    </row>
    <row r="37" spans="1:20" ht="15" customHeight="1">
      <c r="B37" s="99"/>
      <c r="C37" s="99"/>
      <c r="D37" s="99"/>
      <c r="E37" s="99"/>
      <c r="F37" s="99"/>
      <c r="G37" s="99"/>
      <c r="H37" s="99"/>
      <c r="I37" s="57"/>
      <c r="J37" s="57"/>
      <c r="K37" s="57"/>
      <c r="L37" s="57"/>
      <c r="M37" s="57"/>
      <c r="N37" s="57"/>
      <c r="R37" s="1"/>
      <c r="S37" s="1"/>
      <c r="T37" s="1"/>
    </row>
    <row r="38" spans="1:20" ht="15" customHeight="1">
      <c r="A38" s="4" t="s">
        <v>79</v>
      </c>
      <c r="B38" s="99"/>
      <c r="C38" s="99"/>
      <c r="D38" s="99"/>
      <c r="E38" s="99"/>
      <c r="F38" s="99"/>
      <c r="G38" s="99"/>
      <c r="H38" s="99"/>
      <c r="I38" s="57"/>
      <c r="J38" s="57"/>
      <c r="K38" s="57"/>
      <c r="L38" s="57"/>
      <c r="M38" s="57"/>
      <c r="N38" s="57"/>
      <c r="R38" s="1"/>
      <c r="S38" s="1"/>
      <c r="T38" s="1"/>
    </row>
    <row r="39" spans="1:20" ht="15" customHeight="1">
      <c r="A39" t="s">
        <v>59</v>
      </c>
      <c r="B39" s="99">
        <v>16.593492000000001</v>
      </c>
      <c r="C39" s="99">
        <v>13.635562999999999</v>
      </c>
      <c r="D39" s="99">
        <v>25.476749999999999</v>
      </c>
      <c r="E39" s="99">
        <v>0</v>
      </c>
      <c r="F39" s="99">
        <v>11.576000000000001</v>
      </c>
      <c r="G39" s="99">
        <f>IS_BS_Assumptions!G92</f>
        <v>98.408000000000001</v>
      </c>
      <c r="H39" s="99">
        <f>IS_BS_Assumptions!H92</f>
        <v>126.61199999999999</v>
      </c>
      <c r="I39" s="94">
        <f>IS_BS_Assumptions!I92</f>
        <v>0</v>
      </c>
      <c r="J39" s="94">
        <f>IS_BS_Assumptions!J92</f>
        <v>0</v>
      </c>
      <c r="K39" s="94">
        <f>IS_BS_Assumptions!K92</f>
        <v>0</v>
      </c>
      <c r="L39" s="94">
        <f>IS_BS_Assumptions!L92</f>
        <v>0</v>
      </c>
      <c r="M39" s="94">
        <f>IS_BS_Assumptions!M92</f>
        <v>0</v>
      </c>
      <c r="N39" s="94">
        <f>IS_BS_Assumptions!N92</f>
        <v>0</v>
      </c>
      <c r="R39" s="1"/>
      <c r="S39" s="1"/>
      <c r="T39" s="1"/>
    </row>
    <row r="40" spans="1:20" ht="15" customHeight="1">
      <c r="A40" t="s">
        <v>80</v>
      </c>
      <c r="B40" s="99">
        <v>-109.356369</v>
      </c>
      <c r="C40" s="99">
        <v>-105.868728</v>
      </c>
      <c r="D40" s="99">
        <v>-204.98182299999999</v>
      </c>
      <c r="E40" s="99">
        <v>-228.07499999999999</v>
      </c>
      <c r="F40" s="99">
        <v>-127.205</v>
      </c>
      <c r="G40" s="99">
        <f>-IS_BS_Assumptions!G107</f>
        <v>-124.794</v>
      </c>
      <c r="H40" s="99">
        <f>-IS_BS_Assumptions!H107</f>
        <v>-79.942999999999998</v>
      </c>
      <c r="I40" s="94">
        <f>-IS_BS_Assumptions!I107</f>
        <v>-100.43127</v>
      </c>
      <c r="J40" s="94">
        <f>-IS_BS_Assumptions!J107</f>
        <v>-97.902627101868447</v>
      </c>
      <c r="K40" s="94">
        <f>-IS_BS_Assumptions!K107</f>
        <v>-95.462218773833413</v>
      </c>
      <c r="L40" s="94">
        <f>-IS_BS_Assumptions!L107</f>
        <v>-93.106966155148726</v>
      </c>
      <c r="M40" s="94">
        <f>-IS_BS_Assumptions!M107</f>
        <v>-90.83389781896274</v>
      </c>
      <c r="N40" s="94">
        <f>-IS_BS_Assumptions!N107</f>
        <v>-88.64014602351547</v>
      </c>
      <c r="R40" s="1"/>
      <c r="S40" s="1"/>
      <c r="T40" s="1"/>
    </row>
    <row r="41" spans="1:20" ht="15" customHeight="1">
      <c r="A41" t="s">
        <v>173</v>
      </c>
      <c r="B41" s="99"/>
      <c r="C41" s="99"/>
      <c r="D41" s="99"/>
      <c r="E41" s="99"/>
      <c r="F41" s="99">
        <v>-2.6589999999999998</v>
      </c>
      <c r="G41" s="99">
        <f>-IS_BS_Assumptions!G129</f>
        <v>-0.36099999999999999</v>
      </c>
      <c r="H41" s="99">
        <f>-IS_BS_Assumptions!H129</f>
        <v>-0.39600000000000002</v>
      </c>
      <c r="I41" s="94">
        <f>-IS_BS_Assumptions!I129</f>
        <v>-2</v>
      </c>
      <c r="J41" s="94">
        <f>-IS_BS_Assumptions!J129</f>
        <v>-2</v>
      </c>
      <c r="K41" s="94">
        <f>-IS_BS_Assumptions!K129</f>
        <v>-2</v>
      </c>
      <c r="L41" s="94">
        <f>-IS_BS_Assumptions!L129</f>
        <v>-2</v>
      </c>
      <c r="M41" s="94">
        <f>-IS_BS_Assumptions!M129</f>
        <v>-2</v>
      </c>
      <c r="N41" s="94">
        <f>-IS_BS_Assumptions!N129</f>
        <v>-2</v>
      </c>
      <c r="R41" s="1"/>
      <c r="S41" s="1"/>
      <c r="T41" s="1"/>
    </row>
    <row r="42" spans="1:20" ht="15" customHeight="1">
      <c r="A42" t="s">
        <v>3881</v>
      </c>
      <c r="B42" s="99">
        <v>0</v>
      </c>
      <c r="C42" s="99"/>
      <c r="D42" s="99">
        <v>0</v>
      </c>
      <c r="E42" s="99">
        <v>-0.42399999999999999</v>
      </c>
      <c r="F42" s="99">
        <v>0</v>
      </c>
      <c r="G42" s="99">
        <v>-8.9309999999999992</v>
      </c>
      <c r="H42" s="99">
        <v>0</v>
      </c>
      <c r="I42" s="94">
        <v>0</v>
      </c>
      <c r="J42" s="94">
        <v>0</v>
      </c>
      <c r="K42" s="94">
        <v>0</v>
      </c>
      <c r="L42" s="94">
        <v>0</v>
      </c>
      <c r="M42" s="94">
        <v>0</v>
      </c>
      <c r="N42" s="94">
        <v>0</v>
      </c>
      <c r="R42" s="1"/>
      <c r="S42" s="1"/>
      <c r="T42" s="1"/>
    </row>
    <row r="43" spans="1:20" ht="15" customHeight="1">
      <c r="A43" t="s">
        <v>60</v>
      </c>
      <c r="B43" s="99">
        <v>-56.400357</v>
      </c>
      <c r="C43" s="99">
        <v>-44.168793000000001</v>
      </c>
      <c r="D43" s="99">
        <v>-24.132632999999998</v>
      </c>
      <c r="E43" s="99">
        <v>0</v>
      </c>
      <c r="F43" s="99">
        <v>-71.923000000000002</v>
      </c>
      <c r="G43" s="99">
        <f>-IS_BS_Assumptions!G117</f>
        <v>-11.429</v>
      </c>
      <c r="H43" s="99">
        <f>-IS_BS_Assumptions!H117</f>
        <v>-36.298000000000002</v>
      </c>
      <c r="I43" s="94">
        <f>-IS_BS_Assumptions!I117</f>
        <v>-32.916333333333334</v>
      </c>
      <c r="J43" s="94">
        <f>-IS_BS_Assumptions!J117</f>
        <v>-39.883333333333333</v>
      </c>
      <c r="K43" s="94">
        <f>-IS_BS_Assumptions!K117</f>
        <v>-26.881111111111114</v>
      </c>
      <c r="L43" s="94">
        <f>-IS_BS_Assumptions!L117</f>
        <v>-36.36588888888889</v>
      </c>
      <c r="M43" s="94">
        <f>-IS_BS_Assumptions!M117</f>
        <v>-33.226925925925926</v>
      </c>
      <c r="N43" s="94">
        <f>-IS_BS_Assumptions!N117</f>
        <v>-34.376777777777782</v>
      </c>
      <c r="R43" s="1"/>
      <c r="S43" s="1"/>
      <c r="T43" s="1"/>
    </row>
    <row r="44" spans="1:20" ht="15" customHeight="1">
      <c r="A44" t="s">
        <v>61</v>
      </c>
      <c r="B44" s="99">
        <v>0.94477199999999995</v>
      </c>
      <c r="C44" s="99">
        <v>0.63163999999999998</v>
      </c>
      <c r="D44" s="99">
        <v>0.14544899999999999</v>
      </c>
      <c r="E44" s="99">
        <v>0.68799999999999994</v>
      </c>
      <c r="F44" s="99">
        <v>0.221</v>
      </c>
      <c r="G44" s="99">
        <f>IS_BS_Assumptions!G74</f>
        <v>0.49199999999999999</v>
      </c>
      <c r="H44" s="99">
        <f>IS_BS_Assumptions!H74</f>
        <v>1.78</v>
      </c>
      <c r="I44" s="94">
        <f>IS_BS_Assumptions!I74</f>
        <v>1.78</v>
      </c>
      <c r="J44" s="94">
        <f>IS_BS_Assumptions!J74</f>
        <v>1.78</v>
      </c>
      <c r="K44" s="94">
        <f>IS_BS_Assumptions!K74</f>
        <v>1.78</v>
      </c>
      <c r="L44" s="94">
        <f>IS_BS_Assumptions!L74</f>
        <v>1.78</v>
      </c>
      <c r="M44" s="94">
        <f>IS_BS_Assumptions!M74</f>
        <v>1.78</v>
      </c>
      <c r="N44" s="94">
        <f>IS_BS_Assumptions!N74</f>
        <v>1.78</v>
      </c>
      <c r="R44" s="1"/>
      <c r="S44" s="1"/>
      <c r="T44" s="1"/>
    </row>
    <row r="45" spans="1:20" ht="15" customHeight="1">
      <c r="A45" t="s">
        <v>62</v>
      </c>
      <c r="B45" s="99">
        <v>0</v>
      </c>
      <c r="C45" s="99">
        <v>0</v>
      </c>
      <c r="D45" s="99">
        <v>0</v>
      </c>
      <c r="E45" s="99">
        <v>0</v>
      </c>
      <c r="F45" s="99">
        <v>-778.06</v>
      </c>
      <c r="G45" s="99">
        <v>0</v>
      </c>
      <c r="H45" s="99">
        <v>0</v>
      </c>
      <c r="I45" s="94">
        <v>0</v>
      </c>
      <c r="J45" s="94">
        <v>0</v>
      </c>
      <c r="K45" s="94">
        <v>0</v>
      </c>
      <c r="L45" s="94">
        <v>0</v>
      </c>
      <c r="M45" s="94">
        <v>0</v>
      </c>
      <c r="N45" s="94">
        <v>0</v>
      </c>
      <c r="R45" s="1"/>
      <c r="S45" s="1"/>
      <c r="T45" s="1"/>
    </row>
    <row r="46" spans="1:20" ht="15" customHeight="1">
      <c r="A46" t="s">
        <v>256</v>
      </c>
      <c r="B46" s="99">
        <v>-17.726178999999998</v>
      </c>
      <c r="C46" s="99">
        <v>0</v>
      </c>
      <c r="D46" s="99">
        <v>0</v>
      </c>
      <c r="E46" s="99">
        <v>0</v>
      </c>
      <c r="F46" s="99">
        <v>0</v>
      </c>
      <c r="G46" s="99">
        <v>-1067.3150000000001</v>
      </c>
      <c r="H46" s="99">
        <f>-0.157-388.336+1073.135</f>
        <v>684.64200000000005</v>
      </c>
      <c r="I46" s="94">
        <f>-IS_BS_Assumptions!I202</f>
        <v>-100</v>
      </c>
      <c r="J46" s="94">
        <f>-IS_BS_Assumptions!J202</f>
        <v>-100</v>
      </c>
      <c r="K46" s="94">
        <f>-IS_BS_Assumptions!K202</f>
        <v>-100</v>
      </c>
      <c r="L46" s="94">
        <f>-IS_BS_Assumptions!L202</f>
        <v>-100</v>
      </c>
      <c r="M46" s="94">
        <f>-IS_BS_Assumptions!M202</f>
        <v>-100</v>
      </c>
      <c r="N46" s="94">
        <f>-IS_BS_Assumptions!N202</f>
        <v>-100</v>
      </c>
      <c r="R46" s="1"/>
      <c r="S46" s="1"/>
      <c r="T46" s="1"/>
    </row>
    <row r="47" spans="1:20" ht="15" customHeight="1">
      <c r="A47" t="s">
        <v>81</v>
      </c>
      <c r="B47" s="99">
        <v>1.285871</v>
      </c>
      <c r="C47" s="99">
        <v>3.787372</v>
      </c>
      <c r="D47" s="99">
        <v>2.679E-3</v>
      </c>
      <c r="E47" s="99">
        <v>12.992000000000001</v>
      </c>
      <c r="F47" s="99">
        <v>1.859</v>
      </c>
      <c r="G47" s="99">
        <v>6.173</v>
      </c>
      <c r="H47" s="99">
        <v>13.632</v>
      </c>
      <c r="I47" s="94">
        <v>0</v>
      </c>
      <c r="J47" s="94">
        <v>0</v>
      </c>
      <c r="K47" s="94">
        <v>0</v>
      </c>
      <c r="L47" s="94">
        <v>0</v>
      </c>
      <c r="M47" s="94">
        <v>0</v>
      </c>
      <c r="N47" s="94">
        <v>0</v>
      </c>
      <c r="R47" s="1"/>
      <c r="S47" s="1"/>
      <c r="T47" s="1"/>
    </row>
    <row r="48" spans="1:20" ht="15" customHeight="1">
      <c r="A48" t="s">
        <v>63</v>
      </c>
      <c r="B48" s="99">
        <v>0</v>
      </c>
      <c r="C48" s="99">
        <v>0</v>
      </c>
      <c r="D48" s="99">
        <v>0</v>
      </c>
      <c r="E48" s="99">
        <v>0</v>
      </c>
      <c r="F48" s="99">
        <v>0.76200000000000001</v>
      </c>
      <c r="G48" s="99">
        <v>0</v>
      </c>
      <c r="H48" s="99">
        <v>0.29899999999999999</v>
      </c>
      <c r="I48" s="94">
        <v>0</v>
      </c>
      <c r="J48" s="94">
        <v>0</v>
      </c>
      <c r="K48" s="94">
        <v>0</v>
      </c>
      <c r="L48" s="94">
        <v>0</v>
      </c>
      <c r="M48" s="94">
        <v>0</v>
      </c>
      <c r="N48" s="94">
        <v>0</v>
      </c>
      <c r="R48" s="1"/>
      <c r="S48" s="1"/>
      <c r="T48" s="1"/>
    </row>
    <row r="49" spans="1:20" ht="15" customHeight="1">
      <c r="A49" t="s">
        <v>96</v>
      </c>
      <c r="B49" s="99">
        <v>45.665047999999999</v>
      </c>
      <c r="C49" s="99">
        <v>0</v>
      </c>
      <c r="D49" s="99">
        <v>0</v>
      </c>
      <c r="E49" s="99">
        <v>0</v>
      </c>
      <c r="F49" s="99">
        <v>0</v>
      </c>
      <c r="G49" s="99">
        <f>592.492+4.548</f>
        <v>597.04</v>
      </c>
      <c r="H49" s="99">
        <v>0</v>
      </c>
      <c r="I49" s="94">
        <v>0</v>
      </c>
      <c r="J49" s="94">
        <v>0</v>
      </c>
      <c r="K49" s="94">
        <v>0</v>
      </c>
      <c r="L49" s="94">
        <v>0</v>
      </c>
      <c r="M49" s="94">
        <v>0</v>
      </c>
      <c r="N49" s="94">
        <v>0</v>
      </c>
      <c r="R49" s="1"/>
      <c r="S49" s="1"/>
      <c r="T49" s="1"/>
    </row>
    <row r="50" spans="1:20" ht="15" customHeight="1">
      <c r="A50" s="4" t="s">
        <v>82</v>
      </c>
      <c r="B50" s="102">
        <v>-118.99372200000001</v>
      </c>
      <c r="C50" s="102">
        <v>-131.982946</v>
      </c>
      <c r="D50" s="102">
        <v>203.48957799999999</v>
      </c>
      <c r="E50" s="102">
        <v>-214.82</v>
      </c>
      <c r="F50" s="102">
        <f t="shared" ref="F50:J50" si="4">SUM(F39:F49)</f>
        <v>-965.42899999999997</v>
      </c>
      <c r="G50" s="102">
        <f t="shared" si="4"/>
        <v>-510.7170000000001</v>
      </c>
      <c r="H50" s="102">
        <f t="shared" si="4"/>
        <v>710.32799999999997</v>
      </c>
      <c r="I50" s="97">
        <f t="shared" si="4"/>
        <v>-233.56760333333332</v>
      </c>
      <c r="J50" s="97">
        <f t="shared" si="4"/>
        <v>-238.00596043520179</v>
      </c>
      <c r="K50" s="97">
        <f t="shared" ref="K50:N50" si="5">SUM(K39:K49)</f>
        <v>-222.56332988494452</v>
      </c>
      <c r="L50" s="97">
        <f t="shared" si="5"/>
        <v>-229.6928550440376</v>
      </c>
      <c r="M50" s="97">
        <f t="shared" si="5"/>
        <v>-224.28082374488866</v>
      </c>
      <c r="N50" s="97">
        <f t="shared" si="5"/>
        <v>-223.23692380129324</v>
      </c>
      <c r="R50" s="1"/>
      <c r="S50" s="1"/>
      <c r="T50" s="1"/>
    </row>
    <row r="51" spans="1:20" ht="15" customHeight="1">
      <c r="B51" s="99"/>
      <c r="C51" s="99"/>
      <c r="D51" s="99"/>
      <c r="E51" s="99"/>
      <c r="F51" s="99"/>
      <c r="G51" s="99"/>
      <c r="H51" s="99"/>
      <c r="I51" s="57"/>
      <c r="J51" s="57"/>
      <c r="K51" s="57"/>
      <c r="L51" s="57"/>
      <c r="M51" s="57"/>
      <c r="N51" s="57"/>
      <c r="R51" s="1"/>
      <c r="S51" s="1"/>
      <c r="T51" s="1"/>
    </row>
    <row r="52" spans="1:20" ht="15" customHeight="1">
      <c r="A52" s="4" t="s">
        <v>83</v>
      </c>
      <c r="B52" s="99"/>
      <c r="C52" s="99"/>
      <c r="D52" s="99"/>
      <c r="E52" s="99"/>
      <c r="F52" s="99"/>
      <c r="G52" s="99"/>
      <c r="H52" s="99"/>
      <c r="I52" s="57"/>
      <c r="J52" s="57"/>
      <c r="K52" s="57"/>
      <c r="L52" s="57"/>
      <c r="M52" s="57"/>
      <c r="N52" s="57"/>
      <c r="R52" s="1"/>
      <c r="S52" s="1"/>
      <c r="T52" s="1"/>
    </row>
    <row r="53" spans="1:20" ht="15" customHeight="1">
      <c r="A53" t="s">
        <v>84</v>
      </c>
      <c r="B53" s="99">
        <v>-0.15361900000000001</v>
      </c>
      <c r="C53" s="99">
        <v>-0.63809000000000005</v>
      </c>
      <c r="D53" s="99">
        <v>-0.62545200000000001</v>
      </c>
      <c r="E53" s="99">
        <v>-5.2999999999999999E-2</v>
      </c>
      <c r="F53" s="99">
        <v>0</v>
      </c>
      <c r="G53" s="99">
        <v>0</v>
      </c>
      <c r="H53" s="99">
        <v>0</v>
      </c>
      <c r="I53" s="94">
        <v>0</v>
      </c>
      <c r="J53" s="94">
        <v>0</v>
      </c>
      <c r="K53" s="94">
        <v>0</v>
      </c>
      <c r="L53" s="94">
        <v>0</v>
      </c>
      <c r="M53" s="94">
        <v>0</v>
      </c>
      <c r="N53" s="94">
        <v>0</v>
      </c>
      <c r="R53" s="1"/>
      <c r="S53" s="1"/>
      <c r="T53" s="1"/>
    </row>
    <row r="54" spans="1:20" ht="15" customHeight="1">
      <c r="A54" t="s">
        <v>97</v>
      </c>
      <c r="B54" s="99">
        <v>-1.0034000000000001</v>
      </c>
      <c r="C54" s="99">
        <v>0</v>
      </c>
      <c r="D54" s="99">
        <v>0</v>
      </c>
      <c r="E54" s="99">
        <v>0</v>
      </c>
      <c r="F54" s="99">
        <v>0</v>
      </c>
      <c r="G54" s="99">
        <v>0</v>
      </c>
      <c r="H54" s="99">
        <v>0</v>
      </c>
      <c r="I54" s="94">
        <v>0</v>
      </c>
      <c r="J54" s="94">
        <v>0</v>
      </c>
      <c r="K54" s="94">
        <v>0</v>
      </c>
      <c r="L54" s="94">
        <v>0</v>
      </c>
      <c r="M54" s="94">
        <v>0</v>
      </c>
      <c r="N54" s="94">
        <v>0</v>
      </c>
      <c r="R54" s="1"/>
      <c r="S54" s="1"/>
      <c r="T54" s="1"/>
    </row>
    <row r="55" spans="1:20" ht="15" customHeight="1">
      <c r="A55" t="s">
        <v>64</v>
      </c>
      <c r="B55" s="99">
        <v>183.74195900000001</v>
      </c>
      <c r="C55" s="99">
        <v>-525.58519999999999</v>
      </c>
      <c r="D55" s="99">
        <v>913.26147900000001</v>
      </c>
      <c r="E55" s="99">
        <v>203.56100000000001</v>
      </c>
      <c r="F55" s="99">
        <v>-697.99199999999996</v>
      </c>
      <c r="G55" s="99">
        <f>IS_BS_Assumptions!G194</f>
        <v>-1053.6149999999998</v>
      </c>
      <c r="H55" s="99">
        <f>IS_BS_Assumptions!H194</f>
        <v>746.851</v>
      </c>
      <c r="I55" s="94">
        <f>IS_BS_Assumptions!I194</f>
        <v>-100</v>
      </c>
      <c r="J55" s="94">
        <f>IS_BS_Assumptions!J194</f>
        <v>-20</v>
      </c>
      <c r="K55" s="94">
        <f>IS_BS_Assumptions!K194</f>
        <v>0</v>
      </c>
      <c r="L55" s="94">
        <f>IS_BS_Assumptions!L194</f>
        <v>0</v>
      </c>
      <c r="M55" s="94">
        <f>IS_BS_Assumptions!M194</f>
        <v>0</v>
      </c>
      <c r="N55" s="94">
        <f>IS_BS_Assumptions!N194</f>
        <v>0</v>
      </c>
      <c r="R55" s="1"/>
      <c r="S55" s="1"/>
      <c r="T55" s="1"/>
    </row>
    <row r="56" spans="1:20" ht="15" customHeight="1">
      <c r="A56" t="s">
        <v>65</v>
      </c>
      <c r="B56" s="99">
        <v>-100</v>
      </c>
      <c r="C56" s="99">
        <v>-100</v>
      </c>
      <c r="D56" s="99">
        <v>-100</v>
      </c>
      <c r="E56" s="99">
        <v>-4.1589999999999998</v>
      </c>
      <c r="F56" s="99">
        <v>1155</v>
      </c>
      <c r="G56" s="99">
        <f>IS_BS_Assumptions!G192</f>
        <v>-318.24999999999989</v>
      </c>
      <c r="H56" s="99">
        <f>IS_BS_Assumptions!H192</f>
        <v>-706.75</v>
      </c>
      <c r="I56" s="94">
        <f>IS_BS_Assumptions!I192</f>
        <v>200</v>
      </c>
      <c r="J56" s="94">
        <f>IS_BS_Assumptions!J192</f>
        <v>0</v>
      </c>
      <c r="K56" s="94">
        <f>IS_BS_Assumptions!K192</f>
        <v>0</v>
      </c>
      <c r="L56" s="94">
        <f>IS_BS_Assumptions!L192</f>
        <v>0</v>
      </c>
      <c r="M56" s="94">
        <f>IS_BS_Assumptions!M192</f>
        <v>0</v>
      </c>
      <c r="N56" s="94">
        <f>IS_BS_Assumptions!N192</f>
        <v>0</v>
      </c>
      <c r="R56" s="1"/>
      <c r="S56" s="1"/>
      <c r="T56" s="1"/>
    </row>
    <row r="57" spans="1:20" ht="15" customHeight="1">
      <c r="A57" t="s">
        <v>66</v>
      </c>
      <c r="B57" s="99">
        <v>0</v>
      </c>
      <c r="C57" s="99">
        <v>-41.925576</v>
      </c>
      <c r="D57" s="99">
        <v>-59.893680000000003</v>
      </c>
      <c r="E57" s="99">
        <v>-59.893999999999998</v>
      </c>
      <c r="F57" s="99">
        <v>-59.893999999999998</v>
      </c>
      <c r="G57" s="99">
        <f>-IS_BS_Assumptions!G166</f>
        <v>-119.78736000000001</v>
      </c>
      <c r="H57" s="99">
        <f>-IS_BS_Assumptions!H166</f>
        <v>-179.68104</v>
      </c>
      <c r="I57" s="94">
        <f>-IS_BS_Assumptions!I166</f>
        <v>-113.91732293553966</v>
      </c>
      <c r="J57" s="94">
        <f>-IS_BS_Assumptions!J166</f>
        <v>-195.17461930498374</v>
      </c>
      <c r="K57" s="94">
        <f>-IS_BS_Assumptions!K166</f>
        <v>-236.14327703801277</v>
      </c>
      <c r="L57" s="94">
        <f>-IS_BS_Assumptions!L166</f>
        <v>-341.01076679375075</v>
      </c>
      <c r="M57" s="94">
        <f>-IS_BS_Assumptions!M166</f>
        <v>-333.00856564576941</v>
      </c>
      <c r="N57" s="94">
        <f>-IS_BS_Assumptions!N166</f>
        <v>-261.92626688542259</v>
      </c>
      <c r="R57" s="1"/>
      <c r="S57" s="1"/>
      <c r="T57" s="1"/>
    </row>
    <row r="58" spans="1:20" ht="15" customHeight="1">
      <c r="A58" t="s">
        <v>174</v>
      </c>
      <c r="B58" s="99">
        <v>-7.0514999999999999</v>
      </c>
      <c r="C58" s="99">
        <v>-16.720369000000002</v>
      </c>
      <c r="D58" s="99">
        <v>-5.977652</v>
      </c>
      <c r="E58" s="99">
        <v>-8.2330000000000005</v>
      </c>
      <c r="F58" s="99">
        <v>-9.6989999999999998</v>
      </c>
      <c r="G58" s="99">
        <v>-19.164999999999999</v>
      </c>
      <c r="H58" s="99">
        <v>-29.097999999999999</v>
      </c>
      <c r="I58" s="94">
        <v>0</v>
      </c>
      <c r="J58" s="94">
        <v>0</v>
      </c>
      <c r="K58" s="94">
        <v>0</v>
      </c>
      <c r="L58" s="94">
        <v>0</v>
      </c>
      <c r="M58" s="94">
        <v>0</v>
      </c>
      <c r="N58" s="94">
        <v>0</v>
      </c>
      <c r="R58" s="1"/>
      <c r="S58" s="1"/>
      <c r="T58" s="1"/>
    </row>
    <row r="59" spans="1:20" ht="15" customHeight="1">
      <c r="A59" s="4" t="s">
        <v>82</v>
      </c>
      <c r="B59" s="102">
        <v>75.533439999999999</v>
      </c>
      <c r="C59" s="102">
        <v>-684.869235</v>
      </c>
      <c r="D59" s="103">
        <v>746.76469499999996</v>
      </c>
      <c r="E59" s="102">
        <v>131.22300000000001</v>
      </c>
      <c r="F59" s="102">
        <f t="shared" ref="F59:J59" si="6">SUM(F53:F58)</f>
        <v>387.41500000000002</v>
      </c>
      <c r="G59" s="102">
        <f t="shared" si="6"/>
        <v>-1510.8173599999998</v>
      </c>
      <c r="H59" s="102">
        <f t="shared" si="6"/>
        <v>-168.67804000000001</v>
      </c>
      <c r="I59" s="97">
        <f t="shared" si="6"/>
        <v>-13.917322935539659</v>
      </c>
      <c r="J59" s="97">
        <f t="shared" si="6"/>
        <v>-215.17461930498374</v>
      </c>
      <c r="K59" s="97">
        <f t="shared" ref="K59:N59" si="7">SUM(K53:K58)</f>
        <v>-236.14327703801277</v>
      </c>
      <c r="L59" s="97">
        <f t="shared" si="7"/>
        <v>-341.01076679375075</v>
      </c>
      <c r="M59" s="97">
        <f t="shared" si="7"/>
        <v>-333.00856564576941</v>
      </c>
      <c r="N59" s="97">
        <f t="shared" si="7"/>
        <v>-261.92626688542259</v>
      </c>
      <c r="R59" s="1"/>
      <c r="S59" s="1"/>
      <c r="T59" s="1"/>
    </row>
    <row r="60" spans="1:20" s="4" customFormat="1" ht="15" customHeight="1">
      <c r="A60" s="4" t="s">
        <v>91</v>
      </c>
      <c r="B60" s="104">
        <v>-384.20778899999999</v>
      </c>
      <c r="C60" s="104">
        <v>421.69617899999997</v>
      </c>
      <c r="D60" s="100">
        <v>264.93150600000001</v>
      </c>
      <c r="E60" s="104">
        <f t="shared" ref="E60:J60" si="8">E59+E50+E36</f>
        <v>-89.411999999999978</v>
      </c>
      <c r="F60" s="104">
        <f t="shared" si="8"/>
        <v>315.32200000000057</v>
      </c>
      <c r="G60" s="104">
        <f t="shared" si="8"/>
        <v>151.96963999999957</v>
      </c>
      <c r="H60" s="104">
        <f t="shared" si="8"/>
        <v>409.90695999999735</v>
      </c>
      <c r="I60" s="98">
        <f t="shared" si="8"/>
        <v>-185.22898533743017</v>
      </c>
      <c r="J60" s="98">
        <f t="shared" si="8"/>
        <v>-986.04657995188882</v>
      </c>
      <c r="K60" s="98">
        <f t="shared" ref="K60:N60" si="9">K59+K50+K36</f>
        <v>-621.24858163140448</v>
      </c>
      <c r="L60" s="98">
        <f t="shared" si="9"/>
        <v>766.53935643029911</v>
      </c>
      <c r="M60" s="98">
        <f t="shared" si="9"/>
        <v>571.10565917352801</v>
      </c>
      <c r="N60" s="98">
        <f t="shared" si="9"/>
        <v>-356.32828421065091</v>
      </c>
      <c r="R60" s="1"/>
      <c r="S60" s="1"/>
      <c r="T60" s="1"/>
    </row>
    <row r="61" spans="1:20" ht="15" customHeight="1">
      <c r="B61" s="99"/>
      <c r="C61" s="99"/>
      <c r="D61" s="99"/>
      <c r="E61" s="99"/>
      <c r="F61" s="99"/>
      <c r="G61" s="99"/>
      <c r="H61" s="99"/>
      <c r="I61" s="57"/>
      <c r="J61" s="57"/>
      <c r="K61" s="57"/>
      <c r="L61" s="57"/>
      <c r="M61" s="57"/>
      <c r="N61" s="57"/>
      <c r="R61" s="1"/>
      <c r="S61" s="1"/>
      <c r="T61" s="1"/>
    </row>
    <row r="62" spans="1:20" ht="15" customHeight="1">
      <c r="A62" s="4" t="s">
        <v>67</v>
      </c>
      <c r="B62" s="99"/>
      <c r="C62" s="99"/>
      <c r="D62" s="99"/>
      <c r="E62" s="99"/>
      <c r="F62" s="99"/>
      <c r="G62" s="99"/>
      <c r="H62" s="99"/>
      <c r="I62" s="57"/>
      <c r="J62" s="57"/>
      <c r="K62" s="57"/>
      <c r="L62" s="57"/>
      <c r="M62" s="57"/>
      <c r="N62" s="57"/>
      <c r="R62" s="1"/>
      <c r="S62" s="1"/>
      <c r="T62" s="1"/>
    </row>
    <row r="63" spans="1:20" ht="15" customHeight="1">
      <c r="A63" t="s">
        <v>92</v>
      </c>
      <c r="B63" s="99">
        <v>99.857658000000001</v>
      </c>
      <c r="C63" s="99">
        <v>-284.35013099999998</v>
      </c>
      <c r="D63" s="99">
        <v>137.346047</v>
      </c>
      <c r="E63" s="99">
        <v>402.27800000000002</v>
      </c>
      <c r="F63" s="99">
        <v>313.88499999999999</v>
      </c>
      <c r="G63" s="99">
        <f t="shared" ref="G63:N63" si="10">F65</f>
        <v>630.83199999999999</v>
      </c>
      <c r="H63" s="99">
        <v>782.78300000000002</v>
      </c>
      <c r="I63" s="94">
        <f t="shared" si="10"/>
        <v>1192.6899599999974</v>
      </c>
      <c r="J63" s="94">
        <f t="shared" si="10"/>
        <v>1007.4609746625672</v>
      </c>
      <c r="K63" s="94">
        <f t="shared" si="10"/>
        <v>21.41439471067838</v>
      </c>
      <c r="L63" s="94">
        <f t="shared" si="10"/>
        <v>-599.8341869207261</v>
      </c>
      <c r="M63" s="94">
        <f t="shared" si="10"/>
        <v>166.70516950957301</v>
      </c>
      <c r="N63" s="94">
        <f t="shared" si="10"/>
        <v>737.81082868310102</v>
      </c>
      <c r="R63" s="1"/>
      <c r="S63" s="1"/>
      <c r="T63" s="1"/>
    </row>
    <row r="64" spans="1:20" ht="15" customHeight="1">
      <c r="A64" t="s">
        <v>91</v>
      </c>
      <c r="B64" s="99">
        <v>-384.20778899999999</v>
      </c>
      <c r="C64" s="99">
        <v>421.69617899999997</v>
      </c>
      <c r="D64" s="99">
        <v>264.93150600000001</v>
      </c>
      <c r="E64" s="99">
        <v>-89.412000000000006</v>
      </c>
      <c r="F64" s="99">
        <v>316.947</v>
      </c>
      <c r="G64" s="99">
        <f t="shared" ref="G64:J64" si="11">G60</f>
        <v>151.96963999999957</v>
      </c>
      <c r="H64" s="99">
        <f t="shared" si="11"/>
        <v>409.90695999999735</v>
      </c>
      <c r="I64" s="94">
        <f t="shared" si="11"/>
        <v>-185.22898533743017</v>
      </c>
      <c r="J64" s="94">
        <f t="shared" si="11"/>
        <v>-986.04657995188882</v>
      </c>
      <c r="K64" s="94">
        <f t="shared" ref="K64:N64" si="12">K60</f>
        <v>-621.24858163140448</v>
      </c>
      <c r="L64" s="94">
        <f t="shared" si="12"/>
        <v>766.53935643029911</v>
      </c>
      <c r="M64" s="94">
        <f t="shared" si="12"/>
        <v>571.10565917352801</v>
      </c>
      <c r="N64" s="94">
        <f t="shared" si="12"/>
        <v>-356.32828421065091</v>
      </c>
      <c r="R64" s="1"/>
      <c r="S64" s="1"/>
      <c r="T64" s="1"/>
    </row>
    <row r="65" spans="1:20" ht="15" customHeight="1">
      <c r="A65" t="s">
        <v>85</v>
      </c>
      <c r="B65" s="102">
        <v>-284.35013099999998</v>
      </c>
      <c r="C65" s="102">
        <v>137.346048</v>
      </c>
      <c r="D65" s="102">
        <v>402.27755300000001</v>
      </c>
      <c r="E65" s="102">
        <v>312.86599999999999</v>
      </c>
      <c r="F65" s="102">
        <f t="shared" ref="F65:J65" si="13">F63+F64</f>
        <v>630.83199999999999</v>
      </c>
      <c r="G65" s="102">
        <f t="shared" si="13"/>
        <v>782.80163999999957</v>
      </c>
      <c r="H65" s="102">
        <f t="shared" si="13"/>
        <v>1192.6899599999974</v>
      </c>
      <c r="I65" s="97">
        <f t="shared" si="13"/>
        <v>1007.4609746625672</v>
      </c>
      <c r="J65" s="97">
        <f t="shared" si="13"/>
        <v>21.41439471067838</v>
      </c>
      <c r="K65" s="97">
        <f t="shared" ref="K65:N65" si="14">K63+K64</f>
        <v>-599.8341869207261</v>
      </c>
      <c r="L65" s="97">
        <f t="shared" si="14"/>
        <v>166.70516950957301</v>
      </c>
      <c r="M65" s="97">
        <f t="shared" si="14"/>
        <v>737.81082868310102</v>
      </c>
      <c r="N65" s="97">
        <f t="shared" si="14"/>
        <v>381.48254447245012</v>
      </c>
      <c r="R65" s="1"/>
      <c r="S65" s="1"/>
      <c r="T65" s="1"/>
    </row>
    <row r="68" spans="1:20" ht="15" customHeight="1">
      <c r="E68" s="8"/>
      <c r="F68" s="8"/>
      <c r="G68" s="8"/>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A267"/>
  <sheetViews>
    <sheetView showGridLines="0" workbookViewId="0">
      <pane xSplit="1" ySplit="3" topLeftCell="B136" activePane="bottomRight" state="frozen"/>
      <selection pane="topRight" activeCell="B1" sqref="B1"/>
      <selection pane="bottomLeft" activeCell="A4" sqref="A4"/>
      <selection pane="bottomRight" activeCell="B42" sqref="B42:K42"/>
    </sheetView>
  </sheetViews>
  <sheetFormatPr defaultRowHeight="14.4"/>
  <cols>
    <col min="1" max="1" width="30.44140625" customWidth="1"/>
    <col min="2" max="15" width="10.6640625" customWidth="1"/>
    <col min="17" max="17" width="8.6640625" customWidth="1"/>
    <col min="18" max="18" width="8.109375" customWidth="1"/>
    <col min="19" max="20" width="6.88671875" hidden="1" customWidth="1"/>
    <col min="21" max="25" width="6.88671875" customWidth="1"/>
    <col min="26" max="27" width="6.88671875" hidden="1" customWidth="1"/>
  </cols>
  <sheetData>
    <row r="1" spans="1:19" ht="15" customHeight="1">
      <c r="A1" s="3" t="s">
        <v>0</v>
      </c>
      <c r="B1" s="2"/>
      <c r="C1" s="148" t="str">
        <f>Summary!$A$31</f>
        <v>DDM</v>
      </c>
      <c r="D1" s="148" t="str">
        <f>Summary!$A$32</f>
        <v>FCFE</v>
      </c>
      <c r="E1" s="148" t="str">
        <f>Summary!$A$33</f>
        <v>PER</v>
      </c>
      <c r="F1" s="148" t="str">
        <f>Summary!$A$34</f>
        <v>PBV</v>
      </c>
      <c r="G1" s="148" t="str">
        <f>Summary!$A$35</f>
        <v>EV/EBITDA</v>
      </c>
      <c r="H1" s="682" t="str">
        <f ca="1">Summary!$J$45</f>
        <v>SELL</v>
      </c>
      <c r="I1" s="682"/>
      <c r="J1" s="148" t="str">
        <f>Summary!A41</f>
        <v>Fair value</v>
      </c>
      <c r="K1" s="2"/>
      <c r="L1" s="2"/>
      <c r="M1" s="2"/>
      <c r="N1" s="2"/>
      <c r="O1" s="2"/>
    </row>
    <row r="2" spans="1:19" ht="15" customHeight="1">
      <c r="A2" s="3" t="s">
        <v>340</v>
      </c>
      <c r="B2" s="6"/>
      <c r="C2" s="149"/>
      <c r="D2" s="149">
        <f>Summary!J32</f>
        <v>32.51756655746712</v>
      </c>
      <c r="E2" s="149">
        <f>Summary!J33</f>
        <v>86.898258961539284</v>
      </c>
      <c r="F2" s="149"/>
      <c r="G2" s="149"/>
      <c r="H2" s="682"/>
      <c r="I2" s="682"/>
      <c r="J2" s="149">
        <f>Summary!$J$41</f>
        <v>59.707912759503202</v>
      </c>
      <c r="K2" s="6"/>
      <c r="L2" s="6"/>
      <c r="M2" s="6"/>
      <c r="N2" s="6"/>
      <c r="O2" s="6"/>
    </row>
    <row r="3" spans="1:19">
      <c r="A3" s="3" t="s">
        <v>104</v>
      </c>
      <c r="B3" s="6" t="str">
        <f>Cashflow!B3</f>
        <v>FY11</v>
      </c>
      <c r="C3" s="6" t="str">
        <f>Cashflow!C3</f>
        <v>FY12</v>
      </c>
      <c r="D3" s="6" t="str">
        <f>Cashflow!D3</f>
        <v>FY13</v>
      </c>
      <c r="E3" s="6" t="str">
        <f>Cashflow!E3</f>
        <v>FY14</v>
      </c>
      <c r="F3" s="6" t="str">
        <f>Cashflow!F3</f>
        <v>FY15</v>
      </c>
      <c r="G3" s="6" t="str">
        <f>Cashflow!G3</f>
        <v>FY16</v>
      </c>
      <c r="H3" s="6" t="str">
        <f>Cashflow!H3</f>
        <v>FY17</v>
      </c>
      <c r="I3" s="6" t="str">
        <f>Cashflow!I3</f>
        <v>FY18E</v>
      </c>
      <c r="J3" s="6" t="str">
        <f>Cashflow!J3</f>
        <v>FY19E</v>
      </c>
      <c r="K3" s="6" t="str">
        <f>Cashflow!K3</f>
        <v>FY20E</v>
      </c>
      <c r="L3" s="6" t="str">
        <f>Cashflow!L3</f>
        <v>FY21E</v>
      </c>
      <c r="M3" s="6" t="str">
        <f>Cashflow!M3</f>
        <v>FY22E</v>
      </c>
      <c r="N3" s="6" t="str">
        <f>Cashflow!N3</f>
        <v>FY23E</v>
      </c>
      <c r="O3" s="6" t="s">
        <v>426</v>
      </c>
    </row>
    <row r="4" spans="1:19">
      <c r="A4" s="3" t="s">
        <v>195</v>
      </c>
      <c r="B4" s="6"/>
      <c r="C4" s="6"/>
      <c r="D4" s="6"/>
      <c r="E4" s="6"/>
      <c r="F4" s="6"/>
      <c r="G4" s="6"/>
      <c r="H4" s="6"/>
      <c r="I4" s="6"/>
      <c r="J4" s="6"/>
      <c r="K4" s="6"/>
      <c r="L4" s="6"/>
      <c r="M4" s="6"/>
      <c r="N4" s="6"/>
      <c r="O4" s="6"/>
    </row>
    <row r="5" spans="1:19" s="1" customFormat="1" ht="15.75" customHeight="1">
      <c r="A5" s="3" t="s">
        <v>1</v>
      </c>
      <c r="B5" s="188"/>
      <c r="C5" s="188"/>
      <c r="D5" s="188"/>
      <c r="E5" s="188"/>
      <c r="F5" s="188"/>
      <c r="G5" s="188"/>
      <c r="H5" s="188"/>
      <c r="I5" s="188"/>
      <c r="J5" s="188"/>
      <c r="K5" s="188"/>
      <c r="L5" s="188"/>
      <c r="M5" s="188"/>
      <c r="N5" s="188"/>
      <c r="O5" s="6"/>
    </row>
    <row r="6" spans="1:19">
      <c r="A6" t="s">
        <v>1</v>
      </c>
      <c r="B6" s="15">
        <f t="shared" ref="B6:K6" si="0">B8+B10+B12</f>
        <v>9569.7711149999996</v>
      </c>
      <c r="C6" s="15">
        <f t="shared" si="0"/>
        <v>10306.180165</v>
      </c>
      <c r="D6" s="15">
        <f t="shared" si="0"/>
        <v>11326.520709</v>
      </c>
      <c r="E6" s="15">
        <f t="shared" si="0"/>
        <v>11446.862999999999</v>
      </c>
      <c r="F6" s="15">
        <f t="shared" si="0"/>
        <v>14427.236999999999</v>
      </c>
      <c r="G6" s="15">
        <f t="shared" si="0"/>
        <v>12811.224</v>
      </c>
      <c r="H6" s="15">
        <f t="shared" si="0"/>
        <v>14669.734999999999</v>
      </c>
      <c r="I6" s="107">
        <f t="shared" si="0"/>
        <v>20978.830515386398</v>
      </c>
      <c r="J6" s="107">
        <f t="shared" si="0"/>
        <v>26472.353120886062</v>
      </c>
      <c r="K6" s="107">
        <f t="shared" si="0"/>
        <v>30050.591938632362</v>
      </c>
      <c r="L6" s="107">
        <f t="shared" ref="L6:N6" si="1">L8+L10+L12</f>
        <v>34404.069105118462</v>
      </c>
      <c r="M6" s="107">
        <f t="shared" si="1"/>
        <v>36058.231947051921</v>
      </c>
      <c r="N6" s="107">
        <f t="shared" si="1"/>
        <v>39848.460074464616</v>
      </c>
      <c r="O6" s="107"/>
      <c r="P6" s="1"/>
      <c r="Q6" s="1"/>
      <c r="R6" s="1"/>
      <c r="S6" s="1"/>
    </row>
    <row r="7" spans="1:19" s="48" customFormat="1">
      <c r="A7" s="49" t="s">
        <v>205</v>
      </c>
      <c r="B7" s="52"/>
      <c r="C7" s="52">
        <f t="shared" ref="C7:N7" si="2">C6/B6-1</f>
        <v>7.6951584437137344E-2</v>
      </c>
      <c r="D7" s="52">
        <f t="shared" si="2"/>
        <v>9.9002785480608813E-2</v>
      </c>
      <c r="E7" s="52">
        <f t="shared" si="2"/>
        <v>1.0624824170795577E-2</v>
      </c>
      <c r="F7" s="52">
        <f t="shared" si="2"/>
        <v>0.26036600595289738</v>
      </c>
      <c r="G7" s="52">
        <f t="shared" si="2"/>
        <v>-0.11201126036814946</v>
      </c>
      <c r="H7" s="52">
        <f t="shared" si="2"/>
        <v>0.14506896452673046</v>
      </c>
      <c r="I7" s="60">
        <f>I6/H6-1</f>
        <v>0.43007562954520995</v>
      </c>
      <c r="J7" s="60">
        <f t="shared" si="2"/>
        <v>0.26186028823058449</v>
      </c>
      <c r="K7" s="60">
        <f t="shared" si="2"/>
        <v>0.13516889871505811</v>
      </c>
      <c r="L7" s="60">
        <f t="shared" si="2"/>
        <v>0.14487159438910657</v>
      </c>
      <c r="M7" s="60">
        <f t="shared" si="2"/>
        <v>4.8080441789583483E-2</v>
      </c>
      <c r="N7" s="60">
        <f t="shared" si="2"/>
        <v>0.10511408692967206</v>
      </c>
      <c r="O7" s="60">
        <f>((G6/B6)^(1/5))-1</f>
        <v>6.0077983427236692E-2</v>
      </c>
    </row>
    <row r="8" spans="1:19">
      <c r="A8" t="str">
        <f>Segment!A59</f>
        <v>Cables</v>
      </c>
      <c r="B8" s="15">
        <f>Segment!B59</f>
        <v>9480.4468469999993</v>
      </c>
      <c r="C8" s="15">
        <f>Segment!C59</f>
        <v>10191.988413999999</v>
      </c>
      <c r="D8" s="15">
        <f>Segment!D59</f>
        <v>11239.561222</v>
      </c>
      <c r="E8" s="15">
        <f>Segment!E59</f>
        <v>11183.419</v>
      </c>
      <c r="F8" s="15">
        <f>Segment!F59</f>
        <v>13595.13</v>
      </c>
      <c r="G8" s="15">
        <f>Segment!G59</f>
        <v>12302.486000000001</v>
      </c>
      <c r="H8" s="15">
        <f>Segment!H59</f>
        <v>14171.567999999999</v>
      </c>
      <c r="I8" s="106">
        <f t="shared" ref="I8:K8" si="3">I17+I24</f>
        <v>20001.32592816</v>
      </c>
      <c r="J8" s="106">
        <f t="shared" si="3"/>
        <v>25238.878900701839</v>
      </c>
      <c r="K8" s="106">
        <f t="shared" si="3"/>
        <v>28650.390366512423</v>
      </c>
      <c r="L8" s="106">
        <f t="shared" ref="L8:N8" si="4">L17+L24</f>
        <v>32801.018098779372</v>
      </c>
      <c r="M8" s="106">
        <f t="shared" si="4"/>
        <v>34378.105540116812</v>
      </c>
      <c r="N8" s="106">
        <f t="shared" si="4"/>
        <v>37991.728714338096</v>
      </c>
      <c r="O8" s="106"/>
    </row>
    <row r="9" spans="1:19" s="48" customFormat="1">
      <c r="A9" s="49" t="s">
        <v>205</v>
      </c>
      <c r="B9" s="53"/>
      <c r="C9" s="52">
        <f t="shared" ref="C9:H9" si="5">IFERROR(C8/B8-1,"NA")</f>
        <v>7.5053589612726013E-2</v>
      </c>
      <c r="D9" s="52">
        <f t="shared" si="5"/>
        <v>0.10278394808230207</v>
      </c>
      <c r="E9" s="52">
        <f t="shared" si="5"/>
        <v>-4.9950546014295716E-3</v>
      </c>
      <c r="F9" s="52">
        <f t="shared" si="5"/>
        <v>0.21565059844400003</v>
      </c>
      <c r="G9" s="52">
        <f t="shared" si="5"/>
        <v>-9.508140047208069E-2</v>
      </c>
      <c r="H9" s="52">
        <f t="shared" si="5"/>
        <v>0.15192717959605884</v>
      </c>
      <c r="I9" s="60">
        <f>IFERROR(I8/H8-1,"NA")</f>
        <v>0.41137000000000001</v>
      </c>
      <c r="J9" s="60">
        <f t="shared" ref="J9:N9" si="6">IFERROR(J8/I8-1,"NA")</f>
        <v>0.26186028823058427</v>
      </c>
      <c r="K9" s="60">
        <f t="shared" si="6"/>
        <v>0.13516889871505811</v>
      </c>
      <c r="L9" s="60">
        <f t="shared" si="6"/>
        <v>0.14487159438910635</v>
      </c>
      <c r="M9" s="60">
        <f t="shared" si="6"/>
        <v>4.8080441789583706E-2</v>
      </c>
      <c r="N9" s="60">
        <f t="shared" si="6"/>
        <v>0.10511408692967228</v>
      </c>
      <c r="O9" s="60">
        <f>((G8/B8)^(1/5))-1</f>
        <v>5.3495814147545451E-2</v>
      </c>
    </row>
    <row r="10" spans="1:19">
      <c r="A10" t="str">
        <f>Segment!A60</f>
        <v>PVC Compound</v>
      </c>
      <c r="B10" s="15">
        <f>Segment!B60</f>
        <v>89.324268000000004</v>
      </c>
      <c r="C10" s="15">
        <f>Segment!C60</f>
        <v>113.474028</v>
      </c>
      <c r="D10" s="15">
        <f>Segment!D60</f>
        <v>86.959486999999996</v>
      </c>
      <c r="E10" s="15">
        <f>Segment!E60</f>
        <v>70.537000000000006</v>
      </c>
      <c r="F10" s="15">
        <f>Segment!F60</f>
        <v>90.26</v>
      </c>
      <c r="G10" s="15">
        <f>Segment!G60</f>
        <v>75.653000000000006</v>
      </c>
      <c r="H10" s="15">
        <f>Segment!H60</f>
        <v>125.73</v>
      </c>
      <c r="I10" s="107">
        <f t="shared" ref="I10:K10" si="7">I8*I11</f>
        <v>177.45155009999999</v>
      </c>
      <c r="J10" s="107">
        <f t="shared" si="7"/>
        <v>223.91906415615</v>
      </c>
      <c r="K10" s="107">
        <f t="shared" si="7"/>
        <v>254.18595745944324</v>
      </c>
      <c r="L10" s="107">
        <f t="shared" ref="L10:N10" si="8">L8*L11</f>
        <v>291.01028238791434</v>
      </c>
      <c r="M10" s="107">
        <f t="shared" si="8"/>
        <v>305.00218533043676</v>
      </c>
      <c r="N10" s="107">
        <f t="shared" si="8"/>
        <v>337.06221155300028</v>
      </c>
      <c r="O10" s="107"/>
    </row>
    <row r="11" spans="1:19" s="48" customFormat="1">
      <c r="A11" s="49" t="s">
        <v>258</v>
      </c>
      <c r="B11" s="52">
        <f t="shared" ref="B11:G11" si="9">B10/B8</f>
        <v>9.4219470286114049E-3</v>
      </c>
      <c r="C11" s="52">
        <f t="shared" si="9"/>
        <v>1.1133649626615442E-2</v>
      </c>
      <c r="D11" s="52">
        <f t="shared" si="9"/>
        <v>7.7369111909625036E-3</v>
      </c>
      <c r="E11" s="52">
        <f t="shared" si="9"/>
        <v>6.307284024679752E-3</v>
      </c>
      <c r="F11" s="52">
        <f t="shared" si="9"/>
        <v>6.6391421045624436E-3</v>
      </c>
      <c r="G11" s="52">
        <f t="shared" si="9"/>
        <v>6.1494075262511988E-3</v>
      </c>
      <c r="H11" s="52">
        <f t="shared" ref="H11" si="10">H10/H8</f>
        <v>8.871989323976006E-3</v>
      </c>
      <c r="I11" s="60">
        <f>H11</f>
        <v>8.871989323976006E-3</v>
      </c>
      <c r="J11" s="60">
        <f t="shared" ref="J11:N11" si="11">I11</f>
        <v>8.871989323976006E-3</v>
      </c>
      <c r="K11" s="60">
        <f t="shared" si="11"/>
        <v>8.871989323976006E-3</v>
      </c>
      <c r="L11" s="60">
        <f t="shared" si="11"/>
        <v>8.871989323976006E-3</v>
      </c>
      <c r="M11" s="60">
        <f t="shared" si="11"/>
        <v>8.871989323976006E-3</v>
      </c>
      <c r="N11" s="60">
        <f t="shared" si="11"/>
        <v>8.871989323976006E-3</v>
      </c>
      <c r="O11" s="60">
        <f>((G10/B10)^(1/5))-1</f>
        <v>-3.2677392842430431E-2</v>
      </c>
      <c r="P11" s="48" t="str">
        <f>"Constant at "&amp;ROUND(H11*100,0)&amp;"%"</f>
        <v>Constant at 1%</v>
      </c>
    </row>
    <row r="12" spans="1:19">
      <c r="A12" t="str">
        <f>Segment!A61</f>
        <v>Other</v>
      </c>
      <c r="B12" s="15">
        <f>Segment!B61</f>
        <v>0</v>
      </c>
      <c r="C12" s="15">
        <f>Segment!C61</f>
        <v>0.717723</v>
      </c>
      <c r="D12" s="15">
        <f>Segment!D61</f>
        <v>0</v>
      </c>
      <c r="E12" s="15">
        <f>Segment!E61</f>
        <v>192.90700000000001</v>
      </c>
      <c r="F12" s="15">
        <f>Segment!F61</f>
        <v>741.84699999999998</v>
      </c>
      <c r="G12" s="15">
        <f>Segment!G61</f>
        <v>433.08499999999998</v>
      </c>
      <c r="H12" s="15">
        <f>Segment!H61</f>
        <v>372.43700000000001</v>
      </c>
      <c r="I12" s="107">
        <f t="shared" ref="I12:K12" si="12">I8*I13</f>
        <v>800.0530371264</v>
      </c>
      <c r="J12" s="107">
        <f t="shared" si="12"/>
        <v>1009.5551560280736</v>
      </c>
      <c r="K12" s="107">
        <f t="shared" si="12"/>
        <v>1146.015614660497</v>
      </c>
      <c r="L12" s="107">
        <f t="shared" ref="L12:N12" si="13">L8*L13</f>
        <v>1312.0407239511749</v>
      </c>
      <c r="M12" s="107">
        <f t="shared" si="13"/>
        <v>1375.1242216046726</v>
      </c>
      <c r="N12" s="107">
        <f t="shared" si="13"/>
        <v>1519.6691485735239</v>
      </c>
      <c r="O12" s="107"/>
    </row>
    <row r="13" spans="1:19" s="48" customFormat="1">
      <c r="A13" s="49" t="s">
        <v>258</v>
      </c>
      <c r="B13" s="52">
        <f t="shared" ref="B13:G13" si="14">B12/B8</f>
        <v>0</v>
      </c>
      <c r="C13" s="52">
        <f t="shared" si="14"/>
        <v>7.0420311606135229E-5</v>
      </c>
      <c r="D13" s="52">
        <f t="shared" si="14"/>
        <v>0</v>
      </c>
      <c r="E13" s="52">
        <f t="shared" si="14"/>
        <v>1.7249376062901695E-2</v>
      </c>
      <c r="F13" s="52">
        <f t="shared" si="14"/>
        <v>5.456711337074379E-2</v>
      </c>
      <c r="G13" s="52">
        <f t="shared" si="14"/>
        <v>3.5203047579164079E-2</v>
      </c>
      <c r="H13" s="52">
        <f t="shared" ref="H13" si="15">H12/H8</f>
        <v>2.6280578126570048E-2</v>
      </c>
      <c r="I13" s="238">
        <v>0.04</v>
      </c>
      <c r="J13" s="238">
        <v>0.04</v>
      </c>
      <c r="K13" s="238">
        <v>0.04</v>
      </c>
      <c r="L13" s="238">
        <v>0.04</v>
      </c>
      <c r="M13" s="238">
        <v>0.04</v>
      </c>
      <c r="N13" s="238">
        <v>0.04</v>
      </c>
      <c r="O13" s="60"/>
      <c r="P13" s="48" t="str">
        <f>"Constant at "&amp;ROUND(H13*100,0)&amp;"%"</f>
        <v>Constant at 3%</v>
      </c>
    </row>
    <row r="14" spans="1:19">
      <c r="I14" s="57"/>
      <c r="J14" s="57"/>
      <c r="K14" s="57"/>
      <c r="L14" s="57"/>
      <c r="M14" s="57"/>
      <c r="N14" s="57"/>
      <c r="O14" s="57"/>
    </row>
    <row r="15" spans="1:19" s="1" customFormat="1" ht="15.75" customHeight="1">
      <c r="A15" s="3" t="s">
        <v>414</v>
      </c>
      <c r="B15" s="6"/>
      <c r="C15" s="6"/>
      <c r="D15" s="6"/>
      <c r="E15" s="6"/>
      <c r="F15" s="6"/>
      <c r="G15" s="6"/>
      <c r="H15" s="6"/>
      <c r="I15" s="6"/>
      <c r="J15" s="6"/>
      <c r="K15" s="6"/>
      <c r="L15" s="6"/>
      <c r="M15" s="6"/>
      <c r="N15" s="6"/>
      <c r="O15" s="6"/>
    </row>
    <row r="16" spans="1:19">
      <c r="A16" t="s">
        <v>415</v>
      </c>
      <c r="I16" s="57"/>
      <c r="J16" s="57"/>
      <c r="K16" s="57"/>
      <c r="L16" s="57"/>
      <c r="M16" s="57"/>
      <c r="N16" s="57"/>
      <c r="O16" s="57"/>
    </row>
    <row r="17" spans="1:16">
      <c r="A17" t="s">
        <v>417</v>
      </c>
      <c r="B17" s="16">
        <f t="shared" ref="B17:H17" si="16">B8*B56</f>
        <v>6636.3127928999993</v>
      </c>
      <c r="C17" s="16">
        <f t="shared" si="16"/>
        <v>7134.3918897999993</v>
      </c>
      <c r="D17" s="16">
        <f t="shared" si="16"/>
        <v>7867.6928553999996</v>
      </c>
      <c r="E17" s="16">
        <f t="shared" si="16"/>
        <v>7828.3932999999997</v>
      </c>
      <c r="F17" s="16">
        <f t="shared" si="16"/>
        <v>9516.5909999999985</v>
      </c>
      <c r="G17" s="16">
        <f t="shared" si="16"/>
        <v>8611.7402000000002</v>
      </c>
      <c r="H17" s="16">
        <f t="shared" si="16"/>
        <v>9920.0975999999991</v>
      </c>
      <c r="I17" s="123">
        <f t="shared" ref="I17:K17" si="17">I62*I19</f>
        <v>14908.91468304</v>
      </c>
      <c r="J17" s="123">
        <f t="shared" si="17"/>
        <v>19031.22959290056</v>
      </c>
      <c r="K17" s="123">
        <f t="shared" si="17"/>
        <v>21741.276686929599</v>
      </c>
      <c r="L17" s="123">
        <f t="shared" ref="L17:N17" si="18">L62*L19</f>
        <v>25111.174573403689</v>
      </c>
      <c r="M17" s="123">
        <f t="shared" si="18"/>
        <v>25819.309696373672</v>
      </c>
      <c r="N17" s="123">
        <f t="shared" si="18"/>
        <v>28465.78894025198</v>
      </c>
      <c r="O17" s="57"/>
    </row>
    <row r="18" spans="1:16" s="48" customFormat="1">
      <c r="A18" s="49" t="s">
        <v>205</v>
      </c>
      <c r="B18" s="73"/>
      <c r="C18" s="52">
        <f>C17/B17-1</f>
        <v>7.5053589612726013E-2</v>
      </c>
      <c r="D18" s="52">
        <f t="shared" ref="D18:N18" si="19">D17/C17-1</f>
        <v>0.10278394808230207</v>
      </c>
      <c r="E18" s="52">
        <f t="shared" si="19"/>
        <v>-4.9950546014295716E-3</v>
      </c>
      <c r="F18" s="52">
        <f t="shared" si="19"/>
        <v>0.21565059844399981</v>
      </c>
      <c r="G18" s="52">
        <f t="shared" si="19"/>
        <v>-9.508140047208069E-2</v>
      </c>
      <c r="H18" s="52">
        <f t="shared" si="19"/>
        <v>0.15192717959605884</v>
      </c>
      <c r="I18" s="60">
        <f>I17/H17-1</f>
        <v>0.50290000000000012</v>
      </c>
      <c r="J18" s="60">
        <f t="shared" si="19"/>
        <v>0.27649999999999997</v>
      </c>
      <c r="K18" s="60">
        <f t="shared" si="19"/>
        <v>0.14240000000000008</v>
      </c>
      <c r="L18" s="60">
        <f t="shared" si="19"/>
        <v>0.15500000000000003</v>
      </c>
      <c r="M18" s="60">
        <f t="shared" si="19"/>
        <v>2.8200000000000003E-2</v>
      </c>
      <c r="N18" s="60">
        <f t="shared" si="19"/>
        <v>0.10250000000000026</v>
      </c>
      <c r="O18" s="60">
        <f>((G17/B17)^(1/5))-1</f>
        <v>5.3495814147545451E-2</v>
      </c>
    </row>
    <row r="19" spans="1:16">
      <c r="A19" t="s">
        <v>421</v>
      </c>
      <c r="B19" s="10"/>
      <c r="C19" s="10">
        <f t="shared" ref="C19:H19" si="20">C17/C62</f>
        <v>1.6811795319457574</v>
      </c>
      <c r="D19" s="10">
        <f t="shared" si="20"/>
        <v>1.5190811664789128</v>
      </c>
      <c r="E19" s="10">
        <f t="shared" si="20"/>
        <v>1.3639111516361007</v>
      </c>
      <c r="F19" s="10">
        <f t="shared" si="20"/>
        <v>1.2504739541536056</v>
      </c>
      <c r="G19" s="10">
        <f t="shared" si="20"/>
        <v>1.1933192717481107</v>
      </c>
      <c r="H19" s="10">
        <f t="shared" si="20"/>
        <v>1.116618352654293</v>
      </c>
      <c r="I19" s="127">
        <f>H19*(1+I20)</f>
        <v>1.4851024090302098</v>
      </c>
      <c r="J19" s="127">
        <f t="shared" ref="J19:N19" si="21">I19*(1+J20)</f>
        <v>1.648463674023533</v>
      </c>
      <c r="K19" s="127">
        <f t="shared" si="21"/>
        <v>1.7935284773376041</v>
      </c>
      <c r="L19" s="127">
        <f t="shared" si="21"/>
        <v>1.9728813250713646</v>
      </c>
      <c r="M19" s="127">
        <f t="shared" si="21"/>
        <v>2.0912542045756464</v>
      </c>
      <c r="N19" s="127">
        <f t="shared" si="21"/>
        <v>2.1958169148044289</v>
      </c>
      <c r="O19" s="127"/>
    </row>
    <row r="20" spans="1:16" s="48" customFormat="1">
      <c r="A20" s="49" t="s">
        <v>205</v>
      </c>
      <c r="D20" s="52">
        <f>D19/C19-1</f>
        <v>-9.6419425996244312E-2</v>
      </c>
      <c r="E20" s="52">
        <f>E19/D19-1</f>
        <v>-0.1021472836783841</v>
      </c>
      <c r="F20" s="52">
        <f>F19/E19-1</f>
        <v>-8.3170518362885804E-2</v>
      </c>
      <c r="G20" s="52">
        <f>G19/F19-1</f>
        <v>-4.5706415727931438E-2</v>
      </c>
      <c r="H20" s="52">
        <f>H19/G19-1</f>
        <v>-6.4275270591630851E-2</v>
      </c>
      <c r="I20" s="239">
        <v>0.33</v>
      </c>
      <c r="J20" s="636">
        <v>0.11</v>
      </c>
      <c r="K20" s="239">
        <v>8.7999999999999995E-2</v>
      </c>
      <c r="L20" s="239">
        <v>0.1</v>
      </c>
      <c r="M20" s="239">
        <v>0.06</v>
      </c>
      <c r="N20" s="239">
        <v>0.05</v>
      </c>
      <c r="O20" s="60">
        <f>((G19/C19)^(1/4))-1</f>
        <v>-8.212056397743972E-2</v>
      </c>
      <c r="P20" s="189" t="str">
        <f>"Starting from "&amp;ROUND(H20*100,0)&amp;"% and increases thereafter"</f>
        <v>Starting from -6% and increases thereafter</v>
      </c>
    </row>
    <row r="21" spans="1:16" s="48" customFormat="1">
      <c r="A21" s="248" t="s">
        <v>2868</v>
      </c>
      <c r="B21" s="249"/>
      <c r="C21" s="250"/>
      <c r="D21" s="250">
        <f t="shared" ref="D21:K21" si="22">D46</f>
        <v>-8.7448660774002929E-2</v>
      </c>
      <c r="E21" s="250">
        <f t="shared" si="22"/>
        <v>-6.8778840346300441E-2</v>
      </c>
      <c r="F21" s="250">
        <f t="shared" si="22"/>
        <v>-2.5415174631207127E-2</v>
      </c>
      <c r="G21" s="250">
        <f t="shared" si="22"/>
        <v>-0.14692958900750142</v>
      </c>
      <c r="H21" s="250">
        <f t="shared" si="22"/>
        <v>-4.6068651895976309E-2</v>
      </c>
      <c r="I21" s="250">
        <f t="shared" si="22"/>
        <v>0.37999999999999989</v>
      </c>
      <c r="J21" s="250">
        <f t="shared" si="22"/>
        <v>7.6399999999999801E-2</v>
      </c>
      <c r="K21" s="250">
        <f t="shared" si="22"/>
        <v>7.4379175946547749E-2</v>
      </c>
      <c r="L21" s="250">
        <f t="shared" ref="L21:N21" si="23">L46</f>
        <v>7.6400000000000023E-2</v>
      </c>
      <c r="M21" s="250">
        <f t="shared" si="23"/>
        <v>7.6400000000000023E-2</v>
      </c>
      <c r="N21" s="250">
        <f t="shared" si="23"/>
        <v>0.11262499999999998</v>
      </c>
      <c r="O21" s="250"/>
    </row>
    <row r="22" spans="1:16">
      <c r="G22" s="17"/>
      <c r="H22" s="17"/>
      <c r="I22" s="57"/>
      <c r="J22" s="57"/>
      <c r="K22" s="57"/>
      <c r="L22" s="57"/>
      <c r="M22" s="57"/>
      <c r="N22" s="57"/>
      <c r="O22" s="57"/>
    </row>
    <row r="23" spans="1:16">
      <c r="A23" t="s">
        <v>416</v>
      </c>
      <c r="I23" s="57"/>
      <c r="J23" s="57"/>
      <c r="K23" s="57"/>
      <c r="L23" s="57"/>
      <c r="M23" s="57"/>
      <c r="N23" s="57"/>
      <c r="O23" s="57"/>
    </row>
    <row r="24" spans="1:16">
      <c r="A24" t="s">
        <v>420</v>
      </c>
      <c r="B24" s="16">
        <f t="shared" ref="B24:H24" si="24">B8*B57</f>
        <v>2844.1340541000004</v>
      </c>
      <c r="C24" s="16">
        <f t="shared" si="24"/>
        <v>3057.5965242000002</v>
      </c>
      <c r="D24" s="16">
        <f t="shared" si="24"/>
        <v>3371.8683666000006</v>
      </c>
      <c r="E24" s="16">
        <f t="shared" si="24"/>
        <v>3355.0257000000006</v>
      </c>
      <c r="F24" s="16">
        <f t="shared" si="24"/>
        <v>4078.5390000000002</v>
      </c>
      <c r="G24" s="16">
        <f t="shared" si="24"/>
        <v>3690.7458000000006</v>
      </c>
      <c r="H24" s="16">
        <f t="shared" si="24"/>
        <v>4251.4704000000002</v>
      </c>
      <c r="I24" s="94">
        <f t="shared" ref="I24:K24" si="25">I67*I26</f>
        <v>5092.4112451199999</v>
      </c>
      <c r="J24" s="94">
        <f t="shared" si="25"/>
        <v>6207.64930780128</v>
      </c>
      <c r="K24" s="94">
        <f t="shared" si="25"/>
        <v>6909.1136795828252</v>
      </c>
      <c r="L24" s="94">
        <f t="shared" ref="L24:N24" si="26">L67*L26</f>
        <v>7689.8435253756861</v>
      </c>
      <c r="M24" s="94">
        <f t="shared" si="26"/>
        <v>8558.7958437431389</v>
      </c>
      <c r="N24" s="94">
        <f t="shared" si="26"/>
        <v>9525.9397740861168</v>
      </c>
      <c r="O24" s="60">
        <f>((G24/B24)^(1/5))-1</f>
        <v>5.3495814147545451E-2</v>
      </c>
    </row>
    <row r="25" spans="1:16" s="48" customFormat="1">
      <c r="A25" s="49" t="s">
        <v>205</v>
      </c>
      <c r="B25" s="73"/>
      <c r="C25" s="52">
        <f t="shared" ref="C25:N25" si="27">C24/B24-1</f>
        <v>7.5053589612725791E-2</v>
      </c>
      <c r="D25" s="52">
        <f t="shared" si="27"/>
        <v>0.10278394808230229</v>
      </c>
      <c r="E25" s="52">
        <f t="shared" si="27"/>
        <v>-4.9950546014295716E-3</v>
      </c>
      <c r="F25" s="52">
        <f t="shared" si="27"/>
        <v>0.21565059844399981</v>
      </c>
      <c r="G25" s="52">
        <f t="shared" si="27"/>
        <v>-9.508140047208069E-2</v>
      </c>
      <c r="H25" s="52">
        <f t="shared" si="27"/>
        <v>0.15192717959605884</v>
      </c>
      <c r="I25" s="60">
        <f>I24/H24-1</f>
        <v>0.19779999999999998</v>
      </c>
      <c r="J25" s="60">
        <f t="shared" si="27"/>
        <v>0.21900000000000008</v>
      </c>
      <c r="K25" s="60">
        <f t="shared" si="27"/>
        <v>0.11299999999999999</v>
      </c>
      <c r="L25" s="60">
        <f t="shared" si="27"/>
        <v>0.11300000000000021</v>
      </c>
      <c r="M25" s="60">
        <f t="shared" si="27"/>
        <v>0.11299999999999999</v>
      </c>
      <c r="N25" s="60">
        <f t="shared" si="27"/>
        <v>0.11300000000000043</v>
      </c>
      <c r="O25" s="60"/>
    </row>
    <row r="26" spans="1:16">
      <c r="A26" t="s">
        <v>418</v>
      </c>
      <c r="B26" s="10"/>
      <c r="C26" s="10">
        <f t="shared" ref="C26:H26" si="28">C24/C67</f>
        <v>0.45723969825575034</v>
      </c>
      <c r="D26" s="10">
        <f t="shared" si="28"/>
        <v>0.38597101228169306</v>
      </c>
      <c r="E26" s="10">
        <f t="shared" si="28"/>
        <v>0.34358209179921956</v>
      </c>
      <c r="F26" s="10">
        <f t="shared" si="28"/>
        <v>0.340177017689754</v>
      </c>
      <c r="G26" s="10">
        <f t="shared" si="28"/>
        <v>0.36059466197107154</v>
      </c>
      <c r="H26" s="10">
        <f t="shared" si="28"/>
        <v>0.36504830759851881</v>
      </c>
      <c r="I26" s="168">
        <f>H26*(1+I27)</f>
        <v>0.38695120605442995</v>
      </c>
      <c r="J26" s="168">
        <f t="shared" ref="J26:N26" si="29">I26*(1+J27)</f>
        <v>0.41016827841769576</v>
      </c>
      <c r="K26" s="168">
        <f t="shared" si="29"/>
        <v>0.43477837512275752</v>
      </c>
      <c r="L26" s="168">
        <f t="shared" si="29"/>
        <v>0.46086507763012302</v>
      </c>
      <c r="M26" s="168">
        <f t="shared" si="29"/>
        <v>0.48851698228793045</v>
      </c>
      <c r="N26" s="168">
        <f t="shared" si="29"/>
        <v>0.51782800122520634</v>
      </c>
      <c r="O26" s="168"/>
    </row>
    <row r="27" spans="1:16" s="48" customFormat="1">
      <c r="A27" s="49" t="s">
        <v>205</v>
      </c>
      <c r="D27" s="52">
        <f>D26/C26-1</f>
        <v>-0.15586723166411109</v>
      </c>
      <c r="E27" s="52">
        <f>E26/D26-1</f>
        <v>-0.10982410371154194</v>
      </c>
      <c r="F27" s="52">
        <f>F26/E26-1</f>
        <v>-9.9105110270281127E-3</v>
      </c>
      <c r="G27" s="52">
        <f>G26/F26-1</f>
        <v>6.0020645780188175E-2</v>
      </c>
      <c r="H27" s="52">
        <f>H26/G26-1</f>
        <v>1.2350836263362641E-2</v>
      </c>
      <c r="I27" s="126">
        <v>0.06</v>
      </c>
      <c r="J27" s="126">
        <v>0.06</v>
      </c>
      <c r="K27" s="126">
        <v>0.06</v>
      </c>
      <c r="L27" s="126">
        <v>0.06</v>
      </c>
      <c r="M27" s="126">
        <v>0.06</v>
      </c>
      <c r="N27" s="126">
        <v>0.06</v>
      </c>
      <c r="O27" s="60">
        <f>((G26/C26)^(1/4))-1</f>
        <v>-5.7635665729873331E-2</v>
      </c>
      <c r="P27" s="48" t="str">
        <f>ROUND(H27*100,0)&amp;"% in FY17 and constant at 6% thereafter"</f>
        <v>1% in FY17 and constant at 6% thereafter</v>
      </c>
    </row>
    <row r="28" spans="1:16" s="48" customFormat="1">
      <c r="A28" s="248" t="s">
        <v>2869</v>
      </c>
      <c r="B28" s="249"/>
      <c r="C28" s="250"/>
      <c r="D28" s="250">
        <f>D53</f>
        <v>-0.14748666539364763</v>
      </c>
      <c r="E28" s="250">
        <f t="shared" ref="E28:K28" si="30">E53</f>
        <v>-7.6740967233901447E-2</v>
      </c>
      <c r="F28" s="250">
        <f t="shared" si="30"/>
        <v>5.2459820540678992E-2</v>
      </c>
      <c r="G28" s="250">
        <f t="shared" si="30"/>
        <v>-5.2417135711947171E-2</v>
      </c>
      <c r="H28" s="250">
        <f t="shared" si="30"/>
        <v>3.2048387351627516E-2</v>
      </c>
      <c r="I28" s="250">
        <f t="shared" si="30"/>
        <v>0.34588235294117653</v>
      </c>
      <c r="J28" s="250">
        <f t="shared" si="30"/>
        <v>8.204545454545431E-2</v>
      </c>
      <c r="K28" s="250">
        <f t="shared" si="30"/>
        <v>7.9999999999999849E-2</v>
      </c>
      <c r="L28" s="250">
        <f t="shared" ref="L28:N28" si="31">L53</f>
        <v>3.499999999999992E-2</v>
      </c>
      <c r="M28" s="250">
        <f t="shared" si="31"/>
        <v>3.5000000000000142E-2</v>
      </c>
      <c r="N28" s="250">
        <f t="shared" si="31"/>
        <v>3.499999999999992E-2</v>
      </c>
      <c r="O28" s="250"/>
    </row>
    <row r="29" spans="1:16">
      <c r="I29" s="57"/>
      <c r="J29" s="57"/>
      <c r="K29" s="57"/>
      <c r="L29" s="57"/>
      <c r="M29" s="57"/>
      <c r="N29" s="57"/>
      <c r="O29" s="57"/>
    </row>
    <row r="30" spans="1:16" s="1" customFormat="1" ht="15.75" customHeight="1">
      <c r="A30" s="3" t="s">
        <v>144</v>
      </c>
      <c r="B30" s="6"/>
      <c r="C30" s="6"/>
      <c r="D30" s="6"/>
      <c r="E30" s="6"/>
      <c r="F30" s="6"/>
      <c r="G30" s="6"/>
      <c r="H30" s="6"/>
      <c r="I30" s="6"/>
      <c r="J30" s="6"/>
      <c r="K30" s="6"/>
      <c r="L30" s="6"/>
      <c r="M30" s="6"/>
      <c r="N30" s="6"/>
      <c r="O30" s="6"/>
    </row>
    <row r="31" spans="1:16">
      <c r="A31" t="s">
        <v>144</v>
      </c>
      <c r="B31" s="99">
        <v>8280.8091370000002</v>
      </c>
      <c r="C31" s="99">
        <v>8594.8252730000004</v>
      </c>
      <c r="D31" s="99">
        <v>9462.1676520000001</v>
      </c>
      <c r="E31" s="99">
        <v>9522.9240000000009</v>
      </c>
      <c r="F31" s="99">
        <v>11877.468000000001</v>
      </c>
      <c r="G31" s="99">
        <v>9754.11</v>
      </c>
      <c r="H31" s="99">
        <v>11427.115</v>
      </c>
      <c r="I31" s="94">
        <f t="shared" ref="I31:K31" si="32">I33+I35</f>
        <v>17687.278463276467</v>
      </c>
      <c r="J31" s="94">
        <f t="shared" si="32"/>
        <v>21928.223074880007</v>
      </c>
      <c r="K31" s="94">
        <f t="shared" si="32"/>
        <v>24775.476725911511</v>
      </c>
      <c r="L31" s="94">
        <f t="shared" ref="L31:N31" si="33">L33+L35</f>
        <v>27681.931222937299</v>
      </c>
      <c r="M31" s="94">
        <f t="shared" si="33"/>
        <v>29243.857251371817</v>
      </c>
      <c r="N31" s="94">
        <f t="shared" si="33"/>
        <v>33456.128657650246</v>
      </c>
      <c r="O31" s="94"/>
    </row>
    <row r="32" spans="1:16" s="48" customFormat="1">
      <c r="A32" s="49" t="s">
        <v>266</v>
      </c>
      <c r="B32" s="52">
        <f t="shared" ref="B32:K32" si="34">1-(B31/B6)</f>
        <v>0.13469099339059787</v>
      </c>
      <c r="C32" s="52">
        <f t="shared" si="34"/>
        <v>0.16605132693214464</v>
      </c>
      <c r="D32" s="52">
        <f t="shared" si="34"/>
        <v>0.1646006840846187</v>
      </c>
      <c r="E32" s="52">
        <f t="shared" si="34"/>
        <v>0.16807565531272617</v>
      </c>
      <c r="F32" s="52">
        <f t="shared" si="34"/>
        <v>0.17673300854487928</v>
      </c>
      <c r="G32" s="52">
        <f t="shared" si="34"/>
        <v>0.2386277845114565</v>
      </c>
      <c r="H32" s="52">
        <f t="shared" si="34"/>
        <v>0.22104148438945892</v>
      </c>
      <c r="I32" s="60">
        <f t="shared" si="34"/>
        <v>0.15689873893093442</v>
      </c>
      <c r="J32" s="60">
        <f t="shared" si="34"/>
        <v>0.17165569019328486</v>
      </c>
      <c r="K32" s="60">
        <f t="shared" si="34"/>
        <v>0.17554114153536138</v>
      </c>
      <c r="L32" s="60">
        <f t="shared" ref="L32:N32" si="35">1-(L31/L6)</f>
        <v>0.195387872918238</v>
      </c>
      <c r="M32" s="60">
        <f t="shared" si="35"/>
        <v>0.18898249658181698</v>
      </c>
      <c r="N32" s="60">
        <f t="shared" si="35"/>
        <v>0.16041602121811116</v>
      </c>
      <c r="O32" s="60"/>
    </row>
    <row r="33" spans="1:19">
      <c r="A33" s="1" t="s">
        <v>267</v>
      </c>
      <c r="B33" s="105"/>
      <c r="C33" s="105">
        <v>6829.1906959999997</v>
      </c>
      <c r="D33" s="105">
        <v>7605.8909999999996</v>
      </c>
      <c r="E33" s="105">
        <v>7849.1580000000004</v>
      </c>
      <c r="F33" s="105">
        <v>10142.918</v>
      </c>
      <c r="G33" s="105">
        <v>8204.9380000000001</v>
      </c>
      <c r="H33" s="105">
        <v>9635.3909999999996</v>
      </c>
      <c r="I33" s="107">
        <f t="shared" ref="I33:K33" si="36">I41+I48</f>
        <v>14913.986926669408</v>
      </c>
      <c r="J33" s="107">
        <f t="shared" si="36"/>
        <v>18489.969100835264</v>
      </c>
      <c r="K33" s="107">
        <f t="shared" si="36"/>
        <v>20890.785247681259</v>
      </c>
      <c r="L33" s="107">
        <f t="shared" ref="L33:N33" si="37">L41+L48</f>
        <v>23341.519794638371</v>
      </c>
      <c r="M33" s="107">
        <f t="shared" si="37"/>
        <v>24658.542332439356</v>
      </c>
      <c r="N33" s="107">
        <f t="shared" si="37"/>
        <v>28210.347140355661</v>
      </c>
      <c r="O33" s="107"/>
    </row>
    <row r="34" spans="1:19" s="48" customFormat="1">
      <c r="A34" s="47" t="s">
        <v>205</v>
      </c>
      <c r="B34" s="143"/>
      <c r="C34" s="143"/>
      <c r="D34" s="175">
        <f>D33/C33-1</f>
        <v>0.11373240821272268</v>
      </c>
      <c r="E34" s="175">
        <f t="shared" ref="E34:N34" si="38">E33/D33-1</f>
        <v>3.198402396247868E-2</v>
      </c>
      <c r="F34" s="175">
        <f t="shared" si="38"/>
        <v>0.29223007104711085</v>
      </c>
      <c r="G34" s="175">
        <f t="shared" si="38"/>
        <v>-0.19106730430039953</v>
      </c>
      <c r="H34" s="175">
        <f t="shared" si="38"/>
        <v>0.17434050080573416</v>
      </c>
      <c r="I34" s="60">
        <f>I33/H33-1</f>
        <v>0.54783411764705847</v>
      </c>
      <c r="J34" s="60">
        <f t="shared" si="38"/>
        <v>0.23977372326719903</v>
      </c>
      <c r="K34" s="60">
        <f t="shared" si="38"/>
        <v>0.12984424872497713</v>
      </c>
      <c r="L34" s="60">
        <f t="shared" si="38"/>
        <v>0.11731174859638793</v>
      </c>
      <c r="M34" s="60">
        <f t="shared" si="38"/>
        <v>5.6424026772391667E-2</v>
      </c>
      <c r="N34" s="60">
        <f t="shared" si="38"/>
        <v>0.14403952837243561</v>
      </c>
      <c r="O34" s="111"/>
    </row>
    <row r="35" spans="1:19">
      <c r="A35" s="1" t="s">
        <v>271</v>
      </c>
      <c r="B35" s="105">
        <f t="shared" ref="B35:H35" si="39">B31-B33</f>
        <v>8280.8091370000002</v>
      </c>
      <c r="C35" s="105">
        <f t="shared" si="39"/>
        <v>1765.6345770000007</v>
      </c>
      <c r="D35" s="105">
        <f t="shared" si="39"/>
        <v>1856.2766520000005</v>
      </c>
      <c r="E35" s="105">
        <f t="shared" si="39"/>
        <v>1673.7660000000005</v>
      </c>
      <c r="F35" s="105">
        <f t="shared" si="39"/>
        <v>1734.5500000000011</v>
      </c>
      <c r="G35" s="105">
        <f t="shared" si="39"/>
        <v>1549.1720000000005</v>
      </c>
      <c r="H35" s="105">
        <f t="shared" si="39"/>
        <v>1791.7240000000002</v>
      </c>
      <c r="I35" s="107">
        <f t="shared" ref="I35:K35" si="40">I33*I36</f>
        <v>2773.2915366070583</v>
      </c>
      <c r="J35" s="107">
        <f t="shared" si="40"/>
        <v>3438.2539740447446</v>
      </c>
      <c r="K35" s="107">
        <f t="shared" si="40"/>
        <v>3884.6914782302515</v>
      </c>
      <c r="L35" s="107">
        <f t="shared" ref="L35:N35" si="41">L33*L36</f>
        <v>4340.4114282989285</v>
      </c>
      <c r="M35" s="107">
        <f t="shared" si="41"/>
        <v>4585.3149189324622</v>
      </c>
      <c r="N35" s="107">
        <f t="shared" si="41"/>
        <v>5245.7815172945875</v>
      </c>
      <c r="O35" s="107"/>
    </row>
    <row r="36" spans="1:19" s="48" customFormat="1">
      <c r="A36" s="49" t="s">
        <v>205</v>
      </c>
      <c r="B36" s="52"/>
      <c r="C36" s="52">
        <f t="shared" ref="C36:H36" si="42">C35/C33</f>
        <v>0.25854228642848853</v>
      </c>
      <c r="D36" s="52">
        <f t="shared" si="42"/>
        <v>0.24405775102483068</v>
      </c>
      <c r="E36" s="52">
        <f t="shared" si="42"/>
        <v>0.21324147125080173</v>
      </c>
      <c r="F36" s="52">
        <f t="shared" si="42"/>
        <v>0.17101094576531145</v>
      </c>
      <c r="G36" s="52">
        <f t="shared" si="42"/>
        <v>0.18880971434519073</v>
      </c>
      <c r="H36" s="52">
        <f t="shared" si="42"/>
        <v>0.18595239155318141</v>
      </c>
      <c r="I36" s="126">
        <f>H36</f>
        <v>0.18595239155318141</v>
      </c>
      <c r="J36" s="126">
        <f t="shared" ref="J36:N36" si="43">I36</f>
        <v>0.18595239155318141</v>
      </c>
      <c r="K36" s="126">
        <f t="shared" si="43"/>
        <v>0.18595239155318141</v>
      </c>
      <c r="L36" s="126">
        <f t="shared" si="43"/>
        <v>0.18595239155318141</v>
      </c>
      <c r="M36" s="126">
        <f t="shared" si="43"/>
        <v>0.18595239155318141</v>
      </c>
      <c r="N36" s="126">
        <f t="shared" si="43"/>
        <v>0.18595239155318141</v>
      </c>
      <c r="O36" s="126"/>
      <c r="P36" s="48" t="str">
        <f>"Constant at "&amp;ROUND(H36*100,0)&amp;"%"</f>
        <v>Constant at 19%</v>
      </c>
    </row>
    <row r="37" spans="1:19" s="48" customFormat="1">
      <c r="A37"/>
      <c r="B37"/>
      <c r="C37" s="17"/>
      <c r="D37" s="17"/>
      <c r="E37" s="17"/>
      <c r="F37" s="17"/>
      <c r="G37" s="17"/>
      <c r="H37" s="17"/>
      <c r="I37" s="58"/>
      <c r="J37" s="58"/>
      <c r="K37" s="58"/>
      <c r="L37" s="58"/>
      <c r="M37" s="58"/>
      <c r="N37" s="58"/>
      <c r="O37" s="58"/>
    </row>
    <row r="38" spans="1:19" s="1" customFormat="1" ht="15.75" customHeight="1">
      <c r="A38" s="3" t="s">
        <v>267</v>
      </c>
      <c r="B38" s="6"/>
      <c r="C38" s="6"/>
      <c r="D38" s="6"/>
      <c r="E38" s="6"/>
      <c r="F38" s="6"/>
      <c r="G38" s="6"/>
      <c r="H38" s="6"/>
      <c r="I38" s="6"/>
      <c r="J38" s="6"/>
      <c r="K38" s="6"/>
      <c r="L38" s="6"/>
      <c r="M38" s="6"/>
      <c r="N38" s="6"/>
      <c r="O38" s="6"/>
    </row>
    <row r="39" spans="1:19">
      <c r="A39" s="1" t="s">
        <v>267</v>
      </c>
      <c r="B39" s="105">
        <f>B41+B48</f>
        <v>0</v>
      </c>
      <c r="C39" s="105">
        <f>C41+C48</f>
        <v>6829.1906959999997</v>
      </c>
      <c r="D39" s="105">
        <f t="shared" ref="D39:K39" si="44">D41+D48</f>
        <v>7605.8909999999996</v>
      </c>
      <c r="E39" s="105">
        <f t="shared" si="44"/>
        <v>7849.1580000000013</v>
      </c>
      <c r="F39" s="105">
        <f t="shared" si="44"/>
        <v>10142.918</v>
      </c>
      <c r="G39" s="105">
        <f t="shared" si="44"/>
        <v>8204.9380000000001</v>
      </c>
      <c r="H39" s="105">
        <f t="shared" si="44"/>
        <v>9635.3909999999996</v>
      </c>
      <c r="I39" s="107">
        <f t="shared" si="44"/>
        <v>14913.986926669408</v>
      </c>
      <c r="J39" s="107">
        <f t="shared" si="44"/>
        <v>18489.969100835264</v>
      </c>
      <c r="K39" s="107">
        <f t="shared" si="44"/>
        <v>20890.785247681259</v>
      </c>
      <c r="L39" s="107">
        <f t="shared" ref="L39:N39" si="45">L41+L48</f>
        <v>23341.519794638371</v>
      </c>
      <c r="M39" s="107">
        <f t="shared" si="45"/>
        <v>24658.542332439356</v>
      </c>
      <c r="N39" s="107">
        <f t="shared" si="45"/>
        <v>28210.347140355661</v>
      </c>
      <c r="O39" s="107"/>
      <c r="S39" s="7"/>
    </row>
    <row r="40" spans="1:19">
      <c r="A40" s="1"/>
      <c r="B40" s="105"/>
      <c r="C40" s="105"/>
      <c r="D40" s="105"/>
      <c r="E40" s="105"/>
      <c r="F40" s="105"/>
      <c r="G40" s="105"/>
      <c r="H40" s="105"/>
      <c r="I40" s="107"/>
      <c r="J40" s="107"/>
      <c r="K40" s="107"/>
      <c r="L40" s="107"/>
      <c r="M40" s="107"/>
      <c r="N40" s="107"/>
      <c r="O40" s="107"/>
      <c r="S40" s="7"/>
    </row>
    <row r="41" spans="1:19">
      <c r="A41" s="1" t="s">
        <v>274</v>
      </c>
      <c r="B41" s="105">
        <f t="shared" ref="B41:H41" si="46">B33*B56</f>
        <v>0</v>
      </c>
      <c r="C41" s="105">
        <f t="shared" si="46"/>
        <v>4780.433487199999</v>
      </c>
      <c r="D41" s="105">
        <f t="shared" si="46"/>
        <v>5324.1236999999992</v>
      </c>
      <c r="E41" s="105">
        <f t="shared" si="46"/>
        <v>5494.4106000000002</v>
      </c>
      <c r="F41" s="105">
        <f t="shared" si="46"/>
        <v>7100.0425999999998</v>
      </c>
      <c r="G41" s="105">
        <f t="shared" si="46"/>
        <v>5743.4565999999995</v>
      </c>
      <c r="H41" s="105">
        <f t="shared" si="46"/>
        <v>6744.7736999999997</v>
      </c>
      <c r="I41" s="107">
        <f t="shared" ref="I41:K41" si="47">(I62*I42*I44)/1000000</f>
        <v>10517.800107779996</v>
      </c>
      <c r="J41" s="107">
        <f t="shared" si="47"/>
        <v>13019.564041416546</v>
      </c>
      <c r="K41" s="107">
        <f t="shared" si="47"/>
        <v>14687.345910300432</v>
      </c>
      <c r="L41" s="107">
        <f t="shared" ref="L41:N41" si="48">(L62*L42*L44)/1000000</f>
        <v>16599.932094739757</v>
      </c>
      <c r="M41" s="107">
        <f t="shared" si="48"/>
        <v>17332.121899574537</v>
      </c>
      <c r="N41" s="107">
        <f t="shared" si="48"/>
        <v>20248.359734939822</v>
      </c>
      <c r="O41" s="107"/>
      <c r="S41" s="7"/>
    </row>
    <row r="42" spans="1:19" s="48" customFormat="1">
      <c r="A42" s="49" t="s">
        <v>268</v>
      </c>
      <c r="B42" s="48">
        <v>7535</v>
      </c>
      <c r="C42" s="48">
        <v>8828</v>
      </c>
      <c r="D42" s="48">
        <v>7962</v>
      </c>
      <c r="E42" s="53">
        <v>7332</v>
      </c>
      <c r="F42" s="53">
        <v>6863</v>
      </c>
      <c r="G42" s="53">
        <v>5510</v>
      </c>
      <c r="H42" s="667">
        <v>5200</v>
      </c>
      <c r="I42" s="240">
        <v>6900</v>
      </c>
      <c r="J42" s="629">
        <f>I42*(1+J43)</f>
        <v>7176</v>
      </c>
      <c r="K42" s="629">
        <f>J42*(1+K43)</f>
        <v>7449.0289532293982</v>
      </c>
      <c r="L42" s="629">
        <f>K42*(1+L43)</f>
        <v>7746.9901113585747</v>
      </c>
      <c r="M42" s="629">
        <f>L42*(1+M43)</f>
        <v>8056.869715812918</v>
      </c>
      <c r="N42" s="629">
        <f>M42*(1+N43)</f>
        <v>8661.1349444988864</v>
      </c>
      <c r="O42" s="65"/>
      <c r="P42" s="48" t="s">
        <v>272</v>
      </c>
      <c r="R42" s="52"/>
    </row>
    <row r="43" spans="1:19" s="48" customFormat="1">
      <c r="A43" s="49" t="s">
        <v>413</v>
      </c>
      <c r="C43" s="52">
        <f>C42/B42-1</f>
        <v>0.17159920371599213</v>
      </c>
      <c r="D43" s="52">
        <f>D42/C42-1</f>
        <v>-9.809696420480285E-2</v>
      </c>
      <c r="E43" s="52">
        <f>E42/D42-1</f>
        <v>-7.9125847776940428E-2</v>
      </c>
      <c r="F43" s="52">
        <f t="shared" ref="F43:H43" si="49">F42/E42-1</f>
        <v>-6.3966175668303316E-2</v>
      </c>
      <c r="G43" s="52">
        <f t="shared" si="49"/>
        <v>-0.19714410607606003</v>
      </c>
      <c r="H43" s="52">
        <f t="shared" si="49"/>
        <v>-5.6261343012704135E-2</v>
      </c>
      <c r="I43" s="60">
        <f>I42/H42-1</f>
        <v>0.32692307692307687</v>
      </c>
      <c r="J43" s="238">
        <v>0.04</v>
      </c>
      <c r="K43" s="238">
        <v>3.8047512991833621E-2</v>
      </c>
      <c r="L43" s="238">
        <v>0.04</v>
      </c>
      <c r="M43" s="238">
        <v>0.04</v>
      </c>
      <c r="N43" s="238">
        <v>7.4999999999999997E-2</v>
      </c>
      <c r="O43" s="60"/>
      <c r="R43" s="52"/>
    </row>
    <row r="44" spans="1:19" s="48" customFormat="1">
      <c r="A44" s="49" t="s">
        <v>273</v>
      </c>
      <c r="B44" s="51">
        <v>110.56520497729953</v>
      </c>
      <c r="C44" s="51">
        <v>127.60335350680997</v>
      </c>
      <c r="D44" s="51">
        <v>129.10990041152255</v>
      </c>
      <c r="E44" s="51">
        <v>130.56058842975204</v>
      </c>
      <c r="F44" s="51">
        <v>135.93778874999992</v>
      </c>
      <c r="G44" s="51">
        <v>144.44</v>
      </c>
      <c r="H44" s="51">
        <v>146</v>
      </c>
      <c r="I44" s="125">
        <f>H44*(1+4%)</f>
        <v>151.84</v>
      </c>
      <c r="J44" s="125">
        <f>I44*(1+3.5%)</f>
        <v>157.15439999999998</v>
      </c>
      <c r="K44" s="125">
        <f>J44*(1+3.5%)</f>
        <v>162.65480399999996</v>
      </c>
      <c r="L44" s="125">
        <f>K44*(1+3.5%)</f>
        <v>168.34772213999995</v>
      </c>
      <c r="M44" s="125">
        <f>L44*(1+3.5%)</f>
        <v>174.23989241489994</v>
      </c>
      <c r="N44" s="125">
        <f>M44*(1+3.5%)</f>
        <v>180.33828864942143</v>
      </c>
      <c r="O44" s="125"/>
      <c r="P44" s="48" t="s">
        <v>425</v>
      </c>
    </row>
    <row r="45" spans="1:19" s="48" customFormat="1">
      <c r="A45" s="49" t="s">
        <v>2852</v>
      </c>
      <c r="B45" s="54">
        <f>(B42*B44)/1000000</f>
        <v>0.83310881950395188</v>
      </c>
      <c r="C45" s="54">
        <f>(C42*C44)/1000000</f>
        <v>1.1264824047581183</v>
      </c>
      <c r="D45" s="54">
        <f t="shared" ref="D45:G45" si="50">(D42*D44)/1000000</f>
        <v>1.0279730270765426</v>
      </c>
      <c r="E45" s="54">
        <f t="shared" si="50"/>
        <v>0.95727023436694192</v>
      </c>
      <c r="F45" s="54">
        <f t="shared" si="50"/>
        <v>0.93294104419124957</v>
      </c>
      <c r="G45" s="54">
        <f t="shared" si="50"/>
        <v>0.79586440000000003</v>
      </c>
      <c r="H45" s="54">
        <f t="shared" ref="H45" si="51">(H42*H44)/1000000</f>
        <v>0.75919999999999999</v>
      </c>
      <c r="I45" s="61">
        <f t="shared" ref="I45" si="52">(I42*I44)/1000000</f>
        <v>1.047696</v>
      </c>
      <c r="J45" s="61">
        <f t="shared" ref="J45" si="53">(J42*J44)/1000000</f>
        <v>1.1277399743999998</v>
      </c>
      <c r="K45" s="61">
        <f t="shared" ref="K45" si="54">(K42*K44)/1000000</f>
        <v>1.2116203443778526</v>
      </c>
      <c r="L45" s="61">
        <f t="shared" ref="L45:N45" si="55">(L42*L44)/1000000</f>
        <v>1.3041881386883205</v>
      </c>
      <c r="M45" s="61">
        <f t="shared" si="55"/>
        <v>1.4038281124841081</v>
      </c>
      <c r="N45" s="61">
        <f t="shared" si="55"/>
        <v>1.5619342536526308</v>
      </c>
      <c r="O45" s="125"/>
    </row>
    <row r="46" spans="1:19" s="48" customFormat="1">
      <c r="A46" s="49" t="s">
        <v>413</v>
      </c>
      <c r="C46" s="52">
        <f>C45/B45-1</f>
        <v>0.35214317552039165</v>
      </c>
      <c r="D46" s="52">
        <f>D45/C45-1</f>
        <v>-8.7448660774002929E-2</v>
      </c>
      <c r="E46" s="52">
        <f>E45/D45-1</f>
        <v>-6.8778840346300441E-2</v>
      </c>
      <c r="F46" s="52">
        <f t="shared" ref="F46" si="56">F45/E45-1</f>
        <v>-2.5415174631207127E-2</v>
      </c>
      <c r="G46" s="52">
        <f t="shared" ref="G46" si="57">G45/F45-1</f>
        <v>-0.14692958900750142</v>
      </c>
      <c r="H46" s="52">
        <f t="shared" ref="H46" si="58">H45/G45-1</f>
        <v>-4.6068651895976309E-2</v>
      </c>
      <c r="I46" s="60">
        <f>I45/H45-1</f>
        <v>0.37999999999999989</v>
      </c>
      <c r="J46" s="60">
        <f t="shared" ref="J46" si="59">J45/I45-1</f>
        <v>7.6399999999999801E-2</v>
      </c>
      <c r="K46" s="60">
        <f t="shared" ref="K46:N46" si="60">K45/J45-1</f>
        <v>7.4379175946547749E-2</v>
      </c>
      <c r="L46" s="60">
        <f t="shared" si="60"/>
        <v>7.6400000000000023E-2</v>
      </c>
      <c r="M46" s="60">
        <f t="shared" si="60"/>
        <v>7.6400000000000023E-2</v>
      </c>
      <c r="N46" s="60">
        <f t="shared" si="60"/>
        <v>0.11262499999999998</v>
      </c>
      <c r="O46" s="60"/>
      <c r="R46" s="52"/>
    </row>
    <row r="47" spans="1:19" s="48" customFormat="1">
      <c r="A47" s="49"/>
      <c r="G47" s="52"/>
      <c r="H47" s="52"/>
      <c r="I47" s="58"/>
      <c r="J47" s="58"/>
      <c r="K47" s="58"/>
      <c r="L47" s="58"/>
      <c r="M47" s="58"/>
      <c r="N47" s="58"/>
      <c r="O47" s="58"/>
    </row>
    <row r="48" spans="1:19">
      <c r="A48" s="1" t="s">
        <v>269</v>
      </c>
      <c r="B48" s="105">
        <f t="shared" ref="B48:H48" si="61">B33*B57</f>
        <v>0</v>
      </c>
      <c r="C48" s="105">
        <f t="shared" si="61"/>
        <v>2048.7572088000002</v>
      </c>
      <c r="D48" s="105">
        <f t="shared" si="61"/>
        <v>2281.7673000000004</v>
      </c>
      <c r="E48" s="105">
        <f t="shared" si="61"/>
        <v>2354.7474000000007</v>
      </c>
      <c r="F48" s="105">
        <f t="shared" si="61"/>
        <v>3042.8754000000004</v>
      </c>
      <c r="G48" s="105">
        <f t="shared" si="61"/>
        <v>2461.4814000000006</v>
      </c>
      <c r="H48" s="105">
        <f t="shared" si="61"/>
        <v>2890.6173000000003</v>
      </c>
      <c r="I48" s="107">
        <f t="shared" ref="I48:K48" si="62">(I49*I51*I67)/1000000</f>
        <v>4396.1868188894123</v>
      </c>
      <c r="J48" s="107">
        <f t="shared" si="62"/>
        <v>5470.4050594187183</v>
      </c>
      <c r="K48" s="107">
        <f t="shared" si="62"/>
        <v>6203.4393373808261</v>
      </c>
      <c r="L48" s="107">
        <f t="shared" ref="L48:N48" si="63">(L49*L51*L67)/1000000</f>
        <v>6741.5876998986132</v>
      </c>
      <c r="M48" s="107">
        <f t="shared" si="63"/>
        <v>7326.4204328648175</v>
      </c>
      <c r="N48" s="107">
        <f t="shared" si="63"/>
        <v>7961.9874054158399</v>
      </c>
      <c r="O48" s="107"/>
    </row>
    <row r="49" spans="1:18" s="48" customFormat="1">
      <c r="A49" s="49" t="s">
        <v>270</v>
      </c>
      <c r="B49" s="48">
        <v>2173</v>
      </c>
      <c r="C49" s="48">
        <v>2401</v>
      </c>
      <c r="D49" s="48">
        <v>2023</v>
      </c>
      <c r="E49" s="53">
        <v>1847</v>
      </c>
      <c r="F49" s="53">
        <v>1867</v>
      </c>
      <c r="G49" s="53">
        <v>1665</v>
      </c>
      <c r="H49" s="667">
        <v>1700</v>
      </c>
      <c r="I49" s="240">
        <v>2200</v>
      </c>
      <c r="J49" s="240">
        <v>2300</v>
      </c>
      <c r="K49" s="240">
        <v>2400</v>
      </c>
      <c r="L49" s="240">
        <v>2400</v>
      </c>
      <c r="M49" s="240">
        <v>2400</v>
      </c>
      <c r="N49" s="240">
        <v>2400</v>
      </c>
      <c r="O49" s="65"/>
      <c r="P49" s="48" t="s">
        <v>272</v>
      </c>
    </row>
    <row r="50" spans="1:18" s="48" customFormat="1">
      <c r="A50" s="49" t="s">
        <v>413</v>
      </c>
      <c r="C50" s="52">
        <f>C49/B49-1</f>
        <v>0.10492406810860566</v>
      </c>
      <c r="D50" s="52">
        <f>D49/C49-1</f>
        <v>-0.1574344023323615</v>
      </c>
      <c r="E50" s="52">
        <f t="shared" ref="E50:N50" si="64">E49/D49-1</f>
        <v>-8.6999505684626777E-2</v>
      </c>
      <c r="F50" s="52">
        <f t="shared" si="64"/>
        <v>1.0828370330265402E-2</v>
      </c>
      <c r="G50" s="52">
        <f t="shared" si="64"/>
        <v>-0.10819496518478844</v>
      </c>
      <c r="H50" s="52">
        <f t="shared" si="64"/>
        <v>2.1021021021021102E-2</v>
      </c>
      <c r="I50" s="60">
        <f>I49/H49-1</f>
        <v>0.29411764705882359</v>
      </c>
      <c r="J50" s="60">
        <f t="shared" si="64"/>
        <v>4.5454545454545414E-2</v>
      </c>
      <c r="K50" s="60">
        <f t="shared" si="64"/>
        <v>4.3478260869565188E-2</v>
      </c>
      <c r="L50" s="60">
        <f t="shared" si="64"/>
        <v>0</v>
      </c>
      <c r="M50" s="60">
        <f t="shared" si="64"/>
        <v>0</v>
      </c>
      <c r="N50" s="60">
        <f t="shared" si="64"/>
        <v>0</v>
      </c>
      <c r="O50" s="60"/>
      <c r="R50" s="52"/>
    </row>
    <row r="51" spans="1:18" s="48" customFormat="1">
      <c r="A51" s="49" t="s">
        <v>273</v>
      </c>
      <c r="B51" s="51">
        <f t="shared" ref="B51:K51" si="65">B44</f>
        <v>110.56520497729953</v>
      </c>
      <c r="C51" s="51">
        <f t="shared" si="65"/>
        <v>127.60335350680997</v>
      </c>
      <c r="D51" s="51">
        <f t="shared" si="65"/>
        <v>129.10990041152255</v>
      </c>
      <c r="E51" s="51">
        <f t="shared" si="65"/>
        <v>130.56058842975204</v>
      </c>
      <c r="F51" s="51">
        <f t="shared" si="65"/>
        <v>135.93778874999992</v>
      </c>
      <c r="G51" s="51">
        <f t="shared" si="65"/>
        <v>144.44</v>
      </c>
      <c r="H51" s="51">
        <f t="shared" si="65"/>
        <v>146</v>
      </c>
      <c r="I51" s="125">
        <f t="shared" si="65"/>
        <v>151.84</v>
      </c>
      <c r="J51" s="125">
        <f>J44</f>
        <v>157.15439999999998</v>
      </c>
      <c r="K51" s="125">
        <f t="shared" si="65"/>
        <v>162.65480399999996</v>
      </c>
      <c r="L51" s="125">
        <f t="shared" ref="L51:N51" si="66">L44</f>
        <v>168.34772213999995</v>
      </c>
      <c r="M51" s="125">
        <f t="shared" si="66"/>
        <v>174.23989241489994</v>
      </c>
      <c r="N51" s="125">
        <f t="shared" si="66"/>
        <v>180.33828864942143</v>
      </c>
      <c r="O51" s="125"/>
      <c r="P51" s="48" t="s">
        <v>427</v>
      </c>
    </row>
    <row r="52" spans="1:18" s="48" customFormat="1">
      <c r="A52" s="49" t="s">
        <v>2852</v>
      </c>
      <c r="B52" s="54">
        <f>(B49*B51)/1000000</f>
        <v>0.24025819041567187</v>
      </c>
      <c r="C52" s="54">
        <f>(C49*C51)/1000000</f>
        <v>0.30637565176985077</v>
      </c>
      <c r="D52" s="54">
        <f t="shared" ref="D52" si="67">(D49*D51)/1000000</f>
        <v>0.26118932853251009</v>
      </c>
      <c r="E52" s="54">
        <f t="shared" ref="E52" si="68">(E49*E51)/1000000</f>
        <v>0.24114540682975202</v>
      </c>
      <c r="F52" s="54">
        <f t="shared" ref="F52" si="69">(F49*F51)/1000000</f>
        <v>0.25379585159624984</v>
      </c>
      <c r="G52" s="54">
        <f t="shared" ref="G52:H52" si="70">(G49*G51)/1000000</f>
        <v>0.2404926</v>
      </c>
      <c r="H52" s="54">
        <f t="shared" si="70"/>
        <v>0.2482</v>
      </c>
      <c r="I52" s="61">
        <f t="shared" ref="I52" si="71">(I49*I51)/1000000</f>
        <v>0.33404800000000001</v>
      </c>
      <c r="J52" s="61">
        <f t="shared" ref="J52" si="72">(J49*J51)/1000000</f>
        <v>0.36145511999999996</v>
      </c>
      <c r="K52" s="61">
        <f t="shared" ref="K52" si="73">(K49*K51)/1000000</f>
        <v>0.39037152959999988</v>
      </c>
      <c r="L52" s="61">
        <f t="shared" ref="L52:N52" si="74">(L49*L51)/1000000</f>
        <v>0.40403453313599985</v>
      </c>
      <c r="M52" s="61">
        <f t="shared" si="74"/>
        <v>0.41817574179575989</v>
      </c>
      <c r="N52" s="61">
        <f t="shared" si="74"/>
        <v>0.43281189275861143</v>
      </c>
      <c r="O52" s="125"/>
    </row>
    <row r="53" spans="1:18" s="48" customFormat="1">
      <c r="A53" s="49" t="s">
        <v>413</v>
      </c>
      <c r="C53" s="52">
        <f>C52/B52-1</f>
        <v>0.27519337109710507</v>
      </c>
      <c r="D53" s="52">
        <f>D52/C52-1</f>
        <v>-0.14748666539364763</v>
      </c>
      <c r="E53" s="52">
        <f>E52/D52-1</f>
        <v>-7.6740967233901447E-2</v>
      </c>
      <c r="F53" s="52">
        <f t="shared" ref="F53" si="75">F52/E52-1</f>
        <v>5.2459820540678992E-2</v>
      </c>
      <c r="G53" s="52">
        <f t="shared" ref="G53:H53" si="76">G52/F52-1</f>
        <v>-5.2417135711947171E-2</v>
      </c>
      <c r="H53" s="52">
        <f t="shared" si="76"/>
        <v>3.2048387351627516E-2</v>
      </c>
      <c r="I53" s="60">
        <f>I52/H52-1</f>
        <v>0.34588235294117653</v>
      </c>
      <c r="J53" s="60">
        <f t="shared" ref="J53" si="77">J52/I52-1</f>
        <v>8.204545454545431E-2</v>
      </c>
      <c r="K53" s="60">
        <f t="shared" ref="K53:N53" si="78">K52/J52-1</f>
        <v>7.9999999999999849E-2</v>
      </c>
      <c r="L53" s="60">
        <f t="shared" si="78"/>
        <v>3.499999999999992E-2</v>
      </c>
      <c r="M53" s="60">
        <f t="shared" si="78"/>
        <v>3.5000000000000142E-2</v>
      </c>
      <c r="N53" s="60">
        <f t="shared" si="78"/>
        <v>3.499999999999992E-2</v>
      </c>
      <c r="O53" s="60"/>
      <c r="R53" s="52"/>
    </row>
    <row r="54" spans="1:18" s="48" customFormat="1">
      <c r="A54" s="49"/>
      <c r="G54" s="52"/>
      <c r="H54" s="52"/>
      <c r="I54" s="58"/>
      <c r="J54" s="58"/>
      <c r="K54" s="58"/>
      <c r="L54" s="58"/>
      <c r="M54" s="58"/>
      <c r="N54" s="58"/>
      <c r="O54" s="58"/>
    </row>
    <row r="55" spans="1:18" s="1" customFormat="1" ht="15.75" customHeight="1">
      <c r="A55" s="3" t="s">
        <v>419</v>
      </c>
      <c r="B55" s="6"/>
      <c r="C55" s="6"/>
      <c r="D55" s="6"/>
      <c r="E55" s="6"/>
      <c r="F55" s="6"/>
      <c r="G55" s="6"/>
      <c r="H55" s="6"/>
      <c r="I55" s="6"/>
      <c r="J55" s="6"/>
      <c r="K55" s="6"/>
      <c r="L55" s="6"/>
      <c r="M55" s="6"/>
      <c r="N55" s="6"/>
      <c r="O55" s="6"/>
    </row>
    <row r="56" spans="1:18">
      <c r="A56" s="45" t="s">
        <v>148</v>
      </c>
      <c r="B56" s="137">
        <v>0.7</v>
      </c>
      <c r="C56" s="166">
        <v>0.7</v>
      </c>
      <c r="D56" s="166">
        <v>0.7</v>
      </c>
      <c r="E56" s="166">
        <v>0.7</v>
      </c>
      <c r="F56" s="166">
        <v>0.7</v>
      </c>
      <c r="G56" s="166">
        <v>0.7</v>
      </c>
      <c r="H56" s="166">
        <v>0.7</v>
      </c>
      <c r="I56" s="167">
        <f t="shared" ref="I56:K56" si="79">I41/I33</f>
        <v>0.70523061066735371</v>
      </c>
      <c r="J56" s="167">
        <f t="shared" si="79"/>
        <v>0.70414201183431946</v>
      </c>
      <c r="K56" s="167">
        <f t="shared" si="79"/>
        <v>0.70305379793852563</v>
      </c>
      <c r="L56" s="167">
        <f t="shared" ref="L56:N56" si="80">L41/L33</f>
        <v>0.71117614623160996</v>
      </c>
      <c r="M56" s="167">
        <f t="shared" si="80"/>
        <v>0.70288509620349282</v>
      </c>
      <c r="N56" s="167">
        <f t="shared" si="80"/>
        <v>0.71776357923557765</v>
      </c>
      <c r="O56" s="167"/>
      <c r="P56" t="s">
        <v>424</v>
      </c>
    </row>
    <row r="57" spans="1:18">
      <c r="A57" t="s">
        <v>149</v>
      </c>
      <c r="B57" s="17">
        <f t="shared" ref="B57:G57" si="81">1-B56</f>
        <v>0.30000000000000004</v>
      </c>
      <c r="C57" s="17">
        <f t="shared" si="81"/>
        <v>0.30000000000000004</v>
      </c>
      <c r="D57" s="17">
        <f t="shared" si="81"/>
        <v>0.30000000000000004</v>
      </c>
      <c r="E57" s="17">
        <f t="shared" si="81"/>
        <v>0.30000000000000004</v>
      </c>
      <c r="F57" s="17">
        <f t="shared" si="81"/>
        <v>0.30000000000000004</v>
      </c>
      <c r="G57" s="17">
        <f t="shared" si="81"/>
        <v>0.30000000000000004</v>
      </c>
      <c r="H57" s="17">
        <f t="shared" ref="H57" si="82">1-H56</f>
        <v>0.30000000000000004</v>
      </c>
      <c r="I57" s="124">
        <f t="shared" ref="I57:K57" si="83">I48/I33</f>
        <v>0.29476938933264635</v>
      </c>
      <c r="J57" s="124">
        <f t="shared" si="83"/>
        <v>0.29585798816568054</v>
      </c>
      <c r="K57" s="124">
        <f t="shared" si="83"/>
        <v>0.29694620206147432</v>
      </c>
      <c r="L57" s="124">
        <f t="shared" ref="L57:N57" si="84">L48/L33</f>
        <v>0.28882385376838998</v>
      </c>
      <c r="M57" s="124">
        <f t="shared" si="84"/>
        <v>0.29711490379650712</v>
      </c>
      <c r="N57" s="124">
        <f t="shared" si="84"/>
        <v>0.28223642076442235</v>
      </c>
      <c r="O57" s="124"/>
    </row>
    <row r="58" spans="1:18">
      <c r="G58" s="154">
        <f>G599/(G59+G67)</f>
        <v>0</v>
      </c>
      <c r="H58" s="154">
        <f>H599/(H59+H67)</f>
        <v>0</v>
      </c>
      <c r="I58" s="57"/>
      <c r="J58" s="57"/>
      <c r="K58" s="57"/>
      <c r="L58" s="57"/>
      <c r="M58" s="57"/>
      <c r="N58" s="57"/>
      <c r="O58" s="57"/>
    </row>
    <row r="59" spans="1:18">
      <c r="A59" t="s">
        <v>423</v>
      </c>
      <c r="B59" s="28">
        <f t="shared" ref="B59:K59" si="85">B62+B67</f>
        <v>0</v>
      </c>
      <c r="C59" s="28">
        <f t="shared" si="85"/>
        <v>10930.758146815744</v>
      </c>
      <c r="D59" s="28">
        <f t="shared" si="85"/>
        <v>13915.310886706102</v>
      </c>
      <c r="E59" s="28">
        <f t="shared" si="85"/>
        <v>15504.50964825753</v>
      </c>
      <c r="F59" s="28">
        <f t="shared" si="85"/>
        <v>19599.847965462217</v>
      </c>
      <c r="G59" s="28">
        <f t="shared" si="85"/>
        <v>17451.791928011495</v>
      </c>
      <c r="H59" s="28">
        <f t="shared" si="85"/>
        <v>20530.376596107359</v>
      </c>
      <c r="I59" s="94">
        <f t="shared" si="85"/>
        <v>23199.325553601313</v>
      </c>
      <c r="J59" s="94">
        <f t="shared" si="85"/>
        <v>26679.224386641508</v>
      </c>
      <c r="K59" s="94">
        <f t="shared" si="85"/>
        <v>28013.185605973584</v>
      </c>
      <c r="L59" s="94">
        <f t="shared" ref="L59:N59" si="86">L62+L67</f>
        <v>29413.844886272265</v>
      </c>
      <c r="M59" s="94">
        <f t="shared" si="86"/>
        <v>29866.283300341107</v>
      </c>
      <c r="N59" s="94">
        <f t="shared" si="86"/>
        <v>31359.597465358165</v>
      </c>
      <c r="O59" s="57"/>
    </row>
    <row r="60" spans="1:18">
      <c r="A60" t="s">
        <v>205</v>
      </c>
      <c r="B60" s="28"/>
      <c r="C60" s="28"/>
      <c r="D60" s="28"/>
      <c r="E60" s="17">
        <f t="shared" ref="E60:H60" si="87">E59/D59-1</f>
        <v>0.11420504899173034</v>
      </c>
      <c r="F60" s="17">
        <f t="shared" si="87"/>
        <v>0.2641385255073152</v>
      </c>
      <c r="G60" s="17">
        <f t="shared" si="87"/>
        <v>-0.10959554590606568</v>
      </c>
      <c r="H60" s="17">
        <f t="shared" si="87"/>
        <v>0.17640507523783233</v>
      </c>
      <c r="I60" s="124">
        <f>I59/H59-1</f>
        <v>0.12999999999999989</v>
      </c>
      <c r="J60" s="124">
        <f t="shared" ref="J60:L60" si="88">J59/I59-1</f>
        <v>0.14999999999999991</v>
      </c>
      <c r="K60" s="124">
        <f t="shared" si="88"/>
        <v>5.0000000000000044E-2</v>
      </c>
      <c r="L60" s="124">
        <f t="shared" si="88"/>
        <v>5.0000000000000044E-2</v>
      </c>
      <c r="M60" s="124">
        <f>M59/L59-1</f>
        <v>1.5381818181818163E-2</v>
      </c>
      <c r="N60" s="124">
        <f t="shared" ref="N60" si="89">N59/M59-1</f>
        <v>5.0000000000000044E-2</v>
      </c>
      <c r="O60" s="124">
        <f>((K59/H59)^(1/3))-1</f>
        <v>0.10914551558197094</v>
      </c>
    </row>
    <row r="61" spans="1:18">
      <c r="B61" s="28"/>
      <c r="C61" s="28"/>
      <c r="D61" s="28"/>
      <c r="E61" s="28"/>
      <c r="F61" s="28"/>
      <c r="G61" s="28"/>
      <c r="H61" s="28"/>
      <c r="I61" s="94"/>
      <c r="J61" s="94"/>
      <c r="K61" s="94"/>
      <c r="L61" s="94"/>
      <c r="M61" s="94"/>
      <c r="N61" s="94"/>
      <c r="O61" s="94"/>
    </row>
    <row r="62" spans="1:18" s="48" customFormat="1">
      <c r="A62" s="49" t="s">
        <v>278</v>
      </c>
      <c r="B62" s="73">
        <f t="shared" ref="B62:H62" si="90">B41*1000000/((B42*B44))</f>
        <v>0</v>
      </c>
      <c r="C62" s="73">
        <f>C41*1000000/((C42*C44))</f>
        <v>4243.6823398288834</v>
      </c>
      <c r="D62" s="73">
        <f t="shared" si="90"/>
        <v>5179.2445519132934</v>
      </c>
      <c r="E62" s="73">
        <f t="shared" si="90"/>
        <v>5739.6651465231662</v>
      </c>
      <c r="F62" s="73">
        <f t="shared" si="90"/>
        <v>7610.3872202931152</v>
      </c>
      <c r="G62" s="73">
        <f t="shared" si="90"/>
        <v>7216.6271038131617</v>
      </c>
      <c r="H62" s="73">
        <f t="shared" si="90"/>
        <v>8884.0538724973649</v>
      </c>
      <c r="I62" s="165">
        <f>H62*(1+I63)</f>
        <v>10038.980875922021</v>
      </c>
      <c r="J62" s="165">
        <f t="shared" ref="J62:N62" si="91">I62*(1+J63)</f>
        <v>11544.828007310323</v>
      </c>
      <c r="K62" s="165">
        <f t="shared" si="91"/>
        <v>12122.069407675839</v>
      </c>
      <c r="L62" s="165">
        <f t="shared" si="91"/>
        <v>12728.172878059631</v>
      </c>
      <c r="M62" s="165">
        <f t="shared" si="91"/>
        <v>12346.327691717843</v>
      </c>
      <c r="N62" s="165">
        <f t="shared" si="91"/>
        <v>12963.644076303735</v>
      </c>
      <c r="O62" s="60"/>
    </row>
    <row r="63" spans="1:18" s="48" customFormat="1">
      <c r="A63" s="49" t="s">
        <v>205</v>
      </c>
      <c r="D63" s="52">
        <f>D62/C62-1</f>
        <v>0.22046000081196793</v>
      </c>
      <c r="E63" s="52">
        <f>E62/D62-1</f>
        <v>0.10820508454323607</v>
      </c>
      <c r="F63" s="52">
        <f>F62/E62-1</f>
        <v>0.32592878260557567</v>
      </c>
      <c r="G63" s="52">
        <f>G62/F62-1</f>
        <v>-5.1739826776486697E-2</v>
      </c>
      <c r="H63" s="52">
        <f>H62/G62-1</f>
        <v>0.23105347480170613</v>
      </c>
      <c r="I63" s="239">
        <v>0.13</v>
      </c>
      <c r="J63" s="239">
        <v>0.15</v>
      </c>
      <c r="K63" s="238">
        <v>0.05</v>
      </c>
      <c r="L63" s="238">
        <v>0.05</v>
      </c>
      <c r="M63" s="238">
        <v>-0.03</v>
      </c>
      <c r="N63" s="238">
        <v>0.05</v>
      </c>
      <c r="O63" s="60">
        <f>((G62/C62)^(1/4))-1</f>
        <v>0.1419519998847345</v>
      </c>
      <c r="P63" s="48" t="str">
        <f>"Start from "&amp;ROUND(H63*100,0)&amp;"%"</f>
        <v>Start from 23%</v>
      </c>
    </row>
    <row r="64" spans="1:18" s="48" customFormat="1">
      <c r="A64" s="49" t="s">
        <v>276</v>
      </c>
      <c r="G64" s="73">
        <f>1000*12</f>
        <v>12000</v>
      </c>
      <c r="H64" s="73">
        <f>1000*12</f>
        <v>12000</v>
      </c>
      <c r="I64" s="165">
        <f>H64</f>
        <v>12000</v>
      </c>
      <c r="J64" s="165">
        <f t="shared" ref="J64:N64" si="92">I64</f>
        <v>12000</v>
      </c>
      <c r="K64" s="165">
        <f t="shared" si="92"/>
        <v>12000</v>
      </c>
      <c r="L64" s="165">
        <f t="shared" si="92"/>
        <v>12000</v>
      </c>
      <c r="M64" s="165">
        <f t="shared" si="92"/>
        <v>12000</v>
      </c>
      <c r="N64" s="165">
        <f t="shared" si="92"/>
        <v>12000</v>
      </c>
      <c r="O64" s="165"/>
      <c r="P64" s="48" t="s">
        <v>433</v>
      </c>
    </row>
    <row r="65" spans="1:16" s="48" customFormat="1">
      <c r="A65" s="49" t="s">
        <v>275</v>
      </c>
      <c r="G65" s="52">
        <f t="shared" ref="G65:K65" si="93">G62/G64</f>
        <v>0.60138559198443009</v>
      </c>
      <c r="H65" s="52">
        <f t="shared" si="93"/>
        <v>0.74033782270811377</v>
      </c>
      <c r="I65" s="60">
        <f t="shared" si="93"/>
        <v>0.83658173966016847</v>
      </c>
      <c r="J65" s="60">
        <f t="shared" si="93"/>
        <v>0.96206900060919365</v>
      </c>
      <c r="K65" s="60">
        <f t="shared" si="93"/>
        <v>1.0101724506396532</v>
      </c>
      <c r="L65" s="60">
        <f t="shared" ref="L65:N65" si="94">L62/L64</f>
        <v>1.0606810731716358</v>
      </c>
      <c r="M65" s="60">
        <f t="shared" si="94"/>
        <v>1.0288606409764869</v>
      </c>
      <c r="N65" s="60">
        <f t="shared" si="94"/>
        <v>1.0803036730253113</v>
      </c>
      <c r="O65" s="60"/>
    </row>
    <row r="66" spans="1:16" s="48" customFormat="1">
      <c r="A66" s="49"/>
      <c r="G66" s="52"/>
      <c r="H66" s="52"/>
      <c r="I66" s="60"/>
      <c r="J66" s="60"/>
      <c r="K66" s="60"/>
      <c r="L66" s="60"/>
      <c r="M66" s="60"/>
      <c r="N66" s="60"/>
      <c r="O66" s="60"/>
      <c r="P66"/>
    </row>
    <row r="67" spans="1:16" s="48" customFormat="1">
      <c r="A67" s="49" t="s">
        <v>279</v>
      </c>
      <c r="B67" s="73">
        <f t="shared" ref="B67:H67" si="95">B48*1000000/((B49*B51))</f>
        <v>0</v>
      </c>
      <c r="C67" s="73">
        <f t="shared" si="95"/>
        <v>6687.0758069868607</v>
      </c>
      <c r="D67" s="73">
        <f t="shared" si="95"/>
        <v>8736.0663347928094</v>
      </c>
      <c r="E67" s="73">
        <f t="shared" si="95"/>
        <v>9764.8445017343638</v>
      </c>
      <c r="F67" s="73">
        <f t="shared" si="95"/>
        <v>11989.460745169101</v>
      </c>
      <c r="G67" s="73">
        <f t="shared" si="95"/>
        <v>10235.164824198335</v>
      </c>
      <c r="H67" s="73">
        <f t="shared" si="95"/>
        <v>11646.322723609994</v>
      </c>
      <c r="I67" s="165">
        <f>H67*(1+I68)</f>
        <v>13160.344677679292</v>
      </c>
      <c r="J67" s="165">
        <f t="shared" ref="J67:N67" si="96">I67*(1+J68)</f>
        <v>15134.396379331185</v>
      </c>
      <c r="K67" s="165">
        <f t="shared" si="96"/>
        <v>15891.116198297745</v>
      </c>
      <c r="L67" s="165">
        <f t="shared" si="96"/>
        <v>16685.672008212634</v>
      </c>
      <c r="M67" s="165">
        <f t="shared" si="96"/>
        <v>17519.955608623266</v>
      </c>
      <c r="N67" s="165">
        <f t="shared" si="96"/>
        <v>18395.95338905443</v>
      </c>
      <c r="O67" s="165"/>
    </row>
    <row r="68" spans="1:16" s="48" customFormat="1">
      <c r="A68" s="49" t="s">
        <v>205</v>
      </c>
      <c r="D68" s="52">
        <f>D67/C67-1</f>
        <v>0.30641054280633417</v>
      </c>
      <c r="E68" s="52">
        <f>E67/D67-1</f>
        <v>0.1177621743603614</v>
      </c>
      <c r="F68" s="52">
        <f>F67/E67-1</f>
        <v>0.2278189113036686</v>
      </c>
      <c r="G68" s="52">
        <f>G67/F67-1</f>
        <v>-0.14631983525010683</v>
      </c>
      <c r="H68" s="52">
        <f>H67/G67-1</f>
        <v>0.13787349042736952</v>
      </c>
      <c r="I68" s="241">
        <v>0.13</v>
      </c>
      <c r="J68" s="241">
        <v>0.15</v>
      </c>
      <c r="K68" s="241">
        <v>0.05</v>
      </c>
      <c r="L68" s="241">
        <v>0.05</v>
      </c>
      <c r="M68" s="241">
        <v>0.05</v>
      </c>
      <c r="N68" s="241">
        <v>0.05</v>
      </c>
      <c r="O68" s="60">
        <f>((G67/C67)^(1/4))-1</f>
        <v>0.11228133270860607</v>
      </c>
      <c r="P68" s="48" t="str">
        <f>"Start from "&amp;ROUND(H68*100,0)&amp;"%"</f>
        <v>Start from 14%</v>
      </c>
    </row>
    <row r="69" spans="1:16" s="48" customFormat="1">
      <c r="A69" s="49" t="s">
        <v>277</v>
      </c>
      <c r="G69" s="73">
        <f>1200*12</f>
        <v>14400</v>
      </c>
      <c r="H69" s="73">
        <f>1200*12</f>
        <v>14400</v>
      </c>
      <c r="I69" s="165">
        <f>H69</f>
        <v>14400</v>
      </c>
      <c r="J69" s="165">
        <f t="shared" ref="J69:N69" si="97">I69</f>
        <v>14400</v>
      </c>
      <c r="K69" s="165">
        <f t="shared" si="97"/>
        <v>14400</v>
      </c>
      <c r="L69" s="165">
        <f t="shared" si="97"/>
        <v>14400</v>
      </c>
      <c r="M69" s="165">
        <f t="shared" si="97"/>
        <v>14400</v>
      </c>
      <c r="N69" s="165">
        <f t="shared" si="97"/>
        <v>14400</v>
      </c>
      <c r="O69" s="165"/>
      <c r="P69" s="48" t="s">
        <v>433</v>
      </c>
    </row>
    <row r="70" spans="1:16" s="48" customFormat="1">
      <c r="A70" s="49" t="s">
        <v>275</v>
      </c>
      <c r="G70" s="52">
        <f t="shared" ref="G70:K70" si="98">G67/G69</f>
        <v>0.71077533501377321</v>
      </c>
      <c r="H70" s="52">
        <f t="shared" si="98"/>
        <v>0.80877241136180511</v>
      </c>
      <c r="I70" s="60">
        <f t="shared" si="98"/>
        <v>0.91391282483883973</v>
      </c>
      <c r="J70" s="60">
        <f t="shared" si="98"/>
        <v>1.0509997485646656</v>
      </c>
      <c r="K70" s="60">
        <f t="shared" si="98"/>
        <v>1.103549735992899</v>
      </c>
      <c r="L70" s="60">
        <f t="shared" ref="L70:N70" si="99">L67/L69</f>
        <v>1.158727222792544</v>
      </c>
      <c r="M70" s="60">
        <f t="shared" si="99"/>
        <v>1.2166635839321713</v>
      </c>
      <c r="N70" s="60">
        <f t="shared" si="99"/>
        <v>1.2774967631287799</v>
      </c>
      <c r="O70" s="60"/>
    </row>
    <row r="71" spans="1:16" s="48" customFormat="1">
      <c r="A71" s="49"/>
      <c r="G71" s="52"/>
      <c r="H71" s="52"/>
      <c r="I71" s="60"/>
      <c r="J71" s="60"/>
      <c r="K71" s="60"/>
      <c r="L71" s="60"/>
      <c r="M71" s="60"/>
      <c r="N71" s="60"/>
      <c r="O71" s="60"/>
    </row>
    <row r="72" spans="1:16" s="1" customFormat="1" ht="15.75" customHeight="1">
      <c r="A72" s="3" t="s">
        <v>190</v>
      </c>
      <c r="B72" s="6"/>
      <c r="C72" s="6"/>
      <c r="D72" s="6"/>
      <c r="E72" s="6"/>
      <c r="F72" s="6"/>
      <c r="G72" s="6"/>
      <c r="H72" s="6"/>
      <c r="I72" s="6"/>
      <c r="J72" s="6"/>
      <c r="K72" s="6"/>
      <c r="L72" s="6"/>
      <c r="M72" s="6"/>
      <c r="N72" s="6"/>
      <c r="O72" s="6"/>
    </row>
    <row r="73" spans="1:16">
      <c r="A73" s="1" t="s">
        <v>186</v>
      </c>
      <c r="B73" s="50">
        <f t="shared" ref="B73:K73" si="100">B74+B75+B76+B77</f>
        <v>20.055</v>
      </c>
      <c r="C73" s="50">
        <f t="shared" si="100"/>
        <v>14.481999999999999</v>
      </c>
      <c r="D73" s="50">
        <f t="shared" si="100"/>
        <v>15.962999999999999</v>
      </c>
      <c r="E73" s="50">
        <f t="shared" si="100"/>
        <v>27.786999999999999</v>
      </c>
      <c r="F73" s="50">
        <f t="shared" si="100"/>
        <v>192.38200000000001</v>
      </c>
      <c r="G73" s="50">
        <f t="shared" si="100"/>
        <v>41.721000000000004</v>
      </c>
      <c r="H73" s="50">
        <f t="shared" si="100"/>
        <v>52.432000000000002</v>
      </c>
      <c r="I73" s="63">
        <f t="shared" si="100"/>
        <v>46.10602810077517</v>
      </c>
      <c r="J73" s="63">
        <f t="shared" si="100"/>
        <v>47.153278855218268</v>
      </c>
      <c r="K73" s="63">
        <f t="shared" si="100"/>
        <v>48.246702002420243</v>
      </c>
      <c r="L73" s="63">
        <f t="shared" ref="L73:N73" si="101">L74+L75+L76+L77</f>
        <v>49.388333243806009</v>
      </c>
      <c r="M73" s="63">
        <f t="shared" si="101"/>
        <v>50.580298033140529</v>
      </c>
      <c r="N73" s="63">
        <f t="shared" si="101"/>
        <v>51.824815533632595</v>
      </c>
      <c r="O73" s="63"/>
    </row>
    <row r="74" spans="1:16">
      <c r="A74" s="1" t="s">
        <v>175</v>
      </c>
      <c r="B74" s="50">
        <v>0.94399999999999995</v>
      </c>
      <c r="C74" s="50">
        <v>0.63100000000000001</v>
      </c>
      <c r="D74" s="50">
        <v>0.14499999999999999</v>
      </c>
      <c r="E74" s="50">
        <v>0.69</v>
      </c>
      <c r="F74" s="50">
        <v>0.221</v>
      </c>
      <c r="G74" s="50">
        <v>0.49199999999999999</v>
      </c>
      <c r="H74" s="50">
        <v>1.78</v>
      </c>
      <c r="I74" s="63">
        <f>H74</f>
        <v>1.78</v>
      </c>
      <c r="J74" s="63">
        <f t="shared" ref="J74:N74" si="102">I74</f>
        <v>1.78</v>
      </c>
      <c r="K74" s="63">
        <f t="shared" si="102"/>
        <v>1.78</v>
      </c>
      <c r="L74" s="63">
        <f t="shared" si="102"/>
        <v>1.78</v>
      </c>
      <c r="M74" s="63">
        <f t="shared" si="102"/>
        <v>1.78</v>
      </c>
      <c r="N74" s="63">
        <f t="shared" si="102"/>
        <v>1.78</v>
      </c>
      <c r="O74" s="63"/>
    </row>
    <row r="75" spans="1:16">
      <c r="A75" s="129" t="s">
        <v>227</v>
      </c>
      <c r="B75">
        <v>5</v>
      </c>
      <c r="C75">
        <v>5</v>
      </c>
      <c r="D75">
        <v>0</v>
      </c>
      <c r="E75" s="50">
        <v>0</v>
      </c>
      <c r="F75" s="50">
        <v>176</v>
      </c>
      <c r="G75" s="50">
        <f t="shared" ref="G75:K75" si="103">G124</f>
        <v>23</v>
      </c>
      <c r="H75" s="50">
        <f t="shared" si="103"/>
        <v>22.75</v>
      </c>
      <c r="I75" s="63">
        <f t="shared" si="103"/>
        <v>23.753028100775168</v>
      </c>
      <c r="J75" s="63">
        <f t="shared" si="103"/>
        <v>24.800278855218266</v>
      </c>
      <c r="K75" s="63">
        <f t="shared" si="103"/>
        <v>25.893702002420241</v>
      </c>
      <c r="L75" s="63">
        <f t="shared" ref="L75:N75" si="104">L124</f>
        <v>27.035333243806008</v>
      </c>
      <c r="M75" s="63">
        <f t="shared" si="104"/>
        <v>28.227298033140528</v>
      </c>
      <c r="N75" s="63">
        <f t="shared" si="104"/>
        <v>29.471815533632594</v>
      </c>
      <c r="O75" s="63"/>
    </row>
    <row r="76" spans="1:16">
      <c r="A76" s="1" t="s">
        <v>412</v>
      </c>
      <c r="B76" s="50">
        <v>1.2849999999999999</v>
      </c>
      <c r="C76" s="50">
        <v>3.7509999999999999</v>
      </c>
      <c r="D76" s="50">
        <v>-0.35299999999999998</v>
      </c>
      <c r="E76" s="50">
        <v>12.573</v>
      </c>
      <c r="F76" s="50">
        <v>1.859</v>
      </c>
      <c r="G76" s="50">
        <v>4.6189999999999998</v>
      </c>
      <c r="H76" s="50">
        <v>7.3289999999999997</v>
      </c>
      <c r="I76" s="242">
        <v>0</v>
      </c>
      <c r="J76" s="242">
        <v>0</v>
      </c>
      <c r="K76" s="242">
        <v>0</v>
      </c>
      <c r="L76" s="242">
        <v>0</v>
      </c>
      <c r="M76" s="242">
        <v>0</v>
      </c>
      <c r="N76" s="242">
        <v>0</v>
      </c>
      <c r="O76" s="57"/>
    </row>
    <row r="77" spans="1:16">
      <c r="A77" s="1" t="s">
        <v>176</v>
      </c>
      <c r="B77" s="50">
        <v>12.826000000000001</v>
      </c>
      <c r="C77" s="50">
        <v>5.0999999999999996</v>
      </c>
      <c r="D77" s="50">
        <v>16.170999999999999</v>
      </c>
      <c r="E77" s="50">
        <f>13.652+0.872</f>
        <v>14.523999999999999</v>
      </c>
      <c r="F77" s="50">
        <v>14.302</v>
      </c>
      <c r="G77" s="50">
        <v>13.61</v>
      </c>
      <c r="H77" s="50">
        <v>20.573</v>
      </c>
      <c r="I77" s="63">
        <f>H77</f>
        <v>20.573</v>
      </c>
      <c r="J77" s="63">
        <f t="shared" ref="J77:N77" si="105">I77</f>
        <v>20.573</v>
      </c>
      <c r="K77" s="63">
        <f t="shared" si="105"/>
        <v>20.573</v>
      </c>
      <c r="L77" s="63">
        <f t="shared" si="105"/>
        <v>20.573</v>
      </c>
      <c r="M77" s="63">
        <f t="shared" si="105"/>
        <v>20.573</v>
      </c>
      <c r="N77" s="63">
        <f t="shared" si="105"/>
        <v>20.573</v>
      </c>
      <c r="O77" s="63"/>
    </row>
    <row r="78" spans="1:16">
      <c r="I78" s="57"/>
      <c r="J78" s="57"/>
      <c r="K78" s="57"/>
      <c r="L78" s="57"/>
      <c r="M78" s="57"/>
      <c r="N78" s="57"/>
      <c r="O78" s="57"/>
    </row>
    <row r="79" spans="1:16" s="1" customFormat="1" ht="15.75" customHeight="1">
      <c r="A79" s="3" t="s">
        <v>189</v>
      </c>
      <c r="B79" s="6"/>
      <c r="C79" s="6"/>
      <c r="D79" s="6"/>
      <c r="E79" s="6"/>
      <c r="F79" s="6"/>
      <c r="G79" s="6"/>
      <c r="H79" s="6"/>
      <c r="I79" s="6"/>
      <c r="J79" s="6"/>
      <c r="K79" s="6"/>
      <c r="L79" s="6"/>
      <c r="M79" s="6"/>
      <c r="N79" s="6"/>
      <c r="O79" s="6"/>
    </row>
    <row r="80" spans="1:16">
      <c r="A80" t="s">
        <v>8</v>
      </c>
      <c r="B80" s="15">
        <v>403.21662300000003</v>
      </c>
      <c r="C80" s="15">
        <v>430.11573399999997</v>
      </c>
      <c r="D80" s="15">
        <v>492.34699999999998</v>
      </c>
      <c r="E80" s="15">
        <v>636.65300000000002</v>
      </c>
      <c r="F80" s="15">
        <v>747.30700000000002</v>
      </c>
      <c r="G80" s="15">
        <v>805.23299999999995</v>
      </c>
      <c r="H80" s="15">
        <v>843.81100000000004</v>
      </c>
      <c r="I80" s="107">
        <f t="shared" ref="I80:K80" si="106">I6*I81</f>
        <v>1206.7135470421731</v>
      </c>
      <c r="J80" s="107">
        <f t="shared" si="106"/>
        <v>1522.7039042823876</v>
      </c>
      <c r="K80" s="107">
        <f t="shared" si="106"/>
        <v>1728.5261140933571</v>
      </c>
      <c r="L80" s="107">
        <f t="shared" ref="L80:N80" si="107">L6*L81</f>
        <v>1978.9404481852682</v>
      </c>
      <c r="M80" s="107">
        <f t="shared" si="107"/>
        <v>2074.0887792092926</v>
      </c>
      <c r="N80" s="107">
        <f t="shared" si="107"/>
        <v>2292.1047274469556</v>
      </c>
      <c r="O80" s="107"/>
    </row>
    <row r="81" spans="1:16" s="48" customFormat="1">
      <c r="A81" s="47" t="s">
        <v>181</v>
      </c>
      <c r="B81" s="52">
        <f>B80/'IS &amp; BS'!B4</f>
        <v>4.2134406158156064E-2</v>
      </c>
      <c r="C81" s="52">
        <f>C80/'IS &amp; BS'!C4</f>
        <v>4.1733768196744889E-2</v>
      </c>
      <c r="D81" s="52">
        <f>D80/'IS &amp; BS'!D4</f>
        <v>4.3468511880156047E-2</v>
      </c>
      <c r="E81" s="52">
        <f>E80/'IS &amp; BS'!E4</f>
        <v>5.561812486251691E-2</v>
      </c>
      <c r="F81" s="52">
        <f>F80/'IS &amp; BS'!F4</f>
        <v>5.1798348623395357E-2</v>
      </c>
      <c r="G81" s="52">
        <f>G80/'IS &amp; BS'!G4</f>
        <v>6.2853713275171835E-2</v>
      </c>
      <c r="H81" s="52">
        <f>H80/'IS &amp; BS'!H4</f>
        <v>5.7520534624517762E-2</v>
      </c>
      <c r="I81" s="60">
        <f>H81</f>
        <v>5.7520534624517762E-2</v>
      </c>
      <c r="J81" s="60">
        <f t="shared" ref="J81:N81" si="108">I81</f>
        <v>5.7520534624517762E-2</v>
      </c>
      <c r="K81" s="60">
        <f t="shared" si="108"/>
        <v>5.7520534624517762E-2</v>
      </c>
      <c r="L81" s="60">
        <f t="shared" si="108"/>
        <v>5.7520534624517762E-2</v>
      </c>
      <c r="M81" s="60">
        <f t="shared" si="108"/>
        <v>5.7520534624517762E-2</v>
      </c>
      <c r="N81" s="60">
        <f t="shared" si="108"/>
        <v>5.7520534624517762E-2</v>
      </c>
      <c r="O81" s="60"/>
      <c r="P81" s="48" t="str">
        <f>"Constant at "&amp;ROUND(H81*100,0)&amp;"%"</f>
        <v>Constant at 6%</v>
      </c>
    </row>
    <row r="82" spans="1:16">
      <c r="A82" s="1"/>
      <c r="I82" s="57"/>
      <c r="J82" s="57"/>
      <c r="K82" s="57"/>
      <c r="L82" s="57"/>
      <c r="M82" s="57"/>
      <c r="N82" s="57"/>
      <c r="O82" s="57"/>
    </row>
    <row r="83" spans="1:16" s="1" customFormat="1" ht="15.75" customHeight="1">
      <c r="A83" s="3" t="s">
        <v>188</v>
      </c>
      <c r="B83" s="6"/>
      <c r="C83" s="6"/>
      <c r="D83" s="6"/>
      <c r="E83" s="6"/>
      <c r="F83" s="6"/>
      <c r="G83" s="6"/>
      <c r="H83" s="6"/>
      <c r="I83" s="6"/>
      <c r="J83" s="6"/>
      <c r="K83" s="6"/>
      <c r="L83" s="6"/>
      <c r="M83" s="6"/>
      <c r="N83" s="6"/>
      <c r="O83" s="6"/>
    </row>
    <row r="84" spans="1:16">
      <c r="A84" s="1" t="s">
        <v>187</v>
      </c>
      <c r="B84" s="15">
        <v>259.70401299999997</v>
      </c>
      <c r="C84" s="15">
        <v>275.04830399999997</v>
      </c>
      <c r="D84" s="15">
        <v>298.17599999999999</v>
      </c>
      <c r="E84" s="15">
        <v>342.77600000000001</v>
      </c>
      <c r="F84" s="15">
        <v>398.55399999999997</v>
      </c>
      <c r="G84" s="15">
        <v>404.30900000000003</v>
      </c>
      <c r="H84" s="15">
        <v>442.37099999999998</v>
      </c>
      <c r="I84" s="107">
        <f t="shared" ref="I84:K84" si="109">I85+I87+I88</f>
        <v>465.1101159697543</v>
      </c>
      <c r="J84" s="107">
        <f t="shared" si="109"/>
        <v>496.44844204055329</v>
      </c>
      <c r="K84" s="107">
        <f t="shared" si="109"/>
        <v>539.16656338736323</v>
      </c>
      <c r="L84" s="107">
        <f t="shared" ref="L84:N84" si="110">L85+L87+L88</f>
        <v>596.85329842858039</v>
      </c>
      <c r="M84" s="107">
        <f t="shared" si="110"/>
        <v>674.52458033194557</v>
      </c>
      <c r="N84" s="107">
        <f t="shared" si="110"/>
        <v>779.23918974885203</v>
      </c>
      <c r="O84" s="107"/>
    </row>
    <row r="85" spans="1:16">
      <c r="A85" s="1" t="s">
        <v>289</v>
      </c>
      <c r="B85" s="15">
        <f t="shared" ref="B85:H85" si="111">B84-B87</f>
        <v>142.10659299999998</v>
      </c>
      <c r="C85" s="15">
        <f t="shared" si="111"/>
        <v>129.43853199999998</v>
      </c>
      <c r="D85" s="15">
        <f t="shared" si="111"/>
        <v>134.28199999999998</v>
      </c>
      <c r="E85" s="15">
        <f t="shared" si="111"/>
        <v>163.91200000000001</v>
      </c>
      <c r="F85" s="15">
        <f t="shared" si="111"/>
        <v>206.80799999999996</v>
      </c>
      <c r="G85" s="15">
        <f t="shared" si="111"/>
        <v>173.93200000000002</v>
      </c>
      <c r="H85" s="15">
        <f t="shared" si="111"/>
        <v>217.41599999999997</v>
      </c>
      <c r="I85" s="107">
        <f>H85*(1+I86)</f>
        <v>245.68007999999995</v>
      </c>
      <c r="J85" s="107">
        <f t="shared" ref="J85:N85" si="112">I85*(1+J86)</f>
        <v>282.53209199999992</v>
      </c>
      <c r="K85" s="107">
        <f t="shared" si="112"/>
        <v>330.56254763999988</v>
      </c>
      <c r="L85" s="107">
        <f t="shared" si="112"/>
        <v>393.36943169159986</v>
      </c>
      <c r="M85" s="107">
        <f t="shared" si="112"/>
        <v>475.97701234683581</v>
      </c>
      <c r="N85" s="107">
        <f t="shared" si="112"/>
        <v>585.45172518660809</v>
      </c>
      <c r="O85" s="107"/>
    </row>
    <row r="86" spans="1:16" s="48" customFormat="1">
      <c r="A86" s="47" t="s">
        <v>205</v>
      </c>
      <c r="C86" s="52">
        <f t="shared" ref="C86:H86" si="113">IFERROR(C85/B85-1,"NA")</f>
        <v>-8.9144780214384545E-2</v>
      </c>
      <c r="D86" s="52">
        <f t="shared" si="113"/>
        <v>3.7419058491794388E-2</v>
      </c>
      <c r="E86" s="52">
        <f t="shared" si="113"/>
        <v>0.22065503939470688</v>
      </c>
      <c r="F86" s="52">
        <f t="shared" si="113"/>
        <v>0.26170140075162251</v>
      </c>
      <c r="G86" s="52">
        <f t="shared" si="113"/>
        <v>-0.15896870527252305</v>
      </c>
      <c r="H86" s="52">
        <f t="shared" si="113"/>
        <v>0.2500057493733181</v>
      </c>
      <c r="I86" s="239">
        <v>0.13</v>
      </c>
      <c r="J86" s="126">
        <f>I86+0.02</f>
        <v>0.15</v>
      </c>
      <c r="K86" s="126">
        <f>J86+0.02</f>
        <v>0.16999999999999998</v>
      </c>
      <c r="L86" s="126">
        <f>K86+0.02</f>
        <v>0.18999999999999997</v>
      </c>
      <c r="M86" s="126">
        <f>L86+0.02</f>
        <v>0.20999999999999996</v>
      </c>
      <c r="N86" s="126">
        <f>M86+0.02</f>
        <v>0.22999999999999995</v>
      </c>
      <c r="O86" s="126">
        <f>((G85/D85)^(1/3))-1</f>
        <v>9.0068767819557527E-2</v>
      </c>
      <c r="P86" s="48" t="str">
        <f>"Increases 2% starting from "&amp;ROUND(H86*100,0)&amp;"%"</f>
        <v>Increases 2% starting from 25%</v>
      </c>
    </row>
    <row r="87" spans="1:16">
      <c r="A87" s="1" t="s">
        <v>201</v>
      </c>
      <c r="B87" s="105">
        <f t="shared" ref="B87:K87" si="114">+B111</f>
        <v>117.59742</v>
      </c>
      <c r="C87" s="105">
        <f t="shared" si="114"/>
        <v>145.60977199999999</v>
      </c>
      <c r="D87" s="105">
        <f t="shared" si="114"/>
        <v>163.89400000000001</v>
      </c>
      <c r="E87" s="105">
        <f t="shared" si="114"/>
        <v>178.864</v>
      </c>
      <c r="F87" s="105">
        <f t="shared" si="114"/>
        <v>191.74600000000001</v>
      </c>
      <c r="G87" s="105">
        <f t="shared" si="114"/>
        <v>230.37700000000001</v>
      </c>
      <c r="H87" s="105">
        <f t="shared" si="114"/>
        <v>224.95500000000001</v>
      </c>
      <c r="I87" s="107">
        <f t="shared" si="114"/>
        <v>217.2463666043848</v>
      </c>
      <c r="J87" s="107">
        <f t="shared" si="114"/>
        <v>211.77657136970279</v>
      </c>
      <c r="K87" s="107">
        <f t="shared" si="114"/>
        <v>206.49763939665604</v>
      </c>
      <c r="L87" s="107">
        <f t="shared" ref="L87:N87" si="115">+L111</f>
        <v>201.40291069468194</v>
      </c>
      <c r="M87" s="107">
        <f t="shared" si="115"/>
        <v>196.48595766720473</v>
      </c>
      <c r="N87" s="107">
        <f t="shared" si="115"/>
        <v>191.74057700246991</v>
      </c>
      <c r="O87" s="107"/>
    </row>
    <row r="88" spans="1:16">
      <c r="A88" s="1" t="s">
        <v>206</v>
      </c>
      <c r="B88" s="105">
        <f>B131</f>
        <v>0</v>
      </c>
      <c r="C88" s="105">
        <f t="shared" ref="C88:K88" si="116">C131</f>
        <v>0</v>
      </c>
      <c r="D88" s="105">
        <f t="shared" si="116"/>
        <v>0</v>
      </c>
      <c r="E88" s="105">
        <f t="shared" si="116"/>
        <v>0.252</v>
      </c>
      <c r="F88" s="105">
        <f t="shared" si="116"/>
        <v>3.03</v>
      </c>
      <c r="G88" s="105">
        <f t="shared" si="116"/>
        <v>6.1820000000000004</v>
      </c>
      <c r="H88" s="105">
        <f t="shared" si="116"/>
        <v>2.7450000000000001</v>
      </c>
      <c r="I88" s="107">
        <f t="shared" si="116"/>
        <v>2.1836693653695485</v>
      </c>
      <c r="J88" s="107">
        <f t="shared" si="116"/>
        <v>2.1397786708505784</v>
      </c>
      <c r="K88" s="107">
        <f t="shared" si="116"/>
        <v>2.1063763507073872</v>
      </c>
      <c r="L88" s="107">
        <f t="shared" ref="L88:N88" si="117">L131</f>
        <v>2.0809560422985962</v>
      </c>
      <c r="M88" s="107">
        <f t="shared" si="117"/>
        <v>2.0616103179049645</v>
      </c>
      <c r="N88" s="107">
        <f t="shared" si="117"/>
        <v>2.0468875597741096</v>
      </c>
      <c r="O88" s="107"/>
    </row>
    <row r="89" spans="1:16">
      <c r="I89" s="57"/>
      <c r="J89" s="57"/>
      <c r="K89" s="57"/>
      <c r="L89" s="57"/>
      <c r="M89" s="57"/>
      <c r="N89" s="57"/>
      <c r="O89" s="57"/>
    </row>
    <row r="90" spans="1:16" s="1" customFormat="1" ht="15.75" customHeight="1">
      <c r="A90" s="3" t="s">
        <v>191</v>
      </c>
      <c r="B90" s="6"/>
      <c r="C90" s="6"/>
      <c r="D90" s="6"/>
      <c r="E90" s="6"/>
      <c r="F90" s="6"/>
      <c r="G90" s="6"/>
      <c r="H90" s="6"/>
      <c r="I90" s="6"/>
      <c r="J90" s="6"/>
      <c r="K90" s="6"/>
      <c r="L90" s="6"/>
      <c r="M90" s="6"/>
      <c r="N90" s="6"/>
      <c r="O90" s="6"/>
    </row>
    <row r="91" spans="1:16">
      <c r="A91" t="s">
        <v>191</v>
      </c>
      <c r="B91" s="15">
        <f t="shared" ref="B91:H91" si="118">B96-B92</f>
        <v>226.755191</v>
      </c>
      <c r="C91" s="15">
        <f t="shared" si="118"/>
        <v>248.94845700000002</v>
      </c>
      <c r="D91" s="15">
        <f t="shared" si="118"/>
        <v>336.35400000000004</v>
      </c>
      <c r="E91" s="15">
        <f t="shared" si="118"/>
        <v>284.44900000000001</v>
      </c>
      <c r="F91" s="15">
        <f t="shared" si="118"/>
        <v>387.71999999999997</v>
      </c>
      <c r="G91" s="15">
        <f t="shared" si="118"/>
        <v>251.702</v>
      </c>
      <c r="H91" s="15">
        <f t="shared" si="118"/>
        <v>219.02500000000001</v>
      </c>
      <c r="I91" s="63">
        <f t="shared" ref="I91:K91" si="119">I96+I94-I92</f>
        <v>474.72971411030346</v>
      </c>
      <c r="J91" s="63">
        <f t="shared" si="119"/>
        <v>525.76746688450362</v>
      </c>
      <c r="K91" s="63">
        <f t="shared" si="119"/>
        <v>578.22788771973171</v>
      </c>
      <c r="L91" s="63">
        <f t="shared" ref="L91:N91" si="120">L96+L94-L92</f>
        <v>614.47063905249354</v>
      </c>
      <c r="M91" s="63">
        <f t="shared" si="120"/>
        <v>619.60063905249353</v>
      </c>
      <c r="N91" s="63">
        <f t="shared" si="120"/>
        <v>624.73063905249353</v>
      </c>
      <c r="O91" s="63"/>
    </row>
    <row r="92" spans="1:16">
      <c r="A92" t="s">
        <v>2865</v>
      </c>
      <c r="B92" s="50">
        <v>16.593492000000001</v>
      </c>
      <c r="C92" s="50">
        <v>13.635562999999999</v>
      </c>
      <c r="D92" s="50">
        <v>25.477</v>
      </c>
      <c r="E92" s="50">
        <v>29.669</v>
      </c>
      <c r="F92" s="50">
        <v>11.576000000000001</v>
      </c>
      <c r="G92" s="71">
        <v>98.408000000000001</v>
      </c>
      <c r="H92" s="71">
        <v>126.61199999999999</v>
      </c>
      <c r="I92" s="63">
        <f t="shared" ref="I92:K92" si="121">I93*I207</f>
        <v>0</v>
      </c>
      <c r="J92" s="63">
        <f t="shared" si="121"/>
        <v>0</v>
      </c>
      <c r="K92" s="63">
        <f t="shared" si="121"/>
        <v>0</v>
      </c>
      <c r="L92" s="63">
        <f t="shared" ref="L92:N92" si="122">L93*L207</f>
        <v>0</v>
      </c>
      <c r="M92" s="63">
        <f t="shared" si="122"/>
        <v>0</v>
      </c>
      <c r="N92" s="63">
        <f t="shared" si="122"/>
        <v>0</v>
      </c>
      <c r="O92" s="63"/>
    </row>
    <row r="93" spans="1:16" s="48" customFormat="1">
      <c r="A93" s="49" t="s">
        <v>192</v>
      </c>
      <c r="B93" s="15"/>
      <c r="C93" s="52">
        <f t="shared" ref="C93:H93" si="123">C92/((C207+B207)/2)</f>
        <v>4.1366516592350015E-2</v>
      </c>
      <c r="D93" s="52">
        <f t="shared" si="123"/>
        <v>3.426626599367659E-2</v>
      </c>
      <c r="E93" s="52">
        <f t="shared" si="123"/>
        <v>3.7520977424686776E-2</v>
      </c>
      <c r="F93" s="52">
        <f t="shared" si="123"/>
        <v>1.6460051032414613E-2</v>
      </c>
      <c r="G93" s="52">
        <f t="shared" si="123"/>
        <v>0.12551136302039456</v>
      </c>
      <c r="H93" s="52">
        <f t="shared" si="123"/>
        <v>0.30216110629168191</v>
      </c>
      <c r="I93" s="126">
        <f t="shared" ref="I93:K93" si="124">I97-2%</f>
        <v>0.13</v>
      </c>
      <c r="J93" s="126">
        <f t="shared" si="124"/>
        <v>0.13</v>
      </c>
      <c r="K93" s="126">
        <f t="shared" si="124"/>
        <v>0.13</v>
      </c>
      <c r="L93" s="126">
        <f t="shared" ref="L93:N93" si="125">L97-2%</f>
        <v>0.13</v>
      </c>
      <c r="M93" s="126">
        <f t="shared" si="125"/>
        <v>0.13</v>
      </c>
      <c r="N93" s="126">
        <f t="shared" si="125"/>
        <v>0.13</v>
      </c>
      <c r="O93" s="126"/>
    </row>
    <row r="94" spans="1:16">
      <c r="A94" t="s">
        <v>2866</v>
      </c>
      <c r="B94" s="50">
        <f>B201*B95</f>
        <v>0</v>
      </c>
      <c r="C94" s="50">
        <f t="shared" ref="C94:K94" si="126">C201*C95</f>
        <v>0</v>
      </c>
      <c r="D94" s="50">
        <f t="shared" si="126"/>
        <v>0</v>
      </c>
      <c r="E94" s="50">
        <f t="shared" si="126"/>
        <v>0</v>
      </c>
      <c r="F94" s="50">
        <f t="shared" si="126"/>
        <v>0</v>
      </c>
      <c r="G94" s="71">
        <f t="shared" si="126"/>
        <v>54.753259499999999</v>
      </c>
      <c r="H94" s="71">
        <f t="shared" si="126"/>
        <v>20.661177599999998</v>
      </c>
      <c r="I94" s="63">
        <f t="shared" si="126"/>
        <v>25.791177600000001</v>
      </c>
      <c r="J94" s="63">
        <f t="shared" si="126"/>
        <v>30.921177599999996</v>
      </c>
      <c r="K94" s="63">
        <f t="shared" si="126"/>
        <v>36.051177599999995</v>
      </c>
      <c r="L94" s="63">
        <f t="shared" ref="L94:N94" si="127">L201*L95</f>
        <v>41.181177599999998</v>
      </c>
      <c r="M94" s="63">
        <f t="shared" si="127"/>
        <v>46.311177599999994</v>
      </c>
      <c r="N94" s="63">
        <f t="shared" si="127"/>
        <v>51.441177599999996</v>
      </c>
      <c r="O94" s="63"/>
    </row>
    <row r="95" spans="1:16" s="48" customFormat="1">
      <c r="A95" s="49" t="s">
        <v>2867</v>
      </c>
      <c r="B95" s="15"/>
      <c r="C95" s="52"/>
      <c r="D95" s="52"/>
      <c r="E95" s="52"/>
      <c r="F95" s="52"/>
      <c r="G95" s="52">
        <f>1.13%+4%</f>
        <v>5.1299999999999998E-2</v>
      </c>
      <c r="H95" s="52">
        <f>1.13%+4%</f>
        <v>5.1299999999999998E-2</v>
      </c>
      <c r="I95" s="126">
        <f>H95</f>
        <v>5.1299999999999998E-2</v>
      </c>
      <c r="J95" s="126">
        <f t="shared" ref="J95:N95" si="128">I95</f>
        <v>5.1299999999999998E-2</v>
      </c>
      <c r="K95" s="126">
        <f t="shared" si="128"/>
        <v>5.1299999999999998E-2</v>
      </c>
      <c r="L95" s="126">
        <f t="shared" si="128"/>
        <v>5.1299999999999998E-2</v>
      </c>
      <c r="M95" s="126">
        <f t="shared" si="128"/>
        <v>5.1299999999999998E-2</v>
      </c>
      <c r="N95" s="126">
        <f t="shared" si="128"/>
        <v>5.1299999999999998E-2</v>
      </c>
      <c r="O95" s="126"/>
      <c r="P95" s="48" t="str">
        <f>"Constant at "&amp;ROUND(H95*100,0)&amp;"%"</f>
        <v>Constant at 5%</v>
      </c>
    </row>
    <row r="96" spans="1:16">
      <c r="A96" t="s">
        <v>193</v>
      </c>
      <c r="B96" s="15">
        <v>243.34868299999999</v>
      </c>
      <c r="C96" s="15">
        <v>262.58402000000001</v>
      </c>
      <c r="D96" s="15">
        <v>361.83100000000002</v>
      </c>
      <c r="E96" s="15">
        <v>314.11799999999999</v>
      </c>
      <c r="F96" s="15">
        <v>399.29599999999999</v>
      </c>
      <c r="G96" s="15">
        <v>350.11</v>
      </c>
      <c r="H96" s="15">
        <v>345.637</v>
      </c>
      <c r="I96" s="63">
        <f t="shared" ref="I96:K96" si="129">I187*I97</f>
        <v>448.93853651030344</v>
      </c>
      <c r="J96" s="63">
        <f t="shared" si="129"/>
        <v>494.84628928450365</v>
      </c>
      <c r="K96" s="63">
        <f t="shared" si="129"/>
        <v>542.17671011973175</v>
      </c>
      <c r="L96" s="63">
        <f t="shared" ref="L96:N96" si="130">L187*L97</f>
        <v>573.28946145249358</v>
      </c>
      <c r="M96" s="63">
        <f t="shared" si="130"/>
        <v>573.28946145249358</v>
      </c>
      <c r="N96" s="63">
        <f t="shared" si="130"/>
        <v>573.28946145249358</v>
      </c>
      <c r="O96" s="63"/>
    </row>
    <row r="97" spans="1:16">
      <c r="A97" s="49" t="s">
        <v>194</v>
      </c>
      <c r="C97" s="17">
        <f t="shared" ref="C97:H97" si="131">C96/((C190+C193+C195+B190+B193+B195)/2)</f>
        <v>0.10512367906150616</v>
      </c>
      <c r="D97" s="17">
        <f t="shared" si="131"/>
        <v>0.14105763339608346</v>
      </c>
      <c r="E97" s="17">
        <f t="shared" si="131"/>
        <v>0.1029262338726193</v>
      </c>
      <c r="F97" s="17">
        <f t="shared" si="131"/>
        <v>0.12114599862256865</v>
      </c>
      <c r="G97" s="17">
        <f t="shared" si="131"/>
        <v>0.11385578126786058</v>
      </c>
      <c r="H97" s="17">
        <f t="shared" si="131"/>
        <v>0.12701055551982951</v>
      </c>
      <c r="I97" s="241">
        <v>0.15</v>
      </c>
      <c r="J97" s="241">
        <v>0.15</v>
      </c>
      <c r="K97" s="241">
        <v>0.15</v>
      </c>
      <c r="L97" s="241">
        <v>0.15</v>
      </c>
      <c r="M97" s="241">
        <v>0.15</v>
      </c>
      <c r="N97" s="241">
        <v>0.15</v>
      </c>
      <c r="O97" s="128"/>
    </row>
    <row r="98" spans="1:16">
      <c r="I98" s="57"/>
      <c r="J98" s="57"/>
      <c r="K98" s="57"/>
      <c r="L98" s="57"/>
      <c r="M98" s="57"/>
      <c r="N98" s="57"/>
      <c r="O98" s="57"/>
    </row>
    <row r="99" spans="1:16" s="1" customFormat="1" ht="15.75" customHeight="1">
      <c r="A99" s="3" t="s">
        <v>290</v>
      </c>
      <c r="B99" s="6"/>
      <c r="C99" s="6"/>
      <c r="D99" s="6"/>
      <c r="E99" s="6"/>
      <c r="F99" s="6"/>
      <c r="G99" s="6"/>
      <c r="H99" s="6"/>
      <c r="I99" s="6"/>
      <c r="J99" s="6"/>
      <c r="K99" s="6"/>
      <c r="L99" s="6"/>
      <c r="M99" s="6"/>
      <c r="N99" s="6"/>
      <c r="O99" s="6"/>
    </row>
    <row r="100" spans="1:16">
      <c r="A100" t="s">
        <v>290</v>
      </c>
      <c r="B100" s="99">
        <f>-'IS &amp; BS'!B14</f>
        <v>162.95990800000001</v>
      </c>
      <c r="C100" s="99">
        <f>-'IS &amp; BS'!C14</f>
        <v>206.27527900000001</v>
      </c>
      <c r="D100" s="99">
        <f>-'IS &amp; BS'!D14</f>
        <v>162.954207</v>
      </c>
      <c r="E100" s="99">
        <f>-'IS &amp; BS'!E14</f>
        <v>176.41200000000001</v>
      </c>
      <c r="F100" s="99">
        <f>-'IS &amp; BS'!F14</f>
        <v>300.65100000000001</v>
      </c>
      <c r="G100" s="99">
        <f>-'IS &amp; BS'!G14</f>
        <v>426.39400000000001</v>
      </c>
      <c r="H100" s="99">
        <f>-'IS &amp; BS'!H14</f>
        <v>509.12599999999998</v>
      </c>
      <c r="I100" s="123">
        <f>'IS &amp; BS'!I13*I101</f>
        <v>346.05000267244861</v>
      </c>
      <c r="J100" s="123">
        <f>'IS &amp; BS'!J13*J101</f>
        <v>592.88768197529976</v>
      </c>
      <c r="K100" s="123">
        <f>'IS &amp; BS'!K13*K101</f>
        <v>717.33937863273911</v>
      </c>
      <c r="L100" s="123">
        <f>'IS &amp; BS'!L13*L101</f>
        <v>1035.898436860964</v>
      </c>
      <c r="M100" s="123">
        <f>'IS &amp; BS'!M13*M101</f>
        <v>1011.5899150550983</v>
      </c>
      <c r="N100" s="123">
        <f>'IS &amp; BS'!N13*N101</f>
        <v>795.6611252791954</v>
      </c>
      <c r="O100" s="123"/>
    </row>
    <row r="101" spans="1:16" s="48" customFormat="1">
      <c r="A101" s="49" t="s">
        <v>291</v>
      </c>
      <c r="B101" s="52">
        <f>B100/'IS &amp; BS'!B13</f>
        <v>0.36237461452673309</v>
      </c>
      <c r="C101" s="52">
        <f>C100/'IS &amp; BS'!C13</f>
        <v>0.26729003642209442</v>
      </c>
      <c r="D101" s="52">
        <f>D100/'IS &amp; BS'!D13</f>
        <v>0.21628082652362624</v>
      </c>
      <c r="E101" s="52">
        <f>E100/'IS &amp; BS'!E13</f>
        <v>0.25655262679512886</v>
      </c>
      <c r="F101" s="52">
        <f>F100/'IS &amp; BS'!F13</f>
        <v>0.23961257250517642</v>
      </c>
      <c r="G101" s="52">
        <f>G100/'IS &amp; BS'!G13</f>
        <v>0.25146760303888499</v>
      </c>
      <c r="H101" s="52">
        <f>H100/'IS &amp; BS'!H13</f>
        <v>0.28852809449138422</v>
      </c>
      <c r="I101" s="126">
        <f>H101</f>
        <v>0.28852809449138422</v>
      </c>
      <c r="J101" s="126">
        <f t="shared" ref="J101:N101" si="132">I101</f>
        <v>0.28852809449138422</v>
      </c>
      <c r="K101" s="126">
        <f t="shared" si="132"/>
        <v>0.28852809449138422</v>
      </c>
      <c r="L101" s="126">
        <f t="shared" si="132"/>
        <v>0.28852809449138422</v>
      </c>
      <c r="M101" s="126">
        <f t="shared" si="132"/>
        <v>0.28852809449138422</v>
      </c>
      <c r="N101" s="126">
        <f t="shared" si="132"/>
        <v>0.28852809449138422</v>
      </c>
      <c r="O101" s="132"/>
      <c r="P101" s="48" t="s">
        <v>437</v>
      </c>
    </row>
    <row r="102" spans="1:16">
      <c r="I102" s="57"/>
      <c r="J102" s="57"/>
      <c r="K102" s="57"/>
      <c r="L102" s="57"/>
      <c r="M102" s="57"/>
      <c r="N102" s="57"/>
      <c r="O102" s="57"/>
    </row>
    <row r="103" spans="1:16" s="1" customFormat="1" ht="15.75" customHeight="1">
      <c r="A103" s="3" t="s">
        <v>339</v>
      </c>
      <c r="B103" s="6"/>
      <c r="C103" s="6"/>
      <c r="D103" s="6"/>
      <c r="E103" s="6"/>
      <c r="F103" s="6"/>
      <c r="G103" s="6"/>
      <c r="H103" s="6"/>
      <c r="I103" s="6"/>
      <c r="J103" s="6"/>
      <c r="K103" s="6"/>
      <c r="L103" s="6"/>
      <c r="M103" s="6"/>
      <c r="N103" s="6"/>
      <c r="O103" s="6"/>
    </row>
    <row r="104" spans="1:16" s="1" customFormat="1" ht="15.75" customHeight="1">
      <c r="A104" s="3" t="s">
        <v>73</v>
      </c>
      <c r="B104" s="6"/>
      <c r="C104" s="6"/>
      <c r="D104" s="6"/>
      <c r="E104" s="6"/>
      <c r="F104" s="6"/>
      <c r="G104" s="6"/>
      <c r="H104" s="6"/>
      <c r="I104" s="6"/>
      <c r="J104" s="6"/>
      <c r="K104" s="6"/>
      <c r="L104" s="6"/>
      <c r="M104" s="6"/>
      <c r="N104" s="6"/>
      <c r="O104" s="6"/>
    </row>
    <row r="105" spans="1:16">
      <c r="A105" t="s">
        <v>203</v>
      </c>
      <c r="B105" s="15">
        <v>1943.59412</v>
      </c>
      <c r="C105" s="15">
        <v>3019.097025</v>
      </c>
      <c r="D105" s="15">
        <v>3104.4850000000001</v>
      </c>
      <c r="E105" s="15">
        <v>2949.2159999999999</v>
      </c>
      <c r="F105" s="15">
        <v>3535.21</v>
      </c>
      <c r="G105" s="15">
        <v>3466.4969999999998</v>
      </c>
      <c r="H105" s="15">
        <v>3347.7089999999998</v>
      </c>
      <c r="I105" s="107">
        <f t="shared" ref="I105:K105" si="133">I106+I107+I109-I110-I111</f>
        <v>3263.4209033956149</v>
      </c>
      <c r="J105" s="107">
        <f t="shared" si="133"/>
        <v>3182.0739591277807</v>
      </c>
      <c r="K105" s="107">
        <f t="shared" si="133"/>
        <v>3103.5655385049577</v>
      </c>
      <c r="L105" s="107">
        <f t="shared" ref="L105:N105" si="134">L106+L107+L109-L110-L111</f>
        <v>3027.7965939654246</v>
      </c>
      <c r="M105" s="107">
        <f t="shared" si="134"/>
        <v>2954.6715341171825</v>
      </c>
      <c r="N105" s="107">
        <f t="shared" si="134"/>
        <v>2884.0981031382285</v>
      </c>
      <c r="O105" s="107"/>
    </row>
    <row r="106" spans="1:16">
      <c r="A106" t="s">
        <v>197</v>
      </c>
      <c r="B106" s="15">
        <v>1854.6644610000001</v>
      </c>
      <c r="C106" s="15">
        <f t="shared" ref="C106:N106" si="135">B105</f>
        <v>1943.59412</v>
      </c>
      <c r="D106" s="15">
        <f t="shared" si="135"/>
        <v>3019.097025</v>
      </c>
      <c r="E106" s="15">
        <f t="shared" si="135"/>
        <v>3104.4850000000001</v>
      </c>
      <c r="F106" s="15">
        <f t="shared" si="135"/>
        <v>2949.2159999999999</v>
      </c>
      <c r="G106" s="15">
        <f t="shared" si="135"/>
        <v>3535.21</v>
      </c>
      <c r="H106" s="15">
        <f t="shared" si="135"/>
        <v>3466.4969999999998</v>
      </c>
      <c r="I106" s="107">
        <f>H105</f>
        <v>3347.7089999999998</v>
      </c>
      <c r="J106" s="107">
        <f t="shared" si="135"/>
        <v>3263.4209033956149</v>
      </c>
      <c r="K106" s="107">
        <f t="shared" si="135"/>
        <v>3182.0739591277807</v>
      </c>
      <c r="L106" s="107">
        <f t="shared" si="135"/>
        <v>3103.5655385049577</v>
      </c>
      <c r="M106" s="107">
        <f t="shared" si="135"/>
        <v>3027.7965939654246</v>
      </c>
      <c r="N106" s="107">
        <f t="shared" si="135"/>
        <v>2954.6715341171825</v>
      </c>
      <c r="O106" s="107"/>
    </row>
    <row r="107" spans="1:16">
      <c r="A107" t="s">
        <v>198</v>
      </c>
      <c r="B107" s="15">
        <v>109.356369</v>
      </c>
      <c r="C107" s="15">
        <v>105.868728</v>
      </c>
      <c r="D107" s="15">
        <v>204.982</v>
      </c>
      <c r="E107" s="15">
        <v>207.44900000000001</v>
      </c>
      <c r="F107" s="50">
        <v>127.205</v>
      </c>
      <c r="G107" s="50">
        <v>124.794</v>
      </c>
      <c r="H107" s="50">
        <v>79.942999999999998</v>
      </c>
      <c r="I107" s="107">
        <f t="shared" ref="I107:K107" si="136">I106*I108</f>
        <v>100.43127</v>
      </c>
      <c r="J107" s="107">
        <f t="shared" si="136"/>
        <v>97.902627101868447</v>
      </c>
      <c r="K107" s="107">
        <f t="shared" si="136"/>
        <v>95.462218773833413</v>
      </c>
      <c r="L107" s="107">
        <f t="shared" ref="L107:N107" si="137">L106*L108</f>
        <v>93.106966155148726</v>
      </c>
      <c r="M107" s="107">
        <f t="shared" si="137"/>
        <v>90.83389781896274</v>
      </c>
      <c r="N107" s="107">
        <f t="shared" si="137"/>
        <v>88.64014602351547</v>
      </c>
      <c r="O107" s="107"/>
    </row>
    <row r="108" spans="1:16" s="48" customFormat="1">
      <c r="A108" s="49" t="s">
        <v>228</v>
      </c>
      <c r="B108" s="52">
        <f t="shared" ref="B108:H108" si="138">B107/B106</f>
        <v>5.8962885901764198E-2</v>
      </c>
      <c r="C108" s="52">
        <f t="shared" si="138"/>
        <v>5.4470594920301575E-2</v>
      </c>
      <c r="D108" s="52">
        <f t="shared" si="138"/>
        <v>6.7895134970032966E-2</v>
      </c>
      <c r="E108" s="52">
        <f t="shared" si="138"/>
        <v>6.6822355398721528E-2</v>
      </c>
      <c r="F108" s="52">
        <f t="shared" si="138"/>
        <v>4.3131801807666854E-2</v>
      </c>
      <c r="G108" s="52">
        <f t="shared" si="138"/>
        <v>3.5300307478197901E-2</v>
      </c>
      <c r="H108" s="52">
        <f t="shared" si="138"/>
        <v>2.3061609457616723E-2</v>
      </c>
      <c r="I108" s="239">
        <v>0.03</v>
      </c>
      <c r="J108" s="126">
        <f>I108</f>
        <v>0.03</v>
      </c>
      <c r="K108" s="126">
        <f>J108</f>
        <v>0.03</v>
      </c>
      <c r="L108" s="126">
        <f>K108</f>
        <v>0.03</v>
      </c>
      <c r="M108" s="126">
        <f>L108</f>
        <v>0.03</v>
      </c>
      <c r="N108" s="126">
        <f>M108</f>
        <v>0.03</v>
      </c>
      <c r="O108" s="126"/>
      <c r="P108" s="48" t="str">
        <f>"Constant at "&amp;ROUND(I108*100,0)&amp;"% from FY18"</f>
        <v>Constant at 3% from FY18</v>
      </c>
    </row>
    <row r="109" spans="1:16">
      <c r="A109" t="s">
        <v>200</v>
      </c>
      <c r="B109" s="50">
        <f t="shared" ref="B109:H109" si="139">B119</f>
        <v>25.408611000000001</v>
      </c>
      <c r="C109" s="50">
        <f t="shared" si="139"/>
        <v>116.113085</v>
      </c>
      <c r="D109" s="50">
        <f t="shared" si="139"/>
        <v>44.655999999999999</v>
      </c>
      <c r="E109" s="50">
        <f t="shared" si="139"/>
        <v>3.585</v>
      </c>
      <c r="F109" s="50">
        <f t="shared" si="139"/>
        <v>56.798000000000002</v>
      </c>
      <c r="G109" s="50">
        <f t="shared" si="139"/>
        <v>42.195</v>
      </c>
      <c r="H109" s="50">
        <f t="shared" si="139"/>
        <v>32.527000000000001</v>
      </c>
      <c r="I109" s="107">
        <f t="shared" ref="I109:K109" si="140">I119</f>
        <v>32.527000000000001</v>
      </c>
      <c r="J109" s="107">
        <f t="shared" si="140"/>
        <v>32.527000000000001</v>
      </c>
      <c r="K109" s="107">
        <f t="shared" si="140"/>
        <v>32.527000000000001</v>
      </c>
      <c r="L109" s="107">
        <f t="shared" ref="L109:N109" si="141">L119</f>
        <v>32.527000000000001</v>
      </c>
      <c r="M109" s="107">
        <f t="shared" si="141"/>
        <v>32.527000000000001</v>
      </c>
      <c r="N109" s="107">
        <f t="shared" si="141"/>
        <v>32.527000000000001</v>
      </c>
      <c r="O109" s="107"/>
    </row>
    <row r="110" spans="1:16">
      <c r="A110" t="s">
        <v>199</v>
      </c>
      <c r="B110">
        <f>(2010678-2010678)/1000000</f>
        <v>0</v>
      </c>
      <c r="C110">
        <f>(3759200-3759200)/1000000</f>
        <v>0</v>
      </c>
      <c r="D110">
        <f>(79574-79218)/1000</f>
        <v>0.35599999999999998</v>
      </c>
      <c r="E110" s="55">
        <f>(11846-11407)/1000</f>
        <v>0.439</v>
      </c>
      <c r="F110">
        <v>0</v>
      </c>
      <c r="G110" s="51">
        <f>(9581-7852)/1000</f>
        <v>1.7290000000000001</v>
      </c>
      <c r="H110" s="51">
        <f>17.961-11.658</f>
        <v>6.302999999999999</v>
      </c>
      <c r="I110" s="243">
        <v>0</v>
      </c>
      <c r="J110" s="243">
        <v>0</v>
      </c>
      <c r="K110" s="243">
        <v>0</v>
      </c>
      <c r="L110" s="243">
        <v>0</v>
      </c>
      <c r="M110" s="243">
        <v>0</v>
      </c>
      <c r="N110" s="243">
        <v>0</v>
      </c>
      <c r="O110" s="107"/>
    </row>
    <row r="111" spans="1:16">
      <c r="A111" t="s">
        <v>201</v>
      </c>
      <c r="B111" s="15">
        <v>117.59742</v>
      </c>
      <c r="C111" s="15">
        <v>145.60977199999999</v>
      </c>
      <c r="D111" s="15">
        <v>163.89400000000001</v>
      </c>
      <c r="E111" s="15">
        <v>178.864</v>
      </c>
      <c r="F111" s="15">
        <v>191.74600000000001</v>
      </c>
      <c r="G111" s="15">
        <v>230.37700000000001</v>
      </c>
      <c r="H111" s="15">
        <v>224.95500000000001</v>
      </c>
      <c r="I111" s="107">
        <f t="shared" ref="I111:K111" si="142">I106*I112</f>
        <v>217.2463666043848</v>
      </c>
      <c r="J111" s="107">
        <f t="shared" si="142"/>
        <v>211.77657136970279</v>
      </c>
      <c r="K111" s="107">
        <f t="shared" si="142"/>
        <v>206.49763939665604</v>
      </c>
      <c r="L111" s="107">
        <f t="shared" ref="L111:N111" si="143">L106*L112</f>
        <v>201.40291069468194</v>
      </c>
      <c r="M111" s="107">
        <f t="shared" si="143"/>
        <v>196.48595766720473</v>
      </c>
      <c r="N111" s="107">
        <f t="shared" si="143"/>
        <v>191.74057700246991</v>
      </c>
      <c r="O111" s="107"/>
    </row>
    <row r="112" spans="1:16" s="48" customFormat="1">
      <c r="A112" s="49" t="s">
        <v>202</v>
      </c>
      <c r="B112" s="52">
        <f t="shared" ref="B112:H112" si="144">B111/B106</f>
        <v>6.3406304737512298E-2</v>
      </c>
      <c r="C112" s="52">
        <f t="shared" si="144"/>
        <v>7.4917787876411152E-2</v>
      </c>
      <c r="D112" s="52">
        <f t="shared" si="144"/>
        <v>5.4285767778529739E-2</v>
      </c>
      <c r="E112" s="52">
        <f t="shared" si="144"/>
        <v>5.7614709041918385E-2</v>
      </c>
      <c r="F112" s="52">
        <f t="shared" si="144"/>
        <v>6.5015922875774443E-2</v>
      </c>
      <c r="G112" s="52">
        <f t="shared" si="144"/>
        <v>6.5166425756885735E-2</v>
      </c>
      <c r="H112" s="52">
        <f t="shared" si="144"/>
        <v>6.4894041448759376E-2</v>
      </c>
      <c r="I112" s="126">
        <f>H112</f>
        <v>6.4894041448759376E-2</v>
      </c>
      <c r="J112" s="126">
        <f t="shared" ref="J112:N112" si="145">I112</f>
        <v>6.4894041448759376E-2</v>
      </c>
      <c r="K112" s="126">
        <f t="shared" si="145"/>
        <v>6.4894041448759376E-2</v>
      </c>
      <c r="L112" s="126">
        <f t="shared" si="145"/>
        <v>6.4894041448759376E-2</v>
      </c>
      <c r="M112" s="126">
        <f t="shared" si="145"/>
        <v>6.4894041448759376E-2</v>
      </c>
      <c r="N112" s="126">
        <f t="shared" si="145"/>
        <v>6.4894041448759376E-2</v>
      </c>
      <c r="O112" s="126"/>
      <c r="P112" s="48" t="str">
        <f>"Constant at "&amp;ROUND(H112*100,0)&amp;"%"</f>
        <v>Constant at 6%</v>
      </c>
    </row>
    <row r="113" spans="1:16" s="48" customFormat="1">
      <c r="A113" s="49"/>
      <c r="I113" s="58"/>
      <c r="J113" s="58"/>
      <c r="K113" s="58"/>
      <c r="L113" s="58"/>
      <c r="M113" s="58"/>
      <c r="N113" s="58"/>
      <c r="O113" s="58"/>
    </row>
    <row r="114" spans="1:16" s="1" customFormat="1" ht="15.75" customHeight="1">
      <c r="A114" s="3" t="s">
        <v>229</v>
      </c>
      <c r="B114" s="6"/>
      <c r="C114" s="6"/>
      <c r="D114" s="6"/>
      <c r="E114" s="6"/>
      <c r="F114" s="6"/>
      <c r="G114" s="6"/>
      <c r="H114" s="6"/>
      <c r="I114" s="6"/>
      <c r="J114" s="6"/>
      <c r="K114" s="6"/>
      <c r="L114" s="6"/>
      <c r="M114" s="6"/>
      <c r="N114" s="6"/>
      <c r="O114" s="6"/>
    </row>
    <row r="115" spans="1:16">
      <c r="A115" t="s">
        <v>203</v>
      </c>
      <c r="B115" s="15">
        <v>133.22561899999999</v>
      </c>
      <c r="C115" s="15">
        <v>58.475347999999997</v>
      </c>
      <c r="D115" s="15">
        <v>37.951999999999998</v>
      </c>
      <c r="E115" s="53">
        <v>49.764000000000003</v>
      </c>
      <c r="F115" s="53">
        <v>64.126999999999995</v>
      </c>
      <c r="G115" s="53">
        <v>32.853000000000002</v>
      </c>
      <c r="H115" s="53">
        <v>31.678000000000001</v>
      </c>
      <c r="I115" s="107">
        <f t="shared" ref="I115:K115" si="146">I116+I117-I119</f>
        <v>32.067333333333337</v>
      </c>
      <c r="J115" s="107">
        <f t="shared" si="146"/>
        <v>39.423666666666676</v>
      </c>
      <c r="K115" s="107">
        <f t="shared" si="146"/>
        <v>33.777777777777786</v>
      </c>
      <c r="L115" s="107">
        <f t="shared" ref="L115:N115" si="147">L116+L117-L119</f>
        <v>37.616666666666674</v>
      </c>
      <c r="M115" s="107">
        <f t="shared" si="147"/>
        <v>38.316592592592599</v>
      </c>
      <c r="N115" s="107">
        <f t="shared" si="147"/>
        <v>40.166370370370387</v>
      </c>
      <c r="O115" s="107"/>
    </row>
    <row r="116" spans="1:16">
      <c r="A116" t="s">
        <v>197</v>
      </c>
      <c r="B116" s="15">
        <v>102.233873</v>
      </c>
      <c r="C116" s="15">
        <f t="shared" ref="C116:N116" si="148">B115</f>
        <v>133.22561899999999</v>
      </c>
      <c r="D116" s="15">
        <f t="shared" si="148"/>
        <v>58.475347999999997</v>
      </c>
      <c r="E116" s="15">
        <f t="shared" si="148"/>
        <v>37.951999999999998</v>
      </c>
      <c r="F116" s="15">
        <f t="shared" si="148"/>
        <v>49.764000000000003</v>
      </c>
      <c r="G116" s="15">
        <f t="shared" si="148"/>
        <v>64.126999999999995</v>
      </c>
      <c r="H116" s="15">
        <f t="shared" si="148"/>
        <v>32.853000000000002</v>
      </c>
      <c r="I116" s="107">
        <f>H115</f>
        <v>31.678000000000001</v>
      </c>
      <c r="J116" s="107">
        <f t="shared" si="148"/>
        <v>32.067333333333337</v>
      </c>
      <c r="K116" s="107">
        <f t="shared" si="148"/>
        <v>39.423666666666676</v>
      </c>
      <c r="L116" s="107">
        <f t="shared" si="148"/>
        <v>33.777777777777786</v>
      </c>
      <c r="M116" s="107">
        <f t="shared" si="148"/>
        <v>37.616666666666674</v>
      </c>
      <c r="N116" s="107">
        <f t="shared" si="148"/>
        <v>38.316592592592599</v>
      </c>
      <c r="O116" s="107"/>
    </row>
    <row r="117" spans="1:16">
      <c r="A117" s="45" t="s">
        <v>198</v>
      </c>
      <c r="B117" s="15">
        <v>56.400357</v>
      </c>
      <c r="C117" s="15">
        <v>44.168793000000001</v>
      </c>
      <c r="D117" s="15">
        <v>24.132999999999999</v>
      </c>
      <c r="E117" s="53">
        <v>15.397</v>
      </c>
      <c r="F117" s="53">
        <v>71.923000000000002</v>
      </c>
      <c r="G117" s="53">
        <v>11.429</v>
      </c>
      <c r="H117" s="53">
        <v>36.298000000000002</v>
      </c>
      <c r="I117" s="107">
        <f>H118</f>
        <v>32.916333333333334</v>
      </c>
      <c r="J117" s="107">
        <f t="shared" ref="J117:N117" si="149">I118</f>
        <v>39.883333333333333</v>
      </c>
      <c r="K117" s="107">
        <f t="shared" si="149"/>
        <v>26.881111111111114</v>
      </c>
      <c r="L117" s="107">
        <f t="shared" si="149"/>
        <v>36.36588888888889</v>
      </c>
      <c r="M117" s="107">
        <f t="shared" si="149"/>
        <v>33.226925925925926</v>
      </c>
      <c r="N117" s="107">
        <f t="shared" si="149"/>
        <v>34.376777777777782</v>
      </c>
      <c r="O117" s="107"/>
    </row>
    <row r="118" spans="1:16" s="48" customFormat="1">
      <c r="A118" s="49" t="s">
        <v>230</v>
      </c>
      <c r="B118" s="53"/>
      <c r="C118" s="53"/>
      <c r="D118" s="53">
        <f>AVERAGE(B117:D117)</f>
        <v>41.567383333333332</v>
      </c>
      <c r="E118" s="53">
        <f>AVERAGE(C117:E117)</f>
        <v>27.899597666666669</v>
      </c>
      <c r="F118" s="53">
        <f>AVERAGE(D117:F117)</f>
        <v>37.151000000000003</v>
      </c>
      <c r="G118" s="53">
        <f>AVERAGE(E117:G117)</f>
        <v>32.916333333333334</v>
      </c>
      <c r="H118" s="53">
        <f t="shared" ref="H118:N118" si="150">AVERAGE(E117:G117)</f>
        <v>32.916333333333334</v>
      </c>
      <c r="I118" s="125">
        <f>AVERAGE(F117:H117)</f>
        <v>39.883333333333333</v>
      </c>
      <c r="J118" s="125">
        <f>AVERAGE(G117:I117)</f>
        <v>26.881111111111114</v>
      </c>
      <c r="K118" s="125">
        <f>AVERAGE(H117:J117)</f>
        <v>36.36588888888889</v>
      </c>
      <c r="L118" s="125">
        <f t="shared" si="150"/>
        <v>33.226925925925926</v>
      </c>
      <c r="M118" s="125">
        <f t="shared" si="150"/>
        <v>34.376777777777782</v>
      </c>
      <c r="N118" s="125">
        <f t="shared" si="150"/>
        <v>32.157975308641973</v>
      </c>
      <c r="O118" s="125"/>
      <c r="P118" s="48" t="s">
        <v>280</v>
      </c>
    </row>
    <row r="119" spans="1:16">
      <c r="A119" s="45" t="s">
        <v>231</v>
      </c>
      <c r="B119" s="15">
        <v>25.408611000000001</v>
      </c>
      <c r="C119" s="15">
        <v>116.113085</v>
      </c>
      <c r="D119" s="15">
        <v>44.655999999999999</v>
      </c>
      <c r="E119" s="15">
        <v>3.585</v>
      </c>
      <c r="F119" s="15">
        <v>56.798000000000002</v>
      </c>
      <c r="G119" s="15">
        <v>42.195</v>
      </c>
      <c r="H119" s="15">
        <v>32.527000000000001</v>
      </c>
      <c r="I119" s="107">
        <f>H119</f>
        <v>32.527000000000001</v>
      </c>
      <c r="J119" s="107">
        <f t="shared" ref="J119:N119" si="151">I119</f>
        <v>32.527000000000001</v>
      </c>
      <c r="K119" s="107">
        <f t="shared" si="151"/>
        <v>32.527000000000001</v>
      </c>
      <c r="L119" s="107">
        <f t="shared" si="151"/>
        <v>32.527000000000001</v>
      </c>
      <c r="M119" s="107">
        <f t="shared" si="151"/>
        <v>32.527000000000001</v>
      </c>
      <c r="N119" s="107">
        <f t="shared" si="151"/>
        <v>32.527000000000001</v>
      </c>
      <c r="O119" s="107"/>
      <c r="P119" s="48" t="str">
        <f>"Constant at "&amp;H119</f>
        <v>Constant at 32.527</v>
      </c>
    </row>
    <row r="120" spans="1:16" s="48" customFormat="1">
      <c r="A120" s="49"/>
      <c r="I120" s="58"/>
      <c r="J120" s="58"/>
      <c r="K120" s="58"/>
      <c r="L120" s="58"/>
      <c r="M120" s="58"/>
      <c r="N120" s="58"/>
      <c r="O120" s="58"/>
    </row>
    <row r="121" spans="1:16" s="1" customFormat="1" ht="15.75" customHeight="1">
      <c r="A121" s="3" t="s">
        <v>50</v>
      </c>
      <c r="B121" s="6"/>
      <c r="C121" s="6"/>
      <c r="D121" s="6"/>
      <c r="E121" s="6"/>
      <c r="F121" s="6"/>
      <c r="G121" s="6"/>
      <c r="H121" s="6"/>
      <c r="I121" s="6"/>
      <c r="J121" s="6"/>
      <c r="K121" s="6"/>
      <c r="L121" s="6"/>
      <c r="M121" s="6"/>
      <c r="N121" s="6"/>
      <c r="O121" s="6"/>
    </row>
    <row r="122" spans="1:16" s="48" customFormat="1">
      <c r="A122" t="s">
        <v>203</v>
      </c>
      <c r="B122" s="99">
        <v>120</v>
      </c>
      <c r="C122" s="99">
        <v>130</v>
      </c>
      <c r="D122" s="99">
        <v>317</v>
      </c>
      <c r="E122" s="99">
        <v>317</v>
      </c>
      <c r="F122" s="99">
        <v>493</v>
      </c>
      <c r="G122" s="99">
        <v>516</v>
      </c>
      <c r="H122" s="99">
        <v>538.75</v>
      </c>
      <c r="I122" s="107">
        <f>H122*(1+I123)</f>
        <v>562.50302810077517</v>
      </c>
      <c r="J122" s="107">
        <f t="shared" ref="J122:N122" si="152">I122*(1+J123)</f>
        <v>587.30330695599343</v>
      </c>
      <c r="K122" s="107">
        <f t="shared" si="152"/>
        <v>613.19700895841368</v>
      </c>
      <c r="L122" s="107">
        <f t="shared" si="152"/>
        <v>640.23234220221968</v>
      </c>
      <c r="M122" s="107">
        <f t="shared" si="152"/>
        <v>668.45964023536021</v>
      </c>
      <c r="N122" s="107">
        <f t="shared" si="152"/>
        <v>697.93145576899281</v>
      </c>
      <c r="O122" s="107"/>
    </row>
    <row r="123" spans="1:16" s="48" customFormat="1">
      <c r="A123" s="49" t="s">
        <v>205</v>
      </c>
      <c r="C123" s="52">
        <f t="shared" ref="C123:H123" si="153">C122/B122-1</f>
        <v>8.3333333333333259E-2</v>
      </c>
      <c r="D123" s="52">
        <f t="shared" si="153"/>
        <v>1.4384615384615387</v>
      </c>
      <c r="E123" s="52">
        <f t="shared" si="153"/>
        <v>0</v>
      </c>
      <c r="F123" s="52">
        <f t="shared" si="153"/>
        <v>0.55520504731861209</v>
      </c>
      <c r="G123" s="52">
        <f t="shared" si="153"/>
        <v>4.6653144016227222E-2</v>
      </c>
      <c r="H123" s="52">
        <f t="shared" si="153"/>
        <v>4.4089147286821673E-2</v>
      </c>
      <c r="I123" s="126">
        <f>H123</f>
        <v>4.4089147286821673E-2</v>
      </c>
      <c r="J123" s="126">
        <f t="shared" ref="J123:N123" si="154">I123</f>
        <v>4.4089147286821673E-2</v>
      </c>
      <c r="K123" s="126">
        <f t="shared" si="154"/>
        <v>4.4089147286821673E-2</v>
      </c>
      <c r="L123" s="126">
        <f t="shared" si="154"/>
        <v>4.4089147286821673E-2</v>
      </c>
      <c r="M123" s="126">
        <f t="shared" si="154"/>
        <v>4.4089147286821673E-2</v>
      </c>
      <c r="N123" s="126">
        <f t="shared" si="154"/>
        <v>4.4089147286821673E-2</v>
      </c>
      <c r="O123" s="126"/>
      <c r="P123" s="48" t="str">
        <f>"Constant at "&amp;ROUND(H123*100,0)&amp;"%"</f>
        <v>Constant at 4%</v>
      </c>
    </row>
    <row r="124" spans="1:16" s="48" customFormat="1">
      <c r="A124" t="s">
        <v>208</v>
      </c>
      <c r="B124" s="48">
        <v>5</v>
      </c>
      <c r="C124" s="48">
        <v>5</v>
      </c>
      <c r="D124" s="48">
        <v>0</v>
      </c>
      <c r="E124" s="48">
        <v>0</v>
      </c>
      <c r="F124" s="48">
        <v>176</v>
      </c>
      <c r="G124" s="48">
        <v>23</v>
      </c>
      <c r="H124" s="51">
        <v>22.75</v>
      </c>
      <c r="I124" s="65">
        <f>I122-H122</f>
        <v>23.753028100775168</v>
      </c>
      <c r="J124" s="65">
        <f t="shared" ref="J124:N124" si="155">J122-I122</f>
        <v>24.800278855218266</v>
      </c>
      <c r="K124" s="65">
        <f t="shared" si="155"/>
        <v>25.893702002420241</v>
      </c>
      <c r="L124" s="65">
        <f t="shared" si="155"/>
        <v>27.035333243806008</v>
      </c>
      <c r="M124" s="65">
        <f t="shared" si="155"/>
        <v>28.227298033140528</v>
      </c>
      <c r="N124" s="65">
        <f t="shared" si="155"/>
        <v>29.471815533632594</v>
      </c>
      <c r="O124" s="65"/>
    </row>
    <row r="125" spans="1:16">
      <c r="I125" s="57"/>
      <c r="J125" s="57"/>
      <c r="K125" s="57"/>
      <c r="L125" s="57"/>
      <c r="M125" s="57"/>
      <c r="N125" s="57"/>
      <c r="O125" s="57"/>
    </row>
    <row r="126" spans="1:16" s="1" customFormat="1" ht="15.75" customHeight="1">
      <c r="A126" s="3" t="s">
        <v>204</v>
      </c>
      <c r="B126" s="6"/>
      <c r="C126" s="6"/>
      <c r="D126" s="6"/>
      <c r="E126" s="6"/>
      <c r="F126" s="6"/>
      <c r="G126" s="6"/>
      <c r="H126" s="6"/>
      <c r="I126" s="6"/>
      <c r="J126" s="6"/>
      <c r="K126" s="6"/>
      <c r="L126" s="6"/>
      <c r="M126" s="6"/>
      <c r="N126" s="6"/>
      <c r="O126" s="6"/>
    </row>
    <row r="127" spans="1:16">
      <c r="A127" t="s">
        <v>203</v>
      </c>
      <c r="B127" s="15">
        <v>38.945422999999998</v>
      </c>
      <c r="C127" s="15">
        <v>38.945422999999998</v>
      </c>
      <c r="D127" s="15">
        <v>56.74</v>
      </c>
      <c r="E127" s="15">
        <v>65.058000000000007</v>
      </c>
      <c r="F127" s="15">
        <v>67.716999999999999</v>
      </c>
      <c r="G127" s="15">
        <v>11.487</v>
      </c>
      <c r="H127" s="15">
        <v>9.1379999999999999</v>
      </c>
      <c r="I127" s="59">
        <f t="shared" ref="I127:K127" si="156">I128+I129-I131</f>
        <v>8.9543306346304519</v>
      </c>
      <c r="J127" s="59">
        <f t="shared" si="156"/>
        <v>8.8145519637798735</v>
      </c>
      <c r="K127" s="59">
        <f t="shared" si="156"/>
        <v>8.7081756130724859</v>
      </c>
      <c r="L127" s="59">
        <f t="shared" ref="L127:N127" si="157">L128+L129-L131</f>
        <v>8.6272195707738888</v>
      </c>
      <c r="M127" s="59">
        <f t="shared" si="157"/>
        <v>8.5656092528689243</v>
      </c>
      <c r="N127" s="59">
        <f t="shared" si="157"/>
        <v>8.5187216930948146</v>
      </c>
      <c r="O127" s="59"/>
    </row>
    <row r="128" spans="1:16">
      <c r="A128" t="s">
        <v>197</v>
      </c>
      <c r="B128" s="15">
        <v>38.945422999999998</v>
      </c>
      <c r="C128" s="15">
        <f t="shared" ref="C128:N128" si="158">B127</f>
        <v>38.945422999999998</v>
      </c>
      <c r="D128" s="15">
        <f t="shared" si="158"/>
        <v>38.945422999999998</v>
      </c>
      <c r="E128" s="15">
        <f t="shared" si="158"/>
        <v>56.74</v>
      </c>
      <c r="F128" s="15">
        <f t="shared" si="158"/>
        <v>65.058000000000007</v>
      </c>
      <c r="G128" s="15">
        <f t="shared" si="158"/>
        <v>67.716999999999999</v>
      </c>
      <c r="H128" s="15">
        <f t="shared" si="158"/>
        <v>11.487</v>
      </c>
      <c r="I128" s="59">
        <f>H127</f>
        <v>9.1379999999999999</v>
      </c>
      <c r="J128" s="59">
        <f t="shared" si="158"/>
        <v>8.9543306346304519</v>
      </c>
      <c r="K128" s="59">
        <f t="shared" si="158"/>
        <v>8.8145519637798735</v>
      </c>
      <c r="L128" s="59">
        <f t="shared" si="158"/>
        <v>8.7081756130724859</v>
      </c>
      <c r="M128" s="59">
        <f t="shared" si="158"/>
        <v>8.6272195707738888</v>
      </c>
      <c r="N128" s="59">
        <f t="shared" si="158"/>
        <v>8.5656092528689243</v>
      </c>
      <c r="O128" s="59"/>
    </row>
    <row r="129" spans="1:17">
      <c r="A129" t="s">
        <v>222</v>
      </c>
      <c r="B129">
        <v>0</v>
      </c>
      <c r="C129">
        <v>0</v>
      </c>
      <c r="D129">
        <v>0</v>
      </c>
      <c r="E129" s="50">
        <v>8.3179999999999996</v>
      </c>
      <c r="F129" s="15">
        <v>2.6589999999999998</v>
      </c>
      <c r="G129" s="15">
        <v>0.36099999999999999</v>
      </c>
      <c r="H129" s="15">
        <v>0.39600000000000002</v>
      </c>
      <c r="I129" s="242">
        <v>2</v>
      </c>
      <c r="J129" s="242">
        <v>2</v>
      </c>
      <c r="K129" s="242">
        <v>2</v>
      </c>
      <c r="L129" s="242">
        <v>2</v>
      </c>
      <c r="M129" s="242">
        <v>2</v>
      </c>
      <c r="N129" s="242">
        <v>2</v>
      </c>
      <c r="O129" s="57"/>
    </row>
    <row r="130" spans="1:17" s="48" customFormat="1">
      <c r="A130" s="49" t="s">
        <v>205</v>
      </c>
      <c r="I130" s="58"/>
      <c r="J130" s="58"/>
      <c r="K130" s="58"/>
      <c r="L130" s="58"/>
      <c r="M130" s="58"/>
      <c r="N130" s="58"/>
      <c r="O130" s="58"/>
    </row>
    <row r="131" spans="1:17">
      <c r="A131" s="1" t="s">
        <v>206</v>
      </c>
      <c r="B131" s="105">
        <v>0</v>
      </c>
      <c r="C131" s="105">
        <v>0</v>
      </c>
      <c r="D131" s="105">
        <v>0</v>
      </c>
      <c r="E131" s="105">
        <v>0.252</v>
      </c>
      <c r="F131" s="105">
        <v>3.03</v>
      </c>
      <c r="G131" s="105">
        <f>6.16+0.022</f>
        <v>6.1820000000000004</v>
      </c>
      <c r="H131" s="105">
        <v>2.7450000000000001</v>
      </c>
      <c r="I131" s="107">
        <f t="shared" ref="I131:K131" si="159">I128*I132</f>
        <v>2.1836693653695485</v>
      </c>
      <c r="J131" s="107">
        <f t="shared" si="159"/>
        <v>2.1397786708505784</v>
      </c>
      <c r="K131" s="107">
        <f t="shared" si="159"/>
        <v>2.1063763507073872</v>
      </c>
      <c r="L131" s="107">
        <f t="shared" ref="L131:N131" si="160">L128*L132</f>
        <v>2.0809560422985962</v>
      </c>
      <c r="M131" s="107">
        <f t="shared" si="160"/>
        <v>2.0616103179049645</v>
      </c>
      <c r="N131" s="107">
        <f t="shared" si="160"/>
        <v>2.0468875597741096</v>
      </c>
      <c r="O131" s="107"/>
    </row>
    <row r="132" spans="1:17" s="48" customFormat="1">
      <c r="A132" s="49" t="s">
        <v>207</v>
      </c>
      <c r="B132" s="52">
        <f t="shared" ref="B132:H132" si="161">B131/B128</f>
        <v>0</v>
      </c>
      <c r="C132" s="52">
        <f t="shared" si="161"/>
        <v>0</v>
      </c>
      <c r="D132" s="52">
        <f t="shared" si="161"/>
        <v>0</v>
      </c>
      <c r="E132" s="52">
        <f t="shared" si="161"/>
        <v>4.441311244272118E-3</v>
      </c>
      <c r="F132" s="52">
        <f t="shared" si="161"/>
        <v>4.657382643179931E-2</v>
      </c>
      <c r="G132" s="52">
        <f t="shared" si="161"/>
        <v>9.1291699277877059E-2</v>
      </c>
      <c r="H132" s="52">
        <f t="shared" si="161"/>
        <v>0.23896578741185689</v>
      </c>
      <c r="I132" s="126">
        <f>H132</f>
        <v>0.23896578741185689</v>
      </c>
      <c r="J132" s="126">
        <f t="shared" ref="J132:N132" si="162">I132</f>
        <v>0.23896578741185689</v>
      </c>
      <c r="K132" s="126">
        <f t="shared" si="162"/>
        <v>0.23896578741185689</v>
      </c>
      <c r="L132" s="126">
        <f t="shared" si="162"/>
        <v>0.23896578741185689</v>
      </c>
      <c r="M132" s="126">
        <f t="shared" si="162"/>
        <v>0.23896578741185689</v>
      </c>
      <c r="N132" s="126">
        <f t="shared" si="162"/>
        <v>0.23896578741185689</v>
      </c>
      <c r="O132" s="126"/>
      <c r="P132" s="48" t="str">
        <f>"Constant at "&amp;ROUND(H132*100,0)&amp;"%"</f>
        <v>Constant at 24%</v>
      </c>
    </row>
    <row r="133" spans="1:17">
      <c r="I133" s="57"/>
      <c r="J133" s="57"/>
      <c r="K133" s="57"/>
      <c r="L133" s="57"/>
      <c r="M133" s="57"/>
      <c r="N133" s="57"/>
      <c r="O133" s="57"/>
    </row>
    <row r="134" spans="1:17" s="1" customFormat="1" ht="15.75" customHeight="1">
      <c r="A134" s="3" t="s">
        <v>52</v>
      </c>
      <c r="B134" s="6"/>
      <c r="C134" s="6"/>
      <c r="D134" s="6"/>
      <c r="E134" s="6"/>
      <c r="F134" s="6"/>
      <c r="G134" s="6"/>
      <c r="H134" s="6"/>
      <c r="I134" s="6"/>
      <c r="J134" s="6"/>
      <c r="K134" s="6"/>
      <c r="L134" s="6"/>
      <c r="M134" s="6"/>
      <c r="N134" s="6"/>
      <c r="O134" s="6"/>
    </row>
    <row r="135" spans="1:17">
      <c r="A135" t="s">
        <v>214</v>
      </c>
      <c r="B135" s="15">
        <f t="shared" ref="B135:K135" si="163">B139+B141-B143</f>
        <v>3414.6610090000004</v>
      </c>
      <c r="C135" s="15">
        <f t="shared" si="163"/>
        <v>2875.0318160000002</v>
      </c>
      <c r="D135" s="15">
        <f t="shared" si="163"/>
        <v>3230.029</v>
      </c>
      <c r="E135" s="15">
        <f t="shared" si="163"/>
        <v>3940.0540000000005</v>
      </c>
      <c r="F135" s="15">
        <f t="shared" si="163"/>
        <v>5099.2760000000007</v>
      </c>
      <c r="G135" s="15">
        <f t="shared" si="163"/>
        <v>3986.77</v>
      </c>
      <c r="H135" s="15">
        <f>H139+H141-H143</f>
        <v>4363.3370000000004</v>
      </c>
      <c r="I135" s="107">
        <f t="shared" si="163"/>
        <v>6250.7943159185807</v>
      </c>
      <c r="J135" s="107">
        <f t="shared" si="163"/>
        <v>7792.9628726709334</v>
      </c>
      <c r="K135" s="107">
        <f t="shared" si="163"/>
        <v>8953.5320391987643</v>
      </c>
      <c r="L135" s="107">
        <f t="shared" ref="L135:N135" si="164">L139+L141-L143</f>
        <v>9931.8587034778739</v>
      </c>
      <c r="M135" s="107">
        <f t="shared" si="164"/>
        <v>10518.885328455211</v>
      </c>
      <c r="N135" s="107">
        <f t="shared" si="164"/>
        <v>12085.13456223229</v>
      </c>
      <c r="O135" s="107"/>
    </row>
    <row r="136" spans="1:17">
      <c r="A136" t="s">
        <v>209</v>
      </c>
      <c r="B136" s="16">
        <v>1130.2193110000001</v>
      </c>
      <c r="C136" s="16">
        <v>776.16754200000003</v>
      </c>
      <c r="D136" s="16">
        <v>862.41</v>
      </c>
      <c r="E136" s="16">
        <v>1353.3610000000001</v>
      </c>
      <c r="F136" s="16">
        <v>1828.5550000000001</v>
      </c>
      <c r="G136" s="16">
        <v>1068.184</v>
      </c>
      <c r="H136" s="16">
        <v>1331.9549999999999</v>
      </c>
      <c r="I136" s="93"/>
      <c r="J136" s="93"/>
      <c r="K136" s="93"/>
      <c r="L136" s="93"/>
      <c r="M136" s="93"/>
      <c r="N136" s="93"/>
      <c r="O136" s="93"/>
    </row>
    <row r="137" spans="1:17">
      <c r="A137" t="s">
        <v>210</v>
      </c>
      <c r="B137" s="16">
        <v>685.72065999999995</v>
      </c>
      <c r="C137" s="16">
        <v>539.72324500000002</v>
      </c>
      <c r="D137" s="16">
        <v>709.59</v>
      </c>
      <c r="E137" s="16">
        <v>685.93200000000002</v>
      </c>
      <c r="F137" s="16">
        <v>851.80399999999997</v>
      </c>
      <c r="G137" s="16">
        <v>736.84199999999998</v>
      </c>
      <c r="H137" s="16">
        <v>831.33399999999995</v>
      </c>
      <c r="I137" s="93"/>
      <c r="J137" s="93"/>
      <c r="K137" s="93"/>
      <c r="L137" s="93"/>
      <c r="M137" s="93"/>
      <c r="N137" s="93"/>
      <c r="O137" s="93"/>
    </row>
    <row r="138" spans="1:17">
      <c r="A138" t="s">
        <v>211</v>
      </c>
      <c r="B138" s="16">
        <v>1325.414628</v>
      </c>
      <c r="C138" s="16">
        <v>1277.5657659999999</v>
      </c>
      <c r="D138" s="16">
        <v>1501.4639999999999</v>
      </c>
      <c r="E138" s="16">
        <v>1750.481</v>
      </c>
      <c r="F138" s="16">
        <v>2167.2759999999998</v>
      </c>
      <c r="G138" s="16">
        <v>1965.0509999999999</v>
      </c>
      <c r="H138" s="16">
        <v>2002.309</v>
      </c>
      <c r="I138" s="57"/>
      <c r="J138" s="57"/>
      <c r="K138" s="57"/>
      <c r="L138" s="57"/>
      <c r="M138" s="57"/>
      <c r="N138" s="57"/>
      <c r="O138" s="57"/>
      <c r="P138" s="50"/>
      <c r="Q138" s="50"/>
    </row>
    <row r="139" spans="1:17">
      <c r="A139" t="s">
        <v>422</v>
      </c>
      <c r="B139" s="16">
        <f t="shared" ref="B139:F139" si="165">SUM(B136:B138)</f>
        <v>3141.3545990000002</v>
      </c>
      <c r="C139" s="16">
        <f t="shared" si="165"/>
        <v>2593.456553</v>
      </c>
      <c r="D139" s="16">
        <f t="shared" si="165"/>
        <v>3073.4639999999999</v>
      </c>
      <c r="E139" s="16">
        <f t="shared" si="165"/>
        <v>3789.7740000000003</v>
      </c>
      <c r="F139" s="16">
        <f t="shared" si="165"/>
        <v>4847.6350000000002</v>
      </c>
      <c r="G139" s="16">
        <f>SUM(G136:G138)</f>
        <v>3770.0769999999998</v>
      </c>
      <c r="H139" s="16">
        <f>SUM(H136:H138)</f>
        <v>4165.598</v>
      </c>
      <c r="I139" s="107">
        <f>-'IS &amp; BS'!I5*IS_BS_Assumptions!I140/12</f>
        <v>5895.7594877588226</v>
      </c>
      <c r="J139" s="107">
        <f>-'IS &amp; BS'!J5*IS_BS_Assumptions!J140/12</f>
        <v>7309.4076916266686</v>
      </c>
      <c r="K139" s="107">
        <f>-'IS &amp; BS'!K5*IS_BS_Assumptions!K140/12</f>
        <v>8373.2580149541536</v>
      </c>
      <c r="L139" s="107">
        <f>-'IS &amp; BS'!L5*IS_BS_Assumptions!L140/12</f>
        <v>9270.0534564762256</v>
      </c>
      <c r="M139" s="107">
        <f>-'IS &amp; BS'!M5*IS_BS_Assumptions!M140/12</f>
        <v>9808.1587954732768</v>
      </c>
      <c r="N139" s="107">
        <f>-'IS &amp; BS'!N5*IS_BS_Assumptions!N140/12</f>
        <v>11243.880854805802</v>
      </c>
      <c r="O139" s="107"/>
      <c r="P139" s="50"/>
      <c r="Q139" s="50"/>
    </row>
    <row r="140" spans="1:17" s="48" customFormat="1">
      <c r="A140" s="49" t="s">
        <v>238</v>
      </c>
      <c r="B140" s="73"/>
      <c r="C140" s="74">
        <f>(SUM(B136:C138)/2)/-'IS &amp; BS'!C5*12</f>
        <v>4.0034399559107827</v>
      </c>
      <c r="D140" s="74">
        <f>(SUM(C136:D138)/2)/-'IS &amp; BS'!D5*12</f>
        <v>3.593417974454634</v>
      </c>
      <c r="E140" s="74">
        <f>(SUM(D136:E138)/2)/-'IS &amp; BS'!E5*12</f>
        <v>4.3242420080219057</v>
      </c>
      <c r="F140" s="74">
        <f>(SUM(E136:F138)/2)/-'IS &amp; BS'!F5*12</f>
        <v>4.3632577246261572</v>
      </c>
      <c r="G140" s="74">
        <f>(SUM(F136:G138)/2)/-'IS &amp; BS'!G5*12</f>
        <v>5.3009728206878943</v>
      </c>
      <c r="H140" s="74">
        <f>(SUM(G136:H138)/2)/-'IS &amp; BS'!H5*12</f>
        <v>4.1667603765254837</v>
      </c>
      <c r="I140" s="644">
        <v>4</v>
      </c>
      <c r="J140" s="62">
        <f>I140</f>
        <v>4</v>
      </c>
      <c r="K140" s="62">
        <f>AVERAGE(H140:J140)</f>
        <v>4.0555867921751618</v>
      </c>
      <c r="L140" s="62">
        <f>AVERAGE(I140:K140)</f>
        <v>4.0185289307250542</v>
      </c>
      <c r="M140" s="62">
        <f>AVERAGE(J140:L140)</f>
        <v>4.024705240966739</v>
      </c>
      <c r="N140" s="62">
        <f>AVERAGE(K140:M140)</f>
        <v>4.0329403212889856</v>
      </c>
      <c r="O140" s="62"/>
      <c r="P140" s="51" t="s">
        <v>443</v>
      </c>
    </row>
    <row r="141" spans="1:17">
      <c r="A141" t="s">
        <v>212</v>
      </c>
      <c r="B141" s="16">
        <f>(176768141+163653466)/1000000</f>
        <v>340.42160699999999</v>
      </c>
      <c r="C141" s="16">
        <f>191.492483+159.686316</f>
        <v>351.17879900000003</v>
      </c>
      <c r="D141" s="16">
        <f>(69264+186914)/1000</f>
        <v>256.178</v>
      </c>
      <c r="E141" s="16">
        <f>(101799+210237)/1000</f>
        <v>312.036</v>
      </c>
      <c r="F141" s="16">
        <f>(144810+275174)/1000</f>
        <v>419.98399999999998</v>
      </c>
      <c r="G141" s="50">
        <f>(161245+241835)/1000</f>
        <v>403.08</v>
      </c>
      <c r="H141" s="50">
        <f>134.859+243.852</f>
        <v>378.71100000000001</v>
      </c>
      <c r="I141" s="107">
        <f t="shared" ref="I141:K141" si="166">I139*I142</f>
        <v>536.0068281597579</v>
      </c>
      <c r="J141" s="107">
        <f t="shared" si="166"/>
        <v>664.52718104426481</v>
      </c>
      <c r="K141" s="107">
        <f t="shared" si="166"/>
        <v>761.24602424461079</v>
      </c>
      <c r="L141" s="107">
        <f t="shared" ref="L141:N141" si="167">L139*L142</f>
        <v>842.7772470016472</v>
      </c>
      <c r="M141" s="107">
        <f t="shared" si="167"/>
        <v>891.69853298193436</v>
      </c>
      <c r="N141" s="107">
        <f t="shared" si="167"/>
        <v>1022.2257074264871</v>
      </c>
      <c r="O141" s="107"/>
    </row>
    <row r="142" spans="1:17" s="48" customFormat="1">
      <c r="A142" s="49" t="s">
        <v>233</v>
      </c>
      <c r="B142" s="52">
        <f t="shared" ref="B142:H142" si="168">B141/(B136+B137+B138)</f>
        <v>0.10836777456081136</v>
      </c>
      <c r="C142" s="52">
        <f t="shared" si="168"/>
        <v>0.13540955548060807</v>
      </c>
      <c r="D142" s="52">
        <f t="shared" si="168"/>
        <v>8.3351553816800844E-2</v>
      </c>
      <c r="E142" s="52">
        <f t="shared" si="168"/>
        <v>8.2336308180909992E-2</v>
      </c>
      <c r="F142" s="52">
        <f t="shared" si="168"/>
        <v>8.6636885821642917E-2</v>
      </c>
      <c r="G142" s="52">
        <f t="shared" si="168"/>
        <v>0.10691558819620926</v>
      </c>
      <c r="H142" s="52">
        <f t="shared" si="168"/>
        <v>9.0913957611848284E-2</v>
      </c>
      <c r="I142" s="126">
        <f>H142</f>
        <v>9.0913957611848284E-2</v>
      </c>
      <c r="J142" s="126">
        <f t="shared" ref="J142:N143" si="169">I142</f>
        <v>9.0913957611848284E-2</v>
      </c>
      <c r="K142" s="126">
        <f t="shared" si="169"/>
        <v>9.0913957611848284E-2</v>
      </c>
      <c r="L142" s="126">
        <f t="shared" si="169"/>
        <v>9.0913957611848284E-2</v>
      </c>
      <c r="M142" s="126">
        <f t="shared" si="169"/>
        <v>9.0913957611848284E-2</v>
      </c>
      <c r="N142" s="126">
        <f t="shared" si="169"/>
        <v>9.0913957611848284E-2</v>
      </c>
      <c r="O142" s="126"/>
      <c r="P142" s="48" t="str">
        <f>"Constant at "&amp;ROUND(H142*100,0)&amp;"%"</f>
        <v>Constant at 9%</v>
      </c>
    </row>
    <row r="143" spans="1:17">
      <c r="A143" t="s">
        <v>213</v>
      </c>
      <c r="B143" s="50">
        <v>67.115196999999995</v>
      </c>
      <c r="C143" s="15">
        <v>69.603536000000005</v>
      </c>
      <c r="D143" s="50">
        <v>99.613</v>
      </c>
      <c r="E143" s="50">
        <v>161.756</v>
      </c>
      <c r="F143" s="50">
        <v>168.34299999999999</v>
      </c>
      <c r="G143" s="50">
        <v>186.387</v>
      </c>
      <c r="H143" s="50">
        <v>180.97200000000001</v>
      </c>
      <c r="I143" s="63">
        <f>H143</f>
        <v>180.97200000000001</v>
      </c>
      <c r="J143" s="63">
        <f t="shared" si="169"/>
        <v>180.97200000000001</v>
      </c>
      <c r="K143" s="63">
        <f t="shared" si="169"/>
        <v>180.97200000000001</v>
      </c>
      <c r="L143" s="63">
        <f t="shared" si="169"/>
        <v>180.97200000000001</v>
      </c>
      <c r="M143" s="63">
        <f t="shared" si="169"/>
        <v>180.97200000000001</v>
      </c>
      <c r="N143" s="63">
        <f t="shared" si="169"/>
        <v>180.97200000000001</v>
      </c>
      <c r="O143" s="63"/>
      <c r="P143" s="48" t="str">
        <f>"Constant at "&amp;ROUND(H143,0)</f>
        <v>Constant at 181</v>
      </c>
    </row>
    <row r="144" spans="1:17">
      <c r="A144" s="49" t="s">
        <v>233</v>
      </c>
      <c r="B144" s="17">
        <f t="shared" ref="B144:H144" si="170">B143/(B138+B137+B136)</f>
        <v>2.1365049657674762E-2</v>
      </c>
      <c r="C144" s="17">
        <f t="shared" si="170"/>
        <v>2.683813458123507E-2</v>
      </c>
      <c r="D144" s="17">
        <f t="shared" si="170"/>
        <v>3.2410661065169467E-2</v>
      </c>
      <c r="E144" s="17">
        <f t="shared" si="170"/>
        <v>4.2682228544498955E-2</v>
      </c>
      <c r="F144" s="17">
        <f t="shared" si="170"/>
        <v>3.4726830712295785E-2</v>
      </c>
      <c r="G144" s="17">
        <f t="shared" si="170"/>
        <v>4.9438512794301018E-2</v>
      </c>
      <c r="H144" s="17">
        <f t="shared" si="170"/>
        <v>4.3444422625514997E-2</v>
      </c>
      <c r="I144" s="128">
        <f t="shared" ref="I144:K144" si="171">I143/I139</f>
        <v>3.0695281986272745E-2</v>
      </c>
      <c r="J144" s="128">
        <f t="shared" si="171"/>
        <v>2.4758777678704866E-2</v>
      </c>
      <c r="K144" s="128">
        <f t="shared" si="171"/>
        <v>2.1613092499573584E-2</v>
      </c>
      <c r="L144" s="128">
        <f t="shared" ref="L144:N144" si="172">L143/L139</f>
        <v>1.9522217520069392E-2</v>
      </c>
      <c r="M144" s="128">
        <f t="shared" si="172"/>
        <v>1.8451169457362717E-2</v>
      </c>
      <c r="N144" s="128">
        <f t="shared" si="172"/>
        <v>1.6095154541116458E-2</v>
      </c>
      <c r="O144" s="128"/>
      <c r="P144" s="50"/>
    </row>
    <row r="145" spans="1:16">
      <c r="I145" s="57"/>
      <c r="J145" s="57"/>
      <c r="K145" s="57"/>
      <c r="L145" s="57"/>
      <c r="M145" s="57"/>
      <c r="N145" s="57"/>
      <c r="O145" s="57"/>
      <c r="P145" s="50"/>
    </row>
    <row r="146" spans="1:16" s="1" customFormat="1" ht="15.75" customHeight="1">
      <c r="A146" s="3" t="s">
        <v>215</v>
      </c>
      <c r="B146" s="6"/>
      <c r="C146" s="6"/>
      <c r="D146" s="6"/>
      <c r="E146" s="6"/>
      <c r="F146" s="6"/>
      <c r="G146" s="6"/>
      <c r="H146" s="6"/>
      <c r="I146" s="6"/>
      <c r="J146" s="6"/>
      <c r="K146" s="6"/>
      <c r="L146" s="6"/>
      <c r="M146" s="6"/>
      <c r="N146" s="6"/>
      <c r="O146" s="6"/>
    </row>
    <row r="147" spans="1:16">
      <c r="A147" t="s">
        <v>215</v>
      </c>
      <c r="B147" s="15">
        <f t="shared" ref="B147:K147" si="173">B148+B152</f>
        <v>2913.9024759999998</v>
      </c>
      <c r="C147" s="15">
        <f t="shared" si="173"/>
        <v>2783.9522919999999</v>
      </c>
      <c r="D147" s="15">
        <f t="shared" si="173"/>
        <v>3356.4189999999999</v>
      </c>
      <c r="E147" s="15">
        <f t="shared" si="173"/>
        <v>3985.3240000000001</v>
      </c>
      <c r="F147" s="15">
        <f t="shared" si="173"/>
        <v>4968.3869999999997</v>
      </c>
      <c r="G147" s="15">
        <f t="shared" si="173"/>
        <v>4250.7269999999999</v>
      </c>
      <c r="H147" s="15">
        <f t="shared" si="173"/>
        <v>5334.17</v>
      </c>
      <c r="I147" s="107">
        <f t="shared" si="173"/>
        <v>6470.5623251898223</v>
      </c>
      <c r="J147" s="107">
        <f t="shared" si="173"/>
        <v>8164.94564067799</v>
      </c>
      <c r="K147" s="107">
        <f t="shared" si="173"/>
        <v>9268.5923509967488</v>
      </c>
      <c r="L147" s="107">
        <f t="shared" ref="L147:N147" si="174">L148+L152</f>
        <v>10611.348102628324</v>
      </c>
      <c r="M147" s="107">
        <f t="shared" si="174"/>
        <v>11862.982834544804</v>
      </c>
      <c r="N147" s="107">
        <f t="shared" si="174"/>
        <v>13109.949443460353</v>
      </c>
      <c r="O147" s="107"/>
    </row>
    <row r="148" spans="1:16">
      <c r="A148" t="s">
        <v>216</v>
      </c>
      <c r="B148" s="50">
        <v>2194.8140279999998</v>
      </c>
      <c r="C148" s="50">
        <v>2265.4185010000001</v>
      </c>
      <c r="D148" s="50">
        <v>2701.0540000000001</v>
      </c>
      <c r="E148" s="50">
        <v>3093.1840000000002</v>
      </c>
      <c r="F148" s="50">
        <v>4095.2779999999998</v>
      </c>
      <c r="G148" s="15">
        <v>3445.5839999999998</v>
      </c>
      <c r="H148" s="15">
        <v>4323.6059999999998</v>
      </c>
      <c r="I148" s="107">
        <f>I149/12*'IS &amp; BS'!I4</f>
        <v>5244.7076288465996</v>
      </c>
      <c r="J148" s="107">
        <f>J149/12*'IS &amp; BS'!J4</f>
        <v>6618.0882802215156</v>
      </c>
      <c r="K148" s="107">
        <f>K149/12*'IS &amp; BS'!K4</f>
        <v>7512.6479846580905</v>
      </c>
      <c r="L148" s="107">
        <f>L149/12*'IS &amp; BS'!L4</f>
        <v>8601.0172762796155</v>
      </c>
      <c r="M148" s="107">
        <f>M149/12*'IS &amp; BS'!M4</f>
        <v>9615.5285192138454</v>
      </c>
      <c r="N148" s="107">
        <f>N149/12*'IS &amp; BS'!N4</f>
        <v>10626.25601985723</v>
      </c>
      <c r="O148" s="107"/>
    </row>
    <row r="149" spans="1:16" s="48" customFormat="1">
      <c r="A149" s="49" t="s">
        <v>234</v>
      </c>
      <c r="B149" s="51"/>
      <c r="C149" s="56">
        <f>((C148+B148)/2)/'IS &amp; BS'!C4*12</f>
        <v>2.5966356832070767</v>
      </c>
      <c r="D149" s="56">
        <f>((D148+C148)/2)/'IS &amp; BS'!D4*12</f>
        <v>2.6308904359590306</v>
      </c>
      <c r="E149" s="56">
        <f>((E148+D148)/2)/'IS &amp; BS'!E4*12</f>
        <v>3.037114276384218</v>
      </c>
      <c r="F149" s="56">
        <f>((F148+E148)/2)/'IS &amp; BS'!F4*12</f>
        <v>2.9895381208153795</v>
      </c>
      <c r="G149" s="56">
        <f>((G148+F148)/2)/'IS &amp; BS'!G4*12</f>
        <v>3.5316822186545167</v>
      </c>
      <c r="H149" s="56">
        <f>((H148+G148)/2)/'IS &amp; BS'!H4*12</f>
        <v>3.1776402232214824</v>
      </c>
      <c r="I149" s="644">
        <v>3</v>
      </c>
      <c r="J149" s="62">
        <f>I149</f>
        <v>3</v>
      </c>
      <c r="K149" s="62">
        <f t="shared" ref="K149:N149" si="175">J149</f>
        <v>3</v>
      </c>
      <c r="L149" s="62">
        <f t="shared" si="175"/>
        <v>3</v>
      </c>
      <c r="M149" s="62">
        <v>3.2</v>
      </c>
      <c r="N149" s="62">
        <f t="shared" si="175"/>
        <v>3.2</v>
      </c>
      <c r="O149" s="62"/>
      <c r="P149" s="51" t="s">
        <v>443</v>
      </c>
    </row>
    <row r="150" spans="1:16">
      <c r="A150" t="s">
        <v>185</v>
      </c>
      <c r="B150" s="50">
        <v>1.728</v>
      </c>
      <c r="C150" s="50">
        <v>1.375</v>
      </c>
      <c r="D150" s="50">
        <v>1.248</v>
      </c>
      <c r="E150" s="50">
        <v>0</v>
      </c>
      <c r="F150" s="50">
        <v>56.386000000000003</v>
      </c>
      <c r="G150" s="50">
        <v>5.4409999999999998</v>
      </c>
      <c r="H150" s="50">
        <v>0</v>
      </c>
      <c r="I150" s="57"/>
      <c r="J150" s="57"/>
      <c r="K150" s="57"/>
      <c r="L150" s="57"/>
      <c r="M150" s="57"/>
      <c r="N150" s="57"/>
      <c r="O150" s="57"/>
    </row>
    <row r="151" spans="1:16" s="48" customFormat="1">
      <c r="A151" s="49" t="s">
        <v>217</v>
      </c>
      <c r="B151" s="52">
        <f t="shared" ref="B151:H151" si="176">B150/B148</f>
        <v>7.873104408643775E-4</v>
      </c>
      <c r="C151" s="52">
        <f t="shared" si="176"/>
        <v>6.0695187197996664E-4</v>
      </c>
      <c r="D151" s="52">
        <f t="shared" si="176"/>
        <v>4.6204185477224816E-4</v>
      </c>
      <c r="E151" s="52">
        <f t="shared" si="176"/>
        <v>0</v>
      </c>
      <c r="F151" s="52">
        <f t="shared" si="176"/>
        <v>1.3768540255386815E-2</v>
      </c>
      <c r="G151" s="52">
        <f t="shared" si="176"/>
        <v>1.5791227263651096E-3</v>
      </c>
      <c r="H151" s="52">
        <f t="shared" si="176"/>
        <v>0</v>
      </c>
      <c r="I151" s="58"/>
      <c r="J151" s="58"/>
      <c r="K151" s="58"/>
      <c r="L151" s="58"/>
      <c r="M151" s="58"/>
      <c r="N151" s="58"/>
      <c r="O151" s="58"/>
    </row>
    <row r="152" spans="1:16">
      <c r="A152" t="s">
        <v>218</v>
      </c>
      <c r="B152" s="50">
        <f>(33384949+685703499)/1000000</f>
        <v>719.08844799999997</v>
      </c>
      <c r="C152" s="50">
        <f>(39300445+479233346)/1000000</f>
        <v>518.53379099999995</v>
      </c>
      <c r="D152" s="50">
        <f>(4996+102134+548235)/1000</f>
        <v>655.36500000000001</v>
      </c>
      <c r="E152" s="50">
        <f>(6213+155417+730510)/1000</f>
        <v>892.14</v>
      </c>
      <c r="F152" s="50">
        <f>(775+43207+829127)/1000</f>
        <v>873.10900000000004</v>
      </c>
      <c r="G152" s="50">
        <f>(104473+700620+50)/1000</f>
        <v>805.14300000000003</v>
      </c>
      <c r="H152" s="50">
        <f>51.737+958.827</f>
        <v>1010.564</v>
      </c>
      <c r="I152" s="107">
        <f t="shared" ref="I152:K152" si="177">I148*I153</f>
        <v>1225.8546963432225</v>
      </c>
      <c r="J152" s="107">
        <f t="shared" si="177"/>
        <v>1546.8573604564745</v>
      </c>
      <c r="K152" s="107">
        <f t="shared" si="177"/>
        <v>1755.9443663386578</v>
      </c>
      <c r="L152" s="107">
        <f t="shared" ref="L152:N152" si="178">L148*L153</f>
        <v>2010.3308263487083</v>
      </c>
      <c r="M152" s="107">
        <f t="shared" si="178"/>
        <v>2247.4543153309578</v>
      </c>
      <c r="N152" s="107">
        <f t="shared" si="178"/>
        <v>2483.6934236031225</v>
      </c>
      <c r="O152" s="107"/>
    </row>
    <row r="153" spans="1:16" s="48" customFormat="1">
      <c r="A153" s="49" t="s">
        <v>235</v>
      </c>
      <c r="B153" s="52">
        <f t="shared" ref="B153:H153" si="179">B152/B148</f>
        <v>0.32763069618944501</v>
      </c>
      <c r="C153" s="52">
        <f t="shared" si="179"/>
        <v>0.2288909491871409</v>
      </c>
      <c r="D153" s="52">
        <f t="shared" si="179"/>
        <v>0.24263306101988336</v>
      </c>
      <c r="E153" s="52">
        <f t="shared" si="179"/>
        <v>0.2884212513707558</v>
      </c>
      <c r="F153" s="52">
        <f t="shared" si="179"/>
        <v>0.2131989574334148</v>
      </c>
      <c r="G153" s="52">
        <f t="shared" si="179"/>
        <v>0.2336738851817283</v>
      </c>
      <c r="H153" s="52">
        <f t="shared" si="179"/>
        <v>0.23373175076544903</v>
      </c>
      <c r="I153" s="126">
        <f>H153</f>
        <v>0.23373175076544903</v>
      </c>
      <c r="J153" s="126">
        <f t="shared" ref="J153:N153" si="180">I153</f>
        <v>0.23373175076544903</v>
      </c>
      <c r="K153" s="126">
        <f t="shared" si="180"/>
        <v>0.23373175076544903</v>
      </c>
      <c r="L153" s="126">
        <f t="shared" si="180"/>
        <v>0.23373175076544903</v>
      </c>
      <c r="M153" s="126">
        <f t="shared" si="180"/>
        <v>0.23373175076544903</v>
      </c>
      <c r="N153" s="126">
        <f t="shared" si="180"/>
        <v>0.23373175076544903</v>
      </c>
      <c r="O153" s="126"/>
      <c r="P153" s="48" t="str">
        <f>"Constant at "&amp;ROUND(H153*100,0)&amp;"%"</f>
        <v>Constant at 23%</v>
      </c>
    </row>
    <row r="154" spans="1:16">
      <c r="I154" s="57"/>
      <c r="J154" s="57"/>
      <c r="K154" s="57"/>
      <c r="L154" s="57"/>
      <c r="M154" s="57"/>
      <c r="N154" s="57"/>
      <c r="O154" s="57"/>
    </row>
    <row r="155" spans="1:16" s="1" customFormat="1" ht="15.75" customHeight="1">
      <c r="A155" s="3" t="s">
        <v>44</v>
      </c>
      <c r="B155" s="6"/>
      <c r="C155" s="6"/>
      <c r="D155" s="6"/>
      <c r="E155" s="6"/>
      <c r="F155" s="6"/>
      <c r="G155" s="6"/>
      <c r="H155" s="6"/>
      <c r="I155" s="6"/>
      <c r="J155" s="6"/>
      <c r="K155" s="6"/>
      <c r="L155" s="6"/>
      <c r="M155" s="6"/>
      <c r="N155" s="6"/>
      <c r="O155" s="6"/>
    </row>
    <row r="156" spans="1:16">
      <c r="A156" t="s">
        <v>44</v>
      </c>
      <c r="B156" s="16">
        <f t="shared" ref="B156:K156" si="181">B157+B159</f>
        <v>1204.2044020000001</v>
      </c>
      <c r="C156" s="16">
        <f t="shared" si="181"/>
        <v>1029.929347</v>
      </c>
      <c r="D156" s="16">
        <f t="shared" si="181"/>
        <v>876.96</v>
      </c>
      <c r="E156" s="16">
        <f t="shared" si="181"/>
        <v>1381.692</v>
      </c>
      <c r="F156" s="16">
        <f t="shared" si="181"/>
        <v>3288.8150000000001</v>
      </c>
      <c r="G156" s="16">
        <f t="shared" si="181"/>
        <v>2010.09</v>
      </c>
      <c r="H156" s="16">
        <f t="shared" si="181"/>
        <v>1950.2169999999999</v>
      </c>
      <c r="I156" s="107">
        <f t="shared" si="181"/>
        <v>3997.3708737548386</v>
      </c>
      <c r="J156" s="107">
        <f t="shared" si="181"/>
        <v>5060.2448449197909</v>
      </c>
      <c r="K156" s="107">
        <f t="shared" si="181"/>
        <v>5220.88646242291</v>
      </c>
      <c r="L156" s="107">
        <f t="shared" ref="L156:N156" si="182">L157+L159</f>
        <v>6159.1799302108448</v>
      </c>
      <c r="M156" s="107">
        <f t="shared" si="182"/>
        <v>6472.5449856524647</v>
      </c>
      <c r="N156" s="107">
        <f t="shared" si="182"/>
        <v>7299.6395349720406</v>
      </c>
      <c r="O156" s="107"/>
    </row>
    <row r="157" spans="1:16">
      <c r="A157" t="s">
        <v>219</v>
      </c>
      <c r="B157" s="16">
        <v>987.79965000000004</v>
      </c>
      <c r="C157" s="16">
        <v>855.32277699999997</v>
      </c>
      <c r="D157" s="16">
        <v>660.61500000000001</v>
      </c>
      <c r="E157" s="16">
        <v>1175.9079999999999</v>
      </c>
      <c r="F157" s="16">
        <v>3007.2739999999999</v>
      </c>
      <c r="G157" s="50">
        <v>1712.423</v>
      </c>
      <c r="H157" s="50">
        <v>1622.0989999999999</v>
      </c>
      <c r="I157" s="123">
        <f>I158/12*-'IS &amp; BS'!I5</f>
        <v>3324.8255434891862</v>
      </c>
      <c r="J157" s="123">
        <f>J158/12*-'IS &amp; BS'!J5</f>
        <v>4208.8742446094702</v>
      </c>
      <c r="K157" s="123">
        <f>K158/12*-'IS &amp; BS'!K5</f>
        <v>4342.4884050388955</v>
      </c>
      <c r="L157" s="123">
        <f>L158/12*-'IS &amp; BS'!L5</f>
        <v>5122.9168885385989</v>
      </c>
      <c r="M157" s="123">
        <f>M158/12*-'IS &amp; BS'!M5</f>
        <v>5383.5592391420423</v>
      </c>
      <c r="N157" s="123">
        <f>N158/12*-'IS &amp; BS'!N5</f>
        <v>6071.4976795087996</v>
      </c>
      <c r="O157" s="123"/>
    </row>
    <row r="158" spans="1:16" s="48" customFormat="1">
      <c r="A158" s="49" t="s">
        <v>237</v>
      </c>
      <c r="B158" s="16"/>
      <c r="C158" s="66">
        <f>((C157+B157)/2)/-'IS &amp; BS'!C5*12</f>
        <v>1.2866735751732132</v>
      </c>
      <c r="D158" s="66">
        <f>((D157+C157)/2)/-'IS &amp; BS'!D5*12</f>
        <v>0.96126247140394683</v>
      </c>
      <c r="E158" s="66">
        <f>((E157+D157)/2)/-'IS &amp; BS'!E5*12</f>
        <v>1.1571170787459817</v>
      </c>
      <c r="F158" s="66">
        <f>((F157+E157)/2)/-'IS &amp; BS'!F5*12</f>
        <v>2.1131685642091393</v>
      </c>
      <c r="G158" s="66">
        <f>((G157+F157)/2)/-'IS &amp; BS'!G5*12</f>
        <v>2.9032051104611285</v>
      </c>
      <c r="H158" s="66">
        <f>((H157+G157)/2)/-'IS &amp; BS'!H5*12</f>
        <v>1.750847173586684</v>
      </c>
      <c r="I158" s="645">
        <f>AVERAGE(F158:H158)</f>
        <v>2.2557402827523174</v>
      </c>
      <c r="J158" s="130">
        <f>AVERAGE(G158:I158)</f>
        <v>2.3032641889333765</v>
      </c>
      <c r="K158" s="130">
        <f>AVERAGE(H158:J158)</f>
        <v>2.1032838817574593</v>
      </c>
      <c r="L158" s="130">
        <f t="shared" ref="L158:N158" si="183">AVERAGE(I158:K158)</f>
        <v>2.2207627844810509</v>
      </c>
      <c r="M158" s="130">
        <f t="shared" si="183"/>
        <v>2.2091036183906287</v>
      </c>
      <c r="N158" s="130">
        <f t="shared" si="183"/>
        <v>2.1777167615430462</v>
      </c>
      <c r="O158" s="130"/>
      <c r="P158" s="51" t="s">
        <v>443</v>
      </c>
    </row>
    <row r="159" spans="1:16">
      <c r="A159" t="s">
        <v>220</v>
      </c>
      <c r="B159" s="16">
        <v>216.404752</v>
      </c>
      <c r="C159" s="16">
        <v>174.60657</v>
      </c>
      <c r="D159" s="16">
        <v>216.345</v>
      </c>
      <c r="E159" s="16">
        <f>(77+205707)/1000</f>
        <v>205.78399999999999</v>
      </c>
      <c r="F159" s="16">
        <v>281.541</v>
      </c>
      <c r="G159" s="51">
        <v>297.66699999999997</v>
      </c>
      <c r="H159" s="51">
        <v>328.11799999999999</v>
      </c>
      <c r="I159" s="123">
        <f t="shared" ref="I159:K159" si="184">I157*I160</f>
        <v>672.54533026565264</v>
      </c>
      <c r="J159" s="123">
        <f t="shared" si="184"/>
        <v>851.37060031032024</v>
      </c>
      <c r="K159" s="123">
        <f t="shared" si="184"/>
        <v>878.39805738401435</v>
      </c>
      <c r="L159" s="123">
        <f t="shared" ref="L159:N159" si="185">L157*L160</f>
        <v>1036.2630416722457</v>
      </c>
      <c r="M159" s="123">
        <f t="shared" si="185"/>
        <v>1088.9857465104219</v>
      </c>
      <c r="N159" s="123">
        <f t="shared" si="185"/>
        <v>1228.1418554632414</v>
      </c>
      <c r="O159" s="123"/>
    </row>
    <row r="160" spans="1:16" s="48" customFormat="1">
      <c r="A160" s="49" t="s">
        <v>236</v>
      </c>
      <c r="B160" s="52">
        <f t="shared" ref="B160:H160" si="186">B159/B157</f>
        <v>0.2190775750932894</v>
      </c>
      <c r="C160" s="52">
        <f t="shared" si="186"/>
        <v>0.20414114378249512</v>
      </c>
      <c r="D160" s="52">
        <f t="shared" si="186"/>
        <v>0.32749029313594152</v>
      </c>
      <c r="E160" s="52">
        <f t="shared" si="186"/>
        <v>0.17500008504066644</v>
      </c>
      <c r="F160" s="52">
        <f t="shared" si="186"/>
        <v>9.3620002700119775E-2</v>
      </c>
      <c r="G160" s="52">
        <f t="shared" si="186"/>
        <v>0.17382796189960073</v>
      </c>
      <c r="H160" s="52">
        <f t="shared" si="186"/>
        <v>0.20227988550637169</v>
      </c>
      <c r="I160" s="126">
        <f>H160</f>
        <v>0.20227988550637169</v>
      </c>
      <c r="J160" s="126">
        <f t="shared" ref="J160:N160" si="187">I160</f>
        <v>0.20227988550637169</v>
      </c>
      <c r="K160" s="126">
        <f t="shared" si="187"/>
        <v>0.20227988550637169</v>
      </c>
      <c r="L160" s="126">
        <f t="shared" si="187"/>
        <v>0.20227988550637169</v>
      </c>
      <c r="M160" s="126">
        <f t="shared" si="187"/>
        <v>0.20227988550637169</v>
      </c>
      <c r="N160" s="126">
        <f t="shared" si="187"/>
        <v>0.20227988550637169</v>
      </c>
      <c r="O160" s="126"/>
      <c r="P160" s="48" t="str">
        <f>"Constant at "&amp;ROUND(H160*100,0)&amp;"%"</f>
        <v>Constant at 20%</v>
      </c>
    </row>
    <row r="161" spans="1:16">
      <c r="I161" s="57"/>
      <c r="J161" s="57"/>
      <c r="K161" s="57"/>
      <c r="L161" s="57"/>
      <c r="M161" s="57"/>
      <c r="N161" s="57"/>
      <c r="O161" s="57"/>
    </row>
    <row r="162" spans="1:16" s="1" customFormat="1" ht="15.75" customHeight="1">
      <c r="A162" s="3" t="s">
        <v>221</v>
      </c>
      <c r="B162" s="6"/>
      <c r="C162" s="6"/>
      <c r="D162" s="6"/>
      <c r="E162" s="6"/>
      <c r="F162" s="6"/>
      <c r="G162" s="6"/>
      <c r="H162" s="6"/>
      <c r="I162" s="6"/>
      <c r="J162" s="6"/>
      <c r="K162" s="6"/>
      <c r="L162" s="6"/>
      <c r="M162" s="6"/>
      <c r="N162" s="6"/>
      <c r="O162" s="6"/>
    </row>
    <row r="163" spans="1:16">
      <c r="A163" t="s">
        <v>203</v>
      </c>
      <c r="B163" s="15">
        <v>1723.107434</v>
      </c>
      <c r="C163" s="15">
        <v>2374.114939</v>
      </c>
      <c r="D163" s="15">
        <v>2853.7550000000001</v>
      </c>
      <c r="E163" s="15">
        <v>3322.1790000000001</v>
      </c>
      <c r="F163" s="15">
        <v>4138.1629999999996</v>
      </c>
      <c r="G163" s="15">
        <v>5141.7420000000002</v>
      </c>
      <c r="H163" s="15">
        <v>6110.5969999999998</v>
      </c>
      <c r="I163" s="94">
        <f t="shared" ref="I163:K163" si="188">I164+I165-I166</f>
        <v>6756.1284966347248</v>
      </c>
      <c r="J163" s="94">
        <f t="shared" si="188"/>
        <v>7862.1180060296319</v>
      </c>
      <c r="K163" s="94">
        <f t="shared" si="188"/>
        <v>9200.2632425783704</v>
      </c>
      <c r="L163" s="94">
        <f t="shared" ref="L163:N163" si="189">L164+L165-L166</f>
        <v>11132.657587742959</v>
      </c>
      <c r="M163" s="94">
        <f t="shared" si="189"/>
        <v>13019.70612640232</v>
      </c>
      <c r="N163" s="94">
        <f t="shared" si="189"/>
        <v>14503.954972086382</v>
      </c>
      <c r="O163" s="94"/>
    </row>
    <row r="164" spans="1:16">
      <c r="A164" t="s">
        <v>197</v>
      </c>
      <c r="B164" s="15">
        <v>1490.5734070000001</v>
      </c>
      <c r="C164" s="16">
        <f t="shared" ref="C164:N164" si="190">B163</f>
        <v>1723.107434</v>
      </c>
      <c r="D164" s="16">
        <f t="shared" si="190"/>
        <v>2374.114939</v>
      </c>
      <c r="E164" s="16">
        <f t="shared" si="190"/>
        <v>2853.7550000000001</v>
      </c>
      <c r="F164" s="16">
        <f t="shared" si="190"/>
        <v>3322.1790000000001</v>
      </c>
      <c r="G164" s="16">
        <f t="shared" si="190"/>
        <v>4138.1629999999996</v>
      </c>
      <c r="H164" s="16">
        <f t="shared" si="190"/>
        <v>5141.7420000000002</v>
      </c>
      <c r="I164" s="94">
        <f>H163</f>
        <v>6110.5969999999998</v>
      </c>
      <c r="J164" s="94">
        <f t="shared" si="190"/>
        <v>6756.1284966347248</v>
      </c>
      <c r="K164" s="94">
        <f t="shared" si="190"/>
        <v>7862.1180060296319</v>
      </c>
      <c r="L164" s="94">
        <f t="shared" si="190"/>
        <v>9200.2632425783704</v>
      </c>
      <c r="M164" s="94">
        <f t="shared" si="190"/>
        <v>11132.657587742959</v>
      </c>
      <c r="N164" s="94">
        <f t="shared" si="190"/>
        <v>13019.70612640232</v>
      </c>
      <c r="O164" s="94"/>
    </row>
    <row r="165" spans="1:16">
      <c r="A165" t="s">
        <v>223</v>
      </c>
      <c r="B165" s="50">
        <f>'IS &amp; BS'!B17</f>
        <v>232.54684299999934</v>
      </c>
      <c r="C165" s="16">
        <f>'IS &amp; BS'!C17</f>
        <v>489.35080099999965</v>
      </c>
      <c r="D165" s="16">
        <f>'IS &amp; BS'!D17</f>
        <v>534.64474700000005</v>
      </c>
      <c r="E165" s="16">
        <f>'IS &amp; BS'!E17</f>
        <v>441.49499999999813</v>
      </c>
      <c r="F165" s="16">
        <f>'IS &amp; BS'!F17</f>
        <v>859.57199999999978</v>
      </c>
      <c r="G165" s="16">
        <f>'IS &amp; BS'!G17</f>
        <v>1093.6119999999992</v>
      </c>
      <c r="H165" s="16">
        <f>'IS &amp; BS'!H17</f>
        <v>1117.8519999999985</v>
      </c>
      <c r="I165" s="107">
        <f>'IS &amp; BS'!I17</f>
        <v>759.44881957026439</v>
      </c>
      <c r="J165" s="107">
        <f>'IS &amp; BS'!J17</f>
        <v>1301.1641286998915</v>
      </c>
      <c r="K165" s="107">
        <f>'IS &amp; BS'!K17</f>
        <v>1574.2885135867518</v>
      </c>
      <c r="L165" s="107">
        <f>'IS &amp; BS'!L17</f>
        <v>2273.4051119583382</v>
      </c>
      <c r="M165" s="107">
        <f>'IS &amp; BS'!M17</f>
        <v>2220.0571043051295</v>
      </c>
      <c r="N165" s="107">
        <f>'IS &amp; BS'!N17</f>
        <v>1746.1751125694839</v>
      </c>
      <c r="O165" s="107"/>
    </row>
    <row r="166" spans="1:16">
      <c r="A166" t="s">
        <v>224</v>
      </c>
      <c r="B166">
        <v>0</v>
      </c>
      <c r="C166" s="15">
        <v>41.925576</v>
      </c>
      <c r="D166" s="50">
        <v>59.893999999999998</v>
      </c>
      <c r="E166" s="50">
        <v>59.893999999999998</v>
      </c>
      <c r="F166" s="50">
        <v>59.893999999999998</v>
      </c>
      <c r="G166" s="50">
        <f t="shared" ref="G166:K166" si="191">G167*G170</f>
        <v>119.78736000000001</v>
      </c>
      <c r="H166" s="50">
        <f t="shared" si="191"/>
        <v>179.68104</v>
      </c>
      <c r="I166" s="107">
        <f t="shared" si="191"/>
        <v>113.91732293553966</v>
      </c>
      <c r="J166" s="107">
        <f t="shared" si="191"/>
        <v>195.17461930498374</v>
      </c>
      <c r="K166" s="107">
        <f t="shared" si="191"/>
        <v>236.14327703801277</v>
      </c>
      <c r="L166" s="107">
        <f t="shared" ref="L166:N166" si="192">L167*L170</f>
        <v>341.01076679375075</v>
      </c>
      <c r="M166" s="107">
        <f t="shared" si="192"/>
        <v>333.00856564576941</v>
      </c>
      <c r="N166" s="107">
        <f t="shared" si="192"/>
        <v>261.92626688542259</v>
      </c>
      <c r="O166" s="107"/>
    </row>
    <row r="167" spans="1:16" s="48" customFormat="1">
      <c r="A167" s="49" t="s">
        <v>2799</v>
      </c>
      <c r="B167" s="54">
        <f>B166/B169</f>
        <v>0</v>
      </c>
      <c r="C167" s="54">
        <f>C168/2</f>
        <v>0.35</v>
      </c>
      <c r="D167" s="54">
        <f t="shared" ref="D167:G167" si="193">D168/2</f>
        <v>0.50000267140038812</v>
      </c>
      <c r="E167" s="54">
        <f t="shared" si="193"/>
        <v>0.50000267140038812</v>
      </c>
      <c r="F167" s="54">
        <f t="shared" si="193"/>
        <v>0.50000267140038812</v>
      </c>
      <c r="G167" s="54">
        <f t="shared" si="193"/>
        <v>1</v>
      </c>
      <c r="H167" s="668">
        <v>1.5</v>
      </c>
      <c r="I167" s="61">
        <f>I165*I171/I170</f>
        <v>0.95099618971099831</v>
      </c>
      <c r="J167" s="61">
        <f>J165*J171/J170</f>
        <v>1.6293423555288615</v>
      </c>
      <c r="K167" s="61">
        <f t="shared" ref="K167:N167" si="194">K165*K171/K170</f>
        <v>1.9713538810606792</v>
      </c>
      <c r="L167" s="61">
        <f t="shared" si="194"/>
        <v>2.8468009211802543</v>
      </c>
      <c r="M167" s="61">
        <f t="shared" si="194"/>
        <v>2.7799975360152307</v>
      </c>
      <c r="N167" s="61">
        <f t="shared" si="194"/>
        <v>2.186593534454909</v>
      </c>
      <c r="O167" s="61"/>
      <c r="P167" s="48" t="str">
        <f>"Constant at "&amp;H167</f>
        <v>Constant at 1.5</v>
      </c>
    </row>
    <row r="168" spans="1:16" s="48" customFormat="1">
      <c r="A168" s="49" t="s">
        <v>2798</v>
      </c>
      <c r="B168" s="54">
        <v>0</v>
      </c>
      <c r="C168" s="54">
        <v>0.7</v>
      </c>
      <c r="D168" s="54">
        <v>1.0000053428007762</v>
      </c>
      <c r="E168" s="54">
        <v>1.0000053428007762</v>
      </c>
      <c r="F168" s="54">
        <v>1.0000053428007762</v>
      </c>
      <c r="G168" s="54">
        <v>2</v>
      </c>
      <c r="H168" s="54"/>
      <c r="I168" s="61"/>
      <c r="J168" s="61"/>
      <c r="K168" s="61"/>
      <c r="L168" s="61"/>
      <c r="M168" s="61"/>
      <c r="N168" s="61"/>
      <c r="O168" s="61"/>
    </row>
    <row r="169" spans="1:16" s="48" customFormat="1">
      <c r="A169" s="49" t="s">
        <v>300</v>
      </c>
      <c r="B169" s="53">
        <v>59.893680000000003</v>
      </c>
      <c r="C169" s="53">
        <v>59.893680000000003</v>
      </c>
      <c r="D169" s="53">
        <v>59.893680000000003</v>
      </c>
      <c r="E169" s="53">
        <v>59.893680000000003</v>
      </c>
      <c r="F169" s="670">
        <v>59.893680000000003</v>
      </c>
      <c r="G169" s="53">
        <f>F169</f>
        <v>59.893680000000003</v>
      </c>
      <c r="H169" s="53">
        <f t="shared" ref="H169:N169" si="195">G169</f>
        <v>59.893680000000003</v>
      </c>
      <c r="I169" s="65">
        <f>H169</f>
        <v>59.893680000000003</v>
      </c>
      <c r="J169" s="65">
        <f t="shared" si="195"/>
        <v>59.893680000000003</v>
      </c>
      <c r="K169" s="65">
        <f t="shared" si="195"/>
        <v>59.893680000000003</v>
      </c>
      <c r="L169" s="65">
        <f t="shared" si="195"/>
        <v>59.893680000000003</v>
      </c>
      <c r="M169" s="65">
        <f t="shared" si="195"/>
        <v>59.893680000000003</v>
      </c>
      <c r="N169" s="65">
        <f t="shared" si="195"/>
        <v>59.893680000000003</v>
      </c>
      <c r="O169" s="65"/>
    </row>
    <row r="170" spans="1:16" s="48" customFormat="1">
      <c r="A170" s="49" t="s">
        <v>301</v>
      </c>
      <c r="B170" s="53">
        <f>B169*2</f>
        <v>119.78736000000001</v>
      </c>
      <c r="C170" s="53">
        <f t="shared" ref="C170:H170" si="196">C169*2</f>
        <v>119.78736000000001</v>
      </c>
      <c r="D170" s="53">
        <f t="shared" si="196"/>
        <v>119.78736000000001</v>
      </c>
      <c r="E170" s="53">
        <f t="shared" si="196"/>
        <v>119.78736000000001</v>
      </c>
      <c r="F170" s="670">
        <f t="shared" si="196"/>
        <v>119.78736000000001</v>
      </c>
      <c r="G170" s="53">
        <f t="shared" si="196"/>
        <v>119.78736000000001</v>
      </c>
      <c r="H170" s="53">
        <f t="shared" si="196"/>
        <v>119.78736000000001</v>
      </c>
      <c r="I170" s="65">
        <f t="shared" ref="I170:K170" si="197">I169*2</f>
        <v>119.78736000000001</v>
      </c>
      <c r="J170" s="65">
        <f t="shared" si="197"/>
        <v>119.78736000000001</v>
      </c>
      <c r="K170" s="65">
        <f t="shared" si="197"/>
        <v>119.78736000000001</v>
      </c>
      <c r="L170" s="65">
        <f t="shared" ref="L170:N170" si="198">L169*2</f>
        <v>119.78736000000001</v>
      </c>
      <c r="M170" s="65">
        <f t="shared" si="198"/>
        <v>119.78736000000001</v>
      </c>
      <c r="N170" s="65">
        <f t="shared" si="198"/>
        <v>119.78736000000001</v>
      </c>
      <c r="O170" s="65"/>
    </row>
    <row r="171" spans="1:16" s="48" customFormat="1">
      <c r="A171" s="49" t="s">
        <v>377</v>
      </c>
      <c r="B171" s="52">
        <f>B166/B165</f>
        <v>0</v>
      </c>
      <c r="C171" s="52">
        <f t="shared" ref="C171:H171" si="199">C166/C165</f>
        <v>8.5675911665668306E-2</v>
      </c>
      <c r="D171" s="52">
        <f t="shared" si="199"/>
        <v>0.11202578971565205</v>
      </c>
      <c r="E171" s="52">
        <f t="shared" si="199"/>
        <v>0.13566178552418545</v>
      </c>
      <c r="F171" s="52">
        <f t="shared" si="199"/>
        <v>6.9678863434360375E-2</v>
      </c>
      <c r="G171" s="52">
        <f t="shared" si="199"/>
        <v>0.10953369202239926</v>
      </c>
      <c r="H171" s="52">
        <f t="shared" si="199"/>
        <v>0.16073777208431908</v>
      </c>
      <c r="I171" s="60">
        <v>0.15</v>
      </c>
      <c r="J171" s="60">
        <v>0.15</v>
      </c>
      <c r="K171" s="60">
        <v>0.15</v>
      </c>
      <c r="L171" s="60">
        <v>0.15</v>
      </c>
      <c r="M171" s="60">
        <v>0.15</v>
      </c>
      <c r="N171" s="60">
        <v>0.15</v>
      </c>
      <c r="O171" s="65"/>
    </row>
    <row r="172" spans="1:16">
      <c r="I172" s="57"/>
      <c r="J172" s="57"/>
      <c r="K172" s="57"/>
      <c r="L172" s="57"/>
      <c r="M172" s="57"/>
      <c r="N172" s="57"/>
      <c r="O172" s="57"/>
    </row>
    <row r="173" spans="1:16" s="1" customFormat="1" ht="15.75" customHeight="1">
      <c r="A173" s="3" t="s">
        <v>292</v>
      </c>
      <c r="B173" s="6"/>
      <c r="C173" s="6"/>
      <c r="D173" s="6"/>
      <c r="E173" s="6"/>
      <c r="F173" s="6"/>
      <c r="G173" s="6"/>
      <c r="H173" s="6"/>
      <c r="I173" s="6"/>
      <c r="J173" s="6"/>
      <c r="K173" s="6"/>
      <c r="L173" s="6"/>
      <c r="M173" s="6"/>
      <c r="N173" s="6"/>
      <c r="O173" s="6"/>
    </row>
    <row r="174" spans="1:16">
      <c r="A174" s="1" t="s">
        <v>203</v>
      </c>
      <c r="B174" s="105">
        <f>'IS &amp; BS'!B57</f>
        <v>507.317609</v>
      </c>
      <c r="C174" s="105">
        <f>'IS &amp; BS'!C57</f>
        <v>634.87761899999998</v>
      </c>
      <c r="D174" s="105">
        <f>'IS &amp; BS'!D57</f>
        <v>683.95918300000005</v>
      </c>
      <c r="E174" s="105">
        <f>'IS &amp; BS'!E57</f>
        <v>745.12300000000005</v>
      </c>
      <c r="F174" s="105">
        <f>'IS &amp; BS'!F57</f>
        <v>870.37300000000005</v>
      </c>
      <c r="G174" s="105">
        <f>'IS &amp; BS'!G57</f>
        <v>1026.3030000000001</v>
      </c>
      <c r="H174" s="105">
        <v>1135.318</v>
      </c>
      <c r="I174" s="107">
        <f t="shared" ref="I174:K174" si="200">I175+I176-I178</f>
        <v>1229.182460845763</v>
      </c>
      <c r="J174" s="107">
        <f t="shared" si="200"/>
        <v>1390.0004992244012</v>
      </c>
      <c r="K174" s="107">
        <f t="shared" si="200"/>
        <v>1584.5754840497302</v>
      </c>
      <c r="L174" s="107">
        <f t="shared" ref="L174:N174" si="201">L175+L176-L178</f>
        <v>1865.5581383367157</v>
      </c>
      <c r="M174" s="107">
        <f t="shared" si="201"/>
        <v>2139.9472186440912</v>
      </c>
      <c r="N174" s="107">
        <f t="shared" si="201"/>
        <v>2355.7666145796452</v>
      </c>
      <c r="O174" s="107"/>
    </row>
    <row r="175" spans="1:16">
      <c r="A175" s="1" t="s">
        <v>197</v>
      </c>
      <c r="B175" s="105"/>
      <c r="C175" s="105">
        <f>B174</f>
        <v>507.317609</v>
      </c>
      <c r="D175" s="105">
        <f t="shared" ref="D175:N175" si="202">C174</f>
        <v>634.87761899999998</v>
      </c>
      <c r="E175" s="105">
        <f t="shared" si="202"/>
        <v>683.95918300000005</v>
      </c>
      <c r="F175" s="105">
        <f t="shared" si="202"/>
        <v>745.12300000000005</v>
      </c>
      <c r="G175" s="105">
        <f t="shared" si="202"/>
        <v>870.37300000000005</v>
      </c>
      <c r="H175" s="105">
        <f t="shared" si="202"/>
        <v>1026.3030000000001</v>
      </c>
      <c r="I175" s="107">
        <f>H174</f>
        <v>1135.318</v>
      </c>
      <c r="J175" s="107">
        <f t="shared" si="202"/>
        <v>1229.182460845763</v>
      </c>
      <c r="K175" s="107">
        <f t="shared" si="202"/>
        <v>1390.0004992244012</v>
      </c>
      <c r="L175" s="107">
        <f t="shared" si="202"/>
        <v>1584.5754840497302</v>
      </c>
      <c r="M175" s="107">
        <f t="shared" si="202"/>
        <v>1865.5581383367157</v>
      </c>
      <c r="N175" s="107">
        <f t="shared" si="202"/>
        <v>2139.9472186440912</v>
      </c>
      <c r="O175" s="107"/>
    </row>
    <row r="176" spans="1:16">
      <c r="A176" s="1" t="s">
        <v>293</v>
      </c>
      <c r="B176" s="105">
        <f>-'IS &amp; BS'!B16</f>
        <v>54.193370000000002</v>
      </c>
      <c r="C176" s="105">
        <f>-'IS &amp; BS'!C16</f>
        <v>76.102196000000006</v>
      </c>
      <c r="D176" s="105">
        <f>-'IS &amp; BS'!D16</f>
        <v>55.839109000000001</v>
      </c>
      <c r="E176" s="105">
        <f>-'IS &amp; BS'!E16</f>
        <v>69.718000000000004</v>
      </c>
      <c r="F176" s="105">
        <f>-'IS &amp; BS'!F16</f>
        <v>94.515000000000001</v>
      </c>
      <c r="G176" s="105">
        <f>-'IS &amp; BS'!G16</f>
        <v>175.61600000000001</v>
      </c>
      <c r="H176" s="105">
        <f>-'IS &amp; BS'!H16</f>
        <v>137.58500000000001</v>
      </c>
      <c r="I176" s="107">
        <f>'IS &amp; BS'!I15*IS_BS_Assumptions!I177</f>
        <v>93.86446084576302</v>
      </c>
      <c r="J176" s="107">
        <f>'IS &amp; BS'!J15*IS_BS_Assumptions!J177</f>
        <v>160.81803837863828</v>
      </c>
      <c r="K176" s="107">
        <f>'IS &amp; BS'!K15*IS_BS_Assumptions!K177</f>
        <v>194.5749848253289</v>
      </c>
      <c r="L176" s="107">
        <f>'IS &amp; BS'!L15*IS_BS_Assumptions!L177</f>
        <v>280.98265428698562</v>
      </c>
      <c r="M176" s="107">
        <f>'IS &amp; BS'!M15*IS_BS_Assumptions!M177</f>
        <v>274.38908030737554</v>
      </c>
      <c r="N176" s="107">
        <f>'IS &amp; BS'!N15*IS_BS_Assumptions!N177</f>
        <v>215.81939593555418</v>
      </c>
      <c r="O176" s="107"/>
    </row>
    <row r="177" spans="1:16" s="48" customFormat="1">
      <c r="A177" s="49" t="s">
        <v>295</v>
      </c>
      <c r="B177" s="52">
        <f t="shared" ref="B177:H177" si="203">B176/B174</f>
        <v>0.10682335688450349</v>
      </c>
      <c r="C177" s="52">
        <f t="shared" si="203"/>
        <v>0.1198690798391493</v>
      </c>
      <c r="D177" s="52">
        <f t="shared" si="203"/>
        <v>8.1640996111898095E-2</v>
      </c>
      <c r="E177" s="52">
        <f t="shared" si="203"/>
        <v>9.356576028387259E-2</v>
      </c>
      <c r="F177" s="52">
        <f t="shared" si="203"/>
        <v>0.10859137404308267</v>
      </c>
      <c r="G177" s="52">
        <f t="shared" si="203"/>
        <v>0.17111515799914839</v>
      </c>
      <c r="H177" s="52">
        <f t="shared" si="203"/>
        <v>0.12118631079574183</v>
      </c>
      <c r="I177" s="239">
        <v>0.11</v>
      </c>
      <c r="J177" s="126">
        <f>I177</f>
        <v>0.11</v>
      </c>
      <c r="K177" s="126">
        <f>J177</f>
        <v>0.11</v>
      </c>
      <c r="L177" s="126">
        <f>K177</f>
        <v>0.11</v>
      </c>
      <c r="M177" s="126">
        <f>L177</f>
        <v>0.11</v>
      </c>
      <c r="N177" s="126">
        <f>M177</f>
        <v>0.11</v>
      </c>
      <c r="O177" s="126"/>
      <c r="P177" s="48" t="str">
        <f>"Constant at "&amp;ROUND(H177*100,0)&amp;"%"</f>
        <v>Constant at 12%</v>
      </c>
    </row>
    <row r="178" spans="1:16">
      <c r="A178" t="s">
        <v>294</v>
      </c>
      <c r="H178">
        <v>0</v>
      </c>
      <c r="I178" s="242">
        <v>0</v>
      </c>
      <c r="J178" s="242">
        <v>0</v>
      </c>
      <c r="K178" s="242">
        <v>0</v>
      </c>
      <c r="L178" s="242">
        <v>0</v>
      </c>
      <c r="M178" s="242">
        <v>0</v>
      </c>
      <c r="N178" s="242">
        <v>0</v>
      </c>
      <c r="O178" s="57"/>
    </row>
    <row r="179" spans="1:16">
      <c r="I179" s="57"/>
      <c r="J179" s="57"/>
      <c r="K179" s="57"/>
      <c r="L179" s="57"/>
      <c r="M179" s="57"/>
      <c r="N179" s="57"/>
      <c r="O179" s="57"/>
    </row>
    <row r="180" spans="1:16" s="1" customFormat="1" ht="15.75" customHeight="1">
      <c r="A180" s="3" t="s">
        <v>283</v>
      </c>
      <c r="B180" s="6"/>
      <c r="C180" s="6"/>
      <c r="D180" s="6"/>
      <c r="E180" s="6"/>
      <c r="F180" s="6"/>
      <c r="G180" s="6"/>
      <c r="H180" s="6"/>
      <c r="I180" s="6"/>
      <c r="J180" s="6"/>
      <c r="K180" s="6"/>
      <c r="L180" s="6"/>
      <c r="M180" s="6"/>
      <c r="N180" s="6"/>
      <c r="O180" s="6"/>
    </row>
    <row r="181" spans="1:16">
      <c r="A181" s="1" t="s">
        <v>203</v>
      </c>
      <c r="B181" s="105">
        <f>'IS &amp; BS'!B37</f>
        <v>25.816147000000001</v>
      </c>
      <c r="C181" s="105">
        <f>'IS &amp; BS'!C37</f>
        <v>0</v>
      </c>
      <c r="D181" s="105">
        <f>'IS &amp; BS'!D37</f>
        <v>0</v>
      </c>
      <c r="E181" s="105">
        <f>'IS &amp; BS'!E37</f>
        <v>0</v>
      </c>
      <c r="F181" s="105">
        <f>'IS &amp; BS'!F37</f>
        <v>823.74900000000002</v>
      </c>
      <c r="G181" s="105">
        <f>'IS &amp; BS'!G37</f>
        <v>301.50299999999999</v>
      </c>
      <c r="H181" s="105">
        <v>275.286</v>
      </c>
      <c r="I181" s="107">
        <f t="shared" ref="I181:K181" si="204">I182+I183</f>
        <v>283.54458</v>
      </c>
      <c r="J181" s="107">
        <f t="shared" si="204"/>
        <v>292.0509174</v>
      </c>
      <c r="K181" s="107">
        <f t="shared" si="204"/>
        <v>300.812444922</v>
      </c>
      <c r="L181" s="107">
        <f t="shared" ref="L181:N181" si="205">L182+L183</f>
        <v>309.83681826966</v>
      </c>
      <c r="M181" s="107">
        <f t="shared" si="205"/>
        <v>319.1319228177498</v>
      </c>
      <c r="N181" s="107">
        <f t="shared" si="205"/>
        <v>328.7058805022823</v>
      </c>
      <c r="O181" s="107"/>
    </row>
    <row r="182" spans="1:16">
      <c r="A182" s="1" t="s">
        <v>197</v>
      </c>
      <c r="B182" s="105"/>
      <c r="C182" s="105">
        <f>B181</f>
        <v>25.816147000000001</v>
      </c>
      <c r="D182" s="105">
        <f t="shared" ref="D182:N182" si="206">C181</f>
        <v>0</v>
      </c>
      <c r="E182" s="105">
        <f t="shared" si="206"/>
        <v>0</v>
      </c>
      <c r="F182" s="105">
        <f t="shared" si="206"/>
        <v>0</v>
      </c>
      <c r="G182" s="105">
        <f>F181</f>
        <v>823.74900000000002</v>
      </c>
      <c r="H182" s="105">
        <f>G181</f>
        <v>301.50299999999999</v>
      </c>
      <c r="I182" s="107">
        <f>H181</f>
        <v>275.286</v>
      </c>
      <c r="J182" s="107">
        <f t="shared" si="206"/>
        <v>283.54458</v>
      </c>
      <c r="K182" s="107">
        <f t="shared" si="206"/>
        <v>292.0509174</v>
      </c>
      <c r="L182" s="107">
        <f t="shared" si="206"/>
        <v>300.812444922</v>
      </c>
      <c r="M182" s="107">
        <f t="shared" si="206"/>
        <v>309.83681826966</v>
      </c>
      <c r="N182" s="107">
        <f t="shared" si="206"/>
        <v>319.1319228177498</v>
      </c>
      <c r="O182" s="107"/>
    </row>
    <row r="183" spans="1:16">
      <c r="A183" s="1" t="s">
        <v>284</v>
      </c>
      <c r="B183" s="105">
        <v>0</v>
      </c>
      <c r="C183" s="105">
        <v>0</v>
      </c>
      <c r="D183" s="105">
        <v>0</v>
      </c>
      <c r="E183" s="105">
        <v>0</v>
      </c>
      <c r="F183" s="105">
        <v>45.947000000000003</v>
      </c>
      <c r="G183" s="105">
        <v>54.734999999999999</v>
      </c>
      <c r="H183" s="105">
        <v>-25.282</v>
      </c>
      <c r="I183" s="123">
        <f t="shared" ref="I183:K183" si="207">I182*I184</f>
        <v>8.2585800000000003</v>
      </c>
      <c r="J183" s="123">
        <f t="shared" si="207"/>
        <v>8.5063373999999996</v>
      </c>
      <c r="K183" s="123">
        <f t="shared" si="207"/>
        <v>8.7615275219999997</v>
      </c>
      <c r="L183" s="123">
        <f t="shared" ref="L183:N183" si="208">L182*L184</f>
        <v>9.0243733476599992</v>
      </c>
      <c r="M183" s="123">
        <f t="shared" si="208"/>
        <v>9.2951045480897996</v>
      </c>
      <c r="N183" s="123">
        <f t="shared" si="208"/>
        <v>9.573957684532493</v>
      </c>
      <c r="O183" s="123"/>
    </row>
    <row r="184" spans="1:16">
      <c r="A184" s="1" t="s">
        <v>296</v>
      </c>
      <c r="B184" s="17">
        <f t="shared" ref="B184:H184" si="209">IFERROR(B183/B182,0)</f>
        <v>0</v>
      </c>
      <c r="C184" s="17">
        <f t="shared" si="209"/>
        <v>0</v>
      </c>
      <c r="D184" s="17">
        <f t="shared" si="209"/>
        <v>0</v>
      </c>
      <c r="E184" s="17">
        <f t="shared" si="209"/>
        <v>0</v>
      </c>
      <c r="F184" s="17">
        <f t="shared" si="209"/>
        <v>0</v>
      </c>
      <c r="G184" s="17">
        <f t="shared" si="209"/>
        <v>6.6446211163837532E-2</v>
      </c>
      <c r="H184" s="17">
        <f t="shared" si="209"/>
        <v>-8.3853228657757975E-2</v>
      </c>
      <c r="I184" s="128">
        <v>0.03</v>
      </c>
      <c r="J184" s="128">
        <f t="shared" ref="J184:N184" si="210">I184</f>
        <v>0.03</v>
      </c>
      <c r="K184" s="128">
        <f t="shared" si="210"/>
        <v>0.03</v>
      </c>
      <c r="L184" s="128">
        <f t="shared" si="210"/>
        <v>0.03</v>
      </c>
      <c r="M184" s="128">
        <f t="shared" si="210"/>
        <v>0.03</v>
      </c>
      <c r="N184" s="128">
        <f t="shared" si="210"/>
        <v>0.03</v>
      </c>
      <c r="O184" s="128"/>
      <c r="P184" s="48" t="str">
        <f>"Constant at "&amp;ROUND(H184*100,0)&amp;"%"</f>
        <v>Constant at -8%</v>
      </c>
    </row>
    <row r="185" spans="1:16">
      <c r="I185" s="57"/>
      <c r="J185" s="57"/>
      <c r="K185" s="57"/>
      <c r="L185" s="57"/>
      <c r="M185" s="57"/>
      <c r="N185" s="57"/>
      <c r="O185" s="57"/>
    </row>
    <row r="186" spans="1:16" s="1" customFormat="1" ht="15.75" customHeight="1">
      <c r="A186" s="3" t="s">
        <v>42</v>
      </c>
      <c r="B186" s="6"/>
      <c r="C186" s="6"/>
      <c r="D186" s="6"/>
      <c r="E186" s="6"/>
      <c r="F186" s="6"/>
      <c r="G186" s="6"/>
      <c r="H186" s="6"/>
      <c r="I186" s="6"/>
      <c r="J186" s="6"/>
      <c r="K186" s="6"/>
      <c r="L186" s="6"/>
      <c r="M186" s="6"/>
      <c r="N186" s="6"/>
      <c r="O186" s="6"/>
    </row>
    <row r="187" spans="1:16">
      <c r="A187" t="s">
        <v>251</v>
      </c>
      <c r="B187" s="16">
        <f t="shared" ref="B187:G187" si="211">B190+B193+B195</f>
        <v>2879.8933179999999</v>
      </c>
      <c r="C187" s="16">
        <f t="shared" si="211"/>
        <v>2115.8226300000001</v>
      </c>
      <c r="D187" s="16">
        <f t="shared" si="211"/>
        <v>3014.4349999999995</v>
      </c>
      <c r="E187" s="16">
        <f t="shared" si="211"/>
        <v>3089.3149999999996</v>
      </c>
      <c r="F187" s="16">
        <f t="shared" si="211"/>
        <v>3502.6649999999995</v>
      </c>
      <c r="G187" s="16">
        <f t="shared" si="211"/>
        <v>2647.3960000000002</v>
      </c>
      <c r="H187" s="16">
        <f>H190+H193+H195</f>
        <v>2795.2539999999999</v>
      </c>
      <c r="I187" s="123">
        <f t="shared" ref="I187:K187" si="212">I190+I193+I195</f>
        <v>2992.9235767353562</v>
      </c>
      <c r="J187" s="123">
        <f t="shared" si="212"/>
        <v>3298.9752618966913</v>
      </c>
      <c r="K187" s="123">
        <f t="shared" si="212"/>
        <v>3614.511400798212</v>
      </c>
      <c r="L187" s="123">
        <f t="shared" ref="L187:N187" si="213">L190+L193+L195</f>
        <v>3821.9297430166243</v>
      </c>
      <c r="M187" s="123">
        <f t="shared" si="213"/>
        <v>3821.9297430166243</v>
      </c>
      <c r="N187" s="123">
        <f t="shared" si="213"/>
        <v>3821.9297430166243</v>
      </c>
      <c r="O187" s="107"/>
    </row>
    <row r="188" spans="1:16" s="48" customFormat="1">
      <c r="A188" s="49" t="s">
        <v>205</v>
      </c>
      <c r="B188" s="52"/>
      <c r="C188" s="52">
        <f t="shared" ref="C188:H188" si="214">C187/B187-1</f>
        <v>-0.26531215001068997</v>
      </c>
      <c r="D188" s="52">
        <f t="shared" si="214"/>
        <v>0.42471063370751416</v>
      </c>
      <c r="E188" s="52">
        <f t="shared" si="214"/>
        <v>2.4840475910079318E-2</v>
      </c>
      <c r="F188" s="52">
        <f t="shared" si="214"/>
        <v>0.13379988767736539</v>
      </c>
      <c r="G188" s="52">
        <f t="shared" si="214"/>
        <v>-0.24417664835204034</v>
      </c>
      <c r="H188" s="52">
        <f t="shared" si="214"/>
        <v>5.5850352572867745E-2</v>
      </c>
      <c r="I188" s="239">
        <f>I187/H187-1</f>
        <v>7.0716141264928423E-2</v>
      </c>
      <c r="J188" s="239">
        <f t="shared" ref="J188:N188" si="215">J187/I187-1</f>
        <v>0.10225843637984644</v>
      </c>
      <c r="K188" s="239">
        <f t="shared" si="215"/>
        <v>9.5646712646189513E-2</v>
      </c>
      <c r="L188" s="239">
        <f t="shared" si="215"/>
        <v>5.7384890852082204E-2</v>
      </c>
      <c r="M188" s="239">
        <f t="shared" si="215"/>
        <v>0</v>
      </c>
      <c r="N188" s="239">
        <f t="shared" si="215"/>
        <v>0</v>
      </c>
      <c r="O188" s="126">
        <f>((G187/B187)^(1/5))-1</f>
        <v>-1.6694424622161308E-2</v>
      </c>
      <c r="P188" s="48" t="str">
        <f>"Constant at "&amp;ROUND(H188*100,0)&amp;"%"</f>
        <v>Constant at 6%</v>
      </c>
    </row>
    <row r="189" spans="1:16" s="48" customFormat="1">
      <c r="A189" s="49" t="s">
        <v>2859</v>
      </c>
      <c r="B189" s="52">
        <f>B187/'IS &amp; BS'!B58</f>
        <v>0.63755951120949539</v>
      </c>
      <c r="C189" s="52">
        <f>C187/'IS &amp; BS'!C58</f>
        <v>0.35996012343224881</v>
      </c>
      <c r="D189" s="52">
        <f>D187/'IS &amp; BS'!D58</f>
        <v>0.47083473105499629</v>
      </c>
      <c r="E189" s="52">
        <f>E187/'IS &amp; BS'!E58</f>
        <v>0.45133533571965878</v>
      </c>
      <c r="F189" s="52">
        <f>F187/'IS &amp; BS'!F58</f>
        <v>0.42403112393158876</v>
      </c>
      <c r="G189" s="52">
        <f>G187/'IS &amp; BS'!G58</f>
        <v>0.27951005742560442</v>
      </c>
      <c r="H189" s="52">
        <f>H187/'IS &amp; BS'!H58</f>
        <v>0.26706497611585994</v>
      </c>
      <c r="I189" s="239">
        <f>I187/'IS &amp; BS'!I58</f>
        <v>0.26708307478129711</v>
      </c>
      <c r="J189" s="239">
        <f>J187/'IS &amp; BS'!J58</f>
        <v>0.2644941419806246</v>
      </c>
      <c r="K189" s="239">
        <f>K187/'IS &amp; BS'!K58</f>
        <v>0.25807813201216989</v>
      </c>
      <c r="L189" s="239">
        <f>L187/'IS &amp; BS'!L58</f>
        <v>0.2356471078173237</v>
      </c>
      <c r="M189" s="239">
        <f>M187/'IS &amp; BS'!M58</f>
        <v>0.20793611724053432</v>
      </c>
      <c r="N189" s="239">
        <f>N187/'IS &amp; BS'!N58</f>
        <v>0.1903315865045124</v>
      </c>
      <c r="O189" s="126"/>
    </row>
    <row r="190" spans="1:16">
      <c r="A190" t="s">
        <v>225</v>
      </c>
      <c r="B190" s="16">
        <v>300</v>
      </c>
      <c r="C190" s="16">
        <v>200</v>
      </c>
      <c r="D190" s="16">
        <v>100</v>
      </c>
      <c r="E190" s="16">
        <v>77.840999999999994</v>
      </c>
      <c r="F190" s="16">
        <v>1232.8409999999999</v>
      </c>
      <c r="G190" s="50">
        <v>914.59100000000001</v>
      </c>
      <c r="H190" s="50">
        <v>207.84100000000001</v>
      </c>
      <c r="I190" s="123">
        <f>H190+I192</f>
        <v>407.84100000000001</v>
      </c>
      <c r="J190" s="123">
        <f t="shared" ref="J190:N190" si="216">I190+J192</f>
        <v>407.84100000000001</v>
      </c>
      <c r="K190" s="123">
        <f t="shared" si="216"/>
        <v>407.84100000000001</v>
      </c>
      <c r="L190" s="123">
        <f t="shared" si="216"/>
        <v>407.84100000000001</v>
      </c>
      <c r="M190" s="123">
        <f t="shared" si="216"/>
        <v>407.84100000000001</v>
      </c>
      <c r="N190" s="123">
        <f t="shared" si="216"/>
        <v>407.84100000000001</v>
      </c>
      <c r="O190" s="107"/>
    </row>
    <row r="191" spans="1:16" s="48" customFormat="1">
      <c r="A191" s="49" t="s">
        <v>257</v>
      </c>
      <c r="B191" s="52">
        <f t="shared" ref="B191:K191" si="217">B190/B187</f>
        <v>0.10417052538888526</v>
      </c>
      <c r="C191" s="52">
        <f t="shared" si="217"/>
        <v>9.4525881878860518E-2</v>
      </c>
      <c r="D191" s="52">
        <f t="shared" si="217"/>
        <v>3.3173712486751251E-2</v>
      </c>
      <c r="E191" s="52">
        <f t="shared" si="217"/>
        <v>2.5196847844910605E-2</v>
      </c>
      <c r="F191" s="52">
        <f t="shared" si="217"/>
        <v>0.35197228396092689</v>
      </c>
      <c r="G191" s="52">
        <f t="shared" si="217"/>
        <v>0.34546815059024033</v>
      </c>
      <c r="H191" s="52">
        <f t="shared" si="217"/>
        <v>7.4354960229016762E-2</v>
      </c>
      <c r="I191" s="126">
        <f t="shared" si="217"/>
        <v>0.13626843103186348</v>
      </c>
      <c r="J191" s="126">
        <f t="shared" si="217"/>
        <v>0.12362657116910861</v>
      </c>
      <c r="K191" s="126">
        <f t="shared" si="217"/>
        <v>0.11283433769497429</v>
      </c>
      <c r="L191" s="126">
        <f t="shared" ref="L191:N191" si="218">L190/L187</f>
        <v>0.10671075279319335</v>
      </c>
      <c r="M191" s="126">
        <f t="shared" si="218"/>
        <v>0.10671075279319335</v>
      </c>
      <c r="N191" s="126">
        <f t="shared" si="218"/>
        <v>0.10671075279319335</v>
      </c>
      <c r="O191" s="126"/>
    </row>
    <row r="192" spans="1:16" s="48" customFormat="1">
      <c r="A192" s="49" t="s">
        <v>2860</v>
      </c>
      <c r="B192" s="73"/>
      <c r="C192" s="73">
        <f t="shared" ref="C192:H192" si="219">C190-B190</f>
        <v>-100</v>
      </c>
      <c r="D192" s="73">
        <f t="shared" si="219"/>
        <v>-100</v>
      </c>
      <c r="E192" s="73">
        <f t="shared" si="219"/>
        <v>-22.159000000000006</v>
      </c>
      <c r="F192" s="73">
        <f t="shared" si="219"/>
        <v>1155</v>
      </c>
      <c r="G192" s="73">
        <f t="shared" si="219"/>
        <v>-318.24999999999989</v>
      </c>
      <c r="H192" s="73">
        <f t="shared" si="219"/>
        <v>-706.75</v>
      </c>
      <c r="I192" s="253">
        <v>200</v>
      </c>
      <c r="J192" s="253">
        <v>0</v>
      </c>
      <c r="K192" s="253">
        <v>0</v>
      </c>
      <c r="L192" s="253">
        <v>0</v>
      </c>
      <c r="M192" s="253">
        <v>0</v>
      </c>
      <c r="N192" s="253">
        <v>0</v>
      </c>
      <c r="O192" s="125"/>
      <c r="P192" s="48" t="s">
        <v>2864</v>
      </c>
    </row>
    <row r="193" spans="1:18">
      <c r="A193" t="s">
        <v>226</v>
      </c>
      <c r="B193" s="16">
        <f>(366666667+1546784643)/1000000</f>
        <v>1913.4513099999999</v>
      </c>
      <c r="C193" s="16">
        <f>475+912.866109</f>
        <v>1387.8661090000001</v>
      </c>
      <c r="D193" s="16">
        <f>1124+1177.128</f>
        <v>2301.1279999999997</v>
      </c>
      <c r="E193" s="16">
        <f>(1648000+911890)/1000</f>
        <v>2559.89</v>
      </c>
      <c r="F193" s="16">
        <f>(730000+1131898)/1000</f>
        <v>1861.8979999999999</v>
      </c>
      <c r="G193" s="50">
        <v>808.28300000000002</v>
      </c>
      <c r="H193" s="50">
        <v>1555.134</v>
      </c>
      <c r="I193" s="123">
        <f>H193+I194</f>
        <v>1455.134</v>
      </c>
      <c r="J193" s="123">
        <f t="shared" ref="J193:N193" si="220">I193+J194</f>
        <v>1435.134</v>
      </c>
      <c r="K193" s="123">
        <f t="shared" si="220"/>
        <v>1435.134</v>
      </c>
      <c r="L193" s="123">
        <f t="shared" si="220"/>
        <v>1435.134</v>
      </c>
      <c r="M193" s="123">
        <f t="shared" si="220"/>
        <v>1435.134</v>
      </c>
      <c r="N193" s="123">
        <f t="shared" si="220"/>
        <v>1435.134</v>
      </c>
      <c r="O193" s="107"/>
    </row>
    <row r="194" spans="1:18" s="48" customFormat="1">
      <c r="A194" s="49" t="s">
        <v>2860</v>
      </c>
      <c r="B194" s="73"/>
      <c r="C194" s="73">
        <f t="shared" ref="C194:H194" si="221">C193-B193</f>
        <v>-525.58520099999987</v>
      </c>
      <c r="D194" s="73">
        <f t="shared" si="221"/>
        <v>913.26189099999965</v>
      </c>
      <c r="E194" s="73">
        <f t="shared" si="221"/>
        <v>258.76200000000017</v>
      </c>
      <c r="F194" s="73">
        <f t="shared" si="221"/>
        <v>-697.99199999999996</v>
      </c>
      <c r="G194" s="73">
        <f t="shared" si="221"/>
        <v>-1053.6149999999998</v>
      </c>
      <c r="H194" s="73">
        <f t="shared" si="221"/>
        <v>746.851</v>
      </c>
      <c r="I194" s="253">
        <v>-100</v>
      </c>
      <c r="J194" s="253">
        <v>-20</v>
      </c>
      <c r="K194" s="253">
        <v>0</v>
      </c>
      <c r="L194" s="253">
        <v>0</v>
      </c>
      <c r="M194" s="253">
        <v>0</v>
      </c>
      <c r="N194" s="253">
        <v>0</v>
      </c>
      <c r="O194" s="111"/>
      <c r="P194" s="48" t="s">
        <v>2858</v>
      </c>
      <c r="R194" s="155"/>
    </row>
    <row r="195" spans="1:18">
      <c r="A195" s="45" t="s">
        <v>240</v>
      </c>
      <c r="B195" s="16">
        <v>666.44200799999999</v>
      </c>
      <c r="C195" s="16">
        <v>527.95652099999995</v>
      </c>
      <c r="D195" s="16">
        <v>613.30700000000002</v>
      </c>
      <c r="E195" s="16">
        <v>451.584</v>
      </c>
      <c r="F195" s="16">
        <v>407.92599999999999</v>
      </c>
      <c r="G195" s="50">
        <v>924.52200000000005</v>
      </c>
      <c r="H195" s="50">
        <v>1032.279</v>
      </c>
      <c r="I195" s="123">
        <f>H195+(-I198*I196)</f>
        <v>1129.9485767353563</v>
      </c>
      <c r="J195" s="123">
        <f t="shared" ref="J195:N195" si="222">I195+(-J198*J196)</f>
        <v>1456.0002618966914</v>
      </c>
      <c r="K195" s="123">
        <f t="shared" si="222"/>
        <v>1771.5364007982121</v>
      </c>
      <c r="L195" s="123">
        <f t="shared" si="222"/>
        <v>1978.9547430166247</v>
      </c>
      <c r="M195" s="123">
        <f t="shared" si="222"/>
        <v>1978.9547430166247</v>
      </c>
      <c r="N195" s="123">
        <f t="shared" si="222"/>
        <v>1978.9547430166247</v>
      </c>
      <c r="O195" s="107"/>
    </row>
    <row r="196" spans="1:18" s="48" customFormat="1">
      <c r="A196" s="49" t="s">
        <v>2862</v>
      </c>
      <c r="B196" s="52"/>
      <c r="C196" s="52">
        <f t="shared" ref="C196:H196" si="223">C197/C198</f>
        <v>-0.27811791559684657</v>
      </c>
      <c r="D196" s="52">
        <f t="shared" si="223"/>
        <v>-7.8243706355205445E-2</v>
      </c>
      <c r="E196" s="52">
        <f t="shared" si="223"/>
        <v>0.20236522165663121</v>
      </c>
      <c r="F196" s="52">
        <f t="shared" si="223"/>
        <v>0.18380148866659954</v>
      </c>
      <c r="G196" s="52">
        <f t="shared" si="223"/>
        <v>0.93651380670611328</v>
      </c>
      <c r="H196" s="52">
        <f t="shared" si="223"/>
        <v>-7.0898220455127073E-2</v>
      </c>
      <c r="I196" s="239">
        <v>0.1</v>
      </c>
      <c r="J196" s="239">
        <v>0.15</v>
      </c>
      <c r="K196" s="239">
        <v>0.15</v>
      </c>
      <c r="L196" s="239">
        <v>0.15</v>
      </c>
      <c r="M196" s="239">
        <v>0</v>
      </c>
      <c r="N196" s="239">
        <v>0</v>
      </c>
      <c r="O196" s="126"/>
    </row>
    <row r="197" spans="1:18" s="48" customFormat="1">
      <c r="A197" s="49" t="s">
        <v>2863</v>
      </c>
      <c r="B197" s="73"/>
      <c r="C197" s="51">
        <f t="shared" ref="C197:N197" si="224">C195-B195</f>
        <v>-138.48548700000003</v>
      </c>
      <c r="D197" s="51">
        <f t="shared" si="224"/>
        <v>85.350479000000064</v>
      </c>
      <c r="E197" s="51">
        <f t="shared" si="224"/>
        <v>-161.72300000000001</v>
      </c>
      <c r="F197" s="51">
        <f t="shared" si="224"/>
        <v>-43.658000000000015</v>
      </c>
      <c r="G197" s="51">
        <f t="shared" si="224"/>
        <v>516.596</v>
      </c>
      <c r="H197" s="51">
        <f t="shared" si="224"/>
        <v>107.75699999999995</v>
      </c>
      <c r="I197" s="111">
        <f>I195-H195</f>
        <v>97.669576735356259</v>
      </c>
      <c r="J197" s="111">
        <f t="shared" si="224"/>
        <v>326.05168516133517</v>
      </c>
      <c r="K197" s="111">
        <f t="shared" si="224"/>
        <v>315.53613890152064</v>
      </c>
      <c r="L197" s="111">
        <f t="shared" si="224"/>
        <v>207.41834221841259</v>
      </c>
      <c r="M197" s="111">
        <f t="shared" si="224"/>
        <v>0</v>
      </c>
      <c r="N197" s="111">
        <f t="shared" si="224"/>
        <v>0</v>
      </c>
      <c r="O197" s="111"/>
    </row>
    <row r="198" spans="1:18" s="48" customFormat="1">
      <c r="A198" s="49" t="s">
        <v>2861</v>
      </c>
      <c r="B198" s="251">
        <f>Cashflow!B23+Cashflow!B24+Cashflow!B25+Cashflow!B26+Cashflow!B27</f>
        <v>-529.64134100000012</v>
      </c>
      <c r="C198" s="251">
        <f>Cashflow!C23+Cashflow!C24+Cashflow!C25+Cashflow!C26+Cashflow!C27</f>
        <v>497.93802999999991</v>
      </c>
      <c r="D198" s="251">
        <f>Cashflow!D23+Cashflow!D24+Cashflow!D25+Cashflow!D26+Cashflow!D27</f>
        <v>-1090.828681</v>
      </c>
      <c r="E198" s="251">
        <f>Cashflow!E23+Cashflow!E24+Cashflow!E25+Cashflow!E26+Cashflow!E27</f>
        <v>-799.16399999999999</v>
      </c>
      <c r="F198" s="251">
        <f>Cashflow!F23+Cashflow!F24+Cashflow!F25+Cashflow!F26+Cashflow!F27</f>
        <v>-237.52799999999979</v>
      </c>
      <c r="G198" s="251">
        <f>Cashflow!G23+Cashflow!G24+Cashflow!G25+Cashflow!G26+Cashflow!G27</f>
        <v>551.61600000000067</v>
      </c>
      <c r="H198" s="251">
        <f>Cashflow!H23+Cashflow!H24+Cashflow!H25+Cashflow!H26+Cashflow!H27</f>
        <v>-1519.8830000000007</v>
      </c>
      <c r="I198" s="125">
        <f>Cashflow!I23+Cashflow!I24+Cashflow!I25+Cashflow!I26+Cashflow!I27</f>
        <v>-976.69576735356372</v>
      </c>
      <c r="J198" s="125">
        <f>Cashflow!J23+Cashflow!J24+Cashflow!J25+Cashflow!J26+Cashflow!J27</f>
        <v>-2173.6779010755681</v>
      </c>
      <c r="K198" s="125">
        <f>Cashflow!K23+Cashflow!K24+Cashflow!K25+Cashflow!K26+Cashflow!K27</f>
        <v>-2103.5742593434707</v>
      </c>
      <c r="L198" s="125">
        <f>Cashflow!L23+Cashflow!L24+Cashflow!L25+Cashflow!L26+Cashflow!L27</f>
        <v>-1382.7889481227503</v>
      </c>
      <c r="M198" s="125">
        <f>Cashflow!M23+Cashflow!M24+Cashflow!M25+Cashflow!M26+Cashflow!M27</f>
        <v>-1525.2963014521974</v>
      </c>
      <c r="N198" s="125">
        <f>Cashflow!N23+Cashflow!N24+Cashflow!N25+Cashflow!N26+Cashflow!N27</f>
        <v>-1986.1212933730512</v>
      </c>
      <c r="O198" s="126"/>
    </row>
    <row r="199" spans="1:18" s="48" customFormat="1">
      <c r="A199" s="49"/>
      <c r="B199" s="52"/>
      <c r="C199" s="52"/>
      <c r="D199" s="52"/>
      <c r="E199" s="52"/>
      <c r="F199" s="52"/>
      <c r="G199" s="50"/>
      <c r="H199" s="50"/>
      <c r="I199" s="126"/>
      <c r="J199" s="126"/>
      <c r="K199" s="126"/>
      <c r="L199" s="126"/>
      <c r="M199" s="126"/>
      <c r="N199" s="126"/>
      <c r="O199" s="126"/>
    </row>
    <row r="200" spans="1:18" s="1" customFormat="1" ht="15.75" customHeight="1">
      <c r="A200" s="3" t="s">
        <v>2853</v>
      </c>
      <c r="B200" s="6"/>
      <c r="C200" s="6"/>
      <c r="D200" s="6"/>
      <c r="E200" s="6"/>
      <c r="F200" s="6"/>
      <c r="G200" s="6"/>
      <c r="H200" s="6"/>
      <c r="I200" s="6"/>
      <c r="J200" s="6"/>
      <c r="K200" s="6"/>
      <c r="L200" s="6"/>
      <c r="M200" s="6"/>
      <c r="N200" s="6"/>
      <c r="O200" s="6"/>
      <c r="P200" s="254"/>
    </row>
    <row r="201" spans="1:18">
      <c r="A201" t="s">
        <v>2855</v>
      </c>
      <c r="B201" s="28">
        <f>'IS &amp; BS'!B44</f>
        <v>0</v>
      </c>
      <c r="C201" s="28">
        <f>'IS &amp; BS'!C44</f>
        <v>0</v>
      </c>
      <c r="D201" s="28">
        <f>'IS &amp; BS'!D44</f>
        <v>0</v>
      </c>
      <c r="E201" s="28">
        <f>'IS &amp; BS'!E44</f>
        <v>0</v>
      </c>
      <c r="F201" s="28">
        <f>'IS &amp; BS'!F44</f>
        <v>0</v>
      </c>
      <c r="G201" s="28">
        <f>'IS &amp; BS'!G44</f>
        <v>1067.3150000000001</v>
      </c>
      <c r="H201" s="28">
        <f>'IS &amp; BS'!H44</f>
        <v>402.75200000000001</v>
      </c>
      <c r="I201" s="107">
        <f>H201+I202</f>
        <v>502.75200000000001</v>
      </c>
      <c r="J201" s="107">
        <f t="shared" ref="J201:N201" si="225">I201+J202</f>
        <v>602.75199999999995</v>
      </c>
      <c r="K201" s="107">
        <f t="shared" si="225"/>
        <v>702.75199999999995</v>
      </c>
      <c r="L201" s="107">
        <f t="shared" si="225"/>
        <v>802.75199999999995</v>
      </c>
      <c r="M201" s="107">
        <f t="shared" si="225"/>
        <v>902.75199999999995</v>
      </c>
      <c r="N201" s="107">
        <f t="shared" si="225"/>
        <v>1002.752</v>
      </c>
      <c r="O201" s="107"/>
    </row>
    <row r="202" spans="1:18" s="48" customFormat="1">
      <c r="A202" s="49" t="s">
        <v>2856</v>
      </c>
      <c r="B202" s="246"/>
      <c r="C202" s="246"/>
      <c r="D202" s="246"/>
      <c r="E202" s="246"/>
      <c r="F202" s="246"/>
      <c r="G202" s="246"/>
      <c r="H202" s="246">
        <v>0</v>
      </c>
      <c r="I202" s="253">
        <v>100</v>
      </c>
      <c r="J202" s="253">
        <v>100</v>
      </c>
      <c r="K202" s="253">
        <v>100</v>
      </c>
      <c r="L202" s="253">
        <v>100</v>
      </c>
      <c r="M202" s="253">
        <v>100</v>
      </c>
      <c r="N202" s="253">
        <v>100</v>
      </c>
      <c r="O202" s="111"/>
      <c r="P202" s="48" t="s">
        <v>2857</v>
      </c>
    </row>
    <row r="203" spans="1:18" s="48" customFormat="1">
      <c r="A203" s="49"/>
      <c r="B203" s="52"/>
      <c r="C203" s="52"/>
      <c r="D203" s="52"/>
      <c r="E203" s="52"/>
      <c r="F203" s="52"/>
      <c r="G203" s="50"/>
      <c r="H203" s="50"/>
      <c r="I203" s="126"/>
      <c r="J203" s="126"/>
      <c r="K203" s="126"/>
      <c r="L203" s="126"/>
      <c r="M203" s="126"/>
      <c r="N203" s="126"/>
      <c r="O203" s="126"/>
    </row>
    <row r="204" spans="1:18" s="1" customFormat="1" ht="15.75" customHeight="1">
      <c r="A204" s="3" t="s">
        <v>26</v>
      </c>
      <c r="B204" s="6"/>
      <c r="C204" s="6"/>
      <c r="D204" s="6"/>
      <c r="E204" s="6"/>
      <c r="F204" s="6"/>
      <c r="G204" s="6"/>
      <c r="H204" s="6"/>
      <c r="I204" s="6"/>
      <c r="J204" s="6"/>
      <c r="K204" s="6"/>
      <c r="L204" s="6"/>
      <c r="M204" s="6"/>
      <c r="N204" s="6"/>
      <c r="O204" s="6"/>
    </row>
    <row r="205" spans="1:18">
      <c r="A205" t="s">
        <v>281</v>
      </c>
      <c r="B205" s="15">
        <f t="shared" ref="B205:K205" si="226">B206+B207</f>
        <v>382.09187700000001</v>
      </c>
      <c r="C205" s="15">
        <f t="shared" si="226"/>
        <v>665.30256900000006</v>
      </c>
      <c r="D205" s="15">
        <f t="shared" si="226"/>
        <v>1015.585</v>
      </c>
      <c r="E205" s="15">
        <f t="shared" si="226"/>
        <v>765.46899999999994</v>
      </c>
      <c r="F205" s="15">
        <f t="shared" si="226"/>
        <v>1038.758</v>
      </c>
      <c r="G205" s="15">
        <f t="shared" si="226"/>
        <v>1707.3049999999998</v>
      </c>
      <c r="H205" s="15">
        <f t="shared" si="226"/>
        <v>2224.971</v>
      </c>
      <c r="I205" s="123">
        <f t="shared" si="226"/>
        <v>2137.4095513979237</v>
      </c>
      <c r="J205" s="123">
        <f t="shared" si="226"/>
        <v>1477.4146566073698</v>
      </c>
      <c r="K205" s="123">
        <f t="shared" si="226"/>
        <v>1171.702213877486</v>
      </c>
      <c r="L205" s="123">
        <f t="shared" ref="L205:N205" si="227">L206+L207</f>
        <v>2145.6599125261978</v>
      </c>
      <c r="M205" s="123">
        <f t="shared" si="227"/>
        <v>2716.7655716997256</v>
      </c>
      <c r="N205" s="123">
        <f t="shared" si="227"/>
        <v>2360.4372874890746</v>
      </c>
      <c r="O205" s="107"/>
    </row>
    <row r="206" spans="1:18">
      <c r="A206" t="s">
        <v>249</v>
      </c>
      <c r="B206" s="50">
        <v>304.86265800000001</v>
      </c>
      <c r="C206" s="50">
        <v>83.275745999999998</v>
      </c>
      <c r="D206" s="50">
        <v>110.61</v>
      </c>
      <c r="E206" s="50">
        <v>88.981999999999999</v>
      </c>
      <c r="F206" s="50">
        <f>(308677+11)/1000</f>
        <v>308.68799999999999</v>
      </c>
      <c r="G206" s="50">
        <v>869.26199999999994</v>
      </c>
      <c r="H206" s="50">
        <v>2224.971</v>
      </c>
      <c r="I206" s="123">
        <f t="shared" ref="I206:K206" si="228">I209-I207+I208</f>
        <v>2137.4095513979237</v>
      </c>
      <c r="J206" s="123">
        <f t="shared" si="228"/>
        <v>1477.4146566073698</v>
      </c>
      <c r="K206" s="123">
        <f t="shared" si="228"/>
        <v>1171.702213877486</v>
      </c>
      <c r="L206" s="123">
        <f t="shared" ref="L206:N206" si="229">L209-L207+L208</f>
        <v>2145.6599125261978</v>
      </c>
      <c r="M206" s="123">
        <f t="shared" si="229"/>
        <v>2716.7655716997256</v>
      </c>
      <c r="N206" s="123">
        <f t="shared" si="229"/>
        <v>2360.4372874890746</v>
      </c>
      <c r="O206" s="107"/>
    </row>
    <row r="207" spans="1:18">
      <c r="A207" t="s">
        <v>250</v>
      </c>
      <c r="B207" s="50">
        <v>77.229219000000001</v>
      </c>
      <c r="C207" s="50">
        <v>582.02682300000004</v>
      </c>
      <c r="D207" s="50">
        <v>904.97500000000002</v>
      </c>
      <c r="E207" s="50">
        <v>676.48699999999997</v>
      </c>
      <c r="F207" s="50">
        <v>730.07</v>
      </c>
      <c r="G207" s="50">
        <v>838.04300000000001</v>
      </c>
      <c r="H207" s="50">
        <v>0</v>
      </c>
      <c r="I207" s="107">
        <f>H207</f>
        <v>0</v>
      </c>
      <c r="J207" s="107">
        <f t="shared" ref="J207:N207" si="230">I207</f>
        <v>0</v>
      </c>
      <c r="K207" s="107">
        <f t="shared" si="230"/>
        <v>0</v>
      </c>
      <c r="L207" s="107">
        <f t="shared" si="230"/>
        <v>0</v>
      </c>
      <c r="M207" s="107">
        <f t="shared" si="230"/>
        <v>0</v>
      </c>
      <c r="N207" s="107">
        <f t="shared" si="230"/>
        <v>0</v>
      </c>
      <c r="O207" s="107"/>
      <c r="P207" t="s">
        <v>259</v>
      </c>
    </row>
    <row r="208" spans="1:18">
      <c r="A208" t="str">
        <f t="shared" ref="A208:K208" si="231">A195</f>
        <v>Bank OD</v>
      </c>
      <c r="B208" s="15">
        <f t="shared" si="231"/>
        <v>666.44200799999999</v>
      </c>
      <c r="C208" s="15">
        <f t="shared" si="231"/>
        <v>527.95652099999995</v>
      </c>
      <c r="D208" s="15">
        <f t="shared" si="231"/>
        <v>613.30700000000002</v>
      </c>
      <c r="E208" s="15">
        <f t="shared" si="231"/>
        <v>451.584</v>
      </c>
      <c r="F208" s="15">
        <f t="shared" si="231"/>
        <v>407.92599999999999</v>
      </c>
      <c r="G208" s="15">
        <f t="shared" si="231"/>
        <v>924.52200000000005</v>
      </c>
      <c r="H208" s="15">
        <f t="shared" si="231"/>
        <v>1032.279</v>
      </c>
      <c r="I208" s="123">
        <f t="shared" si="231"/>
        <v>1129.9485767353563</v>
      </c>
      <c r="J208" s="123">
        <f t="shared" si="231"/>
        <v>1456.0002618966914</v>
      </c>
      <c r="K208" s="123">
        <f t="shared" si="231"/>
        <v>1771.5364007982121</v>
      </c>
      <c r="L208" s="123">
        <f t="shared" ref="L208:N208" si="232">L195</f>
        <v>1978.9547430166247</v>
      </c>
      <c r="M208" s="123">
        <f t="shared" si="232"/>
        <v>1978.9547430166247</v>
      </c>
      <c r="N208" s="123">
        <f t="shared" si="232"/>
        <v>1978.9547430166247</v>
      </c>
      <c r="O208" s="107"/>
    </row>
    <row r="209" spans="1:27">
      <c r="A209" t="s">
        <v>282</v>
      </c>
      <c r="B209" s="28">
        <f t="shared" ref="B209:G209" si="233">B205-B208</f>
        <v>-284.35013099999998</v>
      </c>
      <c r="C209" s="28">
        <f t="shared" si="233"/>
        <v>137.34604800000011</v>
      </c>
      <c r="D209" s="28">
        <f t="shared" si="233"/>
        <v>402.27800000000002</v>
      </c>
      <c r="E209" s="28">
        <f t="shared" si="233"/>
        <v>313.88499999999993</v>
      </c>
      <c r="F209" s="28">
        <f t="shared" si="233"/>
        <v>630.83200000000011</v>
      </c>
      <c r="G209" s="28">
        <f t="shared" si="233"/>
        <v>782.78299999999979</v>
      </c>
      <c r="H209" s="28">
        <f>Cashflow!H65</f>
        <v>1192.6899599999974</v>
      </c>
      <c r="I209" s="123">
        <f>Cashflow!I65</f>
        <v>1007.4609746625672</v>
      </c>
      <c r="J209" s="123">
        <f>Cashflow!J65</f>
        <v>21.41439471067838</v>
      </c>
      <c r="K209" s="123">
        <f>Cashflow!K65</f>
        <v>-599.8341869207261</v>
      </c>
      <c r="L209" s="123">
        <f>Cashflow!L65</f>
        <v>166.70516950957301</v>
      </c>
      <c r="M209" s="123">
        <f>Cashflow!M65</f>
        <v>737.81082868310102</v>
      </c>
      <c r="N209" s="123">
        <f>Cashflow!N65</f>
        <v>381.48254447245012</v>
      </c>
      <c r="O209" s="107"/>
    </row>
    <row r="210" spans="1:27" s="48" customFormat="1">
      <c r="A210" s="49" t="s">
        <v>2870</v>
      </c>
      <c r="B210" s="162">
        <f t="shared" ref="B210:K210" si="234">B205+B201</f>
        <v>382.09187700000001</v>
      </c>
      <c r="C210" s="246">
        <f t="shared" si="234"/>
        <v>665.30256900000006</v>
      </c>
      <c r="D210" s="246">
        <f t="shared" si="234"/>
        <v>1015.585</v>
      </c>
      <c r="E210" s="246">
        <f t="shared" si="234"/>
        <v>765.46899999999994</v>
      </c>
      <c r="F210" s="246">
        <f t="shared" si="234"/>
        <v>1038.758</v>
      </c>
      <c r="G210" s="246">
        <f t="shared" si="234"/>
        <v>2774.62</v>
      </c>
      <c r="H210" s="246">
        <f t="shared" si="234"/>
        <v>2627.723</v>
      </c>
      <c r="I210" s="111">
        <f t="shared" si="234"/>
        <v>2640.1615513979236</v>
      </c>
      <c r="J210" s="111">
        <f t="shared" si="234"/>
        <v>2080.16665660737</v>
      </c>
      <c r="K210" s="111">
        <f t="shared" si="234"/>
        <v>1874.4542138774859</v>
      </c>
      <c r="L210" s="111">
        <f t="shared" ref="L210:N210" si="235">L205+L201</f>
        <v>2948.4119125261977</v>
      </c>
      <c r="M210" s="111">
        <f t="shared" si="235"/>
        <v>3619.5175716997255</v>
      </c>
      <c r="N210" s="111">
        <f t="shared" si="235"/>
        <v>3363.1892874890746</v>
      </c>
      <c r="O210" s="111"/>
    </row>
    <row r="211" spans="1:27" s="48" customFormat="1">
      <c r="A211" s="49" t="s">
        <v>2872</v>
      </c>
      <c r="B211" s="162">
        <f t="shared" ref="B211:K211" si="236">B210/B170</f>
        <v>3.1897512141514763</v>
      </c>
      <c r="C211" s="246">
        <f t="shared" si="236"/>
        <v>5.5540298158336574</v>
      </c>
      <c r="D211" s="246">
        <f t="shared" si="236"/>
        <v>8.4782317600120738</v>
      </c>
      <c r="E211" s="246">
        <f t="shared" si="236"/>
        <v>6.3902318241256832</v>
      </c>
      <c r="F211" s="246">
        <f t="shared" si="236"/>
        <v>8.671682888745524</v>
      </c>
      <c r="G211" s="246">
        <f t="shared" si="236"/>
        <v>23.162877953066165</v>
      </c>
      <c r="H211" s="246">
        <f t="shared" si="236"/>
        <v>21.936563256757641</v>
      </c>
      <c r="I211" s="111">
        <f t="shared" si="236"/>
        <v>22.040401853734178</v>
      </c>
      <c r="J211" s="111">
        <f t="shared" si="236"/>
        <v>17.365493793396649</v>
      </c>
      <c r="K211" s="111">
        <f t="shared" si="236"/>
        <v>15.648180357906591</v>
      </c>
      <c r="L211" s="111">
        <f t="shared" ref="L211:N211" si="237">L210/L170</f>
        <v>24.61371477363052</v>
      </c>
      <c r="M211" s="111">
        <f t="shared" si="237"/>
        <v>30.216189518658105</v>
      </c>
      <c r="N211" s="111">
        <f t="shared" si="237"/>
        <v>28.07632865011028</v>
      </c>
      <c r="O211" s="111"/>
    </row>
    <row r="212" spans="1:27">
      <c r="B212" s="7"/>
      <c r="C212" s="28"/>
      <c r="D212" s="28"/>
      <c r="E212" s="28"/>
      <c r="F212" s="28"/>
      <c r="G212" s="28"/>
      <c r="H212" s="28"/>
      <c r="I212" s="107"/>
      <c r="J212" s="107"/>
      <c r="K212" s="107"/>
      <c r="L212" s="107"/>
      <c r="M212" s="107"/>
      <c r="N212" s="107"/>
      <c r="O212" s="107"/>
    </row>
    <row r="213" spans="1:27" s="12" customFormat="1">
      <c r="A213" s="12" t="s">
        <v>2871</v>
      </c>
      <c r="B213" s="255">
        <f t="shared" ref="B213:K213" si="238">B206+B207-B208-B209</f>
        <v>0</v>
      </c>
      <c r="C213" s="256">
        <f t="shared" si="238"/>
        <v>0</v>
      </c>
      <c r="D213" s="256">
        <f t="shared" si="238"/>
        <v>0</v>
      </c>
      <c r="E213" s="256">
        <f t="shared" si="238"/>
        <v>0</v>
      </c>
      <c r="F213" s="256">
        <f t="shared" si="238"/>
        <v>0</v>
      </c>
      <c r="G213" s="256">
        <f t="shared" si="238"/>
        <v>0</v>
      </c>
      <c r="H213" s="256">
        <f t="shared" si="238"/>
        <v>2.0400000025802001E-3</v>
      </c>
      <c r="I213" s="252">
        <f t="shared" si="238"/>
        <v>0</v>
      </c>
      <c r="J213" s="252">
        <f t="shared" si="238"/>
        <v>0</v>
      </c>
      <c r="K213" s="252">
        <f t="shared" si="238"/>
        <v>0</v>
      </c>
      <c r="L213" s="252">
        <f t="shared" ref="L213:N213" si="239">L206+L207-L208-L209</f>
        <v>0</v>
      </c>
      <c r="M213" s="252">
        <f t="shared" si="239"/>
        <v>0</v>
      </c>
      <c r="N213" s="252">
        <f t="shared" si="239"/>
        <v>0</v>
      </c>
      <c r="O213" s="252"/>
    </row>
    <row r="215" spans="1:27">
      <c r="A215" t="s">
        <v>3880</v>
      </c>
      <c r="H215" s="7">
        <f>H209/120</f>
        <v>9.9390829999999788</v>
      </c>
      <c r="I215" s="7">
        <f t="shared" ref="I215:K215" si="240">I209/120</f>
        <v>8.3955081221880601</v>
      </c>
      <c r="J215" s="7">
        <f t="shared" si="240"/>
        <v>0.17845328925565315</v>
      </c>
      <c r="K215" s="7">
        <f t="shared" si="240"/>
        <v>-4.998618224339384</v>
      </c>
      <c r="L215" s="7">
        <f t="shared" ref="L215:N215" si="241">L209/120</f>
        <v>1.3892097459131085</v>
      </c>
      <c r="M215" s="7">
        <f t="shared" si="241"/>
        <v>6.1484235723591754</v>
      </c>
      <c r="N215" s="7">
        <f t="shared" si="241"/>
        <v>3.1790212039370842</v>
      </c>
    </row>
    <row r="216" spans="1:27">
      <c r="G216" s="7"/>
    </row>
    <row r="217" spans="1:27">
      <c r="A217" t="s">
        <v>3918</v>
      </c>
      <c r="H217" s="7">
        <f>DCF!H33</f>
        <v>8.2268449486411104</v>
      </c>
      <c r="I217" s="7">
        <f>DCF!I33</f>
        <v>36.9501636171847</v>
      </c>
    </row>
    <row r="218" spans="1:27">
      <c r="A218" t="s">
        <v>3919</v>
      </c>
      <c r="H218" s="10">
        <f>Multiplier!H11</f>
        <v>74.655756667481342</v>
      </c>
      <c r="I218" s="10">
        <f>Multiplier!I11</f>
        <v>50.719796784586578</v>
      </c>
      <c r="P218" s="137"/>
    </row>
    <row r="219" spans="1:27">
      <c r="O219" s="137"/>
    </row>
    <row r="220" spans="1:27" s="1" customFormat="1" ht="15.75" customHeight="1">
      <c r="A220" s="3" t="s">
        <v>411</v>
      </c>
      <c r="B220" s="6"/>
      <c r="C220" s="6"/>
      <c r="D220" s="6"/>
      <c r="E220" s="6"/>
      <c r="F220" s="6"/>
      <c r="G220" s="6"/>
      <c r="H220" s="6"/>
      <c r="I220" s="6"/>
      <c r="J220" s="6"/>
      <c r="K220" s="6"/>
      <c r="L220" s="6"/>
      <c r="M220" s="6"/>
      <c r="N220" s="6"/>
      <c r="O220" s="6"/>
      <c r="R220" t="s">
        <v>3917</v>
      </c>
    </row>
    <row r="221" spans="1:27">
      <c r="V221" s="4" t="s">
        <v>3924</v>
      </c>
      <c r="W221" s="4"/>
    </row>
    <row r="222" spans="1:27">
      <c r="R222" s="642">
        <f>(I217+I218)/2</f>
        <v>43.834980200885639</v>
      </c>
      <c r="S222" s="3">
        <f t="shared" ref="S222:AA222" si="242">S247</f>
        <v>5400</v>
      </c>
      <c r="T222" s="3">
        <f t="shared" si="242"/>
        <v>5600</v>
      </c>
      <c r="U222" s="3">
        <f t="shared" si="242"/>
        <v>5800</v>
      </c>
      <c r="V222" s="3">
        <f t="shared" si="242"/>
        <v>6000</v>
      </c>
      <c r="W222" s="3">
        <f t="shared" si="242"/>
        <v>6200</v>
      </c>
      <c r="X222" s="3">
        <f t="shared" si="242"/>
        <v>6400</v>
      </c>
      <c r="Y222" s="3">
        <f t="shared" si="242"/>
        <v>6600</v>
      </c>
      <c r="Z222" s="156">
        <f t="shared" si="242"/>
        <v>6800</v>
      </c>
      <c r="AA222" s="156">
        <f t="shared" si="242"/>
        <v>7000</v>
      </c>
    </row>
    <row r="223" spans="1:27" hidden="1">
      <c r="R223" s="627">
        <f t="shared" ref="R223:R231" si="243">R248</f>
        <v>0.10000000000000002</v>
      </c>
      <c r="S223" s="50">
        <f>(S236+S248)/2</f>
        <v>74.389348167741815</v>
      </c>
      <c r="T223" s="50">
        <f t="shared" ref="T223:Z223" si="244">(T236+T248)/2</f>
        <v>48.151796202698122</v>
      </c>
      <c r="U223" s="50">
        <f t="shared" si="244"/>
        <v>21.914244237654387</v>
      </c>
      <c r="V223" s="50">
        <f t="shared" si="244"/>
        <v>-4.3233077273895262</v>
      </c>
      <c r="W223" s="50">
        <f t="shared" si="244"/>
        <v>-30.560859692433358</v>
      </c>
      <c r="X223" s="50">
        <f t="shared" si="244"/>
        <v>-56.798411657477153</v>
      </c>
      <c r="Y223" s="50">
        <f t="shared" si="244"/>
        <v>-83.035963622520782</v>
      </c>
      <c r="Z223" s="50">
        <f t="shared" si="244"/>
        <v>-109.27351558756459</v>
      </c>
      <c r="AA223" s="50">
        <f t="shared" ref="AA223" si="245">(AA236+AA248)/2</f>
        <v>-135.51106755260858</v>
      </c>
    </row>
    <row r="224" spans="1:27" hidden="1">
      <c r="R224" s="627">
        <f t="shared" si="243"/>
        <v>0.11000000000000001</v>
      </c>
      <c r="S224" s="50">
        <f t="shared" ref="S224:Z224" si="246">(S237+S249)/2</f>
        <v>81.616620853436174</v>
      </c>
      <c r="T224" s="50">
        <f t="shared" si="246"/>
        <v>55.379068888392503</v>
      </c>
      <c r="U224" s="50">
        <f t="shared" si="246"/>
        <v>29.141516923348767</v>
      </c>
      <c r="V224" s="50">
        <f t="shared" si="246"/>
        <v>2.9039649583048552</v>
      </c>
      <c r="W224" s="50">
        <f t="shared" si="246"/>
        <v>-23.333587006738977</v>
      </c>
      <c r="X224" s="50">
        <f t="shared" si="246"/>
        <v>-49.571138971782766</v>
      </c>
      <c r="Y224" s="50">
        <f t="shared" si="246"/>
        <v>-75.808690936826395</v>
      </c>
      <c r="Z224" s="50">
        <f t="shared" si="246"/>
        <v>-102.04624290187022</v>
      </c>
      <c r="AA224" s="50">
        <f t="shared" ref="AA224" si="247">(AA237+AA249)/2</f>
        <v>-128.28379486691418</v>
      </c>
    </row>
    <row r="225" spans="17:27">
      <c r="Q225" s="683" t="s">
        <v>3915</v>
      </c>
      <c r="R225" s="564">
        <f t="shared" si="243"/>
        <v>0.12000000000000001</v>
      </c>
      <c r="S225" s="50">
        <f t="shared" ref="S225:Z225" si="248">(S238+S250)/2</f>
        <v>88.843893539130789</v>
      </c>
      <c r="T225" s="50">
        <f t="shared" si="248"/>
        <v>62.606341574087097</v>
      </c>
      <c r="U225" s="646">
        <f t="shared" si="248"/>
        <v>36.36878960904339</v>
      </c>
      <c r="V225" s="643">
        <f t="shared" si="248"/>
        <v>10.131237643999471</v>
      </c>
      <c r="W225" s="643">
        <f t="shared" si="248"/>
        <v>-16.106314321044362</v>
      </c>
      <c r="X225" s="643">
        <f t="shared" si="248"/>
        <v>-42.343866286088151</v>
      </c>
      <c r="Y225" s="643">
        <f t="shared" si="248"/>
        <v>-68.581418251131794</v>
      </c>
      <c r="Z225" s="50">
        <f t="shared" si="248"/>
        <v>-94.8189702161756</v>
      </c>
      <c r="AA225" s="50">
        <f t="shared" ref="AA225" si="249">(AA238+AA250)/2</f>
        <v>-121.05652218121958</v>
      </c>
    </row>
    <row r="226" spans="17:27">
      <c r="Q226" s="683"/>
      <c r="R226" s="564">
        <f t="shared" si="243"/>
        <v>0.13</v>
      </c>
      <c r="S226" s="50">
        <f t="shared" ref="S226:Z226" si="250">(S239+S251)/2</f>
        <v>96.071166224825006</v>
      </c>
      <c r="T226" s="50">
        <f t="shared" si="250"/>
        <v>69.833614259781314</v>
      </c>
      <c r="U226" s="646">
        <f t="shared" si="250"/>
        <v>43.596062294737592</v>
      </c>
      <c r="V226" s="646">
        <f t="shared" si="250"/>
        <v>17.358510329693679</v>
      </c>
      <c r="W226" s="643">
        <f t="shared" si="250"/>
        <v>-8.8790416353501627</v>
      </c>
      <c r="X226" s="643">
        <f t="shared" si="250"/>
        <v>-35.116593600393941</v>
      </c>
      <c r="Y226" s="643">
        <f t="shared" si="250"/>
        <v>-61.354145565437598</v>
      </c>
      <c r="Z226" s="50">
        <f t="shared" si="250"/>
        <v>-87.591697530481412</v>
      </c>
      <c r="AA226" s="50">
        <f t="shared" ref="AA226" si="251">(AA239+AA251)/2</f>
        <v>-113.82924949552537</v>
      </c>
    </row>
    <row r="227" spans="17:27">
      <c r="Q227" s="683"/>
      <c r="R227" s="564">
        <f t="shared" si="243"/>
        <v>0.14000000000000001</v>
      </c>
      <c r="S227" s="50">
        <f t="shared" ref="S227:Z227" si="252">(S240+S252)/2</f>
        <v>103.29843891051954</v>
      </c>
      <c r="T227" s="50">
        <f t="shared" si="252"/>
        <v>77.060886945475858</v>
      </c>
      <c r="U227" s="646">
        <f t="shared" si="252"/>
        <v>50.823334980432129</v>
      </c>
      <c r="V227" s="646">
        <f t="shared" si="252"/>
        <v>24.585783015388216</v>
      </c>
      <c r="W227" s="640">
        <f t="shared" si="252"/>
        <v>-1.6517689496556178</v>
      </c>
      <c r="X227" s="643">
        <f t="shared" si="252"/>
        <v>-27.889320914699404</v>
      </c>
      <c r="Y227" s="643">
        <f t="shared" si="252"/>
        <v>-54.126872879743068</v>
      </c>
      <c r="Z227" s="50">
        <f t="shared" si="252"/>
        <v>-80.364424844786853</v>
      </c>
      <c r="AA227" s="50">
        <f t="shared" ref="AA227" si="253">(AA240+AA252)/2</f>
        <v>-106.60197680983084</v>
      </c>
    </row>
    <row r="228" spans="17:27">
      <c r="Q228" s="683"/>
      <c r="R228" s="564">
        <f t="shared" si="243"/>
        <v>0.15000000000000002</v>
      </c>
      <c r="S228" s="50">
        <f t="shared" ref="S228:Z228" si="254">(S241+S253)/2</f>
        <v>110.52571159621374</v>
      </c>
      <c r="T228" s="50">
        <f t="shared" si="254"/>
        <v>84.288159631170032</v>
      </c>
      <c r="U228" s="646">
        <f t="shared" si="254"/>
        <v>58.050607666126304</v>
      </c>
      <c r="V228" s="646">
        <f t="shared" si="254"/>
        <v>31.813055701082412</v>
      </c>
      <c r="W228" s="646">
        <f t="shared" si="254"/>
        <v>5.575503736038562</v>
      </c>
      <c r="X228" s="643">
        <f t="shared" si="254"/>
        <v>-20.662048229005219</v>
      </c>
      <c r="Y228" s="643">
        <f t="shared" si="254"/>
        <v>-46.899600194048865</v>
      </c>
      <c r="Z228" s="50">
        <f t="shared" si="254"/>
        <v>-73.137152159092679</v>
      </c>
      <c r="AA228" s="50">
        <f t="shared" ref="AA228" si="255">(AA241+AA253)/2</f>
        <v>-99.374704124136628</v>
      </c>
    </row>
    <row r="229" spans="17:27">
      <c r="Q229" s="683"/>
      <c r="R229" s="564">
        <f t="shared" si="243"/>
        <v>0.16000000000000003</v>
      </c>
      <c r="S229" s="50">
        <f t="shared" ref="S229:Z229" si="256">(S242+S254)/2</f>
        <v>117.75298428190837</v>
      </c>
      <c r="T229" s="50">
        <f t="shared" si="256"/>
        <v>91.51543231686469</v>
      </c>
      <c r="U229" s="646">
        <f t="shared" si="256"/>
        <v>65.277880351820968</v>
      </c>
      <c r="V229" s="646">
        <f t="shared" si="256"/>
        <v>39.040328386777063</v>
      </c>
      <c r="W229" s="646">
        <f t="shared" si="256"/>
        <v>12.802776421733221</v>
      </c>
      <c r="X229" s="646">
        <f t="shared" si="256"/>
        <v>-13.434775543310565</v>
      </c>
      <c r="Y229" s="643">
        <f t="shared" si="256"/>
        <v>-39.672327508354208</v>
      </c>
      <c r="Z229" s="50">
        <f t="shared" si="256"/>
        <v>-65.909879473398021</v>
      </c>
      <c r="AA229" s="50">
        <f t="shared" ref="AA229" si="257">(AA242+AA254)/2</f>
        <v>-92.147431438442013</v>
      </c>
    </row>
    <row r="230" spans="17:27" hidden="1">
      <c r="R230" s="627">
        <f t="shared" si="243"/>
        <v>0.17000000000000004</v>
      </c>
      <c r="S230" s="50">
        <f t="shared" ref="S230:Z231" si="258">(S243+S255)/2</f>
        <v>124.98025696760266</v>
      </c>
      <c r="T230" s="50">
        <f t="shared" si="258"/>
        <v>98.742705002558978</v>
      </c>
      <c r="U230" s="50">
        <f t="shared" si="258"/>
        <v>72.505153037515257</v>
      </c>
      <c r="V230" s="50">
        <f t="shared" si="258"/>
        <v>46.267601072471358</v>
      </c>
      <c r="W230" s="50">
        <f t="shared" si="258"/>
        <v>20.030049107427512</v>
      </c>
      <c r="X230" s="50">
        <f t="shared" si="258"/>
        <v>-6.2075028576162765</v>
      </c>
      <c r="Y230" s="50">
        <f t="shared" si="258"/>
        <v>-32.445054822659927</v>
      </c>
      <c r="Z230" s="50">
        <f t="shared" si="258"/>
        <v>-58.682606787703733</v>
      </c>
      <c r="AA230" s="50">
        <f t="shared" ref="AA230" si="259">(AA243+AA255)/2</f>
        <v>-84.92015875274771</v>
      </c>
    </row>
    <row r="231" spans="17:27" hidden="1">
      <c r="R231" s="627">
        <f t="shared" si="243"/>
        <v>0.18000000000000005</v>
      </c>
      <c r="S231" s="50">
        <f t="shared" si="258"/>
        <v>132.2075296532974</v>
      </c>
      <c r="T231" s="50">
        <f t="shared" si="258"/>
        <v>105.96997768825371</v>
      </c>
      <c r="U231" s="50">
        <f t="shared" si="258"/>
        <v>79.73242572321</v>
      </c>
      <c r="V231" s="50">
        <f t="shared" si="258"/>
        <v>53.494873758166094</v>
      </c>
      <c r="W231" s="50">
        <f t="shared" si="258"/>
        <v>27.257321793122244</v>
      </c>
      <c r="X231" s="50">
        <f t="shared" si="258"/>
        <v>1.0197698280784522</v>
      </c>
      <c r="Y231" s="50">
        <f t="shared" si="258"/>
        <v>-25.217782136965198</v>
      </c>
      <c r="Z231" s="50">
        <f t="shared" si="258"/>
        <v>-51.455334102009012</v>
      </c>
      <c r="AA231" s="50">
        <f t="shared" ref="AA231" si="260">(AA244+AA256)/2</f>
        <v>-77.692886067052967</v>
      </c>
    </row>
    <row r="233" spans="17:27">
      <c r="R233" t="s">
        <v>3916</v>
      </c>
    </row>
    <row r="235" spans="17:27">
      <c r="R235" s="637">
        <f>I217</f>
        <v>36.9501636171847</v>
      </c>
      <c r="S235" s="632">
        <f t="shared" ref="S235:U235" si="261">T235-200</f>
        <v>5400</v>
      </c>
      <c r="T235" s="632">
        <f t="shared" si="261"/>
        <v>5600</v>
      </c>
      <c r="U235" s="632">
        <f t="shared" si="261"/>
        <v>5800</v>
      </c>
      <c r="V235" s="632">
        <f>W235-200</f>
        <v>6000</v>
      </c>
      <c r="W235" s="631">
        <v>6200</v>
      </c>
      <c r="X235" s="631">
        <f>W235+200</f>
        <v>6400</v>
      </c>
      <c r="Y235" s="631">
        <f t="shared" ref="Y235:AA235" si="262">X235+200</f>
        <v>6600</v>
      </c>
      <c r="Z235" s="631">
        <f t="shared" si="262"/>
        <v>6800</v>
      </c>
      <c r="AA235" s="631">
        <f t="shared" si="262"/>
        <v>7000</v>
      </c>
    </row>
    <row r="236" spans="17:27">
      <c r="R236" s="633">
        <f t="shared" ref="R236:R238" si="263">R237-1%</f>
        <v>0.10000000000000002</v>
      </c>
      <c r="S236" s="10">
        <f t="dataTable" ref="S236:AA244" dt2D="1" dtr="1" r1="I42" r2="I20" ca="1"/>
        <v>90.40137962960759</v>
      </c>
      <c r="T236" s="10">
        <v>53.247572242645049</v>
      </c>
      <c r="U236" s="10">
        <v>16.093764855682672</v>
      </c>
      <c r="V236" s="10">
        <v>-21.060042531280146</v>
      </c>
      <c r="W236" s="10">
        <v>-58.213849918242879</v>
      </c>
      <c r="X236" s="10">
        <v>-95.367657305205384</v>
      </c>
      <c r="Y236" s="10">
        <v>-132.52146469216788</v>
      </c>
      <c r="Z236" s="10">
        <v>-169.67527207913039</v>
      </c>
      <c r="AA236" s="10">
        <v>-206.8290794660933</v>
      </c>
    </row>
    <row r="237" spans="17:27">
      <c r="R237" s="633">
        <f t="shared" si="263"/>
        <v>0.11000000000000001</v>
      </c>
      <c r="S237" s="10">
        <v>100.19278569003339</v>
      </c>
      <c r="T237" s="10">
        <v>63.038978303070891</v>
      </c>
      <c r="U237" s="10">
        <v>25.885170916108496</v>
      </c>
      <c r="V237" s="10">
        <v>-11.268636470854316</v>
      </c>
      <c r="W237" s="10">
        <v>-48.422443857817044</v>
      </c>
      <c r="X237" s="10">
        <v>-85.576251244779542</v>
      </c>
      <c r="Y237" s="10">
        <v>-122.73005863174204</v>
      </c>
      <c r="Z237" s="10">
        <v>-159.88386601870459</v>
      </c>
      <c r="AA237" s="10">
        <v>-197.03767340566745</v>
      </c>
    </row>
    <row r="238" spans="17:27">
      <c r="R238" s="633">
        <f t="shared" si="263"/>
        <v>0.12000000000000001</v>
      </c>
      <c r="S238" s="10">
        <v>109.9841917504597</v>
      </c>
      <c r="T238" s="10">
        <v>72.830384363497188</v>
      </c>
      <c r="U238" s="10">
        <v>35.676576976534825</v>
      </c>
      <c r="V238" s="10">
        <v>-1.4772304104280043</v>
      </c>
      <c r="W238" s="10">
        <v>-38.631037797390739</v>
      </c>
      <c r="X238" s="10">
        <v>-75.78484518435323</v>
      </c>
      <c r="Y238" s="10">
        <v>-112.93865257131574</v>
      </c>
      <c r="Z238" s="10">
        <v>-150.09245995827828</v>
      </c>
      <c r="AA238" s="10">
        <v>-187.24626734524114</v>
      </c>
    </row>
    <row r="239" spans="17:27">
      <c r="R239" s="633">
        <f>R240-1%</f>
        <v>0.13</v>
      </c>
      <c r="S239" s="10">
        <v>119.77559781088533</v>
      </c>
      <c r="T239" s="10">
        <v>82.621790423922818</v>
      </c>
      <c r="U239" s="10">
        <v>45.467983036960455</v>
      </c>
      <c r="V239" s="10">
        <v>8.3141756499976314</v>
      </c>
      <c r="W239" s="10">
        <v>-28.839631736965114</v>
      </c>
      <c r="X239" s="10">
        <v>-65.993439123927587</v>
      </c>
      <c r="Y239" s="10">
        <v>-103.14724651089013</v>
      </c>
      <c r="Z239" s="10">
        <v>-140.30105389785265</v>
      </c>
      <c r="AA239" s="10">
        <v>-177.45486128481551</v>
      </c>
    </row>
    <row r="240" spans="17:27">
      <c r="R240" s="633">
        <v>0.14000000000000001</v>
      </c>
      <c r="S240" s="10">
        <v>129.56700387131136</v>
      </c>
      <c r="T240" s="10">
        <v>92.41319648434883</v>
      </c>
      <c r="U240" s="10">
        <v>55.259389097386482</v>
      </c>
      <c r="V240" s="10">
        <v>18.105581710423653</v>
      </c>
      <c r="W240" s="628">
        <v>-19.04822567653909</v>
      </c>
      <c r="X240" s="10">
        <v>-56.202033063501574</v>
      </c>
      <c r="Y240" s="10">
        <v>-93.355840450464129</v>
      </c>
      <c r="Z240" s="10">
        <v>-130.50964783742663</v>
      </c>
      <c r="AA240" s="10">
        <v>-167.66345522438951</v>
      </c>
    </row>
    <row r="241" spans="18:27">
      <c r="R241" s="633">
        <f>R240+1%</f>
        <v>0.15000000000000002</v>
      </c>
      <c r="S241" s="10">
        <v>139.35840993173696</v>
      </c>
      <c r="T241" s="10">
        <v>102.20460254477443</v>
      </c>
      <c r="U241" s="10">
        <v>65.050795157812061</v>
      </c>
      <c r="V241" s="10">
        <v>27.896987770849254</v>
      </c>
      <c r="W241" s="10">
        <v>-9.2568196161135017</v>
      </c>
      <c r="X241" s="10">
        <v>-46.410627003075987</v>
      </c>
      <c r="Y241" s="10">
        <v>-83.5644343900385</v>
      </c>
      <c r="Z241" s="10">
        <v>-120.71824177700105</v>
      </c>
      <c r="AA241" s="10">
        <v>-157.87204916396388</v>
      </c>
    </row>
    <row r="242" spans="18:27">
      <c r="R242" s="633">
        <f t="shared" ref="R242:R244" si="264">R241+1%</f>
        <v>0.16000000000000003</v>
      </c>
      <c r="S242" s="10">
        <v>149.14981599216304</v>
      </c>
      <c r="T242" s="10">
        <v>111.99600860520053</v>
      </c>
      <c r="U242" s="10">
        <v>74.842201218238174</v>
      </c>
      <c r="V242" s="10">
        <v>37.688393831275363</v>
      </c>
      <c r="W242" s="10">
        <v>0.53458644431260915</v>
      </c>
      <c r="X242" s="10">
        <v>-36.619220942649882</v>
      </c>
      <c r="Y242" s="10">
        <v>-73.773028329612387</v>
      </c>
      <c r="Z242" s="10">
        <v>-110.92683571657493</v>
      </c>
      <c r="AA242" s="10">
        <v>-148.08064310353782</v>
      </c>
    </row>
    <row r="243" spans="18:27">
      <c r="R243" s="633">
        <f t="shared" si="264"/>
        <v>0.17000000000000004</v>
      </c>
      <c r="S243" s="10">
        <v>158.94122205258884</v>
      </c>
      <c r="T243" s="10">
        <v>121.78741466562633</v>
      </c>
      <c r="U243" s="10">
        <v>84.633607278663973</v>
      </c>
      <c r="V243" s="10">
        <v>47.479799891701177</v>
      </c>
      <c r="W243" s="10">
        <v>10.325992504738412</v>
      </c>
      <c r="X243" s="10">
        <v>-26.827814882224082</v>
      </c>
      <c r="Y243" s="10">
        <v>-63.981622269186595</v>
      </c>
      <c r="Z243" s="10">
        <v>-101.13542965614913</v>
      </c>
      <c r="AA243" s="10">
        <v>-138.289237043112</v>
      </c>
    </row>
    <row r="244" spans="18:27">
      <c r="R244" s="633">
        <f t="shared" si="264"/>
        <v>0.18000000000000005</v>
      </c>
      <c r="S244" s="10">
        <v>168.73262811301527</v>
      </c>
      <c r="T244" s="10">
        <v>131.57882072605273</v>
      </c>
      <c r="U244" s="10">
        <v>94.425013339090398</v>
      </c>
      <c r="V244" s="10">
        <v>57.27120595212758</v>
      </c>
      <c r="W244" s="10">
        <v>20.117398565164816</v>
      </c>
      <c r="X244" s="10">
        <v>-17.036408821797689</v>
      </c>
      <c r="Y244" s="10">
        <v>-54.190216208760212</v>
      </c>
      <c r="Z244" s="10">
        <v>-91.344023595722746</v>
      </c>
      <c r="AA244" s="10">
        <v>-128.49783098268557</v>
      </c>
    </row>
    <row r="245" spans="18:27">
      <c r="AA245" s="10"/>
    </row>
    <row r="246" spans="18:27">
      <c r="R246" t="s">
        <v>126</v>
      </c>
      <c r="AA246" s="10"/>
    </row>
    <row r="247" spans="18:27">
      <c r="R247" s="630">
        <f>I218</f>
        <v>50.719796784586578</v>
      </c>
      <c r="S247" s="156">
        <f>S235</f>
        <v>5400</v>
      </c>
      <c r="T247" s="156">
        <f t="shared" ref="T247:AA247" si="265">T235</f>
        <v>5600</v>
      </c>
      <c r="U247" s="156">
        <f t="shared" si="265"/>
        <v>5800</v>
      </c>
      <c r="V247" s="156">
        <f t="shared" si="265"/>
        <v>6000</v>
      </c>
      <c r="W247" s="156">
        <f t="shared" si="265"/>
        <v>6200</v>
      </c>
      <c r="X247" s="156">
        <f t="shared" si="265"/>
        <v>6400</v>
      </c>
      <c r="Y247" s="156">
        <f t="shared" si="265"/>
        <v>6600</v>
      </c>
      <c r="Z247" s="156">
        <f t="shared" si="265"/>
        <v>6800</v>
      </c>
      <c r="AA247" s="640">
        <f t="shared" si="265"/>
        <v>7000</v>
      </c>
    </row>
    <row r="248" spans="18:27">
      <c r="R248" s="627">
        <f>R236</f>
        <v>0.10000000000000002</v>
      </c>
      <c r="S248" s="10">
        <f t="dataTable" ref="S248:AA256" dt2D="1" dtr="1" r1="I42" r2="I20"/>
        <v>58.377316705876034</v>
      </c>
      <c r="T248" s="10">
        <v>43.056020162751189</v>
      </c>
      <c r="U248" s="10">
        <v>27.734723619626106</v>
      </c>
      <c r="V248" s="10">
        <v>12.413427076501094</v>
      </c>
      <c r="W248" s="10">
        <v>-2.9078694666238389</v>
      </c>
      <c r="X248" s="10">
        <v>-18.229166009748923</v>
      </c>
      <c r="Y248" s="10">
        <v>-33.55046255287369</v>
      </c>
      <c r="Z248" s="10">
        <v>-48.871759095998783</v>
      </c>
      <c r="AA248" s="10">
        <v>-64.19305563912387</v>
      </c>
    </row>
    <row r="249" spans="18:27">
      <c r="R249" s="627">
        <f t="shared" ref="R249:R256" si="266">R237</f>
        <v>0.11000000000000001</v>
      </c>
      <c r="S249" s="10">
        <v>63.040456016838959</v>
      </c>
      <c r="T249" s="10">
        <v>47.719159473714114</v>
      </c>
      <c r="U249" s="10">
        <v>32.397862930589035</v>
      </c>
      <c r="V249" s="10">
        <v>17.076566387464027</v>
      </c>
      <c r="W249" s="10">
        <v>1.7552698443390904</v>
      </c>
      <c r="X249" s="10">
        <v>-13.566026698785992</v>
      </c>
      <c r="Y249" s="10">
        <v>-28.887323241910764</v>
      </c>
      <c r="Z249" s="10">
        <v>-44.208619785035843</v>
      </c>
      <c r="AA249" s="10">
        <v>-59.529916328160922</v>
      </c>
    </row>
    <row r="250" spans="18:27">
      <c r="R250" s="627">
        <f t="shared" si="266"/>
        <v>0.12000000000000001</v>
      </c>
      <c r="S250" s="10">
        <v>67.703595327801878</v>
      </c>
      <c r="T250" s="10">
        <v>52.382298784677012</v>
      </c>
      <c r="U250" s="10">
        <v>37.061002241551954</v>
      </c>
      <c r="V250" s="10">
        <v>21.739705698426945</v>
      </c>
      <c r="W250" s="10">
        <v>6.4184091553020153</v>
      </c>
      <c r="X250" s="10">
        <v>-8.9028873878230712</v>
      </c>
      <c r="Y250" s="10">
        <v>-24.224183930947842</v>
      </c>
      <c r="Z250" s="10">
        <v>-39.545480474072924</v>
      </c>
      <c r="AA250" s="10">
        <v>-54.866777017198018</v>
      </c>
    </row>
    <row r="251" spans="18:27">
      <c r="R251" s="627">
        <f t="shared" si="266"/>
        <v>0.13</v>
      </c>
      <c r="S251" s="10">
        <v>72.366734638764683</v>
      </c>
      <c r="T251" s="10">
        <v>57.04543809563981</v>
      </c>
      <c r="U251" s="10">
        <v>41.72414155251473</v>
      </c>
      <c r="V251" s="10">
        <v>26.402845009389726</v>
      </c>
      <c r="W251" s="10">
        <v>11.08154846626479</v>
      </c>
      <c r="X251" s="10">
        <v>-4.2397480768602991</v>
      </c>
      <c r="Y251" s="10">
        <v>-19.561044619985068</v>
      </c>
      <c r="Z251" s="10">
        <v>-34.882341163110155</v>
      </c>
      <c r="AA251" s="10">
        <v>-50.203637706235234</v>
      </c>
    </row>
    <row r="252" spans="18:27">
      <c r="R252" s="627">
        <f t="shared" si="266"/>
        <v>0.14000000000000001</v>
      </c>
      <c r="S252" s="10">
        <v>77.029873949727715</v>
      </c>
      <c r="T252" s="10">
        <v>61.70857740660287</v>
      </c>
      <c r="U252" s="10">
        <v>46.387280863477777</v>
      </c>
      <c r="V252" s="10">
        <v>31.065984320352779</v>
      </c>
      <c r="W252" s="628">
        <v>15.744687777227854</v>
      </c>
      <c r="X252" s="10">
        <v>0.42339123410276519</v>
      </c>
      <c r="Y252" s="10">
        <v>-14.897905309022011</v>
      </c>
      <c r="Z252" s="10">
        <v>-30.219201852147087</v>
      </c>
      <c r="AA252" s="10">
        <v>-45.540498395272174</v>
      </c>
    </row>
    <row r="253" spans="18:27">
      <c r="R253" s="627">
        <f t="shared" si="266"/>
        <v>0.15000000000000002</v>
      </c>
      <c r="S253" s="10">
        <v>81.693013260690506</v>
      </c>
      <c r="T253" s="10">
        <v>66.371716717565633</v>
      </c>
      <c r="U253" s="10">
        <v>51.050420174440546</v>
      </c>
      <c r="V253" s="10">
        <v>35.729123631315566</v>
      </c>
      <c r="W253" s="10">
        <v>20.407827088190626</v>
      </c>
      <c r="X253" s="10">
        <v>5.0865305450655471</v>
      </c>
      <c r="Y253" s="10">
        <v>-10.234765998059233</v>
      </c>
      <c r="Z253" s="10">
        <v>-25.556062541184314</v>
      </c>
      <c r="AA253" s="10">
        <v>-40.87735908430939</v>
      </c>
    </row>
    <row r="254" spans="18:27">
      <c r="R254" s="627">
        <f t="shared" si="266"/>
        <v>0.16000000000000003</v>
      </c>
      <c r="S254" s="10">
        <v>86.356152571653709</v>
      </c>
      <c r="T254" s="10">
        <v>71.03485602852885</v>
      </c>
      <c r="U254" s="10">
        <v>55.713559485403771</v>
      </c>
      <c r="V254" s="10">
        <v>40.392262942278769</v>
      </c>
      <c r="W254" s="10">
        <v>25.070966399153832</v>
      </c>
      <c r="X254" s="10">
        <v>9.7496698560287527</v>
      </c>
      <c r="Y254" s="10">
        <v>-5.57162668709603</v>
      </c>
      <c r="Z254" s="10">
        <v>-20.892923230221108</v>
      </c>
      <c r="AA254" s="10">
        <v>-36.214219773346194</v>
      </c>
    </row>
    <row r="255" spans="18:27">
      <c r="R255" s="627">
        <f t="shared" si="266"/>
        <v>0.17000000000000004</v>
      </c>
      <c r="S255" s="10">
        <v>91.019291882616471</v>
      </c>
      <c r="T255" s="10">
        <v>75.697995339491627</v>
      </c>
      <c r="U255" s="10">
        <v>60.37669879636654</v>
      </c>
      <c r="V255" s="10">
        <v>45.055402253241539</v>
      </c>
      <c r="W255" s="10">
        <v>29.734105710116612</v>
      </c>
      <c r="X255" s="10">
        <v>14.412809166991529</v>
      </c>
      <c r="Y255" s="10">
        <v>-0.90848737613325226</v>
      </c>
      <c r="Z255" s="10">
        <v>-16.229783919258335</v>
      </c>
      <c r="AA255" s="10">
        <v>-31.551080462383418</v>
      </c>
    </row>
    <row r="256" spans="18:27">
      <c r="R256" s="627">
        <f t="shared" si="266"/>
        <v>0.18000000000000005</v>
      </c>
      <c r="S256" s="10">
        <v>95.682431193579546</v>
      </c>
      <c r="T256" s="10">
        <v>80.361134650454687</v>
      </c>
      <c r="U256" s="10">
        <v>65.039838107329601</v>
      </c>
      <c r="V256" s="10">
        <v>49.7185415642046</v>
      </c>
      <c r="W256" s="10">
        <v>34.397245021079677</v>
      </c>
      <c r="X256" s="10">
        <v>19.075948477954594</v>
      </c>
      <c r="Y256" s="10">
        <v>3.7546519348298162</v>
      </c>
      <c r="Z256" s="10">
        <v>-11.566644608295272</v>
      </c>
      <c r="AA256" s="10">
        <v>-26.887941151420353</v>
      </c>
    </row>
    <row r="257" spans="15:27">
      <c r="AA257" s="10"/>
    </row>
    <row r="258" spans="15:27">
      <c r="R258" t="s">
        <v>3948</v>
      </c>
      <c r="W258">
        <f>Summary!J42</f>
        <v>60</v>
      </c>
      <c r="AA258" s="10"/>
    </row>
    <row r="259" spans="15:27">
      <c r="AA259" s="10"/>
    </row>
    <row r="260" spans="15:27">
      <c r="W260" t="s">
        <v>3960</v>
      </c>
      <c r="AA260" s="10"/>
    </row>
    <row r="261" spans="15:27">
      <c r="U261" s="137">
        <v>-0.1</v>
      </c>
      <c r="V261" s="137">
        <v>-0.05</v>
      </c>
      <c r="X261" s="137">
        <v>0.05</v>
      </c>
      <c r="Y261" s="137">
        <v>0.1</v>
      </c>
      <c r="AA261" s="10"/>
    </row>
    <row r="262" spans="15:27">
      <c r="O262" s="10"/>
      <c r="R262">
        <f>W258</f>
        <v>60</v>
      </c>
      <c r="U262">
        <f>$W$262*(1+U261)</f>
        <v>6458.4000000000005</v>
      </c>
      <c r="V262">
        <f>$W$262*(1+V261)</f>
        <v>6817.2</v>
      </c>
      <c r="W262" s="15">
        <v>7176</v>
      </c>
      <c r="X262">
        <f>$W$262*(1+X261)</f>
        <v>7534.8</v>
      </c>
      <c r="Y262">
        <f>$W$262*(1+Y261)</f>
        <v>7893.6</v>
      </c>
    </row>
    <row r="263" spans="15:27">
      <c r="O263" s="10"/>
      <c r="R263" s="410">
        <f>R264-5%</f>
        <v>4.9999999999999989E-2</v>
      </c>
      <c r="S263">
        <f t="dataTable" ref="S263:Y267" dt2D="1" dtr="1" r1="J42" r2="J63" ca="1"/>
        <v>983</v>
      </c>
      <c r="T263">
        <v>983</v>
      </c>
      <c r="U263">
        <v>146</v>
      </c>
      <c r="V263">
        <v>100</v>
      </c>
      <c r="W263">
        <v>53</v>
      </c>
      <c r="X263">
        <v>7</v>
      </c>
      <c r="Y263">
        <v>-40</v>
      </c>
    </row>
    <row r="264" spans="15:27">
      <c r="O264" s="10"/>
      <c r="R264" s="410">
        <f>R265-5%</f>
        <v>9.9999999999999992E-2</v>
      </c>
      <c r="S264">
        <v>1031</v>
      </c>
      <c r="T264">
        <v>1031</v>
      </c>
      <c r="U264">
        <v>154</v>
      </c>
      <c r="V264">
        <v>105</v>
      </c>
      <c r="W264">
        <v>56</v>
      </c>
      <c r="X264">
        <v>8</v>
      </c>
      <c r="Y264">
        <v>-41</v>
      </c>
    </row>
    <row r="265" spans="15:27">
      <c r="O265" s="10"/>
      <c r="Q265" t="s">
        <v>3959</v>
      </c>
      <c r="R265" s="137">
        <v>0.15</v>
      </c>
      <c r="S265">
        <v>1078</v>
      </c>
      <c r="T265">
        <v>1078</v>
      </c>
      <c r="U265">
        <v>162</v>
      </c>
      <c r="V265">
        <v>111</v>
      </c>
      <c r="W265">
        <v>60</v>
      </c>
      <c r="X265">
        <v>9</v>
      </c>
      <c r="Y265">
        <v>-42</v>
      </c>
    </row>
    <row r="266" spans="15:27">
      <c r="R266" s="410">
        <f>R265+5%</f>
        <v>0.2</v>
      </c>
      <c r="S266">
        <v>1126</v>
      </c>
      <c r="T266">
        <v>1126</v>
      </c>
      <c r="U266">
        <v>169</v>
      </c>
      <c r="V266">
        <v>116</v>
      </c>
      <c r="W266">
        <v>63</v>
      </c>
      <c r="X266">
        <v>10</v>
      </c>
      <c r="Y266">
        <v>-43</v>
      </c>
    </row>
    <row r="267" spans="15:27">
      <c r="R267" s="410">
        <f>R266+5%</f>
        <v>0.25</v>
      </c>
      <c r="S267">
        <v>1173</v>
      </c>
      <c r="T267">
        <v>1173</v>
      </c>
      <c r="U267">
        <v>177</v>
      </c>
      <c r="V267">
        <v>121</v>
      </c>
      <c r="W267">
        <v>66</v>
      </c>
      <c r="X267">
        <v>11</v>
      </c>
      <c r="Y267">
        <v>-45</v>
      </c>
    </row>
  </sheetData>
  <mergeCells count="2">
    <mergeCell ref="H1:I2"/>
    <mergeCell ref="Q225:Q229"/>
  </mergeCells>
  <conditionalFormatting sqref="H1">
    <cfRule type="containsText" dxfId="51" priority="57" operator="containsText" text="SELL">
      <formula>NOT(ISERROR(SEARCH("SELL",H1)))</formula>
    </cfRule>
    <cfRule type="containsText" dxfId="50" priority="58" operator="containsText" text="HOLD">
      <formula>NOT(ISERROR(SEARCH("HOLD",H1)))</formula>
    </cfRule>
    <cfRule type="containsText" dxfId="49" priority="59" operator="containsText" text="BUY">
      <formula>NOT(ISERROR(SEARCH("BUY",H1)))</formula>
    </cfRule>
    <cfRule type="containsText" dxfId="48" priority="60" operator="containsText" text="STRONG BUY">
      <formula>NOT(ISERROR(SEARCH("STRONG BUY",H1)))</formula>
    </cfRule>
  </conditionalFormatting>
  <conditionalFormatting sqref="I193:K193">
    <cfRule type="cellIs" dxfId="47" priority="56" operator="lessThan">
      <formula>0</formula>
    </cfRule>
  </conditionalFormatting>
  <conditionalFormatting sqref="I190:K190">
    <cfRule type="cellIs" dxfId="46" priority="55" operator="lessThan">
      <formula>0</formula>
    </cfRule>
  </conditionalFormatting>
  <conditionalFormatting sqref="I187:K187">
    <cfRule type="cellIs" dxfId="45" priority="54" operator="lessThan">
      <formula>0</formula>
    </cfRule>
  </conditionalFormatting>
  <conditionalFormatting sqref="I195:K195">
    <cfRule type="cellIs" dxfId="44" priority="53" operator="lessThan">
      <formula>0</formula>
    </cfRule>
  </conditionalFormatting>
  <conditionalFormatting sqref="I209:K209">
    <cfRule type="cellIs" dxfId="43" priority="52" operator="lessThan">
      <formula>0</formula>
    </cfRule>
  </conditionalFormatting>
  <conditionalFormatting sqref="I206:K206">
    <cfRule type="cellIs" dxfId="42" priority="51" operator="lessThan">
      <formula>0</formula>
    </cfRule>
  </conditionalFormatting>
  <conditionalFormatting sqref="I208:K208">
    <cfRule type="cellIs" dxfId="41" priority="50" operator="lessThan">
      <formula>0</formula>
    </cfRule>
  </conditionalFormatting>
  <conditionalFormatting sqref="I205:K205">
    <cfRule type="cellIs" dxfId="40" priority="49" operator="lessThan">
      <formula>0</formula>
    </cfRule>
  </conditionalFormatting>
  <conditionalFormatting sqref="L193">
    <cfRule type="cellIs" dxfId="39" priority="24" operator="lessThan">
      <formula>0</formula>
    </cfRule>
  </conditionalFormatting>
  <conditionalFormatting sqref="L190">
    <cfRule type="cellIs" dxfId="38" priority="23" operator="lessThan">
      <formula>0</formula>
    </cfRule>
  </conditionalFormatting>
  <conditionalFormatting sqref="L187">
    <cfRule type="cellIs" dxfId="37" priority="22" operator="lessThan">
      <formula>0</formula>
    </cfRule>
  </conditionalFormatting>
  <conditionalFormatting sqref="L195">
    <cfRule type="cellIs" dxfId="36" priority="21" operator="lessThan">
      <formula>0</formula>
    </cfRule>
  </conditionalFormatting>
  <conditionalFormatting sqref="L209">
    <cfRule type="cellIs" dxfId="35" priority="20" operator="lessThan">
      <formula>0</formula>
    </cfRule>
  </conditionalFormatting>
  <conditionalFormatting sqref="L206">
    <cfRule type="cellIs" dxfId="34" priority="19" operator="lessThan">
      <formula>0</formula>
    </cfRule>
  </conditionalFormatting>
  <conditionalFormatting sqref="L208">
    <cfRule type="cellIs" dxfId="33" priority="18" operator="lessThan">
      <formula>0</formula>
    </cfRule>
  </conditionalFormatting>
  <conditionalFormatting sqref="L205">
    <cfRule type="cellIs" dxfId="32" priority="17" operator="lessThan">
      <formula>0</formula>
    </cfRule>
  </conditionalFormatting>
  <conditionalFormatting sqref="M193">
    <cfRule type="cellIs" dxfId="31" priority="16" operator="lessThan">
      <formula>0</formula>
    </cfRule>
  </conditionalFormatting>
  <conditionalFormatting sqref="M190">
    <cfRule type="cellIs" dxfId="30" priority="15" operator="lessThan">
      <formula>0</formula>
    </cfRule>
  </conditionalFormatting>
  <conditionalFormatting sqref="M187">
    <cfRule type="cellIs" dxfId="29" priority="14" operator="lessThan">
      <formula>0</formula>
    </cfRule>
  </conditionalFormatting>
  <conditionalFormatting sqref="M195">
    <cfRule type="cellIs" dxfId="28" priority="13" operator="lessThan">
      <formula>0</formula>
    </cfRule>
  </conditionalFormatting>
  <conditionalFormatting sqref="M209">
    <cfRule type="cellIs" dxfId="27" priority="12" operator="lessThan">
      <formula>0</formula>
    </cfRule>
  </conditionalFormatting>
  <conditionalFormatting sqref="M206">
    <cfRule type="cellIs" dxfId="26" priority="11" operator="lessThan">
      <formula>0</formula>
    </cfRule>
  </conditionalFormatting>
  <conditionalFormatting sqref="M208">
    <cfRule type="cellIs" dxfId="25" priority="10" operator="lessThan">
      <formula>0</formula>
    </cfRule>
  </conditionalFormatting>
  <conditionalFormatting sqref="M205">
    <cfRule type="cellIs" dxfId="24" priority="9" operator="lessThan">
      <formula>0</formula>
    </cfRule>
  </conditionalFormatting>
  <conditionalFormatting sqref="N193">
    <cfRule type="cellIs" dxfId="23" priority="8" operator="lessThan">
      <formula>0</formula>
    </cfRule>
  </conditionalFormatting>
  <conditionalFormatting sqref="N190">
    <cfRule type="cellIs" dxfId="22" priority="7" operator="lessThan">
      <formula>0</formula>
    </cfRule>
  </conditionalFormatting>
  <conditionalFormatting sqref="N187">
    <cfRule type="cellIs" dxfId="21" priority="6" operator="lessThan">
      <formula>0</formula>
    </cfRule>
  </conditionalFormatting>
  <conditionalFormatting sqref="N195">
    <cfRule type="cellIs" dxfId="20" priority="5" operator="lessThan">
      <formula>0</formula>
    </cfRule>
  </conditionalFormatting>
  <conditionalFormatting sqref="N209">
    <cfRule type="cellIs" dxfId="19" priority="4" operator="lessThan">
      <formula>0</formula>
    </cfRule>
  </conditionalFormatting>
  <conditionalFormatting sqref="N206">
    <cfRule type="cellIs" dxfId="18" priority="3" operator="lessThan">
      <formula>0</formula>
    </cfRule>
  </conditionalFormatting>
  <conditionalFormatting sqref="N208">
    <cfRule type="cellIs" dxfId="17" priority="2" operator="lessThan">
      <formula>0</formula>
    </cfRule>
  </conditionalFormatting>
  <conditionalFormatting sqref="N205">
    <cfRule type="cellIs" dxfId="16" priority="1" operator="lessThan">
      <formula>0</formula>
    </cfRule>
  </conditionalFormatting>
  <pageMargins left="0.7" right="0.7" top="0.75" bottom="0.75" header="0.3" footer="0.3"/>
  <pageSetup orientation="portrait" verticalDpi="0" r:id="rId1"/>
  <ignoredErrors>
    <ignoredError sqref="E19" formula="1"/>
  </ignoredError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O123"/>
  <sheetViews>
    <sheetView showGridLines="0" workbookViewId="0">
      <pane xSplit="1" ySplit="3" topLeftCell="B4" activePane="bottomRight" state="frozen"/>
      <selection activeCell="J2" sqref="J2"/>
      <selection pane="topRight" activeCell="J2" sqref="J2"/>
      <selection pane="bottomLeft" activeCell="J2" sqref="J2"/>
      <selection pane="bottomRight" activeCell="J19" sqref="J19"/>
    </sheetView>
  </sheetViews>
  <sheetFormatPr defaultRowHeight="14.4"/>
  <cols>
    <col min="1" max="1" width="30.44140625" customWidth="1"/>
    <col min="2" max="15" width="10.6640625" customWidth="1"/>
  </cols>
  <sheetData>
    <row r="1" spans="1:15" ht="15" customHeight="1">
      <c r="A1" s="3" t="s">
        <v>0</v>
      </c>
      <c r="B1" s="2"/>
      <c r="C1" s="148" t="str">
        <f>Summary!$A$31</f>
        <v>DDM</v>
      </c>
      <c r="D1" s="148" t="str">
        <f>Summary!$A$32</f>
        <v>FCFE</v>
      </c>
      <c r="E1" s="148" t="str">
        <f>Summary!$A$33</f>
        <v>PER</v>
      </c>
      <c r="F1" s="148" t="str">
        <f>Summary!$A$34</f>
        <v>PBV</v>
      </c>
      <c r="G1" s="148" t="str">
        <f>Summary!$A$35</f>
        <v>EV/EBITDA</v>
      </c>
      <c r="H1" s="682" t="str">
        <f ca="1">Summary!$J$45</f>
        <v>SELL</v>
      </c>
      <c r="I1" s="682"/>
      <c r="J1" s="148" t="str">
        <f>Summary!A41</f>
        <v>Fair value</v>
      </c>
      <c r="K1" s="2"/>
      <c r="L1" s="2"/>
      <c r="M1" s="2"/>
      <c r="N1" s="2"/>
      <c r="O1" s="2"/>
    </row>
    <row r="2" spans="1:15" ht="15" customHeight="1">
      <c r="A2" s="3" t="s">
        <v>340</v>
      </c>
      <c r="B2" s="6"/>
      <c r="C2" s="149"/>
      <c r="D2" s="149">
        <f>Summary!J32</f>
        <v>32.51756655746712</v>
      </c>
      <c r="E2" s="149">
        <f>Summary!J33</f>
        <v>86.898258961539284</v>
      </c>
      <c r="F2" s="149"/>
      <c r="G2" s="149"/>
      <c r="H2" s="682"/>
      <c r="I2" s="682"/>
      <c r="J2" s="149">
        <f>Summary!$J$41</f>
        <v>59.707912759503202</v>
      </c>
      <c r="K2" s="6"/>
      <c r="L2" s="6"/>
      <c r="M2" s="6"/>
      <c r="N2" s="6"/>
      <c r="O2" s="6"/>
    </row>
    <row r="3" spans="1:15">
      <c r="A3" s="3" t="s">
        <v>104</v>
      </c>
      <c r="B3" s="6" t="str">
        <f>Cashflow!B3</f>
        <v>FY11</v>
      </c>
      <c r="C3" s="6" t="str">
        <f>Cashflow!C3</f>
        <v>FY12</v>
      </c>
      <c r="D3" s="6" t="str">
        <f>Cashflow!D3</f>
        <v>FY13</v>
      </c>
      <c r="E3" s="6" t="str">
        <f>Cashflow!E3</f>
        <v>FY14</v>
      </c>
      <c r="F3" s="6" t="str">
        <f>Cashflow!F3</f>
        <v>FY15</v>
      </c>
      <c r="G3" s="6" t="str">
        <f>Cashflow!G3</f>
        <v>FY16</v>
      </c>
      <c r="H3" s="6" t="str">
        <f>Cashflow!H3</f>
        <v>FY17</v>
      </c>
      <c r="I3" s="6" t="str">
        <f>Cashflow!I3</f>
        <v>FY18E</v>
      </c>
      <c r="J3" s="6" t="str">
        <f>Cashflow!J3</f>
        <v>FY19E</v>
      </c>
      <c r="K3" s="6" t="str">
        <f>Cashflow!K3</f>
        <v>FY20E</v>
      </c>
      <c r="L3" s="6" t="str">
        <f>Cashflow!L3</f>
        <v>FY21E</v>
      </c>
      <c r="M3" s="6" t="str">
        <f>Cashflow!M3</f>
        <v>FY22E</v>
      </c>
      <c r="N3" s="6" t="str">
        <f>Cashflow!N3</f>
        <v>FY23E</v>
      </c>
      <c r="O3" s="6" t="s">
        <v>2854</v>
      </c>
    </row>
    <row r="4" spans="1:15">
      <c r="A4" s="3" t="s">
        <v>428</v>
      </c>
      <c r="B4" s="6"/>
      <c r="C4" s="6"/>
      <c r="D4" s="6"/>
      <c r="E4" s="6"/>
      <c r="F4" s="6"/>
      <c r="G4" s="6"/>
      <c r="H4" s="6"/>
      <c r="I4" s="6"/>
      <c r="J4" s="6"/>
      <c r="K4" s="6"/>
      <c r="L4" s="6"/>
      <c r="M4" s="6"/>
      <c r="N4" s="6"/>
      <c r="O4" s="6"/>
    </row>
    <row r="5" spans="1:15">
      <c r="A5" s="173" t="str">
        <f>'IS &amp; BS'!A4</f>
        <v>Revenue</v>
      </c>
      <c r="B5" s="183" t="str">
        <f>IFERROR('IS &amp; BS'!B4/'IS &amp; BS'!A4-1,"NA")</f>
        <v>NA</v>
      </c>
      <c r="C5" s="174">
        <f>IFERROR('IS &amp; BS'!C4/'IS &amp; BS'!B4-1,"NA")</f>
        <v>7.6951584437137344E-2</v>
      </c>
      <c r="D5" s="174">
        <f>IFERROR('IS &amp; BS'!D4/'IS &amp; BS'!C4-1,"NA")</f>
        <v>9.9002785480608813E-2</v>
      </c>
      <c r="E5" s="174">
        <f>IFERROR('IS &amp; BS'!E4/'IS &amp; BS'!D4-1,"NA")</f>
        <v>1.062473588243007E-2</v>
      </c>
      <c r="F5" s="174">
        <f>IFERROR('IS &amp; BS'!F4/'IS &amp; BS'!E4-1,"NA")</f>
        <v>0.26036602869852032</v>
      </c>
      <c r="G5" s="174">
        <f>IFERROR('IS &amp; BS'!G4/'IS &amp; BS'!F4-1,"NA")</f>
        <v>-0.11201119881867883</v>
      </c>
      <c r="H5" s="174">
        <f>IFERROR('IS &amp; BS'!H4/'IS &amp; BS'!G4-1,"NA")</f>
        <v>0.14506896452673046</v>
      </c>
      <c r="I5" s="174">
        <f>IFERROR('IS &amp; BS'!I4/'IS &amp; BS'!H4-1,"NA")</f>
        <v>0.43007562954520995</v>
      </c>
      <c r="J5" s="174">
        <f>IFERROR('IS &amp; BS'!J4/'IS &amp; BS'!I4-1,"NA")</f>
        <v>0.26186028823058449</v>
      </c>
      <c r="K5" s="174">
        <f>IFERROR('IS &amp; BS'!K4/'IS &amp; BS'!J4-1,"NA")</f>
        <v>0.13516889871505811</v>
      </c>
      <c r="L5" s="174">
        <f>IFERROR('IS &amp; BS'!L4/'IS &amp; BS'!K4-1,"NA")</f>
        <v>0.14487159438910657</v>
      </c>
      <c r="M5" s="174">
        <f>IFERROR('IS &amp; BS'!M4/'IS &amp; BS'!L4-1,"NA")</f>
        <v>4.8080441789583483E-2</v>
      </c>
      <c r="N5" s="174">
        <f>IFERROR('IS &amp; BS'!N4/'IS &amp; BS'!M4-1,"NA")</f>
        <v>0.10511408692967206</v>
      </c>
      <c r="O5" s="170"/>
    </row>
    <row r="6" spans="1:15">
      <c r="A6" t="str">
        <f>'IS &amp; BS'!A5</f>
        <v>Cost of Sales</v>
      </c>
      <c r="B6" s="172" t="str">
        <f>IFERROR('IS &amp; BS'!B5/'IS &amp; BS'!A5-1,"NA")</f>
        <v>NA</v>
      </c>
      <c r="C6" s="26">
        <f>IFERROR('IS &amp; BS'!C5/'IS &amp; BS'!B5-1,"NA")</f>
        <v>3.7920948400673282E-2</v>
      </c>
      <c r="D6" s="26">
        <f>IFERROR('IS &amp; BS'!D5/'IS &amp; BS'!C5-1,"NA")</f>
        <v>0.10091448650209234</v>
      </c>
      <c r="E6" s="26">
        <f>IFERROR('IS &amp; BS'!E5/'IS &amp; BS'!D5-1,"NA")</f>
        <v>6.4209756405191332E-3</v>
      </c>
      <c r="F6" s="26">
        <f>IFERROR('IS &amp; BS'!F5/'IS &amp; BS'!E5-1,"NA")</f>
        <v>0.247250109315164</v>
      </c>
      <c r="G6" s="26">
        <f>IFERROR('IS &amp; BS'!G5/'IS &amp; BS'!F5-1,"NA")</f>
        <v>-0.17877194028222176</v>
      </c>
      <c r="H6" s="26">
        <f>IFERROR('IS &amp; BS'!H5/'IS &amp; BS'!G5-1,"NA")</f>
        <v>0.17151795499538136</v>
      </c>
      <c r="I6" s="170">
        <f>IFERROR('IS &amp; BS'!I5/'IS &amp; BS'!H5-1,"NA")</f>
        <v>0.54783411764705847</v>
      </c>
      <c r="J6" s="170">
        <f>IFERROR('IS &amp; BS'!J5/'IS &amp; BS'!I5-1,"NA")</f>
        <v>0.23977372326719903</v>
      </c>
      <c r="K6" s="170">
        <f>IFERROR('IS &amp; BS'!K5/'IS &amp; BS'!J5-1,"NA")</f>
        <v>0.12984424872497713</v>
      </c>
      <c r="L6" s="170">
        <f>IFERROR('IS &amp; BS'!L5/'IS &amp; BS'!K5-1,"NA")</f>
        <v>0.11731174859638771</v>
      </c>
      <c r="M6" s="170">
        <f>IFERROR('IS &amp; BS'!M5/'IS &amp; BS'!L5-1,"NA")</f>
        <v>5.6424026772391667E-2</v>
      </c>
      <c r="N6" s="170">
        <f>IFERROR('IS &amp; BS'!N5/'IS &amp; BS'!M5-1,"NA")</f>
        <v>0.14403952837243561</v>
      </c>
      <c r="O6" s="170"/>
    </row>
    <row r="7" spans="1:15">
      <c r="A7" s="173" t="str">
        <f>'IS &amp; BS'!A6</f>
        <v>Gross Profit</v>
      </c>
      <c r="B7" s="183" t="str">
        <f>IFERROR('IS &amp; BS'!B6/'IS &amp; BS'!A6-1,"NA")</f>
        <v>NA</v>
      </c>
      <c r="C7" s="174">
        <f>IFERROR('IS &amp; BS'!C6/'IS &amp; BS'!B6-1,"NA")</f>
        <v>0.32770005726266671</v>
      </c>
      <c r="D7" s="174">
        <f>IFERROR('IS &amp; BS'!D6/'IS &amp; BS'!C6-1,"NA")</f>
        <v>8.9401775000156336E-2</v>
      </c>
      <c r="E7" s="174">
        <f>IFERROR('IS &amp; BS'!E6/'IS &amp; BS'!D6-1,"NA")</f>
        <v>3.1960117627011231E-2</v>
      </c>
      <c r="F7" s="174">
        <f>IFERROR('IS &amp; BS'!F6/'IS &amp; BS'!E6-1,"NA")</f>
        <v>0.32528594996304583</v>
      </c>
      <c r="G7" s="174">
        <f>IFERROR('IS &amp; BS'!G6/'IS &amp; BS'!F6-1,"NA")</f>
        <v>0.19897731872076196</v>
      </c>
      <c r="H7" s="174">
        <f>IFERROR('IS &amp; BS'!H6/'IS &amp; BS'!G6-1,"NA")</f>
        <v>6.0680105485107605E-2</v>
      </c>
      <c r="I7" s="174">
        <f>IFERROR('IS &amp; BS'!I6/'IS &amp; BS'!H6-1,"NA")</f>
        <v>1.5090282583198888E-2</v>
      </c>
      <c r="J7" s="174">
        <f>IFERROR('IS &amp; BS'!J6/'IS &amp; BS'!I6-1,"NA")</f>
        <v>0.38054327383132347</v>
      </c>
      <c r="K7" s="174">
        <f>IFERROR('IS &amp; BS'!K6/'IS &amp; BS'!J6-1,"NA")</f>
        <v>0.16086361070526056</v>
      </c>
      <c r="L7" s="174">
        <f>IFERROR('IS &amp; BS'!L6/'IS &amp; BS'!K6-1,"NA")</f>
        <v>0.27431110243257639</v>
      </c>
      <c r="M7" s="174">
        <f>IFERROR('IS &amp; BS'!M6/'IS &amp; BS'!L6-1,"NA")</f>
        <v>1.3721351021888317E-2</v>
      </c>
      <c r="N7" s="174">
        <f>IFERROR('IS &amp; BS'!N6/'IS &amp; BS'!M6-1,"NA")</f>
        <v>-6.1934263628515174E-2</v>
      </c>
      <c r="O7" s="170"/>
    </row>
    <row r="8" spans="1:15">
      <c r="A8" t="str">
        <f>'IS &amp; BS'!A7</f>
        <v>Other Income</v>
      </c>
      <c r="B8" s="172" t="str">
        <f>IFERROR('IS &amp; BS'!B7/'IS &amp; BS'!A7-1,"NA")</f>
        <v>NA</v>
      </c>
      <c r="C8" s="26">
        <f>IFERROR('IS &amp; BS'!C7/'IS &amp; BS'!B7-1,"NA")</f>
        <v>-0.71266141111283243</v>
      </c>
      <c r="D8" s="26">
        <f>IFERROR('IS &amp; BS'!D7/'IS &amp; BS'!C7-1,"NA")</f>
        <v>0.10196198656636568</v>
      </c>
      <c r="E8" s="26">
        <f>IFERROR('IS &amp; BS'!E7/'IS &amp; BS'!D7-1,"NA")</f>
        <v>0.72681785401238175</v>
      </c>
      <c r="F8" s="26">
        <f>IFERROR('IS &amp; BS'!F7/'IS &amp; BS'!E7-1,"NA")</f>
        <v>5.9872664610919646</v>
      </c>
      <c r="G8" s="26">
        <f>IFERROR('IS &amp; BS'!G7/'IS &amp; BS'!F7-1,"NA")</f>
        <v>-0.76627172852069525</v>
      </c>
      <c r="H8" s="26">
        <f>IFERROR('IS &amp; BS'!H7/'IS &amp; BS'!G7-1,"NA")</f>
        <v>0.16471555190261444</v>
      </c>
      <c r="I8" s="170">
        <f>IFERROR('IS &amp; BS'!I7/'IS &amp; BS'!H7-1,"NA")</f>
        <v>-0.12065097458088248</v>
      </c>
      <c r="J8" s="170">
        <f>IFERROR('IS &amp; BS'!J7/'IS &amp; BS'!I7-1,"NA")</f>
        <v>2.2713965994947349E-2</v>
      </c>
      <c r="K8" s="170">
        <f>IFERROR('IS &amp; BS'!K7/'IS &amp; BS'!J7-1,"NA")</f>
        <v>2.3188698087343473E-2</v>
      </c>
      <c r="L8" s="170">
        <f>IFERROR('IS &amp; BS'!L7/'IS &amp; BS'!K7-1,"NA")</f>
        <v>2.3662368493674313E-2</v>
      </c>
      <c r="M8" s="170">
        <f>IFERROR('IS &amp; BS'!M7/'IS &amp; BS'!L7-1,"NA")</f>
        <v>2.4134541723657144E-2</v>
      </c>
      <c r="N8" s="170">
        <f>IFERROR('IS &amp; BS'!N7/'IS &amp; BS'!M7-1,"NA")</f>
        <v>2.4604787810396989E-2</v>
      </c>
      <c r="O8" s="170"/>
    </row>
    <row r="9" spans="1:15">
      <c r="A9" t="str">
        <f>'IS &amp; BS'!A8</f>
        <v>Distribution Expenses</v>
      </c>
      <c r="B9" s="172" t="str">
        <f>IFERROR('IS &amp; BS'!B8/'IS &amp; BS'!A8-1,"NA")</f>
        <v>NA</v>
      </c>
      <c r="C9" s="26">
        <f>IFERROR('IS &amp; BS'!C8/'IS &amp; BS'!B8-1,"NA")</f>
        <v>6.6711314627522E-2</v>
      </c>
      <c r="D9" s="26">
        <f>IFERROR('IS &amp; BS'!D8/'IS &amp; BS'!C8-1,"NA")</f>
        <v>0.1446860811653079</v>
      </c>
      <c r="E9" s="26">
        <f>IFERROR('IS &amp; BS'!E8/'IS &amp; BS'!D8-1,"NA")</f>
        <v>0.29309686300546112</v>
      </c>
      <c r="F9" s="26">
        <f>IFERROR('IS &amp; BS'!F8/'IS &amp; BS'!E8-1,"NA")</f>
        <v>0.17380582515122045</v>
      </c>
      <c r="G9" s="26">
        <f>IFERROR('IS &amp; BS'!G8/'IS &amp; BS'!F8-1,"NA")</f>
        <v>7.7512989976007196E-2</v>
      </c>
      <c r="H9" s="26">
        <f>IFERROR('IS &amp; BS'!H8/'IS &amp; BS'!G8-1,"NA")</f>
        <v>4.7909114504745887E-2</v>
      </c>
      <c r="I9" s="170">
        <f>IFERROR('IS &amp; BS'!I8/'IS &amp; BS'!H8-1,"NA")</f>
        <v>0.43007562954520973</v>
      </c>
      <c r="J9" s="170">
        <f>IFERROR('IS &amp; BS'!J8/'IS &amp; BS'!I8-1,"NA")</f>
        <v>0.26186028823058449</v>
      </c>
      <c r="K9" s="170">
        <f>IFERROR('IS &amp; BS'!K8/'IS &amp; BS'!J8-1,"NA")</f>
        <v>0.13516889871505811</v>
      </c>
      <c r="L9" s="170">
        <f>IFERROR('IS &amp; BS'!L8/'IS &amp; BS'!K8-1,"NA")</f>
        <v>0.14487159438910635</v>
      </c>
      <c r="M9" s="170">
        <f>IFERROR('IS &amp; BS'!M8/'IS &amp; BS'!L8-1,"NA")</f>
        <v>4.8080441789583706E-2</v>
      </c>
      <c r="N9" s="170">
        <f>IFERROR('IS &amp; BS'!N8/'IS &amp; BS'!M8-1,"NA")</f>
        <v>0.10511408692967206</v>
      </c>
      <c r="O9" s="170"/>
    </row>
    <row r="10" spans="1:15">
      <c r="A10" t="str">
        <f>'IS &amp; BS'!A9</f>
        <v>Administrative Expenses</v>
      </c>
      <c r="B10" s="172" t="str">
        <f>IFERROR('IS &amp; BS'!B9/'IS &amp; BS'!A9-1,"NA")</f>
        <v>NA</v>
      </c>
      <c r="C10" s="26">
        <f>IFERROR('IS &amp; BS'!C9/'IS &amp; BS'!B9-1,"NA")</f>
        <v>5.9083765486519502E-2</v>
      </c>
      <c r="D10" s="26">
        <f>IFERROR('IS &amp; BS'!D9/'IS &amp; BS'!C9-1,"NA")</f>
        <v>8.4086920964980827E-2</v>
      </c>
      <c r="E10" s="26">
        <f>IFERROR('IS &amp; BS'!E9/'IS &amp; BS'!D9-1,"NA")</f>
        <v>0.14957505219840295</v>
      </c>
      <c r="F10" s="26">
        <f>IFERROR('IS &amp; BS'!F9/'IS &amp; BS'!E9-1,"NA")</f>
        <v>0.16272434476159336</v>
      </c>
      <c r="G10" s="26">
        <f>IFERROR('IS &amp; BS'!G9/'IS &amp; BS'!F9-1,"NA")</f>
        <v>1.4439699513742354E-2</v>
      </c>
      <c r="H10" s="26">
        <f>IFERROR('IS &amp; BS'!H9/'IS &amp; BS'!G9-1,"NA")</f>
        <v>9.4140867504804326E-2</v>
      </c>
      <c r="I10" s="170">
        <f>IFERROR('IS &amp; BS'!I9/'IS &amp; BS'!H9-1,"NA")</f>
        <v>5.140281792828727E-2</v>
      </c>
      <c r="J10" s="170">
        <f>IFERROR('IS &amp; BS'!J9/'IS &amp; BS'!I9-1,"NA")</f>
        <v>6.7378293859419847E-2</v>
      </c>
      <c r="K10" s="170">
        <f>IFERROR('IS &amp; BS'!K9/'IS &amp; BS'!J9-1,"NA")</f>
        <v>8.6047447689080236E-2</v>
      </c>
      <c r="L10" s="170">
        <f>IFERROR('IS &amp; BS'!L9/'IS &amp; BS'!K9-1,"NA")</f>
        <v>0.10699241933475068</v>
      </c>
      <c r="M10" s="170">
        <f>IFERROR('IS &amp; BS'!M9/'IS &amp; BS'!L9-1,"NA")</f>
        <v>0.13013462790246999</v>
      </c>
      <c r="N10" s="170">
        <f>IFERROR('IS &amp; BS'!N9/'IS &amp; BS'!M9-1,"NA")</f>
        <v>0.15524209564812974</v>
      </c>
      <c r="O10" s="170"/>
    </row>
    <row r="11" spans="1:15">
      <c r="A11" s="173" t="str">
        <f>'IS &amp; BS'!A10</f>
        <v>Operating Profit</v>
      </c>
      <c r="B11" s="183" t="str">
        <f>IFERROR('IS &amp; BS'!B10/'IS &amp; BS'!A10-1,"NA")</f>
        <v>NA</v>
      </c>
      <c r="C11" s="174">
        <f>IFERROR('IS &amp; BS'!C10/'IS &amp; BS'!B10-1,"NA")</f>
        <v>0.50886054835208472</v>
      </c>
      <c r="D11" s="174">
        <f>IFERROR('IS &amp; BS'!D10/'IS &amp; BS'!C10-1,"NA")</f>
        <v>6.7715317460852242E-2</v>
      </c>
      <c r="E11" s="174">
        <f>IFERROR('IS &amp; BS'!E10/'IS &amp; BS'!D10-1,"NA")</f>
        <v>-0.10801892685994863</v>
      </c>
      <c r="F11" s="174">
        <f>IFERROR('IS &amp; BS'!F10/'IS &amp; BS'!E10-1,"NA")</f>
        <v>0.64237599195123307</v>
      </c>
      <c r="G11" s="174">
        <f>IFERROR('IS &amp; BS'!G10/'IS &amp; BS'!F10-1,"NA")</f>
        <v>0.18545315378346872</v>
      </c>
      <c r="H11" s="174">
        <f>IFERROR('IS &amp; BS'!H10/'IS &amp; BS'!G10-1,"NA")</f>
        <v>6.1440175336535896E-2</v>
      </c>
      <c r="I11" s="174">
        <f>IFERROR('IS &amp; BS'!I10/'IS &amp; BS'!H10-1,"NA")</f>
        <v>-0.17076046872182837</v>
      </c>
      <c r="J11" s="174">
        <f>IFERROR('IS &amp; BS'!J10/'IS &amp; BS'!I10-1,"NA")</f>
        <v>0.54404960780169054</v>
      </c>
      <c r="K11" s="174">
        <f>IFERROR('IS &amp; BS'!K10/'IS &amp; BS'!J10-1,"NA")</f>
        <v>0.18799130477367809</v>
      </c>
      <c r="L11" s="174">
        <f>IFERROR('IS &amp; BS'!L10/'IS &amp; BS'!K10-1,"NA")</f>
        <v>0.37309772198949354</v>
      </c>
      <c r="M11" s="174">
        <f>IFERROR('IS &amp; BS'!M10/'IS &amp; BS'!L10-1,"NA")</f>
        <v>-1.8921805722663332E-2</v>
      </c>
      <c r="N11" s="174">
        <f>IFERROR('IS &amp; BS'!N10/'IS &amp; BS'!M10-1,"NA")</f>
        <v>-0.18062867106252023</v>
      </c>
      <c r="O11" s="170"/>
    </row>
    <row r="12" spans="1:15">
      <c r="A12" t="str">
        <f>'IS &amp; BS'!A11</f>
        <v>Net Finance Cost</v>
      </c>
      <c r="B12" s="172" t="str">
        <f>IFERROR('IS &amp; BS'!B11/'IS &amp; BS'!A11-1,"NA")</f>
        <v>NA</v>
      </c>
      <c r="C12" s="26">
        <f>IFERROR('IS &amp; BS'!C11/'IS &amp; BS'!B11-1,"NA")</f>
        <v>9.787324339578185E-2</v>
      </c>
      <c r="D12" s="26">
        <f>IFERROR('IS &amp; BS'!D11/'IS &amp; BS'!C11-1,"NA")</f>
        <v>0.35109943260262932</v>
      </c>
      <c r="E12" s="26">
        <f>IFERROR('IS &amp; BS'!E11/'IS &amp; BS'!D11-1,"NA")</f>
        <v>-0.1543168823212776</v>
      </c>
      <c r="F12" s="26">
        <f>IFERROR('IS &amp; BS'!F11/'IS &amp; BS'!E11-1,"NA")</f>
        <v>0.36305629480152857</v>
      </c>
      <c r="G12" s="26">
        <f>IFERROR('IS &amp; BS'!G11/'IS &amp; BS'!F11-1,"NA")</f>
        <v>-0.35081502114928309</v>
      </c>
      <c r="H12" s="26">
        <f>IFERROR('IS &amp; BS'!H11/'IS &amp; BS'!G11-1,"NA")</f>
        <v>-0.12982415713820306</v>
      </c>
      <c r="I12" s="170">
        <f>IFERROR('IS &amp; BS'!I11/'IS &amp; BS'!H11-1,"NA")</f>
        <v>1.1674681616724274</v>
      </c>
      <c r="J12" s="170">
        <f>IFERROR('IS &amp; BS'!J11/'IS &amp; BS'!I11-1,"NA")</f>
        <v>0.10750907570605861</v>
      </c>
      <c r="K12" s="170">
        <f>IFERROR('IS &amp; BS'!K11/'IS &amp; BS'!J11-1,"NA")</f>
        <v>9.9778750378163306E-2</v>
      </c>
      <c r="L12" s="170">
        <f>IFERROR('IS &amp; BS'!L11/'IS &amp; BS'!K11-1,"NA")</f>
        <v>6.2679009612778724E-2</v>
      </c>
      <c r="M12" s="170">
        <f>IFERROR('IS &amp; BS'!M11/'IS &amp; BS'!L11-1,"NA")</f>
        <v>8.3486495105939973E-3</v>
      </c>
      <c r="N12" s="170">
        <f>IFERROR('IS &amp; BS'!N11/'IS &amp; BS'!M11-1,"NA")</f>
        <v>8.279526644525248E-3</v>
      </c>
      <c r="O12" s="170"/>
    </row>
    <row r="13" spans="1:15">
      <c r="A13" t="str">
        <f>'IS &amp; BS'!A12</f>
        <v>Share of profit of associate</v>
      </c>
      <c r="B13" s="172" t="str">
        <f>IFERROR('IS &amp; BS'!B12/'IS &amp; BS'!A12-1,"NA")</f>
        <v>NA</v>
      </c>
      <c r="C13" s="172" t="str">
        <f>IFERROR('IS &amp; BS'!C12/'IS &amp; BS'!B12-1,"NA")</f>
        <v>NA</v>
      </c>
      <c r="D13" s="172" t="str">
        <f>IFERROR('IS &amp; BS'!D12/'IS &amp; BS'!C12-1,"NA")</f>
        <v>NA</v>
      </c>
      <c r="E13" s="172" t="str">
        <f>IFERROR('IS &amp; BS'!E12/'IS &amp; BS'!D12-1,"NA")</f>
        <v>NA</v>
      </c>
      <c r="F13" s="172" t="str">
        <f>IFERROR('IS &amp; BS'!F12/'IS &amp; BS'!E12-1,"NA")</f>
        <v>NA</v>
      </c>
      <c r="G13" s="26">
        <f>IFERROR('IS &amp; BS'!G12/'IS &amp; BS'!F12-1,"NA")</f>
        <v>0.1912638474764401</v>
      </c>
      <c r="H13" s="26">
        <f>IFERROR('IS &amp; BS'!H12/'IS &amp; BS'!G12-1,"NA")</f>
        <v>-1.4618982369598976</v>
      </c>
      <c r="I13" s="170">
        <f>IFERROR('IS &amp; BS'!I12/'IS &amp; BS'!H12-1,"NA")</f>
        <v>-1.326658492207895</v>
      </c>
      <c r="J13" s="170">
        <f>IFERROR('IS &amp; BS'!J12/'IS &amp; BS'!I12-1,"NA")</f>
        <v>3.0000000000000027E-2</v>
      </c>
      <c r="K13" s="170">
        <f>IFERROR('IS &amp; BS'!K12/'IS &amp; BS'!J12-1,"NA")</f>
        <v>3.0000000000000027E-2</v>
      </c>
      <c r="L13" s="170">
        <f>IFERROR('IS &amp; BS'!L12/'IS &amp; BS'!K12-1,"NA")</f>
        <v>3.0000000000000027E-2</v>
      </c>
      <c r="M13" s="170">
        <f>IFERROR('IS &amp; BS'!M12/'IS &amp; BS'!L12-1,"NA")</f>
        <v>3.0000000000000027E-2</v>
      </c>
      <c r="N13" s="170">
        <f>IFERROR('IS &amp; BS'!N12/'IS &amp; BS'!M12-1,"NA")</f>
        <v>3.0000000000000027E-2</v>
      </c>
      <c r="O13" s="170"/>
    </row>
    <row r="14" spans="1:15">
      <c r="A14" t="str">
        <f>'IS &amp; BS'!A13</f>
        <v>Profit Before Tax</v>
      </c>
      <c r="B14" s="172" t="str">
        <f>IFERROR('IS &amp; BS'!B13/'IS &amp; BS'!A13-1,"NA")</f>
        <v>NA</v>
      </c>
      <c r="C14" s="26">
        <f>IFERROR('IS &amp; BS'!C13/'IS &amp; BS'!B13-1,"NA")</f>
        <v>0.71609532655651797</v>
      </c>
      <c r="D14" s="26">
        <f>IFERROR('IS &amp; BS'!D13/'IS &amp; BS'!C13-1,"NA")</f>
        <v>-2.3700327652630304E-2</v>
      </c>
      <c r="E14" s="26">
        <f>IFERROR('IS &amp; BS'!E13/'IS &amp; BS'!D13-1,"NA")</f>
        <v>-8.735032941918397E-2</v>
      </c>
      <c r="F14" s="26">
        <f>IFERROR('IS &amp; BS'!F13/'IS &amp; BS'!E13-1,"NA")</f>
        <v>0.82474168333030806</v>
      </c>
      <c r="G14" s="26">
        <f>IFERROR('IS &amp; BS'!G13/'IS &amp; BS'!F13-1,"NA")</f>
        <v>0.35137534688516592</v>
      </c>
      <c r="H14" s="26">
        <f>IFERROR('IS &amp; BS'!H13/'IS &amp; BS'!G13-1,"NA")</f>
        <v>4.0658236328615427E-2</v>
      </c>
      <c r="I14" s="170">
        <f>IFERROR('IS &amp; BS'!I13/'IS &amp; BS'!H13-1,"NA")</f>
        <v>-0.32030577367400481</v>
      </c>
      <c r="J14" s="170">
        <f>IFERROR('IS &amp; BS'!J13/'IS &amp; BS'!I13-1,"NA")</f>
        <v>0.71330061377428677</v>
      </c>
      <c r="K14" s="170">
        <f>IFERROR('IS &amp; BS'!K13/'IS &amp; BS'!J13-1,"NA")</f>
        <v>0.20990771176558898</v>
      </c>
      <c r="L14" s="170">
        <f>IFERROR('IS &amp; BS'!L13/'IS &amp; BS'!K13-1,"NA")</f>
        <v>0.44408416394957118</v>
      </c>
      <c r="M14" s="170">
        <f>IFERROR('IS &amp; BS'!M13/'IS &amp; BS'!L13-1,"NA")</f>
        <v>-2.3466124613071848E-2</v>
      </c>
      <c r="N14" s="170">
        <f>IFERROR('IS &amp; BS'!N13/'IS &amp; BS'!M13-1,"NA")</f>
        <v>-0.21345486601074115</v>
      </c>
      <c r="O14" s="170"/>
    </row>
    <row r="15" spans="1:15">
      <c r="A15" t="str">
        <f>'IS &amp; BS'!A14</f>
        <v>Tax Expense</v>
      </c>
      <c r="B15" s="172" t="str">
        <f>IFERROR('IS &amp; BS'!B14/'IS &amp; BS'!A14-1,"NA")</f>
        <v>NA</v>
      </c>
      <c r="C15" s="26">
        <f>IFERROR('IS &amp; BS'!C14/'IS &amp; BS'!B14-1,"NA")</f>
        <v>0.26580385035563459</v>
      </c>
      <c r="D15" s="26">
        <f>IFERROR('IS &amp; BS'!D14/'IS &amp; BS'!C14-1,"NA")</f>
        <v>-0.21001582065488333</v>
      </c>
      <c r="E15" s="26">
        <f>IFERROR('IS &amp; BS'!E14/'IS &amp; BS'!D14-1,"NA")</f>
        <v>8.2586348936667831E-2</v>
      </c>
      <c r="F15" s="26">
        <f>IFERROR('IS &amp; BS'!F14/'IS &amp; BS'!E14-1,"NA")</f>
        <v>0.70425481259778255</v>
      </c>
      <c r="G15" s="26">
        <f>IFERROR('IS &amp; BS'!G14/'IS &amp; BS'!F14-1,"NA")</f>
        <v>0.41823576173037846</v>
      </c>
      <c r="H15" s="26">
        <f>IFERROR('IS &amp; BS'!H14/'IS &amp; BS'!G14-1,"NA")</f>
        <v>0.19402712045666681</v>
      </c>
      <c r="I15" s="170">
        <f>IFERROR('IS &amp; BS'!I14/'IS &amp; BS'!H14-1,"NA")</f>
        <v>-0.32030577367400481</v>
      </c>
      <c r="J15" s="170">
        <f>IFERROR('IS &amp; BS'!J14/'IS &amp; BS'!I14-1,"NA")</f>
        <v>0.71330061377428677</v>
      </c>
      <c r="K15" s="170">
        <f>IFERROR('IS &amp; BS'!K14/'IS &amp; BS'!J14-1,"NA")</f>
        <v>0.20990771176558898</v>
      </c>
      <c r="L15" s="170">
        <f>IFERROR('IS &amp; BS'!L14/'IS &amp; BS'!K14-1,"NA")</f>
        <v>0.44408416394957118</v>
      </c>
      <c r="M15" s="170">
        <f>IFERROR('IS &amp; BS'!M14/'IS &amp; BS'!L14-1,"NA")</f>
        <v>-2.3466124613071848E-2</v>
      </c>
      <c r="N15" s="170">
        <f>IFERROR('IS &amp; BS'!N14/'IS &amp; BS'!M14-1,"NA")</f>
        <v>-0.21345486601074104</v>
      </c>
      <c r="O15" s="170"/>
    </row>
    <row r="16" spans="1:15">
      <c r="A16" s="173" t="str">
        <f>'IS &amp; BS'!A15</f>
        <v>Profit for the Year</v>
      </c>
      <c r="B16" s="183" t="str">
        <f>IFERROR('IS &amp; BS'!B15/'IS &amp; BS'!A15-1,"NA")</f>
        <v>NA</v>
      </c>
      <c r="C16" s="174">
        <f>IFERROR('IS &amp; BS'!C15/'IS &amp; BS'!B15-1,"NA")</f>
        <v>0.97200452313258512</v>
      </c>
      <c r="D16" s="174">
        <f>IFERROR('IS &amp; BS'!D15/'IS &amp; BS'!C15-1,"NA")</f>
        <v>4.4266913665328866E-2</v>
      </c>
      <c r="E16" s="174">
        <f>IFERROR('IS &amp; BS'!E15/'IS &amp; BS'!D15-1,"NA")</f>
        <v>-0.13424728753295823</v>
      </c>
      <c r="F16" s="174">
        <f>IFERROR('IS &amp; BS'!F15/'IS &amp; BS'!E15-1,"NA")</f>
        <v>0.86631990970496298</v>
      </c>
      <c r="G16" s="174">
        <f>IFERROR('IS &amp; BS'!G15/'IS &amp; BS'!F15-1,"NA")</f>
        <v>0.3303063557096988</v>
      </c>
      <c r="H16" s="174">
        <f>IFERROR('IS &amp; BS'!H15/'IS &amp; BS'!G15-1,"NA")</f>
        <v>-1.086566007053158E-2</v>
      </c>
      <c r="I16" s="174">
        <f>IFERROR('IS &amp; BS'!I15/'IS &amp; BS'!H15-1,"NA")</f>
        <v>-0.32030577367400481</v>
      </c>
      <c r="J16" s="174">
        <f>IFERROR('IS &amp; BS'!J15/'IS &amp; BS'!I15-1,"NA")</f>
        <v>0.71330061377428677</v>
      </c>
      <c r="K16" s="174">
        <f>IFERROR('IS &amp; BS'!K15/'IS &amp; BS'!J15-1,"NA")</f>
        <v>0.20990771176558898</v>
      </c>
      <c r="L16" s="174">
        <f>IFERROR('IS &amp; BS'!L15/'IS &amp; BS'!K15-1,"NA")</f>
        <v>0.4440841639495714</v>
      </c>
      <c r="M16" s="174">
        <f>IFERROR('IS &amp; BS'!M15/'IS &amp; BS'!L15-1,"NA")</f>
        <v>-2.3466124613071737E-2</v>
      </c>
      <c r="N16" s="174">
        <f>IFERROR('IS &amp; BS'!N15/'IS &amp; BS'!M15-1,"NA")</f>
        <v>-0.21345486601074126</v>
      </c>
      <c r="O16" s="170"/>
    </row>
    <row r="17" spans="1:15">
      <c r="A17" t="str">
        <f>'IS &amp; BS'!A16</f>
        <v>Less: Share of Profit for NCI</v>
      </c>
      <c r="B17" s="172" t="str">
        <f>IFERROR('IS &amp; BS'!B16/'IS &amp; BS'!A16-1,"NA")</f>
        <v>NA</v>
      </c>
      <c r="C17" s="26">
        <f>IFERROR('IS &amp; BS'!C16/'IS &amp; BS'!B16-1,"NA")</f>
        <v>0.40427133429790407</v>
      </c>
      <c r="D17" s="26">
        <f>IFERROR('IS &amp; BS'!D16/'IS &amp; BS'!C16-1,"NA")</f>
        <v>-0.26626152811674453</v>
      </c>
      <c r="E17" s="26">
        <f>IFERROR('IS &amp; BS'!E16/'IS &amp; BS'!D16-1,"NA")</f>
        <v>0.24855144089064884</v>
      </c>
      <c r="F17" s="26">
        <f>IFERROR('IS &amp; BS'!F16/'IS &amp; BS'!E16-1,"NA")</f>
        <v>0.355675722195129</v>
      </c>
      <c r="G17" s="26">
        <f>IFERROR('IS &amp; BS'!G16/'IS &amp; BS'!F16-1,"NA")</f>
        <v>0.8580754377612021</v>
      </c>
      <c r="H17" s="26">
        <f>IFERROR('IS &amp; BS'!H16/'IS &amp; BS'!G16-1,"NA")</f>
        <v>-0.21655771683673475</v>
      </c>
      <c r="I17" s="170">
        <f>IFERROR('IS &amp; BS'!I16/'IS &amp; BS'!H16-1,"NA")</f>
        <v>-0.31777111715838924</v>
      </c>
      <c r="J17" s="170">
        <f>IFERROR('IS &amp; BS'!J16/'IS &amp; BS'!I16-1,"NA")</f>
        <v>0.71330061377428655</v>
      </c>
      <c r="K17" s="170">
        <f>IFERROR('IS &amp; BS'!K16/'IS &amp; BS'!J16-1,"NA")</f>
        <v>0.20990771176558898</v>
      </c>
      <c r="L17" s="170">
        <f>IFERROR('IS &amp; BS'!L16/'IS &amp; BS'!K16-1,"NA")</f>
        <v>0.4440841639495714</v>
      </c>
      <c r="M17" s="170">
        <f>IFERROR('IS &amp; BS'!M16/'IS &amp; BS'!L16-1,"NA")</f>
        <v>-2.3466124613071848E-2</v>
      </c>
      <c r="N17" s="170">
        <f>IFERROR('IS &amp; BS'!N16/'IS &amp; BS'!M16-1,"NA")</f>
        <v>-0.21345486601074115</v>
      </c>
      <c r="O17" s="170"/>
    </row>
    <row r="18" spans="1:15">
      <c r="A18" t="str">
        <f>'IS &amp; BS'!A17</f>
        <v>Net Profit attributable to equity holders of Company</v>
      </c>
      <c r="B18" s="172" t="str">
        <f>IFERROR('IS &amp; BS'!B17/'IS &amp; BS'!A17-1,"NA")</f>
        <v>NA</v>
      </c>
      <c r="C18" s="26">
        <f>IFERROR('IS &amp; BS'!C17/'IS &amp; BS'!B17-1,"NA")</f>
        <v>1.1043106614008131</v>
      </c>
      <c r="D18" s="26">
        <f>IFERROR('IS &amp; BS'!D17/'IS &amp; BS'!C17-1,"NA")</f>
        <v>9.2559255870106272E-2</v>
      </c>
      <c r="E18" s="26">
        <f>IFERROR('IS &amp; BS'!E17/'IS &amp; BS'!D17-1,"NA")</f>
        <v>-0.17422736784132642</v>
      </c>
      <c r="F18" s="26">
        <f>IFERROR('IS &amp; BS'!F17/'IS &amp; BS'!E17-1,"NA")</f>
        <v>0.94695749668739948</v>
      </c>
      <c r="G18" s="26">
        <f>IFERROR('IS &amp; BS'!G17/'IS &amp; BS'!F17-1,"NA")</f>
        <v>0.27227503920555751</v>
      </c>
      <c r="H18" s="26">
        <f>IFERROR('IS &amp; BS'!H17/'IS &amp; BS'!G17-1,"NA")</f>
        <v>2.2165082314385076E-2</v>
      </c>
      <c r="I18" s="170">
        <f>IFERROR('IS &amp; BS'!I17/'IS &amp; BS'!H17-1,"NA")</f>
        <v>-0.32061773868967858</v>
      </c>
      <c r="J18" s="170">
        <f>IFERROR('IS &amp; BS'!J17/'IS &amp; BS'!I17-1,"NA")</f>
        <v>0.71330061377428677</v>
      </c>
      <c r="K18" s="170">
        <f>IFERROR('IS &amp; BS'!K17/'IS &amp; BS'!J17-1,"NA")</f>
        <v>0.20990771176558876</v>
      </c>
      <c r="L18" s="170">
        <f>IFERROR('IS &amp; BS'!L17/'IS &amp; BS'!K17-1,"NA")</f>
        <v>0.44408416394957162</v>
      </c>
      <c r="M18" s="170">
        <f>IFERROR('IS &amp; BS'!M17/'IS &amp; BS'!L17-1,"NA")</f>
        <v>-2.3466124613071737E-2</v>
      </c>
      <c r="N18" s="170">
        <f>IFERROR('IS &amp; BS'!N17/'IS &amp; BS'!M17-1,"NA")</f>
        <v>-0.21345486601074126</v>
      </c>
      <c r="O18" s="170"/>
    </row>
    <row r="19" spans="1:15">
      <c r="A19" s="1" t="str">
        <f>'IS &amp; BS'!A20</f>
        <v>EPS (after share split)</v>
      </c>
      <c r="B19" s="172" t="str">
        <f>IFERROR('IS &amp; BS'!B20/'IS &amp; BS'!A20-1,"NA")</f>
        <v>NA</v>
      </c>
      <c r="C19" s="172">
        <f>IFERROR('IS &amp; BS'!C20/'IS &amp; BS'!B20-1,"NA")</f>
        <v>1.1043106614008131</v>
      </c>
      <c r="D19" s="26">
        <f>IFERROR('IS &amp; BS'!D20/'IS &amp; BS'!C20-1,"NA")</f>
        <v>9.255925587010605E-2</v>
      </c>
      <c r="E19" s="26">
        <f>IFERROR('IS &amp; BS'!E20/'IS &amp; BS'!D20-1,"NA")</f>
        <v>-0.17422736784132642</v>
      </c>
      <c r="F19" s="26">
        <f>IFERROR('IS &amp; BS'!F20/'IS &amp; BS'!E20-1,"NA")</f>
        <v>0.94695749668739948</v>
      </c>
      <c r="G19" s="26">
        <f>IFERROR('IS &amp; BS'!G20/'IS &amp; BS'!F20-1,"NA")</f>
        <v>0.27227503920555729</v>
      </c>
      <c r="H19" s="26">
        <f>IFERROR('IS &amp; BS'!H20/'IS &amp; BS'!G20-1,"NA")</f>
        <v>2.2165082314385298E-2</v>
      </c>
      <c r="I19" s="170">
        <f>IFERROR('IS &amp; BS'!I20/'IS &amp; BS'!H20-1,"NA")</f>
        <v>-0.32061773868967858</v>
      </c>
      <c r="J19" s="170">
        <f>IFERROR('IS &amp; BS'!J20/'IS &amp; BS'!I20-1,"NA")</f>
        <v>0.71330061377428677</v>
      </c>
      <c r="K19" s="170">
        <f>IFERROR('IS &amp; BS'!K20/'IS &amp; BS'!J20-1,"NA")</f>
        <v>0.20990771176558876</v>
      </c>
      <c r="L19" s="170">
        <f>IFERROR('IS &amp; BS'!L20/'IS &amp; BS'!K20-1,"NA")</f>
        <v>0.44408416394957162</v>
      </c>
      <c r="M19" s="170">
        <f>IFERROR('IS &amp; BS'!M20/'IS &amp; BS'!L20-1,"NA")</f>
        <v>-2.3466124613071626E-2</v>
      </c>
      <c r="N19" s="170">
        <f>IFERROR('IS &amp; BS'!N20/'IS &amp; BS'!M20-1,"NA")</f>
        <v>-0.21345486601074137</v>
      </c>
      <c r="O19" s="170"/>
    </row>
    <row r="20" spans="1:15">
      <c r="A20" s="1" t="str">
        <f>'IS &amp; BS'!A21</f>
        <v>DPS adjusted for share split</v>
      </c>
      <c r="B20" s="172" t="str">
        <f>IFERROR('IS &amp; BS'!B21/'IS &amp; BS'!A21-1,"NA")</f>
        <v>NA</v>
      </c>
      <c r="C20" s="172" t="str">
        <f>IFERROR('IS &amp; BS'!C21/'IS &amp; BS'!B21-1,"NA")</f>
        <v>NA</v>
      </c>
      <c r="D20" s="26">
        <f>IFERROR('IS &amp; BS'!D21/'IS &amp; BS'!C21-1,"NA")</f>
        <v>0.42857906114396616</v>
      </c>
      <c r="E20" s="26">
        <f>IFERROR('IS &amp; BS'!E21/'IS &amp; BS'!D21-1,"NA")</f>
        <v>0</v>
      </c>
      <c r="F20" s="26">
        <f>IFERROR('IS &amp; BS'!F21/'IS &amp; BS'!E21-1,"NA")</f>
        <v>0</v>
      </c>
      <c r="G20" s="26">
        <f>IFERROR('IS &amp; BS'!G21/'IS &amp; BS'!F21-1,"NA")</f>
        <v>0.99998931445553829</v>
      </c>
      <c r="H20" s="26">
        <f>IFERROR('IS &amp; BS'!H21/'IS &amp; BS'!G21-1,"NA")</f>
        <v>0.5</v>
      </c>
      <c r="I20" s="170">
        <f>IFERROR('IS &amp; BS'!I21/'IS &amp; BS'!H21-1,"NA")</f>
        <v>-0.36600254019266776</v>
      </c>
      <c r="J20" s="170">
        <f>IFERROR('IS &amp; BS'!J21/'IS &amp; BS'!I21-1,"NA")</f>
        <v>0.71330061377428677</v>
      </c>
      <c r="K20" s="170">
        <f>IFERROR('IS &amp; BS'!K21/'IS &amp; BS'!J21-1,"NA")</f>
        <v>0.20990771176558876</v>
      </c>
      <c r="L20" s="170">
        <f>IFERROR('IS &amp; BS'!L21/'IS &amp; BS'!K21-1,"NA")</f>
        <v>0.44408416394957162</v>
      </c>
      <c r="M20" s="170">
        <f>IFERROR('IS &amp; BS'!M21/'IS &amp; BS'!L21-1,"NA")</f>
        <v>-2.3466124613071848E-2</v>
      </c>
      <c r="N20" s="170">
        <f>IFERROR('IS &amp; BS'!N21/'IS &amp; BS'!M21-1,"NA")</f>
        <v>-0.21345486601074115</v>
      </c>
      <c r="O20" s="170"/>
    </row>
    <row r="21" spans="1:15">
      <c r="A21" s="1" t="str">
        <f>'IS &amp; BS'!A23</f>
        <v>NAVPS (after split)</v>
      </c>
      <c r="B21" s="172" t="str">
        <f>IFERROR('IS &amp; BS'!B23/'IS &amp; BS'!A23-1,"NA")</f>
        <v>NA</v>
      </c>
      <c r="C21" s="172">
        <f>IFERROR('IS &amp; BS'!C23/'IS &amp; BS'!B23-1,"NA")</f>
        <v>0.3075805377680465</v>
      </c>
      <c r="D21" s="26">
        <f>IFERROR('IS &amp; BS'!D23/'IS &amp; BS'!C23-1,"NA")</f>
        <v>9.0653780840963316E-2</v>
      </c>
      <c r="E21" s="26">
        <f>IFERROR('IS &amp; BS'!E23/'IS &amp; BS'!D23-1,"NA")</f>
        <v>6.6688396153995244E-2</v>
      </c>
      <c r="F21" s="26">
        <f>IFERROR('IS &amp; BS'!F23/'IS &amp; BS'!E23-1,"NA")</f>
        <v>0.21153677797796933</v>
      </c>
      <c r="G21" s="26">
        <f>IFERROR('IS &amp; BS'!G23/'IS &amp; BS'!F23-1,"NA")</f>
        <v>0.14279157182596047</v>
      </c>
      <c r="H21" s="26">
        <f>IFERROR('IS &amp; BS'!H23/'IS &amp; BS'!G23-1,"NA")</f>
        <v>0.10491037808682191</v>
      </c>
      <c r="I21" s="170">
        <f>IFERROR('IS &amp; BS'!I23/'IS &amp; BS'!H23-1,"NA")</f>
        <v>6.9179523370952456E-2</v>
      </c>
      <c r="J21" s="170">
        <f>IFERROR('IS &amp; BS'!J23/'IS &amp; BS'!I23-1,"NA")</f>
        <v>0.11085633166483966</v>
      </c>
      <c r="K21" s="170">
        <f>IFERROR('IS &amp; BS'!K23/'IS &amp; BS'!J23-1,"NA")</f>
        <v>0.12074102361942618</v>
      </c>
      <c r="L21" s="170">
        <f>IFERROR('IS &amp; BS'!L23/'IS &amp; BS'!K23-1,"NA")</f>
        <v>0.15557581677949073</v>
      </c>
      <c r="M21" s="170">
        <f>IFERROR('IS &amp; BS'!M23/'IS &amp; BS'!L23-1,"NA")</f>
        <v>0.13147130034234111</v>
      </c>
      <c r="N21" s="170">
        <f>IFERROR('IS &amp; BS'!N23/'IS &amp; BS'!M23-1,"NA")</f>
        <v>9.1392606699101764E-2</v>
      </c>
      <c r="O21" s="170"/>
    </row>
    <row r="22" spans="1:15">
      <c r="A22" s="1"/>
      <c r="B22" s="26"/>
      <c r="C22" s="26"/>
      <c r="D22" s="26"/>
      <c r="E22" s="26"/>
      <c r="F22" s="26"/>
      <c r="G22" s="26"/>
      <c r="H22" s="26"/>
      <c r="I22" s="170"/>
      <c r="J22" s="170"/>
      <c r="K22" s="170"/>
      <c r="L22" s="170"/>
      <c r="M22" s="170"/>
      <c r="N22" s="170"/>
      <c r="O22" s="170"/>
    </row>
    <row r="23" spans="1:15">
      <c r="A23" s="3" t="s">
        <v>429</v>
      </c>
      <c r="B23" s="6"/>
      <c r="C23" s="6"/>
      <c r="D23" s="6"/>
      <c r="E23" s="6"/>
      <c r="F23" s="6"/>
      <c r="G23" s="6"/>
      <c r="H23" s="6"/>
      <c r="I23" s="6"/>
      <c r="J23" s="6"/>
      <c r="K23" s="6"/>
      <c r="L23" s="6"/>
      <c r="M23" s="6"/>
      <c r="N23" s="6"/>
      <c r="O23" s="6"/>
    </row>
    <row r="24" spans="1:15">
      <c r="A24" t="str">
        <f>'IS &amp; BS'!A4</f>
        <v>Revenue</v>
      </c>
      <c r="B24" s="26">
        <f>'IS &amp; BS'!B4/'IS &amp; BS'!B$4</f>
        <v>1</v>
      </c>
      <c r="C24" s="26">
        <f>'IS &amp; BS'!C4/'IS &amp; BS'!C$4</f>
        <v>1</v>
      </c>
      <c r="D24" s="26">
        <f>'IS &amp; BS'!D4/'IS &amp; BS'!D$4</f>
        <v>1</v>
      </c>
      <c r="E24" s="26">
        <f>'IS &amp; BS'!E4/'IS &amp; BS'!E$4</f>
        <v>1</v>
      </c>
      <c r="F24" s="26">
        <f>'IS &amp; BS'!F4/'IS &amp; BS'!F$4</f>
        <v>1</v>
      </c>
      <c r="G24" s="26">
        <f>'IS &amp; BS'!G4/'IS &amp; BS'!G$4</f>
        <v>1</v>
      </c>
      <c r="H24" s="26">
        <f>'IS &amp; BS'!H4/'IS &amp; BS'!H$4</f>
        <v>1</v>
      </c>
      <c r="I24" s="170">
        <f>'IS &amp; BS'!I4/'IS &amp; BS'!I$4</f>
        <v>1</v>
      </c>
      <c r="J24" s="170">
        <f>'IS &amp; BS'!J4/'IS &amp; BS'!J$4</f>
        <v>1</v>
      </c>
      <c r="K24" s="170">
        <f>'IS &amp; BS'!K4/'IS &amp; BS'!K$4</f>
        <v>1</v>
      </c>
      <c r="L24" s="170">
        <f>'IS &amp; BS'!L4/'IS &amp; BS'!L$4</f>
        <v>1</v>
      </c>
      <c r="M24" s="170">
        <f>'IS &amp; BS'!M4/'IS &amp; BS'!M$4</f>
        <v>1</v>
      </c>
      <c r="N24" s="170">
        <f>'IS &amp; BS'!N4/'IS &amp; BS'!N$4</f>
        <v>1</v>
      </c>
      <c r="O24" s="170"/>
    </row>
    <row r="25" spans="1:15">
      <c r="A25" t="str">
        <f>'IS &amp; BS'!A5</f>
        <v>Cost of Sales</v>
      </c>
      <c r="B25" s="26">
        <f>'IS &amp; BS'!B5/'IS &amp; BS'!B$4</f>
        <v>-0.86530900660940213</v>
      </c>
      <c r="C25" s="26">
        <f>'IS &amp; BS'!C5/'IS &amp; BS'!C$4</f>
        <v>-0.83394867306785536</v>
      </c>
      <c r="D25" s="26">
        <f>'IS &amp; BS'!D5/'IS &amp; BS'!D$4</f>
        <v>-0.8353993159153813</v>
      </c>
      <c r="E25" s="26">
        <f>'IS &amp; BS'!E5/'IS &amp; BS'!E$4</f>
        <v>-0.83192441736433986</v>
      </c>
      <c r="F25" s="26">
        <f>'IS &amp; BS'!F5/'IS &amp; BS'!F$4</f>
        <v>-0.8232670485185104</v>
      </c>
      <c r="G25" s="26">
        <f>'IS &amp; BS'!G5/'IS &amp; BS'!G$4</f>
        <v>-0.7613722154885435</v>
      </c>
      <c r="H25" s="26">
        <f>'IS &amp; BS'!H5/'IS &amp; BS'!H$4</f>
        <v>-0.77895851561054108</v>
      </c>
      <c r="I25" s="170">
        <f>'IS &amp; BS'!I5/'IS &amp; BS'!I$4</f>
        <v>-0.84310126106906558</v>
      </c>
      <c r="J25" s="170">
        <f>'IS &amp; BS'!J5/'IS &amp; BS'!J$4</f>
        <v>-0.82834430980671514</v>
      </c>
      <c r="K25" s="170">
        <f>'IS &amp; BS'!K5/'IS &amp; BS'!K$4</f>
        <v>-0.82445885846463862</v>
      </c>
      <c r="L25" s="170">
        <f>'IS &amp; BS'!L5/'IS &amp; BS'!L$4</f>
        <v>-0.804612127081762</v>
      </c>
      <c r="M25" s="170">
        <f>'IS &amp; BS'!M5/'IS &amp; BS'!M$4</f>
        <v>-0.81101750341818302</v>
      </c>
      <c r="N25" s="170">
        <f>'IS &amp; BS'!N5/'IS &amp; BS'!N$4</f>
        <v>-0.83958397878188884</v>
      </c>
      <c r="O25" s="170"/>
    </row>
    <row r="26" spans="1:15">
      <c r="A26" s="173" t="str">
        <f>'IS &amp; BS'!A6</f>
        <v>Gross Profit</v>
      </c>
      <c r="B26" s="174">
        <f>'IS &amp; BS'!B6/'IS &amp; BS'!B$4</f>
        <v>0.13469099339059787</v>
      </c>
      <c r="C26" s="174">
        <f>'IS &amp; BS'!C6/'IS &amp; BS'!C$4</f>
        <v>0.16605132693214464</v>
      </c>
      <c r="D26" s="174">
        <f>'IS &amp; BS'!D6/'IS &amp; BS'!D$4</f>
        <v>0.16460068408461867</v>
      </c>
      <c r="E26" s="174">
        <f>'IS &amp; BS'!E6/'IS &amp; BS'!E$4</f>
        <v>0.16807558263566019</v>
      </c>
      <c r="F26" s="174">
        <f>'IS &amp; BS'!F6/'IS &amp; BS'!F$4</f>
        <v>0.1767329514814896</v>
      </c>
      <c r="G26" s="174">
        <f>'IS &amp; BS'!G6/'IS &amp; BS'!G$4</f>
        <v>0.23862778451145647</v>
      </c>
      <c r="H26" s="174">
        <f>'IS &amp; BS'!H6/'IS &amp; BS'!H$4</f>
        <v>0.22104148438945892</v>
      </c>
      <c r="I26" s="174">
        <f>'IS &amp; BS'!I6/'IS &amp; BS'!I$4</f>
        <v>0.15689873893093445</v>
      </c>
      <c r="J26" s="174">
        <f>'IS &amp; BS'!J6/'IS &amp; BS'!J$4</f>
        <v>0.17165569019328486</v>
      </c>
      <c r="K26" s="174">
        <f>'IS &amp; BS'!K6/'IS &amp; BS'!K$4</f>
        <v>0.17554114153536132</v>
      </c>
      <c r="L26" s="174">
        <f>'IS &amp; BS'!L6/'IS &amp; BS'!L$4</f>
        <v>0.19538787291823798</v>
      </c>
      <c r="M26" s="174">
        <f>'IS &amp; BS'!M6/'IS &amp; BS'!M$4</f>
        <v>0.18898249658181701</v>
      </c>
      <c r="N26" s="174">
        <f>'IS &amp; BS'!N6/'IS &amp; BS'!N$4</f>
        <v>0.16041602121811113</v>
      </c>
      <c r="O26" s="170"/>
    </row>
    <row r="27" spans="1:15">
      <c r="A27" t="str">
        <f>'IS &amp; BS'!A7</f>
        <v>Other Income</v>
      </c>
      <c r="B27" s="26">
        <f>'IS &amp; BS'!B7/'IS &amp; BS'!B$4</f>
        <v>5.2680434457809911E-3</v>
      </c>
      <c r="C27" s="26">
        <f>'IS &amp; BS'!C7/'IS &amp; BS'!C$4</f>
        <v>1.4055526653021595E-3</v>
      </c>
      <c r="D27" s="26">
        <f>'IS &amp; BS'!D7/'IS &amp; BS'!D$4</f>
        <v>1.4093372898983853E-3</v>
      </c>
      <c r="E27" s="26">
        <f>'IS &amp; BS'!E7/'IS &amp; BS'!E$4</f>
        <v>2.4080835428958612E-3</v>
      </c>
      <c r="F27" s="26">
        <f>'IS &amp; BS'!F7/'IS &amp; BS'!F$4</f>
        <v>1.3350027683750373E-2</v>
      </c>
      <c r="G27" s="26">
        <f>'IS &amp; BS'!G7/'IS &amp; BS'!G$4</f>
        <v>3.5138718985789339E-3</v>
      </c>
      <c r="H27" s="26">
        <f>'IS &amp; BS'!H7/'IS &amp; BS'!H$4</f>
        <v>3.5741613601063689E-3</v>
      </c>
      <c r="I27" s="170">
        <f>'IS &amp; BS'!I7/'IS &amp; BS'!I$4</f>
        <v>2.1977406255777633E-3</v>
      </c>
      <c r="J27" s="170">
        <f>'IS &amp; BS'!J7/'IS &amp; BS'!J$4</f>
        <v>1.7812273295045858E-3</v>
      </c>
      <c r="K27" s="170">
        <f>'IS &amp; BS'!K7/'IS &amp; BS'!K$4</f>
        <v>1.6055158614162062E-3</v>
      </c>
      <c r="L27" s="170">
        <f>'IS &amp; BS'!L7/'IS &amp; BS'!L$4</f>
        <v>1.4355375549591099E-3</v>
      </c>
      <c r="M27" s="170">
        <f>'IS &amp; BS'!M7/'IS &amp; BS'!M$4</f>
        <v>1.402739272058954E-3</v>
      </c>
      <c r="N27" s="170">
        <f>'IS &amp; BS'!N7/'IS &amp; BS'!N$4</f>
        <v>1.3005475101619441E-3</v>
      </c>
      <c r="O27" s="170"/>
    </row>
    <row r="28" spans="1:15">
      <c r="A28" t="str">
        <f>'IS &amp; BS'!A8</f>
        <v>Distribution Expenses</v>
      </c>
      <c r="B28" s="26">
        <f>'IS &amp; BS'!B8/'IS &amp; BS'!B$4</f>
        <v>-4.2134406158156064E-2</v>
      </c>
      <c r="C28" s="26">
        <f>'IS &amp; BS'!C8/'IS &amp; BS'!C$4</f>
        <v>-4.1733768196744889E-2</v>
      </c>
      <c r="D28" s="26">
        <f>'IS &amp; BS'!D8/'IS &amp; BS'!D$4</f>
        <v>-4.3468555494608596E-2</v>
      </c>
      <c r="E28" s="26">
        <f>'IS &amp; BS'!E8/'IS &amp; BS'!E$4</f>
        <v>-5.561812486251691E-2</v>
      </c>
      <c r="F28" s="26">
        <f>'IS &amp; BS'!F8/'IS &amp; BS'!F$4</f>
        <v>-5.1798348623395357E-2</v>
      </c>
      <c r="G28" s="26">
        <f>'IS &amp; BS'!G8/'IS &amp; BS'!G$4</f>
        <v>-6.2853713275171835E-2</v>
      </c>
      <c r="H28" s="26">
        <f>'IS &amp; BS'!H8/'IS &amp; BS'!H$4</f>
        <v>-5.7520534624517762E-2</v>
      </c>
      <c r="I28" s="170">
        <f>'IS &amp; BS'!I8/'IS &amp; BS'!I$4</f>
        <v>-5.7520534624517762E-2</v>
      </c>
      <c r="J28" s="170">
        <f>'IS &amp; BS'!J8/'IS &amp; BS'!J$4</f>
        <v>-5.7520534624517762E-2</v>
      </c>
      <c r="K28" s="170">
        <f>'IS &amp; BS'!K8/'IS &amp; BS'!K$4</f>
        <v>-5.7520534624517762E-2</v>
      </c>
      <c r="L28" s="170">
        <f>'IS &amp; BS'!L8/'IS &amp; BS'!L$4</f>
        <v>-5.7520534624517762E-2</v>
      </c>
      <c r="M28" s="170">
        <f>'IS &amp; BS'!M8/'IS &amp; BS'!M$4</f>
        <v>-5.7520534624517762E-2</v>
      </c>
      <c r="N28" s="170">
        <f>'IS &amp; BS'!N8/'IS &amp; BS'!N$4</f>
        <v>-5.7520534624517762E-2</v>
      </c>
      <c r="O28" s="170"/>
    </row>
    <row r="29" spans="1:15">
      <c r="A29" t="str">
        <f>'IS &amp; BS'!A9</f>
        <v>Administrative Expenses</v>
      </c>
      <c r="B29" s="26">
        <f>'IS &amp; BS'!B9/'IS &amp; BS'!B$4</f>
        <v>-2.7137954490147699E-2</v>
      </c>
      <c r="C29" s="26">
        <f>'IS &amp; BS'!C9/'IS &amp; BS'!C$4</f>
        <v>-2.6687705783959577E-2</v>
      </c>
      <c r="D29" s="26">
        <f>'IS &amp; BS'!D9/'IS &amp; BS'!D$4</f>
        <v>-2.6325495415646088E-2</v>
      </c>
      <c r="E29" s="26">
        <f>'IS &amp; BS'!E9/'IS &amp; BS'!E$4</f>
        <v>-2.994497531288488E-2</v>
      </c>
      <c r="F29" s="26">
        <f>'IS &amp; BS'!F9/'IS &amp; BS'!F$4</f>
        <v>-2.7625111282576921E-2</v>
      </c>
      <c r="G29" s="26">
        <f>'IS &amp; BS'!G9/'IS &amp; BS'!G$4</f>
        <v>-3.155896735550015E-2</v>
      </c>
      <c r="H29" s="26">
        <f>'IS &amp; BS'!H9/'IS &amp; BS'!H$4</f>
        <v>-3.0155350454524232E-2</v>
      </c>
      <c r="I29" s="170">
        <f>'IS &amp; BS'!I9/'IS &amp; BS'!I$4</f>
        <v>-2.2170450141566801E-2</v>
      </c>
      <c r="J29" s="170">
        <f>'IS &amp; BS'!J9/'IS &amp; BS'!J$4</f>
        <v>-1.875346856297664E-2</v>
      </c>
      <c r="K29" s="170">
        <f>'IS &amp; BS'!K9/'IS &amp; BS'!K$4</f>
        <v>-1.7941961492419816E-2</v>
      </c>
      <c r="L29" s="170">
        <f>'IS &amp; BS'!L9/'IS &amp; BS'!L$4</f>
        <v>-1.7348334483486536E-2</v>
      </c>
      <c r="M29" s="170">
        <f>'IS &amp; BS'!M9/'IS &amp; BS'!M$4</f>
        <v>-1.8706535065901753E-2</v>
      </c>
      <c r="N29" s="170">
        <f>'IS &amp; BS'!N9/'IS &amp; BS'!N$4</f>
        <v>-1.9555064067537157E-2</v>
      </c>
      <c r="O29" s="170"/>
    </row>
    <row r="30" spans="1:15">
      <c r="A30" s="173" t="str">
        <f>'IS &amp; BS'!A10</f>
        <v>Operating Profit</v>
      </c>
      <c r="B30" s="174">
        <f>'IS &amp; BS'!B10/'IS &amp; BS'!B$4</f>
        <v>7.0686676188075101E-2</v>
      </c>
      <c r="C30" s="174">
        <f>'IS &amp; BS'!C10/'IS &amp; BS'!C$4</f>
        <v>9.9035405616742345E-2</v>
      </c>
      <c r="D30" s="174">
        <f>'IS &amp; BS'!D10/'IS &amp; BS'!D$4</f>
        <v>9.6215970464262376E-2</v>
      </c>
      <c r="E30" s="174">
        <f>'IS &amp; BS'!E10/'IS &amp; BS'!E$4</f>
        <v>8.4920566003154258E-2</v>
      </c>
      <c r="F30" s="174">
        <f>'IS &amp; BS'!F10/'IS &amp; BS'!F$4</f>
        <v>0.11065951925926767</v>
      </c>
      <c r="G30" s="174">
        <f>'IS &amp; BS'!G10/'IS &amp; BS'!G$4</f>
        <v>0.14772897577936342</v>
      </c>
      <c r="H30" s="174">
        <f>'IS &amp; BS'!H10/'IS &amp; BS'!H$4</f>
        <v>0.13693976067052327</v>
      </c>
      <c r="I30" s="174">
        <f>'IS &amp; BS'!I10/'IS &amp; BS'!I$4</f>
        <v>7.9405494790427661E-2</v>
      </c>
      <c r="J30" s="174">
        <f>'IS &amp; BS'!J10/'IS &amp; BS'!J$4</f>
        <v>9.7162914335295059E-2</v>
      </c>
      <c r="K30" s="174">
        <f>'IS &amp; BS'!K10/'IS &amp; BS'!K$4</f>
        <v>0.10168416127983997</v>
      </c>
      <c r="L30" s="174">
        <f>'IS &amp; BS'!L10/'IS &amp; BS'!L$4</f>
        <v>0.12195454136519281</v>
      </c>
      <c r="M30" s="174">
        <f>'IS &amp; BS'!M10/'IS &amp; BS'!M$4</f>
        <v>0.11415816616345643</v>
      </c>
      <c r="N30" s="174">
        <f>'IS &amp; BS'!N10/'IS &amp; BS'!N$4</f>
        <v>8.4640970036218136E-2</v>
      </c>
      <c r="O30" s="170"/>
    </row>
    <row r="31" spans="1:15">
      <c r="A31" t="str">
        <f>'IS &amp; BS'!A11</f>
        <v>Net Finance Cost</v>
      </c>
      <c r="B31" s="26">
        <f>'IS &amp; BS'!B11/'IS &amp; BS'!B$4</f>
        <v>-2.3694944035241954E-2</v>
      </c>
      <c r="C31" s="26">
        <f>'IS &amp; BS'!C11/'IS &amp; BS'!C$4</f>
        <v>-2.4155259564104466E-2</v>
      </c>
      <c r="D31" s="26">
        <f>'IS &amp; BS'!D11/'IS &amp; BS'!D$4</f>
        <v>-2.9696155389777781E-2</v>
      </c>
      <c r="E31" s="26">
        <f>'IS &amp; BS'!E11/'IS &amp; BS'!E$4</f>
        <v>-2.4849517710617986E-2</v>
      </c>
      <c r="F31" s="26">
        <f>'IS &amp; BS'!F11/'IS &amp; BS'!F$4</f>
        <v>-2.687417049253232E-2</v>
      </c>
      <c r="G31" s="26">
        <f>'IS &amp; BS'!G11/'IS &amp; BS'!G$4</f>
        <v>-1.9646990794946681E-2</v>
      </c>
      <c r="H31" s="26">
        <f>'IS &amp; BS'!H11/'IS &amp; BS'!H$4</f>
        <v>-1.4930399219890476E-2</v>
      </c>
      <c r="I31" s="170">
        <f>'IS &amp; BS'!I11/'IS &amp; BS'!I$4</f>
        <v>-2.2628988482562212E-2</v>
      </c>
      <c r="J31" s="170">
        <f>'IS &amp; BS'!J11/'IS &amp; BS'!J$4</f>
        <v>-1.9861002325089319E-2</v>
      </c>
      <c r="K31" s="170">
        <f>'IS &amp; BS'!K11/'IS &amp; BS'!K$4</f>
        <v>-1.9241813568949204E-2</v>
      </c>
      <c r="L31" s="170">
        <f>'IS &amp; BS'!L11/'IS &amp; BS'!L$4</f>
        <v>-1.7860405906494233E-2</v>
      </c>
      <c r="M31" s="170">
        <f>'IS &amp; BS'!M11/'IS &amp; BS'!M$4</f>
        <v>-1.718333389064439E-2</v>
      </c>
      <c r="N31" s="170">
        <f>'IS &amp; BS'!N11/'IS &amp; BS'!N$4</f>
        <v>-1.5677660764934518E-2</v>
      </c>
      <c r="O31" s="170"/>
    </row>
    <row r="32" spans="1:15">
      <c r="A32" t="str">
        <f>'IS &amp; BS'!A12</f>
        <v>Share of profit of associate</v>
      </c>
      <c r="B32" s="26">
        <f>'IS &amp; BS'!B12/'IS &amp; BS'!B$4</f>
        <v>0</v>
      </c>
      <c r="C32" s="26">
        <f>'IS &amp; BS'!C12/'IS &amp; BS'!C$4</f>
        <v>0</v>
      </c>
      <c r="D32" s="26">
        <f>'IS &amp; BS'!D12/'IS &amp; BS'!D$4</f>
        <v>0</v>
      </c>
      <c r="E32" s="26">
        <f>'IS &amp; BS'!E12/'IS &amp; BS'!E$4</f>
        <v>0</v>
      </c>
      <c r="F32" s="26">
        <f>'IS &amp; BS'!F12/'IS &amp; BS'!F$4</f>
        <v>3.1847403064592552E-3</v>
      </c>
      <c r="G32" s="26">
        <f>'IS &amp; BS'!G12/'IS &amp; BS'!G$4</f>
        <v>4.2724254918967931E-3</v>
      </c>
      <c r="H32" s="26">
        <f>'IS &amp; BS'!H12/'IS &amp; BS'!H$4</f>
        <v>-1.7234121816106427E-3</v>
      </c>
      <c r="I32" s="170">
        <f>'IS &amp; BS'!I12/'IS &amp; BS'!I$4</f>
        <v>3.9366255397043948E-4</v>
      </c>
      <c r="J32" s="170">
        <f>'IS &amp; BS'!J12/'IS &amp; BS'!J$4</f>
        <v>3.2132909987849553E-4</v>
      </c>
      <c r="K32" s="170">
        <f>'IS &amp; BS'!K12/'IS &amp; BS'!K$4</f>
        <v>2.9155923250671071E-4</v>
      </c>
      <c r="L32" s="170">
        <f>'IS &amp; BS'!L12/'IS &amp; BS'!L$4</f>
        <v>2.6230540695889367E-4</v>
      </c>
      <c r="M32" s="170">
        <f>'IS &amp; BS'!M12/'IS &amp; BS'!M$4</f>
        <v>2.5778037485972067E-4</v>
      </c>
      <c r="N32" s="170">
        <f>'IS &amp; BS'!N12/'IS &amp; BS'!N$4</f>
        <v>2.402591635069884E-4</v>
      </c>
      <c r="O32" s="170"/>
    </row>
    <row r="33" spans="1:15">
      <c r="A33" t="str">
        <f>'IS &amp; BS'!A13</f>
        <v>Profit Before Tax</v>
      </c>
      <c r="B33" s="26">
        <f>'IS &amp; BS'!B13/'IS &amp; BS'!B$4</f>
        <v>4.699173215283315E-2</v>
      </c>
      <c r="C33" s="26">
        <f>'IS &amp; BS'!C13/'IS &amp; BS'!C$4</f>
        <v>7.4880146052637889E-2</v>
      </c>
      <c r="D33" s="26">
        <f>'IS &amp; BS'!D13/'IS &amp; BS'!D$4</f>
        <v>6.6519815074484581E-2</v>
      </c>
      <c r="E33" s="26">
        <f>'IS &amp; BS'!E13/'IS &amp; BS'!E$4</f>
        <v>6.0071048292536261E-2</v>
      </c>
      <c r="F33" s="26">
        <f>'IS &amp; BS'!F13/'IS &amp; BS'!F$4</f>
        <v>8.6970089073194604E-2</v>
      </c>
      <c r="G33" s="26">
        <f>'IS &amp; BS'!G13/'IS &amp; BS'!G$4</f>
        <v>0.13235441047631352</v>
      </c>
      <c r="H33" s="26">
        <f>'IS &amp; BS'!H13/'IS &amp; BS'!H$4</f>
        <v>0.12028594926902215</v>
      </c>
      <c r="I33" s="170">
        <f>'IS &amp; BS'!I13/'IS &amp; BS'!I$4</f>
        <v>5.7170168861835888E-2</v>
      </c>
      <c r="J33" s="170">
        <f>'IS &amp; BS'!J13/'IS &amp; BS'!J$4</f>
        <v>7.7623241110084229E-2</v>
      </c>
      <c r="K33" s="170">
        <f>'IS &amp; BS'!K13/'IS &amp; BS'!K$4</f>
        <v>8.2733906943397467E-2</v>
      </c>
      <c r="L33" s="170">
        <f>'IS &amp; BS'!L13/'IS &amp; BS'!L$4</f>
        <v>0.10435644086565747</v>
      </c>
      <c r="M33" s="170">
        <f>'IS &amp; BS'!M13/'IS &amp; BS'!M$4</f>
        <v>9.7232612647671773E-2</v>
      </c>
      <c r="N33" s="170">
        <f>'IS &amp; BS'!N13/'IS &amp; BS'!N$4</f>
        <v>6.9203568434790613E-2</v>
      </c>
      <c r="O33" s="170"/>
    </row>
    <row r="34" spans="1:15">
      <c r="A34" t="str">
        <f>'IS &amp; BS'!A14</f>
        <v>Tax Expense</v>
      </c>
      <c r="B34" s="26">
        <f>'IS &amp; BS'!B14/'IS &amp; BS'!B$4</f>
        <v>-1.7028610824826401E-2</v>
      </c>
      <c r="C34" s="26">
        <f>'IS &amp; BS'!C14/'IS &amp; BS'!C$4</f>
        <v>-2.001471696570133E-2</v>
      </c>
      <c r="D34" s="26">
        <f>'IS &amp; BS'!D14/'IS &amp; BS'!D$4</f>
        <v>-1.4386960584508298E-2</v>
      </c>
      <c r="E34" s="26">
        <f>'IS &amp; BS'!E14/'IS &amp; BS'!E$4</f>
        <v>-1.5411385233787218E-2</v>
      </c>
      <c r="F34" s="26">
        <f>'IS &amp; BS'!F14/'IS &amp; BS'!F$4</f>
        <v>-2.0839126773832494E-2</v>
      </c>
      <c r="G34" s="26">
        <f>'IS &amp; BS'!G14/'IS &amp; BS'!G$4</f>
        <v>-3.3282846354103245E-2</v>
      </c>
      <c r="H34" s="26">
        <f>'IS &amp; BS'!H14/'IS &amp; BS'!H$4</f>
        <v>-3.4705875736678271E-2</v>
      </c>
      <c r="I34" s="170">
        <f>'IS &amp; BS'!I14/'IS &amp; BS'!I$4</f>
        <v>-1.6495199883456178E-2</v>
      </c>
      <c r="J34" s="170">
        <f>'IS &amp; BS'!J14/'IS &amp; BS'!J$4</f>
        <v>-2.2396485845737883E-2</v>
      </c>
      <c r="K34" s="170">
        <f>'IS &amp; BS'!K14/'IS &amp; BS'!K$4</f>
        <v>-2.3871056520205974E-2</v>
      </c>
      <c r="L34" s="170">
        <f>'IS &amp; BS'!L14/'IS &amp; BS'!L$4</f>
        <v>-3.0109765030870966E-2</v>
      </c>
      <c r="M34" s="170">
        <f>'IS &amp; BS'!M14/'IS &amp; BS'!M$4</f>
        <v>-2.8054340449651601E-2</v>
      </c>
      <c r="N34" s="170">
        <f>'IS &amp; BS'!N14/'IS &amp; BS'!N$4</f>
        <v>-1.996717373249424E-2</v>
      </c>
      <c r="O34" s="170"/>
    </row>
    <row r="35" spans="1:15">
      <c r="A35" s="173" t="str">
        <f>'IS &amp; BS'!A15</f>
        <v>Profit for the Year</v>
      </c>
      <c r="B35" s="174">
        <f>'IS &amp; BS'!B15/'IS &amp; BS'!B$4</f>
        <v>2.9963121328006742E-2</v>
      </c>
      <c r="C35" s="174">
        <f>'IS &amp; BS'!C15/'IS &amp; BS'!C$4</f>
        <v>5.4865429086936562E-2</v>
      </c>
      <c r="D35" s="174">
        <f>'IS &amp; BS'!D15/'IS &amp; BS'!D$4</f>
        <v>5.2132854489976288E-2</v>
      </c>
      <c r="E35" s="174">
        <f>'IS &amp; BS'!E15/'IS &amp; BS'!E$4</f>
        <v>4.4659663058749043E-2</v>
      </c>
      <c r="F35" s="174">
        <f>'IS &amp; BS'!F15/'IS &amp; BS'!F$4</f>
        <v>6.6130962299362106E-2</v>
      </c>
      <c r="G35" s="174">
        <f>'IS &amp; BS'!G15/'IS &amp; BS'!G$4</f>
        <v>9.9071564122210271E-2</v>
      </c>
      <c r="H35" s="174">
        <f>'IS &amp; BS'!H15/'IS &amp; BS'!H$4</f>
        <v>8.5580073532343884E-2</v>
      </c>
      <c r="I35" s="174">
        <f>'IS &amp; BS'!I15/'IS &amp; BS'!I$4</f>
        <v>4.0674968978379709E-2</v>
      </c>
      <c r="J35" s="174">
        <f>'IS &amp; BS'!J15/'IS &amp; BS'!J$4</f>
        <v>5.5226755264346346E-2</v>
      </c>
      <c r="K35" s="174">
        <f>'IS &amp; BS'!K15/'IS &amp; BS'!K$4</f>
        <v>5.8862850423191497E-2</v>
      </c>
      <c r="L35" s="174">
        <f>'IS &amp; BS'!L15/'IS &amp; BS'!L$4</f>
        <v>7.4246675834786502E-2</v>
      </c>
      <c r="M35" s="174">
        <f>'IS &amp; BS'!M15/'IS &amp; BS'!M$4</f>
        <v>6.9178272198020183E-2</v>
      </c>
      <c r="N35" s="174">
        <f>'IS &amp; BS'!N15/'IS &amp; BS'!N$4</f>
        <v>4.923639470229637E-2</v>
      </c>
      <c r="O35" s="170"/>
    </row>
    <row r="36" spans="1:15">
      <c r="A36" t="str">
        <f>'IS &amp; BS'!A16</f>
        <v>Less: Share of Profit for NCI</v>
      </c>
      <c r="B36" s="26">
        <f>'IS &amp; BS'!B16/'IS &amp; BS'!B$4</f>
        <v>-5.662974521413097E-3</v>
      </c>
      <c r="C36" s="26">
        <f>'IS &amp; BS'!C16/'IS &amp; BS'!C$4</f>
        <v>-7.3841321208845765E-3</v>
      </c>
      <c r="D36" s="26">
        <f>'IS &amp; BS'!D16/'IS &amp; BS'!D$4</f>
        <v>-4.9299436636027604E-3</v>
      </c>
      <c r="E36" s="26">
        <f>'IS &amp; BS'!E16/'IS &amp; BS'!E$4</f>
        <v>-6.0905774875245292E-3</v>
      </c>
      <c r="F36" s="26">
        <f>'IS &amp; BS'!F16/'IS &amp; BS'!F$4</f>
        <v>-6.5511508926588569E-3</v>
      </c>
      <c r="G36" s="26">
        <f>'IS &amp; BS'!G16/'IS &amp; BS'!G$4</f>
        <v>-1.3707979815199547E-2</v>
      </c>
      <c r="H36" s="26">
        <f>'IS &amp; BS'!H16/'IS &amp; BS'!H$4</f>
        <v>-9.3788333599754883E-3</v>
      </c>
      <c r="I36" s="170">
        <f>'IS &amp; BS'!I16/'IS &amp; BS'!I$4</f>
        <v>-4.4742465876217684E-3</v>
      </c>
      <c r="J36" s="170">
        <f>'IS &amp; BS'!J16/'IS &amp; BS'!J$4</f>
        <v>-6.0749430790780984E-3</v>
      </c>
      <c r="K36" s="170">
        <f>'IS &amp; BS'!K16/'IS &amp; BS'!K$4</f>
        <v>-6.4749135465510645E-3</v>
      </c>
      <c r="L36" s="170">
        <f>'IS &amp; BS'!L16/'IS &amp; BS'!L$4</f>
        <v>-8.1671343418265145E-3</v>
      </c>
      <c r="M36" s="170">
        <f>'IS &amp; BS'!M16/'IS &amp; BS'!M$4</f>
        <v>-7.6096099417822197E-3</v>
      </c>
      <c r="N36" s="170">
        <f>'IS &amp; BS'!N16/'IS &amp; BS'!N$4</f>
        <v>-5.4160034172526005E-3</v>
      </c>
      <c r="O36" s="170"/>
    </row>
    <row r="37" spans="1:15">
      <c r="A37" s="173" t="str">
        <f>'IS &amp; BS'!A17</f>
        <v>Net Profit attributable to equity holders of Company</v>
      </c>
      <c r="B37" s="174">
        <f>'IS &amp; BS'!B17/'IS &amp; BS'!B$4</f>
        <v>2.4300146806593644E-2</v>
      </c>
      <c r="C37" s="174">
        <f>'IS &amp; BS'!C17/'IS &amp; BS'!C$4</f>
        <v>4.7481296966051988E-2</v>
      </c>
      <c r="D37" s="174">
        <f>'IS &amp; BS'!D17/'IS &amp; BS'!D$4</f>
        <v>4.7202910826373526E-2</v>
      </c>
      <c r="E37" s="174">
        <f>'IS &amp; BS'!E17/'IS &amp; BS'!E$4</f>
        <v>3.8569085571224515E-2</v>
      </c>
      <c r="F37" s="174">
        <f>'IS &amp; BS'!F17/'IS &amp; BS'!F$4</f>
        <v>5.9579811406703244E-2</v>
      </c>
      <c r="G37" s="174">
        <f>'IS &amp; BS'!G17/'IS &amp; BS'!G$4</f>
        <v>8.5363584307010729E-2</v>
      </c>
      <c r="H37" s="174">
        <f>'IS &amp; BS'!H17/'IS &amp; BS'!H$4</f>
        <v>7.6201240172368387E-2</v>
      </c>
      <c r="I37" s="174">
        <f>'IS &amp; BS'!I17/'IS &amp; BS'!I$4</f>
        <v>3.6200722390757945E-2</v>
      </c>
      <c r="J37" s="174">
        <f>'IS &amp; BS'!J17/'IS &amp; BS'!J$4</f>
        <v>4.9151812185268248E-2</v>
      </c>
      <c r="K37" s="174">
        <f>'IS &amp; BS'!K17/'IS &amp; BS'!K$4</f>
        <v>5.2387936876640423E-2</v>
      </c>
      <c r="L37" s="174">
        <f>'IS &amp; BS'!L17/'IS &amp; BS'!L$4</f>
        <v>6.6079541492959984E-2</v>
      </c>
      <c r="M37" s="174">
        <f>'IS &amp; BS'!M17/'IS &amp; BS'!M$4</f>
        <v>6.1568662256237965E-2</v>
      </c>
      <c r="N37" s="174">
        <f>'IS &amp; BS'!N17/'IS &amp; BS'!N$4</f>
        <v>4.3820391285043767E-2</v>
      </c>
      <c r="O37" s="170"/>
    </row>
    <row r="38" spans="1:15">
      <c r="B38" s="17"/>
      <c r="C38" s="17"/>
      <c r="D38" s="17"/>
      <c r="E38" s="17"/>
      <c r="F38" s="17"/>
      <c r="G38" s="17"/>
      <c r="H38" s="17"/>
      <c r="I38" s="124"/>
      <c r="J38" s="124"/>
      <c r="K38" s="124"/>
      <c r="L38" s="124"/>
      <c r="M38" s="124"/>
      <c r="N38" s="124"/>
      <c r="O38" s="124"/>
    </row>
    <row r="39" spans="1:15">
      <c r="A39" s="3" t="s">
        <v>430</v>
      </c>
      <c r="B39" s="6"/>
      <c r="C39" s="6"/>
      <c r="D39" s="6"/>
      <c r="E39" s="6"/>
      <c r="F39" s="6"/>
      <c r="G39" s="6"/>
      <c r="H39" s="6"/>
      <c r="I39" s="6"/>
      <c r="J39" s="6"/>
      <c r="K39" s="6"/>
      <c r="L39" s="6"/>
      <c r="M39" s="6"/>
      <c r="N39" s="6"/>
      <c r="O39" s="6"/>
    </row>
    <row r="40" spans="1:15">
      <c r="A40" s="201" t="str">
        <f>'IS &amp; BS'!A31</f>
        <v>PPE</v>
      </c>
      <c r="B40" s="202">
        <f>IFERROR('IS &amp; BS'!B31/'IS &amp; BS'!B$47,"NA")</f>
        <v>0.21725588848982147</v>
      </c>
      <c r="C40" s="202">
        <f>IFERROR('IS &amp; BS'!C31/'IS &amp; BS'!C$47,"NA")</f>
        <v>0.31554936626671354</v>
      </c>
      <c r="D40" s="202">
        <f>IFERROR('IS &amp; BS'!D31/'IS &amp; BS'!D$47,"NA")</f>
        <v>0.28457587486530078</v>
      </c>
      <c r="E40" s="202">
        <f>IFERROR('IS &amp; BS'!E31/'IS &amp; BS'!E$47,"NA")</f>
        <v>0.24477923467978058</v>
      </c>
      <c r="F40" s="202">
        <f>IFERROR('IS &amp; BS'!F31/'IS &amp; BS'!F$47,"NA")</f>
        <v>0.22001455930652045</v>
      </c>
      <c r="G40" s="202">
        <f>IFERROR('IS &amp; BS'!G31/'IS &amp; BS'!G$47,"NA")</f>
        <v>0.22548087668133487</v>
      </c>
      <c r="H40" s="202">
        <f>IFERROR('IS &amp; BS'!H31/'IS &amp; BS'!H$47,"NA")</f>
        <v>0.2020896607544467</v>
      </c>
      <c r="I40" s="202">
        <f>IFERROR('IS &amp; BS'!I31/'IS &amp; BS'!I$47,"NA")</f>
        <v>0.16692962110074369</v>
      </c>
      <c r="J40" s="202">
        <f>IFERROR('IS &amp; BS'!J31/'IS &amp; BS'!J$47,"NA")</f>
        <v>0.14343089910673709</v>
      </c>
      <c r="K40" s="202">
        <f>IFERROR('IS &amp; BS'!K31/'IS &amp; BS'!K$47,"NA")</f>
        <v>0.12827665725614093</v>
      </c>
      <c r="L40" s="202">
        <f>IFERROR('IS &amp; BS'!L31/'IS &amp; BS'!L$47,"NA")</f>
        <v>0.10988830578416696</v>
      </c>
      <c r="M40" s="202">
        <f>IFERROR('IS &amp; BS'!M31/'IS &amp; BS'!M$47,"NA")</f>
        <v>9.8396545154671736E-2</v>
      </c>
      <c r="N40" s="202">
        <f>IFERROR('IS &amp; BS'!N31/'IS &amp; BS'!N$47,"NA")</f>
        <v>8.8590557700429784E-2</v>
      </c>
      <c r="O40" s="124">
        <f>AVERAGE(C40:G40)</f>
        <v>0.25807998235993007</v>
      </c>
    </row>
    <row r="41" spans="1:15">
      <c r="A41" t="str">
        <f>'IS &amp; BS'!A32</f>
        <v>Work in Progress</v>
      </c>
      <c r="B41" s="17">
        <f>IFERROR('IS &amp; BS'!B32/'IS &amp; BS'!B$47,"NA")</f>
        <v>1.4892023971265893E-2</v>
      </c>
      <c r="C41" s="17">
        <f>IFERROR('IS &amp; BS'!C32/'IS &amp; BS'!C$47,"NA")</f>
        <v>6.1117144798039516E-3</v>
      </c>
      <c r="D41" s="17">
        <f>IFERROR('IS &amp; BS'!D32/'IS &amp; BS'!D$47,"NA")</f>
        <v>3.4788837168753706E-3</v>
      </c>
      <c r="E41" s="17">
        <f>IFERROR('IS &amp; BS'!E32/'IS &amp; BS'!E$47,"NA")</f>
        <v>4.1303159329817152E-3</v>
      </c>
      <c r="F41" s="17">
        <f>IFERROR('IS &amp; BS'!F32/'IS &amp; BS'!F$47,"NA")</f>
        <v>3.9909577209413967E-3</v>
      </c>
      <c r="G41" s="17">
        <f>IFERROR('IS &amp; BS'!G32/'IS &amp; BS'!G$47,"NA")</f>
        <v>2.1369478299308772E-3</v>
      </c>
      <c r="H41" s="17">
        <f>IFERROR('IS &amp; BS'!H32/'IS &amp; BS'!H$47,"NA")</f>
        <v>1.9122917414205844E-3</v>
      </c>
      <c r="I41" s="124">
        <f>IFERROR('IS &amp; BS'!I32/'IS &amp; BS'!I$47,"NA")</f>
        <v>1.6402995388902354E-3</v>
      </c>
      <c r="J41" s="124">
        <f>IFERROR('IS &amp; BS'!J32/'IS &amp; BS'!J$47,"NA")</f>
        <v>1.777008337554242E-3</v>
      </c>
      <c r="K41" s="124">
        <f>IFERROR('IS &amp; BS'!K32/'IS &amp; BS'!K$47,"NA")</f>
        <v>1.3961040516519362E-3</v>
      </c>
      <c r="L41" s="124">
        <f>IFERROR('IS &amp; BS'!L32/'IS &amp; BS'!L$47,"NA")</f>
        <v>1.3652276964332139E-3</v>
      </c>
      <c r="M41" s="124">
        <f>IFERROR('IS &amp; BS'!M32/'IS &amp; BS'!M$47,"NA")</f>
        <v>1.2760201226011036E-3</v>
      </c>
      <c r="N41" s="124">
        <f>IFERROR('IS &amp; BS'!N32/'IS &amp; BS'!N$47,"NA")</f>
        <v>1.2337864471535234E-3</v>
      </c>
      <c r="O41" s="124">
        <f t="shared" ref="O41:O85" si="0">AVERAGE(C41:G41)</f>
        <v>3.9697639361066621E-3</v>
      </c>
    </row>
    <row r="42" spans="1:15">
      <c r="A42" t="str">
        <f>'IS &amp; BS'!A33</f>
        <v>Investment Property</v>
      </c>
      <c r="B42" s="17">
        <f>IFERROR('IS &amp; BS'!B33/'IS &amp; BS'!B$47,"NA")</f>
        <v>1.3972560310702979E-2</v>
      </c>
      <c r="C42" s="17">
        <f>IFERROR('IS &amp; BS'!C33/'IS &amp; BS'!C$47,"NA")</f>
        <v>1.3587313450011683E-2</v>
      </c>
      <c r="D42" s="17">
        <f>IFERROR('IS &amp; BS'!D33/'IS &amp; BS'!D$47,"NA")</f>
        <v>1.1916585256925606E-2</v>
      </c>
      <c r="E42" s="17">
        <f>IFERROR('IS &amp; BS'!E33/'IS &amp; BS'!E$47,"NA")</f>
        <v>2.6310388046684421E-2</v>
      </c>
      <c r="F42" s="17">
        <f>IFERROR('IS &amp; BS'!F33/'IS &amp; BS'!F$47,"NA")</f>
        <v>3.0681961676425045E-2</v>
      </c>
      <c r="G42" s="17">
        <f>IFERROR('IS &amp; BS'!G33/'IS &amp; BS'!G$47,"NA")</f>
        <v>3.3563603940106913E-2</v>
      </c>
      <c r="H42" s="17">
        <f>IFERROR('IS &amp; BS'!H33/'IS &amp; BS'!H$47,"NA")</f>
        <v>3.2522481712555715E-2</v>
      </c>
      <c r="I42" s="124">
        <f>IFERROR('IS &amp; BS'!I33/'IS &amp; BS'!I$47,"NA")</f>
        <v>2.8773002358102612E-2</v>
      </c>
      <c r="J42" s="124">
        <f>IFERROR('IS &amp; BS'!J33/'IS &amp; BS'!J$47,"NA")</f>
        <v>2.647249638036319E-2</v>
      </c>
      <c r="K42" s="124">
        <f>IFERROR('IS &amp; BS'!K33/'IS &amp; BS'!K$47,"NA")</f>
        <v>2.5344675848714499E-2</v>
      </c>
      <c r="L42" s="124">
        <f>IFERROR('IS &amp; BS'!L33/'IS &amp; BS'!L$47,"NA")</f>
        <v>2.3236054737973702E-2</v>
      </c>
      <c r="M42" s="124">
        <f>IFERROR('IS &amp; BS'!M33/'IS &amp; BS'!M$47,"NA")</f>
        <v>2.2261059618644444E-2</v>
      </c>
      <c r="N42" s="124">
        <f>IFERROR('IS &amp; BS'!N33/'IS &amp; BS'!N$47,"NA")</f>
        <v>2.1438291865304323E-2</v>
      </c>
      <c r="O42" s="124">
        <f t="shared" si="0"/>
        <v>2.3211970474030737E-2</v>
      </c>
    </row>
    <row r="43" spans="1:15">
      <c r="A43" t="str">
        <f>'IS &amp; BS'!A34</f>
        <v>Intangible Assets</v>
      </c>
      <c r="B43" s="17">
        <f>IFERROR('IS &amp; BS'!B34/'IS &amp; BS'!B$47,"NA")</f>
        <v>6.6997890143504846E-4</v>
      </c>
      <c r="C43" s="17">
        <f>IFERROR('IS &amp; BS'!C34/'IS &amp; BS'!C$47,"NA")</f>
        <v>6.264485215381686E-4</v>
      </c>
      <c r="D43" s="17">
        <f>IFERROR('IS &amp; BS'!D34/'IS &amp; BS'!D$47,"NA")</f>
        <v>5.4941892990465781E-4</v>
      </c>
      <c r="E43" s="17">
        <f>IFERROR('IS &amp; BS'!E34/'IS &amp; BS'!E$47,"NA")</f>
        <v>1.1669528578434794E-3</v>
      </c>
      <c r="F43" s="17">
        <f>IFERROR('IS &amp; BS'!F34/'IS &amp; BS'!F$47,"NA")</f>
        <v>8.5193787705594814E-4</v>
      </c>
      <c r="G43" s="17">
        <f>IFERROR('IS &amp; BS'!G34/'IS &amp; BS'!G$47,"NA")</f>
        <v>7.4718046213179872E-4</v>
      </c>
      <c r="H43" s="17">
        <f>IFERROR('IS &amp; BS'!H34/'IS &amp; BS'!H$47,"NA")</f>
        <v>5.5162958308925124E-4</v>
      </c>
      <c r="I43" s="124">
        <f>IFERROR('IS &amp; BS'!I34/'IS &amp; BS'!I$47,"NA")</f>
        <v>4.5802949245509562E-4</v>
      </c>
      <c r="J43" s="124">
        <f>IFERROR('IS &amp; BS'!J34/'IS &amp; BS'!J$47,"NA")</f>
        <v>3.9731292535216445E-4</v>
      </c>
      <c r="K43" s="124">
        <f>IFERROR('IS &amp; BS'!K34/'IS &amp; BS'!K$47,"NA")</f>
        <v>3.5992655691830162E-4</v>
      </c>
      <c r="L43" s="124">
        <f>IFERROR('IS &amp; BS'!L34/'IS &amp; BS'!L$47,"NA")</f>
        <v>3.1310905896050976E-4</v>
      </c>
      <c r="M43" s="124">
        <f>IFERROR('IS &amp; BS'!M34/'IS &amp; BS'!M$47,"NA")</f>
        <v>2.8525213306968033E-4</v>
      </c>
      <c r="N43" s="124">
        <f>IFERROR('IS &amp; BS'!N34/'IS &amp; BS'!N$47,"NA")</f>
        <v>2.6166873618648504E-4</v>
      </c>
      <c r="O43" s="124">
        <f t="shared" si="0"/>
        <v>7.8838772969481064E-4</v>
      </c>
    </row>
    <row r="44" spans="1:15">
      <c r="A44" t="str">
        <f>'IS &amp; BS'!A35</f>
        <v>Prepaid Lease Rentals and other</v>
      </c>
      <c r="B44" s="17">
        <f>IFERROR('IS &amp; BS'!B35/'IS &amp; BS'!B$47,"NA")</f>
        <v>2.0103093804337525E-4</v>
      </c>
      <c r="C44" s="17">
        <f>IFERROR('IS &amp; BS'!C35/'IS &amp; BS'!C$47,"NA")</f>
        <v>1.856486895572981E-4</v>
      </c>
      <c r="D44" s="17">
        <f>IFERROR('IS &amp; BS'!D35/'IS &amp; BS'!D$47,"NA")</f>
        <v>1.6078562657155401E-4</v>
      </c>
      <c r="E44" s="17">
        <f>IFERROR('IS &amp; BS'!E35/'IS &amp; BS'!E$47,"NA")</f>
        <v>1.4375265645696347E-4</v>
      </c>
      <c r="F44" s="17">
        <f>IFERROR('IS &amp; BS'!F35/'IS &amp; BS'!F$47,"NA")</f>
        <v>1.0642222001356354E-4</v>
      </c>
      <c r="G44" s="17">
        <f>IFERROR('IS &amp; BS'!G35/'IS &amp; BS'!G$47,"NA")</f>
        <v>1.097972159901172E-4</v>
      </c>
      <c r="H44" s="17">
        <f>IFERROR('IS &amp; BS'!H35/'IS &amp; BS'!H$47,"NA")</f>
        <v>2.0766095051729308E-4</v>
      </c>
      <c r="I44" s="124">
        <f>IFERROR('IS &amp; BS'!I35/'IS &amp; BS'!I$47,"NA")</f>
        <v>1.7596194716686998E-4</v>
      </c>
      <c r="J44" s="124">
        <f>IFERROR('IS &amp; BS'!J35/'IS &amp; BS'!J$47,"NA")</f>
        <v>1.5505682748568773E-4</v>
      </c>
      <c r="K44" s="124">
        <f>IFERROR('IS &amp; BS'!K35/'IS &amp; BS'!K$47,"NA")</f>
        <v>1.4218217578665767E-4</v>
      </c>
      <c r="L44" s="124">
        <f>IFERROR('IS &amp; BS'!L35/'IS &amp; BS'!L$47,"NA")</f>
        <v>1.2484846989092394E-4</v>
      </c>
      <c r="M44" s="124">
        <f>IFERROR('IS &amp; BS'!M35/'IS &amp; BS'!M$47,"NA")</f>
        <v>1.1455896583550544E-4</v>
      </c>
      <c r="N44" s="124">
        <f>IFERROR('IS &amp; BS'!N35/'IS &amp; BS'!N$47,"NA")</f>
        <v>1.0566614157745672E-4</v>
      </c>
      <c r="O44" s="124">
        <f t="shared" si="0"/>
        <v>1.4128128171789927E-4</v>
      </c>
    </row>
    <row r="45" spans="1:15">
      <c r="A45" t="str">
        <f>'IS &amp; BS'!A36</f>
        <v>Investment in Subsidiaries</v>
      </c>
      <c r="B45" s="171" t="str">
        <f>IFERROR('IS &amp; BS'!B36/'IS &amp; BS'!B$47,"NA")</f>
        <v>NA</v>
      </c>
      <c r="C45" s="17">
        <f>IFERROR('IS &amp; BS'!C36/'IS &amp; BS'!C$47,"NA")</f>
        <v>0</v>
      </c>
      <c r="D45" s="17">
        <f>IFERROR('IS &amp; BS'!D36/'IS &amp; BS'!D$47,"NA")</f>
        <v>0</v>
      </c>
      <c r="E45" s="17">
        <f>IFERROR('IS &amp; BS'!E36/'IS &amp; BS'!E$47,"NA")</f>
        <v>0</v>
      </c>
      <c r="F45" s="17">
        <f>IFERROR('IS &amp; BS'!F36/'IS &amp; BS'!F$47,"NA")</f>
        <v>0</v>
      </c>
      <c r="G45" s="17">
        <f>IFERROR('IS &amp; BS'!G36/'IS &amp; BS'!G$47,"NA")</f>
        <v>0</v>
      </c>
      <c r="H45" s="17">
        <f>IFERROR('IS &amp; BS'!H36/'IS &amp; BS'!H$47,"NA")</f>
        <v>0</v>
      </c>
      <c r="I45" s="124">
        <f>IFERROR('IS &amp; BS'!I36/'IS &amp; BS'!I$47,"NA")</f>
        <v>0</v>
      </c>
      <c r="J45" s="124">
        <f>IFERROR('IS &amp; BS'!J36/'IS &amp; BS'!J$47,"NA")</f>
        <v>0</v>
      </c>
      <c r="K45" s="124">
        <f>IFERROR('IS &amp; BS'!K36/'IS &amp; BS'!K$47,"NA")</f>
        <v>0</v>
      </c>
      <c r="L45" s="124">
        <f>IFERROR('IS &amp; BS'!L36/'IS &amp; BS'!L$47,"NA")</f>
        <v>0</v>
      </c>
      <c r="M45" s="124">
        <f>IFERROR('IS &amp; BS'!M36/'IS &amp; BS'!M$47,"NA")</f>
        <v>0</v>
      </c>
      <c r="N45" s="124">
        <f>IFERROR('IS &amp; BS'!N36/'IS &amp; BS'!N$47,"NA")</f>
        <v>0</v>
      </c>
      <c r="O45" s="124">
        <f t="shared" si="0"/>
        <v>0</v>
      </c>
    </row>
    <row r="46" spans="1:15">
      <c r="A46" t="str">
        <f>'IS &amp; BS'!A37</f>
        <v>Investment in other companies</v>
      </c>
      <c r="B46" s="17">
        <f>IFERROR('IS &amp; BS'!B37/'IS &amp; BS'!B$47,"NA")</f>
        <v>2.8857413675797902E-3</v>
      </c>
      <c r="C46" s="17">
        <f>IFERROR('IS &amp; BS'!C37/'IS &amp; BS'!C$47,"NA")</f>
        <v>0</v>
      </c>
      <c r="D46" s="17">
        <f>IFERROR('IS &amp; BS'!D37/'IS &amp; BS'!D$47,"NA")</f>
        <v>0</v>
      </c>
      <c r="E46" s="17">
        <f>IFERROR('IS &amp; BS'!E37/'IS &amp; BS'!E$47,"NA")</f>
        <v>0</v>
      </c>
      <c r="F46" s="17">
        <f>IFERROR('IS &amp; BS'!F37/'IS &amp; BS'!F$47,"NA")</f>
        <v>5.1266197259621608E-2</v>
      </c>
      <c r="G46" s="17">
        <f>IFERROR('IS &amp; BS'!G37/'IS &amp; BS'!G$47,"NA")</f>
        <v>1.9611486974329562E-2</v>
      </c>
      <c r="H46" s="17">
        <f>IFERROR('IS &amp; BS'!H37/'IS &amp; BS'!H$47,"NA")</f>
        <v>1.6618067565146378E-2</v>
      </c>
      <c r="I46" s="124">
        <f>IFERROR('IS &amp; BS'!I37/'IS &amp; BS'!I$47,"NA")</f>
        <v>1.4503795466689635E-2</v>
      </c>
      <c r="J46" s="124">
        <f>IFERROR('IS &amp; BS'!J37/'IS &amp; BS'!J$47,"NA")</f>
        <v>1.3164095557072278E-2</v>
      </c>
      <c r="K46" s="124">
        <f>IFERROR('IS &amp; BS'!K37/'IS &amp; BS'!K$47,"NA")</f>
        <v>1.2433188349626187E-2</v>
      </c>
      <c r="L46" s="124">
        <f>IFERROR('IS &amp; BS'!L37/'IS &amp; BS'!L$47,"NA")</f>
        <v>1.1244957173499801E-2</v>
      </c>
      <c r="M46" s="124">
        <f>IFERROR('IS &amp; BS'!M37/'IS &amp; BS'!M$47,"NA")</f>
        <v>1.0627739256714465E-2</v>
      </c>
      <c r="N46" s="124">
        <f>IFERROR('IS &amp; BS'!N37/'IS &amp; BS'!N$47,"NA")</f>
        <v>1.009682619374905E-2</v>
      </c>
      <c r="O46" s="124">
        <f t="shared" si="0"/>
        <v>1.4175536846790234E-2</v>
      </c>
    </row>
    <row r="47" spans="1:15">
      <c r="A47" t="str">
        <f>'IS &amp; BS'!A38</f>
        <v>Financial Assets- Available for sale at fair value</v>
      </c>
      <c r="B47" s="176">
        <f>IFERROR('IS &amp; BS'!B38/'IS &amp; BS'!B$47,"NA")</f>
        <v>0</v>
      </c>
      <c r="C47" s="176">
        <f>IFERROR('IS &amp; BS'!C38/'IS &amp; BS'!C$47,"NA")</f>
        <v>2.9366846904344515E-3</v>
      </c>
      <c r="D47" s="176">
        <f>IFERROR('IS &amp; BS'!D38/'IS &amp; BS'!D$47,"NA")</f>
        <v>2.4681041054843899E-3</v>
      </c>
      <c r="E47" s="176">
        <f>IFERROR('IS &amp; BS'!E38/'IS &amp; BS'!E$47,"NA")</f>
        <v>2.1440061325613629E-3</v>
      </c>
      <c r="F47" s="176">
        <f>IFERROR('IS &amp; BS'!F38/'IS &amp; BS'!F$47,"NA")</f>
        <v>1.8760805978414461E-3</v>
      </c>
      <c r="G47" s="176">
        <f>IFERROR('IS &amp; BS'!G38/'IS &amp; BS'!G$47,"NA")</f>
        <v>2.057331839189228E-3</v>
      </c>
      <c r="H47" s="176">
        <f>IFERROR('IS &amp; BS'!H38/'IS &amp; BS'!H$47,"NA")</f>
        <v>2.0652002262055561E-3</v>
      </c>
      <c r="I47" s="124">
        <f>IFERROR('IS &amp; BS'!I38/'IS &amp; BS'!I$47,"NA")</f>
        <v>1.7499517949202876E-3</v>
      </c>
      <c r="J47" s="124">
        <f>IFERROR('IS &amp; BS'!J38/'IS &amp; BS'!J$47,"NA")</f>
        <v>1.542049164276995E-3</v>
      </c>
      <c r="K47" s="124">
        <f>IFERROR('IS &amp; BS'!K38/'IS &amp; BS'!K$47,"NA")</f>
        <v>1.4140100046038794E-3</v>
      </c>
      <c r="L47" s="124">
        <f>IFERROR('IS &amp; BS'!L38/'IS &amp; BS'!L$47,"NA")</f>
        <v>1.2416252916972088E-3</v>
      </c>
      <c r="M47" s="124">
        <f>IFERROR('IS &amp; BS'!M38/'IS &amp; BS'!M$47,"NA")</f>
        <v>1.139295575639092E-3</v>
      </c>
      <c r="N47" s="124">
        <f>IFERROR('IS &amp; BS'!N38/'IS &amp; BS'!N$47,"NA")</f>
        <v>1.0508559213681314E-3</v>
      </c>
      <c r="O47" s="124">
        <f t="shared" si="0"/>
        <v>2.2964414731021761E-3</v>
      </c>
    </row>
    <row r="48" spans="1:15" ht="15" thickBot="1">
      <c r="A48" t="str">
        <f>'IS &amp; BS'!A39</f>
        <v>Total non current assets</v>
      </c>
      <c r="B48" s="177">
        <f>IFERROR('IS &amp; BS'!B39/'IS &amp; BS'!B$47,"NA")</f>
        <v>0.24987722397884857</v>
      </c>
      <c r="C48" s="177">
        <f>IFERROR('IS &amp; BS'!C39/'IS &amp; BS'!C$47,"NA")</f>
        <v>0.33899717609805907</v>
      </c>
      <c r="D48" s="177">
        <f>IFERROR('IS &amp; BS'!D39/'IS &amp; BS'!D$47,"NA")</f>
        <v>0.30314965250106235</v>
      </c>
      <c r="E48" s="177">
        <f>IFERROR('IS &amp; BS'!E39/'IS &amp; BS'!E$47,"NA")</f>
        <v>0.2786746503063085</v>
      </c>
      <c r="F48" s="177">
        <f>IFERROR('IS &amp; BS'!F39/'IS &amp; BS'!F$47,"NA")</f>
        <v>0.30878811665841949</v>
      </c>
      <c r="G48" s="177">
        <f>IFERROR('IS &amp; BS'!G39/'IS &amp; BS'!G$47,"NA")</f>
        <v>0.28370722494301337</v>
      </c>
      <c r="H48" s="177">
        <f>IFERROR('IS &amp; BS'!H39/'IS &amp; BS'!H$47,"NA")</f>
        <v>0.25596699253338145</v>
      </c>
      <c r="I48" s="178">
        <f>IFERROR('IS &amp; BS'!I39/'IS &amp; BS'!I$47,"NA")</f>
        <v>0.21423066169896846</v>
      </c>
      <c r="J48" s="178">
        <f>IFERROR('IS &amp; BS'!J39/'IS &amp; BS'!J$47,"NA")</f>
        <v>0.18693891829884163</v>
      </c>
      <c r="K48" s="178">
        <f>IFERROR('IS &amp; BS'!K39/'IS &amp; BS'!K$47,"NA")</f>
        <v>0.16936674424344239</v>
      </c>
      <c r="L48" s="178">
        <f>IFERROR('IS &amp; BS'!L39/'IS &amp; BS'!L$47,"NA")</f>
        <v>0.14741412821262231</v>
      </c>
      <c r="M48" s="178">
        <f>IFERROR('IS &amp; BS'!M39/'IS &amp; BS'!M$47,"NA")</f>
        <v>0.13410047082717602</v>
      </c>
      <c r="N48" s="178">
        <f>IFERROR('IS &amp; BS'!N39/'IS &amp; BS'!N$47,"NA")</f>
        <v>0.12277765300576873</v>
      </c>
      <c r="O48" s="124">
        <f t="shared" si="0"/>
        <v>0.30266336410137251</v>
      </c>
    </row>
    <row r="49" spans="1:15">
      <c r="A49" t="str">
        <f>'IS &amp; BS'!A40</f>
        <v>Current Assets</v>
      </c>
      <c r="B49" s="17">
        <f>IFERROR('IS &amp; BS'!B40/'IS &amp; BS'!B$47,"NA")</f>
        <v>0</v>
      </c>
      <c r="C49" s="17">
        <f>IFERROR('IS &amp; BS'!C40/'IS &amp; BS'!C$47,"NA")</f>
        <v>0</v>
      </c>
      <c r="D49" s="17">
        <f>IFERROR('IS &amp; BS'!D40/'IS &amp; BS'!D$47,"NA")</f>
        <v>0</v>
      </c>
      <c r="E49" s="17">
        <f>IFERROR('IS &amp; BS'!E40/'IS &amp; BS'!E$47,"NA")</f>
        <v>0</v>
      </c>
      <c r="F49" s="17">
        <f>IFERROR('IS &amp; BS'!F40/'IS &amp; BS'!F$47,"NA")</f>
        <v>0</v>
      </c>
      <c r="G49" s="17">
        <f>IFERROR('IS &amp; BS'!G40/'IS &amp; BS'!G$47,"NA")</f>
        <v>0</v>
      </c>
      <c r="H49" s="17">
        <f>IFERROR('IS &amp; BS'!H40/'IS &amp; BS'!H$47,"NA")</f>
        <v>0</v>
      </c>
      <c r="I49" s="124">
        <f>IFERROR('IS &amp; BS'!I40/'IS &amp; BS'!I$47,"NA")</f>
        <v>0</v>
      </c>
      <c r="J49" s="124">
        <f>IFERROR('IS &amp; BS'!J40/'IS &amp; BS'!J$47,"NA")</f>
        <v>0</v>
      </c>
      <c r="K49" s="124">
        <f>IFERROR('IS &amp; BS'!K40/'IS &amp; BS'!K$47,"NA")</f>
        <v>0</v>
      </c>
      <c r="L49" s="124">
        <f>IFERROR('IS &amp; BS'!L40/'IS &amp; BS'!L$47,"NA")</f>
        <v>0</v>
      </c>
      <c r="M49" s="124">
        <f>IFERROR('IS &amp; BS'!M40/'IS &amp; BS'!M$47,"NA")</f>
        <v>0</v>
      </c>
      <c r="N49" s="124">
        <f>IFERROR('IS &amp; BS'!N40/'IS &amp; BS'!N$47,"NA")</f>
        <v>0</v>
      </c>
      <c r="O49" s="124">
        <f t="shared" si="0"/>
        <v>0</v>
      </c>
    </row>
    <row r="50" spans="1:15">
      <c r="A50" s="201" t="str">
        <f>'IS &amp; BS'!A41</f>
        <v>Inventories</v>
      </c>
      <c r="B50" s="202">
        <f>IFERROR('IS &amp; BS'!B41/'IS &amp; BS'!B$47,"NA")</f>
        <v>0.38169245511086708</v>
      </c>
      <c r="C50" s="202">
        <f>IFERROR('IS &amp; BS'!C41/'IS &amp; BS'!C$47,"NA")</f>
        <v>0.30049198817498707</v>
      </c>
      <c r="D50" s="202">
        <f>IFERROR('IS &amp; BS'!D41/'IS &amp; BS'!D$47,"NA")</f>
        <v>0.2960840306208003</v>
      </c>
      <c r="E50" s="202">
        <f>IFERROR('IS &amp; BS'!E41/'IS &amp; BS'!E$47,"NA")</f>
        <v>0.32701687591448314</v>
      </c>
      <c r="F50" s="202">
        <f>IFERROR('IS &amp; BS'!F41/'IS &amp; BS'!F$47,"NA")</f>
        <v>0.31735454525256385</v>
      </c>
      <c r="G50" s="202">
        <f>IFERROR('IS &amp; BS'!G41/'IS &amp; BS'!G$47,"NA")</f>
        <v>0.25932242108585279</v>
      </c>
      <c r="H50" s="202">
        <f>IFERROR('IS &amp; BS'!H41/'IS &amp; BS'!H$47,"NA")</f>
        <v>0.2633996246649053</v>
      </c>
      <c r="I50" s="202">
        <f>IFERROR('IS &amp; BS'!I41/'IS &amp; BS'!I$47,"NA")</f>
        <v>0.3197389358048362</v>
      </c>
      <c r="J50" s="202">
        <f>IFERROR('IS &amp; BS'!J41/'IS &amp; BS'!J$47,"NA")</f>
        <v>0.35126514527619368</v>
      </c>
      <c r="K50" s="202">
        <f>IFERROR('IS &amp; BS'!K41/'IS &amp; BS'!K$47,"NA")</f>
        <v>0.37006763555489253</v>
      </c>
      <c r="L50" s="202">
        <f>IFERROR('IS &amp; BS'!L41/'IS &amp; BS'!L$47,"NA")</f>
        <v>0.36045853555292678</v>
      </c>
      <c r="M50" s="202">
        <f>IFERROR('IS &amp; BS'!M41/'IS &amp; BS'!M$47,"NA")</f>
        <v>0.35030018167735466</v>
      </c>
      <c r="N50" s="202">
        <f>IFERROR('IS &amp; BS'!N41/'IS &amp; BS'!N$47,"NA")</f>
        <v>0.37121788942891065</v>
      </c>
      <c r="O50" s="124">
        <f t="shared" si="0"/>
        <v>0.30005397220973745</v>
      </c>
    </row>
    <row r="51" spans="1:15">
      <c r="A51" s="201" t="str">
        <f>'IS &amp; BS'!A42</f>
        <v>Trade and other Receivables</v>
      </c>
      <c r="B51" s="202">
        <f>IFERROR('IS &amp; BS'!B42/'IS &amp; BS'!B$47,"NA")</f>
        <v>0.32571742468333392</v>
      </c>
      <c r="C51" s="202">
        <f>IFERROR('IS &amp; BS'!C42/'IS &amp; BS'!C$47,"NA")</f>
        <v>0.2909725570867881</v>
      </c>
      <c r="D51" s="202">
        <f>IFERROR('IS &amp; BS'!D42/'IS &amp; BS'!D$47,"NA")</f>
        <v>0.30766964500546423</v>
      </c>
      <c r="E51" s="202">
        <f>IFERROR('IS &amp; BS'!E42/'IS &amp; BS'!E$47,"NA")</f>
        <v>0.33077419852291656</v>
      </c>
      <c r="F51" s="202">
        <f>IFERROR('IS &amp; BS'!F42/'IS &amp; BS'!F$47,"NA")</f>
        <v>0.30920864001551396</v>
      </c>
      <c r="G51" s="202">
        <f>IFERROR('IS &amp; BS'!G42/'IS &amp; BS'!G$47,"NA")</f>
        <v>0.27649170055333111</v>
      </c>
      <c r="H51" s="202">
        <f>IFERROR('IS &amp; BS'!H42/'IS &amp; BS'!H$47,"NA")</f>
        <v>0.32200546872698527</v>
      </c>
      <c r="I51" s="202">
        <f>IFERROR('IS &amp; BS'!I42/'IS &amp; BS'!I$47,"NA")</f>
        <v>0.3309804494200555</v>
      </c>
      <c r="J51" s="202">
        <f>IFERROR('IS &amp; BS'!J42/'IS &amp; BS'!J$47,"NA")</f>
        <v>0.3680321417548329</v>
      </c>
      <c r="K51" s="202">
        <f>IFERROR('IS &amp; BS'!K42/'IS &amp; BS'!K$47,"NA")</f>
        <v>0.38308971713496814</v>
      </c>
      <c r="L51" s="202">
        <f>IFERROR('IS &amp; BS'!L42/'IS &amp; BS'!L$47,"NA")</f>
        <v>0.3851193529340422</v>
      </c>
      <c r="M51" s="202">
        <f>IFERROR('IS &amp; BS'!M42/'IS &amp; BS'!M$47,"NA")</f>
        <v>0.39506135036331563</v>
      </c>
      <c r="N51" s="202">
        <f>IFERROR('IS &amp; BS'!N42/'IS &amp; BS'!N$47,"NA")</f>
        <v>0.40269702731569235</v>
      </c>
      <c r="O51" s="124">
        <f t="shared" si="0"/>
        <v>0.30302334823680283</v>
      </c>
    </row>
    <row r="52" spans="1:15">
      <c r="A52" t="str">
        <f>'IS &amp; BS'!A43</f>
        <v>Prepaid Lease Rentals</v>
      </c>
      <c r="B52" s="17">
        <f>IFERROR('IS &amp; BS'!B43/'IS &amp; BS'!B$47,"NA")</f>
        <v>2.4818620526283061E-6</v>
      </c>
      <c r="C52" s="17">
        <f>IFERROR('IS &amp; BS'!C43/'IS &amp; BS'!C$47,"NA")</f>
        <v>2.3206086194662263E-6</v>
      </c>
      <c r="D52" s="17">
        <f>IFERROR('IS &amp; BS'!D43/'IS &amp; BS'!D$47,"NA")</f>
        <v>2.0352610958424558E-6</v>
      </c>
      <c r="E52" s="17">
        <f>IFERROR('IS &amp; BS'!E43/'IS &amp; BS'!E$47,"NA")</f>
        <v>1.8259575300538085E-6</v>
      </c>
      <c r="F52" s="17">
        <f>IFERROR('IS &amp; BS'!F43/'IS &amp; BS'!F$47,"NA")</f>
        <v>1.3691747604084197E-6</v>
      </c>
      <c r="G52" s="17">
        <f>IFERROR('IS &amp; BS'!G43/'IS &amp; BS'!G$47,"NA")</f>
        <v>1.4310063695394421E-6</v>
      </c>
      <c r="H52" s="17">
        <f>IFERROR('IS &amp; BS'!H43/'IS &amp; BS'!H$47,"NA")</f>
        <v>1.3280642184245486E-6</v>
      </c>
      <c r="I52" s="124">
        <f>IFERROR('IS &amp; BS'!I43/'IS &amp; BS'!I$47,"NA")</f>
        <v>1.1253380342067266E-6</v>
      </c>
      <c r="J52" s="124">
        <f>IFERROR('IS &amp; BS'!J43/'IS &amp; BS'!J$47,"NA")</f>
        <v>9.9164250136195631E-7</v>
      </c>
      <c r="K52" s="124">
        <f>IFERROR('IS &amp; BS'!K43/'IS &amp; BS'!K$47,"NA")</f>
        <v>9.0930461258908973E-7</v>
      </c>
      <c r="L52" s="124">
        <f>IFERROR('IS &amp; BS'!L43/'IS &amp; BS'!L$47,"NA")</f>
        <v>7.9844951674428097E-7</v>
      </c>
      <c r="M52" s="124">
        <f>IFERROR('IS &amp; BS'!M43/'IS &amp; BS'!M$47,"NA")</f>
        <v>7.3264454894799992E-7</v>
      </c>
      <c r="N52" s="124">
        <f>IFERROR('IS &amp; BS'!N43/'IS &amp; BS'!N$47,"NA")</f>
        <v>6.7577183566978131E-7</v>
      </c>
      <c r="O52" s="124">
        <f t="shared" si="0"/>
        <v>1.7964016750620703E-6</v>
      </c>
    </row>
    <row r="53" spans="1:15">
      <c r="A53" t="str">
        <f>'IS &amp; BS'!A44</f>
        <v>Held to maturity fianancial assets</v>
      </c>
      <c r="B53" s="17">
        <f>IFERROR('IS &amp; BS'!B44/'IS &amp; BS'!B$47,"NA")</f>
        <v>0</v>
      </c>
      <c r="C53" s="17">
        <f>IFERROR('IS &amp; BS'!C44/'IS &amp; BS'!C$47,"NA")</f>
        <v>0</v>
      </c>
      <c r="D53" s="17">
        <f>IFERROR('IS &amp; BS'!D44/'IS &amp; BS'!D$47,"NA")</f>
        <v>0</v>
      </c>
      <c r="E53" s="17">
        <f>IFERROR('IS &amp; BS'!E44/'IS &amp; BS'!E$47,"NA")</f>
        <v>0</v>
      </c>
      <c r="F53" s="17">
        <f>IFERROR('IS &amp; BS'!F44/'IS &amp; BS'!F$47,"NA")</f>
        <v>0</v>
      </c>
      <c r="G53" s="17">
        <f>IFERROR('IS &amp; BS'!G44/'IS &amp; BS'!G$47,"NA")</f>
        <v>6.9424298332044984E-2</v>
      </c>
      <c r="H53" s="17">
        <f>IFERROR('IS &amp; BS'!H44/'IS &amp; BS'!H$47,"NA")</f>
        <v>2.431275091358745E-2</v>
      </c>
      <c r="I53" s="124">
        <f>IFERROR('IS &amp; BS'!I44/'IS &amp; BS'!I$47,"NA")</f>
        <v>2.571663397152274E-2</v>
      </c>
      <c r="J53" s="124">
        <f>IFERROR('IS &amp; BS'!J44/'IS &amp; BS'!J$47,"NA")</f>
        <v>2.7168840953678268E-2</v>
      </c>
      <c r="K53" s="124">
        <f>IFERROR('IS &amp; BS'!K44/'IS &amp; BS'!K$47,"NA")</f>
        <v>2.9046165232100362E-2</v>
      </c>
      <c r="L53" s="124">
        <f>IFERROR('IS &amp; BS'!L44/'IS &amp; BS'!L$47,"NA")</f>
        <v>2.9134406657522954E-2</v>
      </c>
      <c r="M53" s="124">
        <f>IFERROR('IS &amp; BS'!M44/'IS &amp; BS'!M$47,"NA")</f>
        <v>3.0063469629632036E-2</v>
      </c>
      <c r="N53" s="124">
        <f>IFERROR('IS &amp; BS'!N44/'IS &amp; BS'!N$47,"NA")</f>
        <v>3.0801434534615663E-2</v>
      </c>
      <c r="O53" s="124">
        <f t="shared" si="0"/>
        <v>1.3884859666408997E-2</v>
      </c>
    </row>
    <row r="54" spans="1:15">
      <c r="A54" t="str">
        <f>'IS &amp; BS'!A45</f>
        <v>Cash and cash equivalents</v>
      </c>
      <c r="B54" s="179">
        <f>IFERROR('IS &amp; BS'!B45/'IS &amp; BS'!B$47,"NA")</f>
        <v>4.2710414364897635E-2</v>
      </c>
      <c r="C54" s="179">
        <f>IFERROR('IS &amp; BS'!C45/'IS &amp; BS'!C$47,"NA")</f>
        <v>6.9535958031546344E-2</v>
      </c>
      <c r="D54" s="179">
        <f>IFERROR('IS &amp; BS'!D45/'IS &amp; BS'!D$47,"NA")</f>
        <v>9.309463661157738E-2</v>
      </c>
      <c r="E54" s="179">
        <f>IFERROR('IS &amp; BS'!E45/'IS &amp; BS'!E$47,"NA")</f>
        <v>6.353244929876177E-2</v>
      </c>
      <c r="F54" s="179">
        <f>IFERROR('IS &amp; BS'!F45/'IS &amp; BS'!F$47,"NA")</f>
        <v>6.4647328898742251E-2</v>
      </c>
      <c r="G54" s="179">
        <f>IFERROR('IS &amp; BS'!G45/'IS &amp; BS'!G$47,"NA")</f>
        <v>0.11105292407938805</v>
      </c>
      <c r="H54" s="179">
        <f>IFERROR('IS &amp; BS'!H45/'IS &amp; BS'!H$47,"NA")</f>
        <v>0.13431383509692213</v>
      </c>
      <c r="I54" s="124">
        <f>IFERROR('IS &amp; BS'!I45/'IS &amp; BS'!I$47,"NA")</f>
        <v>0.10933219376658278</v>
      </c>
      <c r="J54" s="124">
        <f>IFERROR('IS &amp; BS'!J45/'IS &amp; BS'!J$47,"NA")</f>
        <v>6.6593962073952184E-2</v>
      </c>
      <c r="K54" s="124">
        <f>IFERROR('IS &amp; BS'!K45/'IS &amp; BS'!K$47,"NA")</f>
        <v>4.8428828529983918E-2</v>
      </c>
      <c r="L54" s="124">
        <f>IFERROR('IS &amp; BS'!L45/'IS &amp; BS'!L$47,"NA")</f>
        <v>7.7872778193369033E-2</v>
      </c>
      <c r="M54" s="124">
        <f>IFERROR('IS &amp; BS'!M45/'IS &amp; BS'!M$47,"NA")</f>
        <v>9.0473794857972759E-2</v>
      </c>
      <c r="N54" s="124">
        <f>IFERROR('IS &amp; BS'!N45/'IS &amp; BS'!N$47,"NA")</f>
        <v>7.2505319943176882E-2</v>
      </c>
      <c r="O54" s="124">
        <f t="shared" si="0"/>
        <v>8.0372659384003162E-2</v>
      </c>
    </row>
    <row r="55" spans="1:15">
      <c r="A55" t="str">
        <f>'IS &amp; BS'!A46</f>
        <v>Total current assets</v>
      </c>
      <c r="B55" s="180">
        <f>IFERROR('IS &amp; BS'!B46/'IS &amp; BS'!B$47,"NA")</f>
        <v>0.75012277602115141</v>
      </c>
      <c r="C55" s="180">
        <f>IFERROR('IS &amp; BS'!C46/'IS &amp; BS'!C$47,"NA")</f>
        <v>0.66100282390194098</v>
      </c>
      <c r="D55" s="180">
        <f>IFERROR('IS &amp; BS'!D46/'IS &amp; BS'!D$47,"NA")</f>
        <v>0.69685034749893771</v>
      </c>
      <c r="E55" s="180">
        <f>IFERROR('IS &amp; BS'!E46/'IS &amp; BS'!E$47,"NA")</f>
        <v>0.72132534969369155</v>
      </c>
      <c r="F55" s="180">
        <f>IFERROR('IS &amp; BS'!F46/'IS &amp; BS'!F$47,"NA")</f>
        <v>0.69121188334158057</v>
      </c>
      <c r="G55" s="180">
        <f>IFERROR('IS &amp; BS'!G46/'IS &amp; BS'!G$47,"NA")</f>
        <v>0.71629277505698652</v>
      </c>
      <c r="H55" s="180">
        <f>IFERROR('IS &amp; BS'!H46/'IS &amp; BS'!H$47,"NA")</f>
        <v>0.7440330074666186</v>
      </c>
      <c r="I55" s="181">
        <f>IFERROR('IS &amp; BS'!I46/'IS &amp; BS'!I$47,"NA")</f>
        <v>0.78576933830103146</v>
      </c>
      <c r="J55" s="181">
        <f>IFERROR('IS &amp; BS'!J46/'IS &amp; BS'!J$47,"NA")</f>
        <v>0.81306108170115843</v>
      </c>
      <c r="K55" s="181">
        <f>IFERROR('IS &amp; BS'!K46/'IS &amp; BS'!K$47,"NA")</f>
        <v>0.83063325575655755</v>
      </c>
      <c r="L55" s="181">
        <f>IFERROR('IS &amp; BS'!L46/'IS &amp; BS'!L$47,"NA")</f>
        <v>0.85258587178737777</v>
      </c>
      <c r="M55" s="181">
        <f>IFERROR('IS &amp; BS'!M46/'IS &amp; BS'!M$47,"NA")</f>
        <v>0.86589952917282398</v>
      </c>
      <c r="N55" s="181">
        <f>IFERROR('IS &amp; BS'!N46/'IS &amp; BS'!N$47,"NA")</f>
        <v>0.87722234699423129</v>
      </c>
      <c r="O55" s="124">
        <f t="shared" si="0"/>
        <v>0.6973366358986276</v>
      </c>
    </row>
    <row r="56" spans="1:15" ht="15" thickBot="1">
      <c r="A56" t="str">
        <f>'IS &amp; BS'!A47</f>
        <v>Total Assets</v>
      </c>
      <c r="B56" s="177">
        <f>IFERROR('IS &amp; BS'!B47/'IS &amp; BS'!B$47,"NA")</f>
        <v>1</v>
      </c>
      <c r="C56" s="177">
        <f>IFERROR('IS &amp; BS'!C47/'IS &amp; BS'!C$47,"NA")</f>
        <v>1</v>
      </c>
      <c r="D56" s="177">
        <f>IFERROR('IS &amp; BS'!D47/'IS &amp; BS'!D$47,"NA")</f>
        <v>1</v>
      </c>
      <c r="E56" s="177">
        <f>IFERROR('IS &amp; BS'!E47/'IS &amp; BS'!E$47,"NA")</f>
        <v>1</v>
      </c>
      <c r="F56" s="177">
        <f>IFERROR('IS &amp; BS'!F47/'IS &amp; BS'!F$47,"NA")</f>
        <v>1</v>
      </c>
      <c r="G56" s="177">
        <f>IFERROR('IS &amp; BS'!G47/'IS &amp; BS'!G$47,"NA")</f>
        <v>1</v>
      </c>
      <c r="H56" s="177">
        <f>IFERROR('IS &amp; BS'!H47/'IS &amp; BS'!H$47,"NA")</f>
        <v>1</v>
      </c>
      <c r="I56" s="178">
        <f>IFERROR('IS &amp; BS'!I47/'IS &amp; BS'!I$47,"NA")</f>
        <v>1</v>
      </c>
      <c r="J56" s="178">
        <f>IFERROR('IS &amp; BS'!J47/'IS &amp; BS'!J$47,"NA")</f>
        <v>1</v>
      </c>
      <c r="K56" s="178">
        <f>IFERROR('IS &amp; BS'!K47/'IS &amp; BS'!K$47,"NA")</f>
        <v>1</v>
      </c>
      <c r="L56" s="178">
        <f>IFERROR('IS &amp; BS'!L47/'IS &amp; BS'!L$47,"NA")</f>
        <v>1</v>
      </c>
      <c r="M56" s="178">
        <f>IFERROR('IS &amp; BS'!M47/'IS &amp; BS'!M$47,"NA")</f>
        <v>1</v>
      </c>
      <c r="N56" s="178">
        <f>IFERROR('IS &amp; BS'!N47/'IS &amp; BS'!N$47,"NA")</f>
        <v>1</v>
      </c>
      <c r="O56" s="124">
        <f t="shared" si="0"/>
        <v>1</v>
      </c>
    </row>
    <row r="57" spans="1:15">
      <c r="B57" s="17"/>
      <c r="C57" s="17"/>
      <c r="D57" s="17"/>
      <c r="E57" s="17"/>
      <c r="F57" s="17"/>
      <c r="G57" s="17"/>
      <c r="H57" s="17"/>
      <c r="I57" s="60"/>
      <c r="J57" s="60"/>
      <c r="K57" s="60"/>
      <c r="L57" s="60"/>
      <c r="M57" s="60"/>
      <c r="N57" s="60"/>
      <c r="O57" s="124"/>
    </row>
    <row r="58" spans="1:15">
      <c r="A58" t="str">
        <f>'IS &amp; BS'!A49</f>
        <v>Equity and Liabilities</v>
      </c>
      <c r="B58" s="17">
        <f>IFERROR('IS &amp; BS'!B49/'IS &amp; BS'!B$47,"NA")</f>
        <v>0</v>
      </c>
      <c r="C58" s="17">
        <f>IFERROR('IS &amp; BS'!C49/'IS &amp; BS'!C$47,"NA")</f>
        <v>0</v>
      </c>
      <c r="D58" s="17">
        <f>IFERROR('IS &amp; BS'!D49/'IS &amp; BS'!D$47,"NA")</f>
        <v>0</v>
      </c>
      <c r="E58" s="17">
        <f>IFERROR('IS &amp; BS'!E49/'IS &amp; BS'!E$47,"NA")</f>
        <v>0</v>
      </c>
      <c r="F58" s="17">
        <f>IFERROR('IS &amp; BS'!F49/'IS &amp; BS'!F$47,"NA")</f>
        <v>0</v>
      </c>
      <c r="G58" s="17">
        <f>IFERROR('IS &amp; BS'!G49/'IS &amp; BS'!G$47,"NA")</f>
        <v>0</v>
      </c>
      <c r="H58" s="17">
        <f>IFERROR('IS &amp; BS'!H49/'IS &amp; BS'!H$47,"NA")</f>
        <v>0</v>
      </c>
      <c r="I58" s="60">
        <f>IFERROR('IS &amp; BS'!I49/'IS &amp; BS'!I$47,"NA")</f>
        <v>0</v>
      </c>
      <c r="J58" s="60">
        <f>IFERROR('IS &amp; BS'!J49/'IS &amp; BS'!J$47,"NA")</f>
        <v>0</v>
      </c>
      <c r="K58" s="60">
        <f>IFERROR('IS &amp; BS'!K49/'IS &amp; BS'!K$47,"NA")</f>
        <v>0</v>
      </c>
      <c r="L58" s="60">
        <f>IFERROR('IS &amp; BS'!L49/'IS &amp; BS'!L$47,"NA")</f>
        <v>0</v>
      </c>
      <c r="M58" s="60">
        <f>IFERROR('IS &amp; BS'!M49/'IS &amp; BS'!M$47,"NA")</f>
        <v>0</v>
      </c>
      <c r="N58" s="60">
        <f>IFERROR('IS &amp; BS'!N49/'IS &amp; BS'!N$47,"NA")</f>
        <v>0</v>
      </c>
      <c r="O58" s="124">
        <f t="shared" si="0"/>
        <v>0</v>
      </c>
    </row>
    <row r="59" spans="1:15">
      <c r="A59" t="str">
        <f>'IS &amp; BS'!A50</f>
        <v>Capital and Reserves</v>
      </c>
      <c r="B59" s="17">
        <f>IFERROR('IS &amp; BS'!B50/'IS &amp; BS'!B$47,"NA")</f>
        <v>0</v>
      </c>
      <c r="C59" s="17">
        <f>IFERROR('IS &amp; BS'!C50/'IS &amp; BS'!C$47,"NA")</f>
        <v>0</v>
      </c>
      <c r="D59" s="17">
        <f>IFERROR('IS &amp; BS'!D50/'IS &amp; BS'!D$47,"NA")</f>
        <v>0</v>
      </c>
      <c r="E59" s="17">
        <f>IFERROR('IS &amp; BS'!E50/'IS &amp; BS'!E$47,"NA")</f>
        <v>0</v>
      </c>
      <c r="F59" s="17">
        <f>IFERROR('IS &amp; BS'!F50/'IS &amp; BS'!F$47,"NA")</f>
        <v>0</v>
      </c>
      <c r="G59" s="17">
        <f>IFERROR('IS &amp; BS'!G50/'IS &amp; BS'!G$47,"NA")</f>
        <v>0</v>
      </c>
      <c r="H59" s="17">
        <f>IFERROR('IS &amp; BS'!H50/'IS &amp; BS'!H$47,"NA")</f>
        <v>0</v>
      </c>
      <c r="I59" s="60">
        <f>IFERROR('IS &amp; BS'!I50/'IS &amp; BS'!I$47,"NA")</f>
        <v>0</v>
      </c>
      <c r="J59" s="60">
        <f>IFERROR('IS &amp; BS'!J50/'IS &amp; BS'!J$47,"NA")</f>
        <v>0</v>
      </c>
      <c r="K59" s="60">
        <f>IFERROR('IS &amp; BS'!K50/'IS &amp; BS'!K$47,"NA")</f>
        <v>0</v>
      </c>
      <c r="L59" s="60">
        <f>IFERROR('IS &amp; BS'!L50/'IS &amp; BS'!L$47,"NA")</f>
        <v>0</v>
      </c>
      <c r="M59" s="60">
        <f>IFERROR('IS &amp; BS'!M50/'IS &amp; BS'!M$47,"NA")</f>
        <v>0</v>
      </c>
      <c r="N59" s="60">
        <f>IFERROR('IS &amp; BS'!N50/'IS &amp; BS'!N$47,"NA")</f>
        <v>0</v>
      </c>
      <c r="O59" s="124">
        <f t="shared" si="0"/>
        <v>0</v>
      </c>
    </row>
    <row r="60" spans="1:15">
      <c r="A60" t="str">
        <f>'IS &amp; BS'!A51</f>
        <v>Stated Capital</v>
      </c>
      <c r="B60" s="17">
        <f>IFERROR('IS &amp; BS'!B51/'IS &amp; BS'!B$47,"NA")</f>
        <v>3.3476957850847505E-2</v>
      </c>
      <c r="C60" s="17">
        <f>IFERROR('IS &amp; BS'!C51/'IS &amp; BS'!C$47,"NA")</f>
        <v>3.1301867426480612E-2</v>
      </c>
      <c r="D60" s="17">
        <f>IFERROR('IS &amp; BS'!D51/'IS &amp; BS'!D$47,"NA")</f>
        <v>2.745291578507876E-2</v>
      </c>
      <c r="E60" s="17">
        <f>IFERROR('IS &amp; BS'!E51/'IS &amp; BS'!E$47,"NA")</f>
        <v>2.4856925852761589E-2</v>
      </c>
      <c r="F60" s="17">
        <f>IFERROR('IS &amp; BS'!F51/'IS &amp; BS'!F$47,"NA")</f>
        <v>1.8638700483872582E-2</v>
      </c>
      <c r="G60" s="17">
        <f>IFERROR('IS &amp; BS'!G51/'IS &amp; BS'!G$47,"NA")</f>
        <v>1.9480419800028567E-2</v>
      </c>
      <c r="H60" s="17">
        <f>IFERROR('IS &amp; BS'!H51/'IS &amp; BS'!H$47,"NA")</f>
        <v>1.8079058938524149E-2</v>
      </c>
      <c r="I60" s="124">
        <f>IFERROR('IS &amp; BS'!I51/'IS &amp; BS'!I$47,"NA")</f>
        <v>1.5319328963113825E-2</v>
      </c>
      <c r="J60" s="124">
        <f>IFERROR('IS &amp; BS'!J51/'IS &amp; BS'!J$47,"NA")</f>
        <v>1.3499319520358618E-2</v>
      </c>
      <c r="K60" s="124">
        <f>IFERROR('IS &amp; BS'!K51/'IS &amp; BS'!K$47,"NA")</f>
        <v>1.2378446355230969E-2</v>
      </c>
      <c r="L60" s="124">
        <f>IFERROR('IS &amp; BS'!L51/'IS &amp; BS'!L$47,"NA")</f>
        <v>1.08693658577596E-2</v>
      </c>
      <c r="M60" s="124">
        <f>IFERROR('IS &amp; BS'!M51/'IS &amp; BS'!M$47,"NA")</f>
        <v>9.9735568488790276E-3</v>
      </c>
      <c r="N60" s="124">
        <f>IFERROR('IS &amp; BS'!N51/'IS &amp; BS'!N$47,"NA")</f>
        <v>9.199343432775977E-3</v>
      </c>
      <c r="O60" s="124">
        <f t="shared" si="0"/>
        <v>2.4346165869644422E-2</v>
      </c>
    </row>
    <row r="61" spans="1:15">
      <c r="A61" t="str">
        <f>'IS &amp; BS'!A52</f>
        <v>Capital Reserves</v>
      </c>
      <c r="B61" s="17">
        <f>IFERROR('IS &amp; BS'!B52/'IS &amp; BS'!B$47,"NA")</f>
        <v>9.6502272484857168E-2</v>
      </c>
      <c r="C61" s="17">
        <f>IFERROR('IS &amp; BS'!C52/'IS &amp; BS'!C$47,"NA")</f>
        <v>0.15131885253821825</v>
      </c>
      <c r="D61" s="17">
        <f>IFERROR('IS &amp; BS'!D52/'IS &amp; BS'!D$47,"NA")</f>
        <v>0.1323507681197475</v>
      </c>
      <c r="E61" s="17">
        <f>IFERROR('IS &amp; BS'!E52/'IS &amp; BS'!E$47,"NA")</f>
        <v>0.11270780952905818</v>
      </c>
      <c r="F61" s="17">
        <f>IFERROR('IS &amp; BS'!F52/'IS &amp; BS'!F$47,"NA")</f>
        <v>0.1131448058519525</v>
      </c>
      <c r="G61" s="17">
        <f>IFERROR('IS &amp; BS'!G52/'IS &amp; BS'!G$47,"NA")</f>
        <v>0.12198334100439473</v>
      </c>
      <c r="H61" s="17">
        <f>IFERROR('IS &amp; BS'!H52/'IS &amp; BS'!H$47,"NA")</f>
        <v>0.10809169003657247</v>
      </c>
      <c r="I61" s="124">
        <f>IFERROR('IS &amp; BS'!I52/'IS &amp; BS'!I$47,"NA")</f>
        <v>9.1591722969644934E-2</v>
      </c>
      <c r="J61" s="124">
        <f>IFERROR('IS &amp; BS'!J52/'IS &amp; BS'!J$47,"NA")</f>
        <v>8.0710188857782E-2</v>
      </c>
      <c r="K61" s="124">
        <f>IFERROR('IS &amp; BS'!K52/'IS &amp; BS'!K$47,"NA")</f>
        <v>7.4008674406876612E-2</v>
      </c>
      <c r="L61" s="124">
        <f>IFERROR('IS &amp; BS'!L52/'IS &amp; BS'!L$47,"NA")</f>
        <v>6.4986132806255689E-2</v>
      </c>
      <c r="M61" s="124">
        <f>IFERROR('IS &amp; BS'!M52/'IS &amp; BS'!M$47,"NA")</f>
        <v>5.9630239557102283E-2</v>
      </c>
      <c r="N61" s="124">
        <f>IFERROR('IS &amp; BS'!N52/'IS &amp; BS'!N$47,"NA")</f>
        <v>5.50013461572781E-2</v>
      </c>
      <c r="O61" s="124">
        <f t="shared" si="0"/>
        <v>0.12630111540867422</v>
      </c>
    </row>
    <row r="62" spans="1:15">
      <c r="A62" t="str">
        <f>'IS &amp; BS'!A53</f>
        <v>General Reserve</v>
      </c>
      <c r="B62" s="17">
        <f>IFERROR('IS &amp; BS'!B53/'IS &amp; BS'!B$47,"NA")</f>
        <v>0.1256217096718448</v>
      </c>
      <c r="C62" s="17">
        <f>IFERROR('IS &amp; BS'!C53/'IS &amp; BS'!C$47,"NA")</f>
        <v>0.11745972019188043</v>
      </c>
      <c r="D62" s="17">
        <f>IFERROR('IS &amp; BS'!D53/'IS &amp; BS'!D$47,"NA")</f>
        <v>0.10301659522839417</v>
      </c>
      <c r="E62" s="17">
        <f>IFERROR('IS &amp; BS'!E53/'IS &amp; BS'!E$47,"NA")</f>
        <v>9.3275305509669157E-2</v>
      </c>
      <c r="F62" s="17">
        <f>IFERROR('IS &amp; BS'!F53/'IS &amp; BS'!F$47,"NA")</f>
        <v>6.9941492050726931E-2</v>
      </c>
      <c r="G62" s="17">
        <f>IFERROR('IS &amp; BS'!G53/'IS &amp; BS'!G$47,"NA")</f>
        <v>7.3100033329439248E-2</v>
      </c>
      <c r="H62" s="17">
        <f>IFERROR('IS &amp; BS'!H53/'IS &amp; BS'!H$47,"NA")</f>
        <v>6.7841444103225845E-2</v>
      </c>
      <c r="I62" s="124">
        <f>IFERROR('IS &amp; BS'!I53/'IS &amp; BS'!I$47,"NA")</f>
        <v>5.7485591649653396E-2</v>
      </c>
      <c r="J62" s="124">
        <f>IFERROR('IS &amp; BS'!J53/'IS &amp; BS'!J$47,"NA")</f>
        <v>5.0656028822413664E-2</v>
      </c>
      <c r="K62" s="124">
        <f>IFERROR('IS &amp; BS'!K53/'IS &amp; BS'!K$47,"NA")</f>
        <v>4.6449966192860632E-2</v>
      </c>
      <c r="L62" s="124">
        <f>IFERROR('IS &amp; BS'!L53/'IS &amp; BS'!L$47,"NA")</f>
        <v>4.0787160370688254E-2</v>
      </c>
      <c r="M62" s="124">
        <f>IFERROR('IS &amp; BS'!M53/'IS &amp; BS'!M$47,"NA")</f>
        <v>3.7425648191885728E-2</v>
      </c>
      <c r="N62" s="124">
        <f>IFERROR('IS &amp; BS'!N53/'IS &amp; BS'!N$47,"NA")</f>
        <v>3.4520421964617826E-2</v>
      </c>
      <c r="O62" s="124">
        <f t="shared" si="0"/>
        <v>9.1358629262021984E-2</v>
      </c>
    </row>
    <row r="63" spans="1:15">
      <c r="A63" t="str">
        <f>'IS &amp; BS'!A54</f>
        <v>Available for sales reserves</v>
      </c>
      <c r="B63" s="17">
        <f>IFERROR('IS &amp; BS'!B54/'IS &amp; BS'!B$47,"NA")</f>
        <v>0</v>
      </c>
      <c r="C63" s="17">
        <f>IFERROR('IS &amp; BS'!C54/'IS &amp; BS'!C$47,"NA")</f>
        <v>-2.2477743483064174E-4</v>
      </c>
      <c r="D63" s="17">
        <f>IFERROR('IS &amp; BS'!D54/'IS &amp; BS'!D$47,"NA")</f>
        <v>-2.3312745735869144E-4</v>
      </c>
      <c r="E63" s="17">
        <f>IFERROR('IS &amp; BS'!E54/'IS &amp; BS'!E$47,"NA")</f>
        <v>-3.1032978203959956E-4</v>
      </c>
      <c r="F63" s="17">
        <f>IFERROR('IS &amp; BS'!F54/'IS &amp; BS'!F$47,"NA")</f>
        <v>6.5521235807181109E-4</v>
      </c>
      <c r="G63" s="17">
        <f>IFERROR('IS &amp; BS'!G54/'IS &amp; BS'!G$47,"NA")</f>
        <v>3.1573204171565691E-4</v>
      </c>
      <c r="H63" s="17">
        <f>IFERROR('IS &amp; BS'!H54/'IS &amp; BS'!H$47,"NA")</f>
        <v>4.0759498194557059E-4</v>
      </c>
      <c r="I63" s="124">
        <f>IFERROR('IS &amp; BS'!I54/'IS &amp; BS'!I$47,"NA")</f>
        <v>3.4537647304380996E-4</v>
      </c>
      <c r="J63" s="124">
        <f>IFERROR('IS &amp; BS'!J54/'IS &amp; BS'!J$47,"NA")</f>
        <v>3.0434409859981496E-4</v>
      </c>
      <c r="K63" s="124">
        <f>IFERROR('IS &amp; BS'!K54/'IS &amp; BS'!K$47,"NA")</f>
        <v>2.7907385200916061E-4</v>
      </c>
      <c r="L63" s="124">
        <f>IFERROR('IS &amp; BS'!L54/'IS &amp; BS'!L$47,"NA")</f>
        <v>2.4505141532079022E-4</v>
      </c>
      <c r="M63" s="124">
        <f>IFERROR('IS &amp; BS'!M54/'IS &amp; BS'!M$47,"NA")</f>
        <v>2.2485527247713161E-4</v>
      </c>
      <c r="N63" s="124">
        <f>IFERROR('IS &amp; BS'!N54/'IS &amp; BS'!N$47,"NA")</f>
        <v>2.0740051974738017E-4</v>
      </c>
      <c r="O63" s="124">
        <f t="shared" si="0"/>
        <v>4.0541945111707066E-5</v>
      </c>
    </row>
    <row r="64" spans="1:15">
      <c r="A64" t="str">
        <f>'IS &amp; BS'!A55</f>
        <v>Retained Earnings</v>
      </c>
      <c r="B64" s="179">
        <f>IFERROR('IS &amp; BS'!B55/'IS &amp; BS'!B$47,"NA")</f>
        <v>0.19260978034708523</v>
      </c>
      <c r="C64" s="179">
        <f>IFERROR('IS &amp; BS'!C55/'IS &amp; BS'!C$47,"NA")</f>
        <v>0.24813726032729513</v>
      </c>
      <c r="D64" s="179">
        <f>IFERROR('IS &amp; BS'!D55/'IS &amp; BS'!D$47,"NA")</f>
        <v>0.26159241710485692</v>
      </c>
      <c r="E64" s="179">
        <f>IFERROR('IS &amp; BS'!E55/'IS &amp; BS'!E$47,"NA")</f>
        <v>0.27573444369257416</v>
      </c>
      <c r="F64" s="179">
        <f>IFERROR('IS &amp; BS'!F55/'IS &amp; BS'!F$47,"NA")</f>
        <v>0.25753946972981762</v>
      </c>
      <c r="G64" s="179">
        <f>IFERROR('IS &amp; BS'!G55/'IS &amp; BS'!G$47,"NA")</f>
        <v>0.33444843420583958</v>
      </c>
      <c r="H64" s="179">
        <f>IFERROR('IS &amp; BS'!H55/'IS &amp; BS'!H$47,"NA")</f>
        <v>0.36887569222329059</v>
      </c>
      <c r="I64" s="182">
        <f>IFERROR('IS &amp; BS'!I55/'IS &amp; BS'!I$47,"NA")</f>
        <v>0.34558765278413495</v>
      </c>
      <c r="J64" s="182">
        <f>IFERROR('IS &amp; BS'!J55/'IS &amp; BS'!J$47,"NA")</f>
        <v>0.35438228934100457</v>
      </c>
      <c r="K64" s="182">
        <f>IFERROR('IS &amp; BS'!K55/'IS &amp; BS'!K$47,"NA")</f>
        <v>0.38026553652319856</v>
      </c>
      <c r="L64" s="182">
        <f>IFERROR('IS &amp; BS'!L55/'IS &amp; BS'!L$47,"NA")</f>
        <v>0.40403932140967808</v>
      </c>
      <c r="M64" s="182">
        <f>IFERROR('IS &amp; BS'!M55/'IS &amp; BS'!M$47,"NA")</f>
        <v>0.43358257829152447</v>
      </c>
      <c r="N64" s="182">
        <f>IFERROR('IS &amp; BS'!N55/'IS &amp; BS'!N$47,"NA")</f>
        <v>0.44551655799812123</v>
      </c>
      <c r="O64" s="124">
        <f t="shared" si="0"/>
        <v>0.27549040501207667</v>
      </c>
    </row>
    <row r="65" spans="1:15">
      <c r="A65" t="str">
        <f>'IS &amp; BS'!A56</f>
        <v>Total equity attributable to equity holders of the Company</v>
      </c>
      <c r="B65" s="17">
        <f>IFERROR('IS &amp; BS'!B56/'IS &amp; BS'!B$47,"NA")</f>
        <v>0.44821072035463466</v>
      </c>
      <c r="C65" s="17">
        <f>IFERROR('IS &amp; BS'!C56/'IS &amp; BS'!C$47,"NA")</f>
        <v>0.54799292304904379</v>
      </c>
      <c r="D65" s="17">
        <f>IFERROR('IS &amp; BS'!D56/'IS &amp; BS'!D$47,"NA")</f>
        <v>0.5241795687807187</v>
      </c>
      <c r="E65" s="17">
        <f>IFERROR('IS &amp; BS'!E56/'IS &amp; BS'!E$47,"NA")</f>
        <v>0.50626415480202358</v>
      </c>
      <c r="F65" s="17">
        <f>IFERROR('IS &amp; BS'!F56/'IS &amp; BS'!F$47,"NA")</f>
        <v>0.45991968047444143</v>
      </c>
      <c r="G65" s="17">
        <f>IFERROR('IS &amp; BS'!G56/'IS &amp; BS'!G$47,"NA")</f>
        <v>0.54932796038141773</v>
      </c>
      <c r="H65" s="17">
        <f>IFERROR('IS &amp; BS'!H56/'IS &amp; BS'!H$47,"NA")</f>
        <v>0.56329548028355858</v>
      </c>
      <c r="I65" s="124">
        <f>IFERROR('IS &amp; BS'!I56/'IS &amp; BS'!I$47,"NA")</f>
        <v>0.51032967283959096</v>
      </c>
      <c r="J65" s="124">
        <f>IFERROR('IS &amp; BS'!J56/'IS &amp; BS'!J$47,"NA")</f>
        <v>0.49955217064015872</v>
      </c>
      <c r="K65" s="124">
        <f>IFERROR('IS &amp; BS'!K56/'IS &amp; BS'!K$47,"NA")</f>
        <v>0.51338169733017591</v>
      </c>
      <c r="L65" s="124">
        <f>IFERROR('IS &amp; BS'!L56/'IS &amp; BS'!L$47,"NA")</f>
        <v>0.52092703185970246</v>
      </c>
      <c r="M65" s="124">
        <f>IFERROR('IS &amp; BS'!M56/'IS &amp; BS'!M$47,"NA")</f>
        <v>0.54083687816186865</v>
      </c>
      <c r="N65" s="124">
        <f>IFERROR('IS &amp; BS'!N56/'IS &amp; BS'!N$47,"NA")</f>
        <v>0.5444450700725405</v>
      </c>
      <c r="O65" s="124">
        <f t="shared" si="0"/>
        <v>0.51753685749752898</v>
      </c>
    </row>
    <row r="66" spans="1:15">
      <c r="A66" t="str">
        <f>'IS &amp; BS'!A57</f>
        <v>Non-controlling interest</v>
      </c>
      <c r="B66" s="17">
        <f>IFERROR('IS &amp; BS'!B57/'IS &amp; BS'!B$47,"NA")</f>
        <v>5.6708207107473062E-2</v>
      </c>
      <c r="C66" s="17">
        <f>IFERROR('IS &amp; BS'!C57/'IS &amp; BS'!C$47,"NA")</f>
        <v>6.6356009321154555E-2</v>
      </c>
      <c r="D66" s="17">
        <f>IFERROR('IS &amp; BS'!D57/'IS &amp; BS'!D$47,"NA")</f>
        <v>6.2695830126743721E-2</v>
      </c>
      <c r="E66" s="17">
        <f>IFERROR('IS &amp; BS'!E57/'IS &amp; BS'!E$47,"NA")</f>
        <v>6.1843770575740184E-2</v>
      </c>
      <c r="F66" s="17">
        <f>IFERROR('IS &amp; BS'!F57/'IS &amp; BS'!F$47,"NA")</f>
        <v>5.4167851988225345E-2</v>
      </c>
      <c r="G66" s="17">
        <f>IFERROR('IS &amp; BS'!G57/'IS &amp; BS'!G$47,"NA")</f>
        <v>6.6756642276247197E-2</v>
      </c>
      <c r="H66" s="17">
        <f>IFERROR('IS &amp; BS'!H57/'IS &amp; BS'!H$47,"NA")</f>
        <v>6.8535236924241905E-2</v>
      </c>
      <c r="I66" s="124">
        <f>IFERROR('IS &amp; BS'!I57/'IS &amp; BS'!I$47,"NA")</f>
        <v>6.2874807916798073E-2</v>
      </c>
      <c r="J66" s="124">
        <f>IFERROR('IS &amp; BS'!J57/'IS &amp; BS'!J$47,"NA")</f>
        <v>6.2653798724784243E-2</v>
      </c>
      <c r="K66" s="124">
        <f>IFERROR('IS &amp; BS'!K57/'IS &amp; BS'!K$47,"NA")</f>
        <v>6.5493718029182246E-2</v>
      </c>
      <c r="L66" s="124">
        <f>IFERROR('IS &amp; BS'!L57/'IS &amp; BS'!L$47,"NA")</f>
        <v>6.7706999727877776E-2</v>
      </c>
      <c r="M66" s="124">
        <f>IFERROR('IS &amp; BS'!M57/'IS &amp; BS'!M$47,"NA")</f>
        <v>7.1264575671637603E-2</v>
      </c>
      <c r="N66" s="124">
        <f>IFERROR('IS &amp; BS'!N57/'IS &amp; BS'!N$47,"NA")</f>
        <v>7.2361851342912412E-2</v>
      </c>
      <c r="O66" s="124">
        <f t="shared" si="0"/>
        <v>6.2364020857622202E-2</v>
      </c>
    </row>
    <row r="67" spans="1:15" ht="15" thickBot="1">
      <c r="A67" t="str">
        <f>'IS &amp; BS'!A58</f>
        <v>Total Equity</v>
      </c>
      <c r="B67" s="177">
        <f>IFERROR('IS &amp; BS'!B58/'IS &amp; BS'!B$47,"NA")</f>
        <v>0.50491892746210776</v>
      </c>
      <c r="C67" s="177">
        <f>IFERROR('IS &amp; BS'!C58/'IS &amp; BS'!C$47,"NA")</f>
        <v>0.61434893237019828</v>
      </c>
      <c r="D67" s="177">
        <f>IFERROR('IS &amp; BS'!D58/'IS &amp; BS'!D$47,"NA")</f>
        <v>0.58687539890746243</v>
      </c>
      <c r="E67" s="177">
        <f>IFERROR('IS &amp; BS'!E58/'IS &amp; BS'!E$47,"NA")</f>
        <v>0.56810792537776367</v>
      </c>
      <c r="F67" s="177">
        <f>IFERROR('IS &amp; BS'!F58/'IS &amp; BS'!F$47,"NA")</f>
        <v>0.5140875324626667</v>
      </c>
      <c r="G67" s="177">
        <f>IFERROR('IS &amp; BS'!G58/'IS &amp; BS'!G$47,"NA")</f>
        <v>0.61608460265766485</v>
      </c>
      <c r="H67" s="177">
        <f>IFERROR('IS &amp; BS'!H58/'IS &amp; BS'!H$47,"NA")</f>
        <v>0.63183071720780049</v>
      </c>
      <c r="I67" s="178">
        <f>IFERROR('IS &amp; BS'!I58/'IS &amp; BS'!I$47,"NA")</f>
        <v>0.57320448075638897</v>
      </c>
      <c r="J67" s="178">
        <f>IFERROR('IS &amp; BS'!J58/'IS &amp; BS'!J$47,"NA")</f>
        <v>0.56220596936494294</v>
      </c>
      <c r="K67" s="178">
        <f>IFERROR('IS &amp; BS'!K58/'IS &amp; BS'!K$47,"NA")</f>
        <v>0.57887541535935816</v>
      </c>
      <c r="L67" s="178">
        <f>IFERROR('IS &amp; BS'!L58/'IS &amp; BS'!L$47,"NA")</f>
        <v>0.58863403158758021</v>
      </c>
      <c r="M67" s="178">
        <f>IFERROR('IS &amp; BS'!M58/'IS &amp; BS'!M$47,"NA")</f>
        <v>0.61210145383350623</v>
      </c>
      <c r="N67" s="178">
        <f>IFERROR('IS &amp; BS'!N58/'IS &amp; BS'!N$47,"NA")</f>
        <v>0.61680692141545301</v>
      </c>
      <c r="O67" s="124">
        <f t="shared" si="0"/>
        <v>0.57990087835515125</v>
      </c>
    </row>
    <row r="68" spans="1:15">
      <c r="B68" s="17"/>
      <c r="C68" s="17"/>
      <c r="D68" s="17"/>
      <c r="E68" s="17"/>
      <c r="F68" s="17"/>
      <c r="G68" s="17"/>
      <c r="H68" s="17"/>
      <c r="I68" s="60"/>
      <c r="J68" s="60"/>
      <c r="K68" s="60"/>
      <c r="L68" s="60"/>
      <c r="M68" s="60"/>
      <c r="N68" s="60"/>
      <c r="O68" s="124"/>
    </row>
    <row r="69" spans="1:15">
      <c r="A69" t="str">
        <f>'IS &amp; BS'!A60</f>
        <v>Non-current Liabilities</v>
      </c>
      <c r="B69" s="17">
        <f>IFERROR('IS &amp; BS'!B60/'IS &amp; BS'!B$47,"NA")</f>
        <v>0</v>
      </c>
      <c r="C69" s="17">
        <f>IFERROR('IS &amp; BS'!C60/'IS &amp; BS'!C$47,"NA")</f>
        <v>0</v>
      </c>
      <c r="D69" s="17">
        <f>IFERROR('IS &amp; BS'!D60/'IS &amp; BS'!D$47,"NA")</f>
        <v>0</v>
      </c>
      <c r="E69" s="17">
        <f>IFERROR('IS &amp; BS'!E60/'IS &amp; BS'!E$47,"NA")</f>
        <v>0</v>
      </c>
      <c r="F69" s="17">
        <f>IFERROR('IS &amp; BS'!F60/'IS &amp; BS'!F$47,"NA")</f>
        <v>0</v>
      </c>
      <c r="G69" s="17">
        <f>IFERROR('IS &amp; BS'!G60/'IS &amp; BS'!G$47,"NA")</f>
        <v>0</v>
      </c>
      <c r="H69" s="17">
        <f>IFERROR('IS &amp; BS'!H60/'IS &amp; BS'!H$47,"NA")</f>
        <v>0</v>
      </c>
      <c r="I69" s="124">
        <f>IFERROR('IS &amp; BS'!I60/'IS &amp; BS'!I$47,"NA")</f>
        <v>0</v>
      </c>
      <c r="J69" s="124">
        <f>IFERROR('IS &amp; BS'!J60/'IS &amp; BS'!J$47,"NA")</f>
        <v>0</v>
      </c>
      <c r="K69" s="124">
        <f>IFERROR('IS &amp; BS'!K60/'IS &amp; BS'!K$47,"NA")</f>
        <v>0</v>
      </c>
      <c r="L69" s="124">
        <f>IFERROR('IS &amp; BS'!L60/'IS &amp; BS'!L$47,"NA")</f>
        <v>0</v>
      </c>
      <c r="M69" s="124">
        <f>IFERROR('IS &amp; BS'!M60/'IS &amp; BS'!M$47,"NA")</f>
        <v>0</v>
      </c>
      <c r="N69" s="124">
        <f>IFERROR('IS &amp; BS'!N60/'IS &amp; BS'!N$47,"NA")</f>
        <v>0</v>
      </c>
      <c r="O69" s="124">
        <f t="shared" si="0"/>
        <v>0</v>
      </c>
    </row>
    <row r="70" spans="1:15">
      <c r="A70" t="str">
        <f>'IS &amp; BS'!A61</f>
        <v>Provision for payment in lieu of employee share issue scheme</v>
      </c>
      <c r="B70" s="17">
        <f>IFERROR('IS &amp; BS'!B61/'IS &amp; BS'!B$47,"NA")</f>
        <v>3.1022761467634389E-4</v>
      </c>
      <c r="C70" s="17">
        <f>IFERROR('IS &amp; BS'!C61/'IS &amp; BS'!C$47,"NA")</f>
        <v>2.6470866773990222E-4</v>
      </c>
      <c r="D70" s="17">
        <f>IFERROR('IS &amp; BS'!D61/'IS &amp; BS'!D$47,"NA")</f>
        <v>2.0377919952189457E-4</v>
      </c>
      <c r="E70" s="17">
        <f>IFERROR('IS &amp; BS'!E61/'IS &amp; BS'!E$47,"NA")</f>
        <v>0</v>
      </c>
      <c r="F70" s="17">
        <f>IFERROR('IS &amp; BS'!F61/'IS &amp; BS'!F$47,"NA")</f>
        <v>0</v>
      </c>
      <c r="G70" s="17">
        <f>IFERROR('IS &amp; BS'!G61/'IS &amp; BS'!G$47,"NA")</f>
        <v>0</v>
      </c>
      <c r="H70" s="17">
        <f>IFERROR('IS &amp; BS'!H61/'IS &amp; BS'!H$47,"NA")</f>
        <v>0</v>
      </c>
      <c r="I70" s="124">
        <f>IFERROR('IS &amp; BS'!I61/'IS &amp; BS'!I$47,"NA")</f>
        <v>0</v>
      </c>
      <c r="J70" s="124">
        <f>IFERROR('IS &amp; BS'!J61/'IS &amp; BS'!J$47,"NA")</f>
        <v>0</v>
      </c>
      <c r="K70" s="124">
        <f>IFERROR('IS &amp; BS'!K61/'IS &amp; BS'!K$47,"NA")</f>
        <v>0</v>
      </c>
      <c r="L70" s="124">
        <f>IFERROR('IS &amp; BS'!L61/'IS &amp; BS'!L$47,"NA")</f>
        <v>0</v>
      </c>
      <c r="M70" s="124">
        <f>IFERROR('IS &amp; BS'!M61/'IS &amp; BS'!M$47,"NA")</f>
        <v>0</v>
      </c>
      <c r="N70" s="124">
        <f>IFERROR('IS &amp; BS'!N61/'IS &amp; BS'!N$47,"NA")</f>
        <v>0</v>
      </c>
      <c r="O70" s="124">
        <f t="shared" si="0"/>
        <v>9.3697573452359363E-5</v>
      </c>
    </row>
    <row r="71" spans="1:15">
      <c r="A71" t="str">
        <f>'IS &amp; BS'!A62</f>
        <v>Defined benefit obligations</v>
      </c>
      <c r="B71" s="17">
        <f>IFERROR('IS &amp; BS'!B62/'IS &amp; BS'!B$47,"NA")</f>
        <v>1.6185683639656234E-2</v>
      </c>
      <c r="C71" s="17">
        <f>IFERROR('IS &amp; BS'!C62/'IS &amp; BS'!C$47,"NA")</f>
        <v>1.8607050770335368E-2</v>
      </c>
      <c r="D71" s="17">
        <f>IFERROR('IS &amp; BS'!D62/'IS &amp; BS'!D$47,"NA")</f>
        <v>1.9243251578827742E-2</v>
      </c>
      <c r="E71" s="17">
        <f>IFERROR('IS &amp; BS'!E62/'IS &amp; BS'!E$47,"NA")</f>
        <v>1.8917998986261578E-2</v>
      </c>
      <c r="F71" s="17">
        <f>IFERROR('IS &amp; BS'!F62/'IS &amp; BS'!F$47,"NA")</f>
        <v>1.5105669485071421E-2</v>
      </c>
      <c r="G71" s="17">
        <f>IFERROR('IS &amp; BS'!G62/'IS &amp; BS'!G$47,"NA")</f>
        <v>1.6486624383463912E-2</v>
      </c>
      <c r="H71" s="17">
        <f>IFERROR('IS &amp; BS'!H62/'IS &amp; BS'!H$47,"NA")</f>
        <v>1.4562888187134391E-2</v>
      </c>
      <c r="I71" s="124">
        <f>IFERROR('IS &amp; BS'!I62/'IS &amp; BS'!I$47,"NA")</f>
        <v>1.2339894214093863E-2</v>
      </c>
      <c r="J71" s="124">
        <f>IFERROR('IS &amp; BS'!J62/'IS &amp; BS'!J$47,"NA")</f>
        <v>1.0873855848684532E-2</v>
      </c>
      <c r="K71" s="124">
        <f>IFERROR('IS &amp; BS'!K62/'IS &amp; BS'!K$47,"NA")</f>
        <v>9.9709797293456651E-3</v>
      </c>
      <c r="L71" s="124">
        <f>IFERROR('IS &amp; BS'!L62/'IS &amp; BS'!L$47,"NA")</f>
        <v>8.7553981758594131E-3</v>
      </c>
      <c r="M71" s="124">
        <f>IFERROR('IS &amp; BS'!M62/'IS &amp; BS'!M$47,"NA")</f>
        <v>8.0338138014892941E-3</v>
      </c>
      <c r="N71" s="124">
        <f>IFERROR('IS &amp; BS'!N62/'IS &amp; BS'!N$47,"NA")</f>
        <v>7.4101760640369885E-3</v>
      </c>
      <c r="O71" s="124">
        <f t="shared" si="0"/>
        <v>1.7672119040792005E-2</v>
      </c>
    </row>
    <row r="72" spans="1:15">
      <c r="A72" t="str">
        <f>'IS &amp; BS'!A63</f>
        <v>Deferred income tax liability</v>
      </c>
      <c r="B72" s="17">
        <f>IFERROR('IS &amp; BS'!B63/'IS &amp; BS'!B$47,"NA")</f>
        <v>5.9795249921863842E-3</v>
      </c>
      <c r="C72" s="17">
        <f>IFERROR('IS &amp; BS'!C63/'IS &amp; BS'!C$47,"NA")</f>
        <v>2.126866437616837E-2</v>
      </c>
      <c r="D72" s="17">
        <f>IFERROR('IS &amp; BS'!D63/'IS &amp; BS'!D$47,"NA")</f>
        <v>1.8446118832879711E-2</v>
      </c>
      <c r="E72" s="17">
        <f>IFERROR('IS &amp; BS'!E63/'IS &amp; BS'!E$47,"NA")</f>
        <v>1.7451174103141533E-2</v>
      </c>
      <c r="F72" s="17">
        <f>IFERROR('IS &amp; BS'!F63/'IS &amp; BS'!F$47,"NA")</f>
        <v>1.9320922925854269E-2</v>
      </c>
      <c r="G72" s="17">
        <f>IFERROR('IS &amp; BS'!G63/'IS &amp; BS'!G$47,"NA")</f>
        <v>1.3618627435930591E-2</v>
      </c>
      <c r="H72" s="17">
        <f>IFERROR('IS &amp; BS'!H63/'IS &amp; BS'!H$47,"NA")</f>
        <v>1.6253815769965756E-2</v>
      </c>
      <c r="I72" s="124">
        <f>IFERROR('IS &amp; BS'!I63/'IS &amp; BS'!I$47,"NA")</f>
        <v>1.3772705290283163E-2</v>
      </c>
      <c r="J72" s="124">
        <f>IFERROR('IS &amp; BS'!J63/'IS &amp; BS'!J$47,"NA")</f>
        <v>1.2136442126214068E-2</v>
      </c>
      <c r="K72" s="124">
        <f>IFERROR('IS &amp; BS'!K63/'IS &amp; BS'!K$47,"NA")</f>
        <v>1.1128731161310801E-2</v>
      </c>
      <c r="L72" s="124">
        <f>IFERROR('IS &amp; BS'!L63/'IS &amp; BS'!L$47,"NA")</f>
        <v>9.7720058764741435E-3</v>
      </c>
      <c r="M72" s="124">
        <f>IFERROR('IS &amp; BS'!M63/'IS &amp; BS'!M$47,"NA")</f>
        <v>8.9666368224248574E-3</v>
      </c>
      <c r="N72" s="124">
        <f>IFERROR('IS &amp; BS'!N63/'IS &amp; BS'!N$47,"NA")</f>
        <v>8.2705871953527264E-3</v>
      </c>
      <c r="O72" s="124">
        <f t="shared" si="0"/>
        <v>1.8021101534794894E-2</v>
      </c>
    </row>
    <row r="73" spans="1:15">
      <c r="A73" s="201" t="str">
        <f>'IS &amp; BS'!A64</f>
        <v>Borrowings</v>
      </c>
      <c r="B73" s="202">
        <f>IFERROR('IS &amp; BS'!B64/'IS &amp; BS'!B$47,"NA")</f>
        <v>3.3534144745687146E-2</v>
      </c>
      <c r="C73" s="202">
        <f>IFERROR('IS &amp; BS'!C64/'IS &amp; BS'!C$47,"NA")</f>
        <v>2.0903559153864128E-2</v>
      </c>
      <c r="D73" s="202">
        <f>IFERROR('IS &amp; BS'!D64/'IS &amp; BS'!D$47,"NA")</f>
        <v>9.1666040437889274E-3</v>
      </c>
      <c r="E73" s="202">
        <f>IFERROR('IS &amp; BS'!E64/'IS &amp; BS'!E$47,"NA")</f>
        <v>6.4606527316781138E-3</v>
      </c>
      <c r="F73" s="202">
        <f>IFERROR('IS &amp; BS'!F64/'IS &amp; BS'!F$47,"NA")</f>
        <v>7.6726126399848937E-2</v>
      </c>
      <c r="G73" s="202">
        <f>IFERROR('IS &amp; BS'!G64/'IS &amp; BS'!G$47,"NA")</f>
        <v>5.9490252114702179E-2</v>
      </c>
      <c r="H73" s="202">
        <f>IFERROR('IS &amp; BS'!H64/'IS &amp; BS'!H$47,"NA")</f>
        <v>1.2546645237344395E-2</v>
      </c>
      <c r="I73" s="202">
        <f>IFERROR('IS &amp; BS'!I64/'IS &amp; BS'!I$47,"NA")</f>
        <v>2.0861772236768439E-2</v>
      </c>
      <c r="J73" s="202">
        <f>IFERROR('IS &amp; BS'!J64/'IS &amp; BS'!J$47,"NA")</f>
        <v>1.838329406354371E-2</v>
      </c>
      <c r="K73" s="202">
        <f>IFERROR('IS &amp; BS'!K64/'IS &amp; BS'!K$47,"NA")</f>
        <v>1.685689556831577E-2</v>
      </c>
      <c r="L73" s="202">
        <f>IFERROR('IS &amp; BS'!L64/'IS &amp; BS'!L$47,"NA")</f>
        <v>1.4801838607204741E-2</v>
      </c>
      <c r="M73" s="202">
        <f>IFERROR('IS &amp; BS'!M64/'IS &amp; BS'!M$47,"NA")</f>
        <v>1.3581931158522784E-2</v>
      </c>
      <c r="N73" s="202">
        <f>IFERROR('IS &amp; BS'!N64/'IS &amp; BS'!N$47,"NA")</f>
        <v>1.2527611874154514E-2</v>
      </c>
      <c r="O73" s="124">
        <f t="shared" si="0"/>
        <v>3.4549438888776457E-2</v>
      </c>
    </row>
    <row r="74" spans="1:15">
      <c r="A74" t="str">
        <f>'IS &amp; BS'!A65</f>
        <v>Finance lease obligation</v>
      </c>
      <c r="B74" s="17">
        <f>IFERROR('IS &amp; BS'!B65/'IS &amp; BS'!B$47,"NA")</f>
        <v>6.0368279151668492E-5</v>
      </c>
      <c r="C74" s="17">
        <f>IFERROR('IS &amp; BS'!C65/'IS &amp; BS'!C$47,"NA")</f>
        <v>4.8405326754645464E-6</v>
      </c>
      <c r="D74" s="17">
        <f>IFERROR('IS &amp; BS'!D65/'IS &amp; BS'!D$47,"NA")</f>
        <v>0</v>
      </c>
      <c r="E74" s="17">
        <f>IFERROR('IS &amp; BS'!E65/'IS &amp; BS'!E$47,"NA")</f>
        <v>0</v>
      </c>
      <c r="F74" s="17">
        <f>IFERROR('IS &amp; BS'!F65/'IS &amp; BS'!F$47,"NA")</f>
        <v>0</v>
      </c>
      <c r="G74" s="17">
        <f>IFERROR('IS &amp; BS'!G65/'IS &amp; BS'!G$47,"NA")</f>
        <v>0</v>
      </c>
      <c r="H74" s="17">
        <f>IFERROR('IS &amp; BS'!H65/'IS &amp; BS'!H$47,"NA")</f>
        <v>0</v>
      </c>
      <c r="I74" s="124">
        <f>IFERROR('IS &amp; BS'!I65/'IS &amp; BS'!I$47,"NA")</f>
        <v>0</v>
      </c>
      <c r="J74" s="124">
        <f>IFERROR('IS &amp; BS'!J65/'IS &amp; BS'!J$47,"NA")</f>
        <v>0</v>
      </c>
      <c r="K74" s="124">
        <f>IFERROR('IS &amp; BS'!K65/'IS &amp; BS'!K$47,"NA")</f>
        <v>0</v>
      </c>
      <c r="L74" s="124">
        <f>IFERROR('IS &amp; BS'!L65/'IS &amp; BS'!L$47,"NA")</f>
        <v>0</v>
      </c>
      <c r="M74" s="124">
        <f>IFERROR('IS &amp; BS'!M65/'IS &amp; BS'!M$47,"NA")</f>
        <v>0</v>
      </c>
      <c r="N74" s="124">
        <f>IFERROR('IS &amp; BS'!N65/'IS &amp; BS'!N$47,"NA")</f>
        <v>0</v>
      </c>
      <c r="O74" s="124">
        <f t="shared" si="0"/>
        <v>9.6810653509290933E-7</v>
      </c>
    </row>
    <row r="75" spans="1:15" ht="15" thickBot="1">
      <c r="A75" t="str">
        <f>'IS &amp; BS'!A66</f>
        <v>Total non-current liabilities</v>
      </c>
      <c r="B75" s="177">
        <f>IFERROR('IS &amp; BS'!B66/'IS &amp; BS'!B$47,"NA")</f>
        <v>5.6069949271357777E-2</v>
      </c>
      <c r="C75" s="177">
        <f>IFERROR('IS &amp; BS'!C66/'IS &amp; BS'!C$47,"NA")</f>
        <v>6.1048823500783243E-2</v>
      </c>
      <c r="D75" s="177">
        <f>IFERROR('IS &amp; BS'!D66/'IS &amp; BS'!D$47,"NA")</f>
        <v>4.7059753655018279E-2</v>
      </c>
      <c r="E75" s="177">
        <f>IFERROR('IS &amp; BS'!E66/'IS &amp; BS'!E$47,"NA")</f>
        <v>4.2829825821081226E-2</v>
      </c>
      <c r="F75" s="177">
        <f>IFERROR('IS &amp; BS'!F66/'IS &amp; BS'!F$47,"NA")</f>
        <v>0.11115271881077461</v>
      </c>
      <c r="G75" s="177">
        <f>IFERROR('IS &amp; BS'!G66/'IS &amp; BS'!G$47,"NA")</f>
        <v>8.9595503934096682E-2</v>
      </c>
      <c r="H75" s="177">
        <f>IFERROR('IS &amp; BS'!H66/'IS &amp; BS'!H$47,"NA")</f>
        <v>4.3363349194444539E-2</v>
      </c>
      <c r="I75" s="178">
        <f>IFERROR('IS &amp; BS'!I66/'IS &amp; BS'!I$47,"NA")</f>
        <v>4.6974371741145465E-2</v>
      </c>
      <c r="J75" s="178">
        <f>IFERROR('IS &amp; BS'!J66/'IS &amp; BS'!J$47,"NA")</f>
        <v>4.1393592038442312E-2</v>
      </c>
      <c r="K75" s="178">
        <f>IFERROR('IS &amp; BS'!K66/'IS &amp; BS'!K$47,"NA")</f>
        <v>3.7956606458972239E-2</v>
      </c>
      <c r="L75" s="178">
        <f>IFERROR('IS &amp; BS'!L66/'IS &amp; BS'!L$47,"NA")</f>
        <v>3.3329242659538301E-2</v>
      </c>
      <c r="M75" s="178">
        <f>IFERROR('IS &amp; BS'!M66/'IS &amp; BS'!M$47,"NA")</f>
        <v>3.0582381782436937E-2</v>
      </c>
      <c r="N75" s="178">
        <f>IFERROR('IS &amp; BS'!N66/'IS &amp; BS'!N$47,"NA")</f>
        <v>2.8208375133544229E-2</v>
      </c>
      <c r="O75" s="124">
        <f t="shared" si="0"/>
        <v>7.0337325144350801E-2</v>
      </c>
    </row>
    <row r="76" spans="1:15">
      <c r="A76" t="str">
        <f>'IS &amp; BS'!A67</f>
        <v>Current Liabilities</v>
      </c>
      <c r="B76" s="17">
        <f>IFERROR('IS &amp; BS'!B67/'IS &amp; BS'!B$47,"NA")</f>
        <v>0</v>
      </c>
      <c r="C76" s="17">
        <f>IFERROR('IS &amp; BS'!C67/'IS &amp; BS'!C$47,"NA")</f>
        <v>0</v>
      </c>
      <c r="D76" s="17">
        <f>IFERROR('IS &amp; BS'!D67/'IS &amp; BS'!D$47,"NA")</f>
        <v>0</v>
      </c>
      <c r="E76" s="17">
        <f>IFERROR('IS &amp; BS'!E67/'IS &amp; BS'!E$47,"NA")</f>
        <v>0</v>
      </c>
      <c r="F76" s="17">
        <f>IFERROR('IS &amp; BS'!F67/'IS &amp; BS'!F$47,"NA")</f>
        <v>0</v>
      </c>
      <c r="G76" s="17">
        <f>IFERROR('IS &amp; BS'!G67/'IS &amp; BS'!G$47,"NA")</f>
        <v>0</v>
      </c>
      <c r="H76" s="17">
        <f>IFERROR('IS &amp; BS'!H67/'IS &amp; BS'!H$47,"NA")</f>
        <v>0</v>
      </c>
      <c r="I76" s="124">
        <f>IFERROR('IS &amp; BS'!I67/'IS &amp; BS'!I$47,"NA")</f>
        <v>0</v>
      </c>
      <c r="J76" s="124">
        <f>IFERROR('IS &amp; BS'!J67/'IS &amp; BS'!J$47,"NA")</f>
        <v>0</v>
      </c>
      <c r="K76" s="124">
        <f>IFERROR('IS &amp; BS'!K67/'IS &amp; BS'!K$47,"NA")</f>
        <v>0</v>
      </c>
      <c r="L76" s="124">
        <f>IFERROR('IS &amp; BS'!L67/'IS &amp; BS'!L$47,"NA")</f>
        <v>0</v>
      </c>
      <c r="M76" s="124">
        <f>IFERROR('IS &amp; BS'!M67/'IS &amp; BS'!M$47,"NA")</f>
        <v>0</v>
      </c>
      <c r="N76" s="124">
        <f>IFERROR('IS &amp; BS'!N67/'IS &amp; BS'!N$47,"NA")</f>
        <v>0</v>
      </c>
      <c r="O76" s="124">
        <f t="shared" si="0"/>
        <v>0</v>
      </c>
    </row>
    <row r="77" spans="1:15">
      <c r="A77" t="str">
        <f>'IS &amp; BS'!A68</f>
        <v>Trade and other payables</v>
      </c>
      <c r="B77" s="17">
        <f>IFERROR('IS &amp; BS'!B68/'IS &amp; BS'!B$47,"NA")</f>
        <v>0.13460654906687214</v>
      </c>
      <c r="C77" s="17">
        <f>IFERROR('IS &amp; BS'!C68/'IS &amp; BS'!C$47,"NA")</f>
        <v>0.10764594514657577</v>
      </c>
      <c r="D77" s="17">
        <f>IFERROR('IS &amp; BS'!D68/'IS &amp; BS'!D$47,"NA")</f>
        <v>8.0387488130489848E-2</v>
      </c>
      <c r="E77" s="17">
        <f>IFERROR('IS &amp; BS'!E68/'IS &amp; BS'!E$47,"NA")</f>
        <v>0.11467776870977758</v>
      </c>
      <c r="F77" s="17">
        <f>IFERROR('IS &amp; BS'!F68/'IS &amp; BS'!F$47,"NA")</f>
        <v>0.20468005093081165</v>
      </c>
      <c r="G77" s="17">
        <f>IFERROR('IS &amp; BS'!G68/'IS &amp; BS'!G$47,"NA")</f>
        <v>0.13074779969761532</v>
      </c>
      <c r="H77" s="17">
        <f>IFERROR('IS &amp; BS'!H68/'IS &amp; BS'!H$47,"NA")</f>
        <v>0.11772788253923946</v>
      </c>
      <c r="I77" s="124">
        <f>IFERROR('IS &amp; BS'!I68/'IS &amp; BS'!I$47,"NA")</f>
        <v>0.20447243095756798</v>
      </c>
      <c r="J77" s="124">
        <f>IFERROR('IS &amp; BS'!J68/'IS &amp; BS'!J$47,"NA")</f>
        <v>0.22808881161455483</v>
      </c>
      <c r="K77" s="124">
        <f>IFERROR('IS &amp; BS'!K68/'IS &amp; BS'!K$47,"NA")</f>
        <v>0.21578982464023125</v>
      </c>
      <c r="L77" s="124">
        <f>IFERROR('IS &amp; BS'!L68/'IS &amp; BS'!L$47,"NA")</f>
        <v>0.22353610176445105</v>
      </c>
      <c r="M77" s="124">
        <f>IFERROR('IS &amp; BS'!M68/'IS &amp; BS'!M$47,"NA")</f>
        <v>0.21554885461631768</v>
      </c>
      <c r="N77" s="124">
        <f>IFERROR('IS &amp; BS'!N68/'IS &amp; BS'!N$47,"NA")</f>
        <v>0.22422230946708024</v>
      </c>
      <c r="O77" s="124">
        <f t="shared" si="0"/>
        <v>0.12762781052305402</v>
      </c>
    </row>
    <row r="78" spans="1:15">
      <c r="A78" t="str">
        <f>'IS &amp; BS'!A69</f>
        <v>Current income tax liability</v>
      </c>
      <c r="B78" s="17">
        <f>IFERROR('IS &amp; BS'!B69/'IS &amp; BS'!B$47,"NA")</f>
        <v>1.540554261356099E-2</v>
      </c>
      <c r="C78" s="17">
        <f>IFERROR('IS &amp; BS'!C69/'IS &amp; BS'!C$47,"NA")</f>
        <v>1.5673606758676541E-2</v>
      </c>
      <c r="D78" s="17">
        <f>IFERROR('IS &amp; BS'!D69/'IS &amp; BS'!D$47,"NA")</f>
        <v>1.8517834217946498E-2</v>
      </c>
      <c r="E78" s="17">
        <f>IFERROR('IS &amp; BS'!E69/'IS &amp; BS'!E$47,"NA")</f>
        <v>2.4437951597683791E-2</v>
      </c>
      <c r="F78" s="17">
        <f>IFERROR('IS &amp; BS'!F69/'IS &amp; BS'!F$47,"NA")</f>
        <v>2.8816710006234102E-2</v>
      </c>
      <c r="G78" s="17">
        <f>IFERROR('IS &amp; BS'!G69/'IS &amp; BS'!G$47,"NA")</f>
        <v>5.0860503157450498E-2</v>
      </c>
      <c r="H78" s="17">
        <f>IFERROR('IS &amp; BS'!H69/'IS &amp; BS'!H$47,"NA")</f>
        <v>5.0884840895491973E-2</v>
      </c>
      <c r="I78" s="124">
        <f>IFERROR('IS &amp; BS'!I69/'IS &amp; BS'!I$47,"NA")</f>
        <v>4.3117377932359563E-2</v>
      </c>
      <c r="J78" s="124">
        <f>IFERROR('IS &amp; BS'!J69/'IS &amp; BS'!J$47,"NA")</f>
        <v>3.7994827514342515E-2</v>
      </c>
      <c r="K78" s="124">
        <f>IFERROR('IS &amp; BS'!K69/'IS &amp; BS'!K$47,"NA")</f>
        <v>3.4840047563378822E-2</v>
      </c>
      <c r="L78" s="124">
        <f>IFERROR('IS &amp; BS'!L69/'IS &amp; BS'!L$47,"NA")</f>
        <v>3.0592629527216978E-2</v>
      </c>
      <c r="M78" s="124">
        <f>IFERROR('IS &amp; BS'!M69/'IS &amp; BS'!M$47,"NA")</f>
        <v>2.8071309194967569E-2</v>
      </c>
      <c r="N78" s="124">
        <f>IFERROR('IS &amp; BS'!N69/'IS &amp; BS'!N$47,"NA")</f>
        <v>2.5892228600589297E-2</v>
      </c>
      <c r="O78" s="124">
        <f t="shared" si="0"/>
        <v>2.7661321147598283E-2</v>
      </c>
    </row>
    <row r="79" spans="1:15">
      <c r="A79" t="str">
        <f>'IS &amp; BS'!A70</f>
        <v>Finance lease obligation</v>
      </c>
      <c r="B79" s="17">
        <f>IFERROR('IS &amp; BS'!B70/'IS &amp; BS'!B$47,"NA")</f>
        <v>8.6753950261917508E-5</v>
      </c>
      <c r="C79" s="17">
        <f>IFERROR('IS &amp; BS'!C70/'IS &amp; BS'!C$47,"NA")</f>
        <v>6.6030998797592162E-5</v>
      </c>
      <c r="D79" s="17">
        <f>IFERROR('IS &amp; BS'!D70/'IS &amp; BS'!D$47,"NA")</f>
        <v>4.8242920422056751E-6</v>
      </c>
      <c r="E79" s="17">
        <f>IFERROR('IS &amp; BS'!E70/'IS &amp; BS'!E$47,"NA")</f>
        <v>0</v>
      </c>
      <c r="F79" s="17">
        <f>IFERROR('IS &amp; BS'!F70/'IS &amp; BS'!F$47,"NA")</f>
        <v>0</v>
      </c>
      <c r="G79" s="17">
        <f>IFERROR('IS &amp; BS'!G70/'IS &amp; BS'!G$47,"NA")</f>
        <v>0</v>
      </c>
      <c r="H79" s="17">
        <f>IFERROR('IS &amp; BS'!H70/'IS &amp; BS'!H$47,"NA")</f>
        <v>0</v>
      </c>
      <c r="I79" s="124">
        <f>IFERROR('IS &amp; BS'!I70/'IS &amp; BS'!I$47,"NA")</f>
        <v>0</v>
      </c>
      <c r="J79" s="124">
        <f>IFERROR('IS &amp; BS'!J70/'IS &amp; BS'!J$47,"NA")</f>
        <v>0</v>
      </c>
      <c r="K79" s="124">
        <f>IFERROR('IS &amp; BS'!K70/'IS &amp; BS'!K$47,"NA")</f>
        <v>0</v>
      </c>
      <c r="L79" s="124">
        <f>IFERROR('IS &amp; BS'!L70/'IS &amp; BS'!L$47,"NA")</f>
        <v>0</v>
      </c>
      <c r="M79" s="124">
        <f>IFERROR('IS &amp; BS'!M70/'IS &amp; BS'!M$47,"NA")</f>
        <v>0</v>
      </c>
      <c r="N79" s="124">
        <f>IFERROR('IS &amp; BS'!N70/'IS &amp; BS'!N$47,"NA")</f>
        <v>0</v>
      </c>
      <c r="O79" s="124">
        <f t="shared" si="0"/>
        <v>1.4171058167959568E-5</v>
      </c>
    </row>
    <row r="80" spans="1:15">
      <c r="A80" t="str">
        <f>'IS &amp; BS'!A71</f>
        <v>Dividend payable</v>
      </c>
      <c r="B80" s="17">
        <f>IFERROR('IS &amp; BS'!B71/'IS &amp; BS'!B$47,"NA")</f>
        <v>5.3055778836230954E-4</v>
      </c>
      <c r="C80" s="17">
        <f>IFERROR('IS &amp; BS'!C71/'IS &amp; BS'!C$47,"NA")</f>
        <v>9.7910285238579967E-4</v>
      </c>
      <c r="D80" s="17">
        <f>IFERROR('IS &amp; BS'!D71/'IS &amp; BS'!D$47,"NA")</f>
        <v>0</v>
      </c>
      <c r="E80" s="17">
        <f>IFERROR('IS &amp; BS'!E71/'IS &amp; BS'!E$47,"NA")</f>
        <v>0</v>
      </c>
      <c r="F80" s="17">
        <f>IFERROR('IS &amp; BS'!F71/'IS &amp; BS'!F$47,"NA")</f>
        <v>0</v>
      </c>
      <c r="G80" s="17">
        <f>IFERROR('IS &amp; BS'!G71/'IS &amp; BS'!G$47,"NA")</f>
        <v>0</v>
      </c>
      <c r="H80" s="17">
        <f>IFERROR('IS &amp; BS'!H71/'IS &amp; BS'!H$47,"NA")</f>
        <v>0</v>
      </c>
      <c r="I80" s="124">
        <f>IFERROR('IS &amp; BS'!I71/'IS &amp; BS'!I$47,"NA")</f>
        <v>0</v>
      </c>
      <c r="J80" s="124">
        <f>IFERROR('IS &amp; BS'!J71/'IS &amp; BS'!J$47,"NA")</f>
        <v>0</v>
      </c>
      <c r="K80" s="124">
        <f>IFERROR('IS &amp; BS'!K71/'IS &amp; BS'!K$47,"NA")</f>
        <v>0</v>
      </c>
      <c r="L80" s="124">
        <f>IFERROR('IS &amp; BS'!L71/'IS &amp; BS'!L$47,"NA")</f>
        <v>0</v>
      </c>
      <c r="M80" s="124">
        <f>IFERROR('IS &amp; BS'!M71/'IS &amp; BS'!M$47,"NA")</f>
        <v>0</v>
      </c>
      <c r="N80" s="124">
        <f>IFERROR('IS &amp; BS'!N71/'IS &amp; BS'!N$47,"NA")</f>
        <v>0</v>
      </c>
      <c r="O80" s="124">
        <f t="shared" si="0"/>
        <v>1.9582057047715993E-4</v>
      </c>
    </row>
    <row r="81" spans="1:15">
      <c r="A81" t="str">
        <f>'IS &amp; BS'!A72</f>
        <v xml:space="preserve">Borrowings </v>
      </c>
      <c r="B81" s="17">
        <f>IFERROR('IS &amp; BS'!B72/'IS &amp; BS'!B$47,"NA")</f>
        <v>0.21388651064454897</v>
      </c>
      <c r="C81" s="17">
        <f>IFERROR('IS &amp; BS'!C72/'IS &amp; BS'!C$47,"NA")</f>
        <v>0.14505670653562369</v>
      </c>
      <c r="D81" s="17">
        <f>IFERROR('IS &amp; BS'!D72/'IS &amp; BS'!D$47,"NA")</f>
        <v>0.21093529230075925</v>
      </c>
      <c r="E81" s="17">
        <f>IFERROR('IS &amp; BS'!E72/'IS &amp; BS'!E$47,"NA")</f>
        <v>0.21246592825497471</v>
      </c>
      <c r="F81" s="17">
        <f>IFERROR('IS &amp; BS'!F72/'IS &amp; BS'!F$47,"NA")</f>
        <v>0.11587562491158709</v>
      </c>
      <c r="G81" s="17">
        <f>IFERROR('IS &amp; BS'!G72/'IS &amp; BS'!G$47,"NA")</f>
        <v>5.2575369154111311E-2</v>
      </c>
      <c r="H81" s="17">
        <f>IFERROR('IS &amp; BS'!H72/'IS &amp; BS'!H$47,"NA")</f>
        <v>9.3878082738883747E-2</v>
      </c>
      <c r="I81" s="124">
        <f>IFERROR('IS &amp; BS'!I72/'IS &amp; BS'!I$47,"NA")</f>
        <v>7.4432619775789591E-2</v>
      </c>
      <c r="J81" s="124">
        <f>IFERROR('IS &amp; BS'!J72/'IS &amp; BS'!J$47,"NA")</f>
        <v>6.4688175888617722E-2</v>
      </c>
      <c r="K81" s="124">
        <f>IFERROR('IS &amp; BS'!K72/'IS &amp; BS'!K$47,"NA")</f>
        <v>5.9316998449246851E-2</v>
      </c>
      <c r="L81" s="124">
        <f>IFERROR('IS &amp; BS'!L72/'IS &amp; BS'!L$47,"NA")</f>
        <v>5.2085547671058496E-2</v>
      </c>
      <c r="M81" s="124">
        <f>IFERROR('IS &amp; BS'!M72/'IS &amp; BS'!M$47,"NA")</f>
        <v>4.7792868277724498E-2</v>
      </c>
      <c r="N81" s="124">
        <f>IFERROR('IS &amp; BS'!N72/'IS &amp; BS'!N$47,"NA")</f>
        <v>4.4082869891459819E-2</v>
      </c>
      <c r="O81" s="124">
        <f t="shared" si="0"/>
        <v>0.14738178423141121</v>
      </c>
    </row>
    <row r="82" spans="1:15">
      <c r="A82" t="str">
        <f>'IS &amp; BS'!A73</f>
        <v>Bank Overdraft</v>
      </c>
      <c r="B82" s="17">
        <f>IFERROR('IS &amp; BS'!B73/'IS &amp; BS'!B$47,"NA")</f>
        <v>7.4495209202927973E-2</v>
      </c>
      <c r="C82" s="17">
        <f>IFERROR('IS &amp; BS'!C73/'IS &amp; BS'!C$47,"NA")</f>
        <v>5.518085183695904E-2</v>
      </c>
      <c r="D82" s="17">
        <f>IFERROR('IS &amp; BS'!D73/'IS &amp; BS'!D$47,"NA")</f>
        <v>5.6219424262840566E-2</v>
      </c>
      <c r="E82" s="17">
        <f>IFERROR('IS &amp; BS'!E73/'IS &amp; BS'!E$47,"NA")</f>
        <v>3.7480600238719047E-2</v>
      </c>
      <c r="F82" s="17">
        <f>IFERROR('IS &amp; BS'!F73/'IS &amp; BS'!F$47,"NA")</f>
        <v>2.5387362877925684E-2</v>
      </c>
      <c r="G82" s="17">
        <f>IFERROR('IS &amp; BS'!G73/'IS &amp; BS'!G$47,"NA")</f>
        <v>6.01362213990611E-2</v>
      </c>
      <c r="H82" s="17">
        <f>IFERROR('IS &amp; BS'!H73/'IS &amp; BS'!H$47,"NA")</f>
        <v>6.2315127424139763E-2</v>
      </c>
      <c r="I82" s="124">
        <f>IFERROR('IS &amp; BS'!I73/'IS &amp; BS'!I$47,"NA")</f>
        <v>5.7798823186275203E-2</v>
      </c>
      <c r="J82" s="124">
        <f>IFERROR('IS &amp; BS'!J73/'IS &amp; BS'!J$47,"NA")</f>
        <v>6.562871553140448E-2</v>
      </c>
      <c r="K82" s="124">
        <f>IFERROR('IS &amp; BS'!K73/'IS &amp; BS'!K$47,"NA")</f>
        <v>7.3221191846149489E-2</v>
      </c>
      <c r="L82" s="124">
        <f>IFERROR('IS &amp; BS'!L73/'IS &amp; BS'!L$47,"NA")</f>
        <v>7.1822520828201217E-2</v>
      </c>
      <c r="M82" s="124">
        <f>IFERROR('IS &amp; BS'!M73/'IS &amp; BS'!M$47,"NA")</f>
        <v>6.5903200231178183E-2</v>
      </c>
      <c r="N82" s="124">
        <f>IFERROR('IS &amp; BS'!N73/'IS &amp; BS'!N$47,"NA")</f>
        <v>6.0787358154352954E-2</v>
      </c>
      <c r="O82" s="124">
        <f t="shared" si="0"/>
        <v>4.6880892123101085E-2</v>
      </c>
    </row>
    <row r="83" spans="1:15" ht="15" thickBot="1">
      <c r="A83" t="str">
        <f>'IS &amp; BS'!A74</f>
        <v>Total current liabilties</v>
      </c>
      <c r="B83" s="177">
        <f>IFERROR('IS &amp; BS'!B74/'IS &amp; BS'!B$47,"NA")</f>
        <v>0.4390111232665343</v>
      </c>
      <c r="C83" s="177">
        <f>IFERROR('IS &amp; BS'!C74/'IS &amp; BS'!C$47,"NA")</f>
        <v>0.32460224412901845</v>
      </c>
      <c r="D83" s="177">
        <f>IFERROR('IS &amp; BS'!D74/'IS &amp; BS'!D$47,"NA")</f>
        <v>0.36606484743751944</v>
      </c>
      <c r="E83" s="177">
        <f>IFERROR('IS &amp; BS'!E74/'IS &amp; BS'!E$47,"NA")</f>
        <v>0.38906224880115514</v>
      </c>
      <c r="F83" s="177">
        <f>IFERROR('IS &amp; BS'!F74/'IS &amp; BS'!F$47,"NA")</f>
        <v>0.37475974872655859</v>
      </c>
      <c r="G83" s="177">
        <f>IFERROR('IS &amp; BS'!G74/'IS &amp; BS'!G$47,"NA")</f>
        <v>0.29431989340823828</v>
      </c>
      <c r="H83" s="177">
        <f>IFERROR('IS &amp; BS'!H74/'IS &amp; BS'!H$47,"NA")</f>
        <v>0.32480593359775495</v>
      </c>
      <c r="I83" s="178">
        <f>IFERROR('IS &amp; BS'!I74/'IS &amp; BS'!I$47,"NA")</f>
        <v>0.37982125185199239</v>
      </c>
      <c r="J83" s="178">
        <f>IFERROR('IS &amp; BS'!J74/'IS &amp; BS'!J$47,"NA")</f>
        <v>0.39640053054891961</v>
      </c>
      <c r="K83" s="178">
        <f>IFERROR('IS &amp; BS'!K74/'IS &amp; BS'!K$47,"NA")</f>
        <v>0.38316806249900642</v>
      </c>
      <c r="L83" s="178">
        <f>IFERROR('IS &amp; BS'!L74/'IS &amp; BS'!L$47,"NA")</f>
        <v>0.37803679979092775</v>
      </c>
      <c r="M83" s="178">
        <f>IFERROR('IS &amp; BS'!M74/'IS &amp; BS'!M$47,"NA")</f>
        <v>0.35731623232018789</v>
      </c>
      <c r="N83" s="178">
        <f>IFERROR('IS &amp; BS'!N74/'IS &amp; BS'!N$47,"NA")</f>
        <v>0.35498476611348229</v>
      </c>
      <c r="O83" s="124">
        <f t="shared" si="0"/>
        <v>0.34976179650049799</v>
      </c>
    </row>
    <row r="84" spans="1:15">
      <c r="A84" t="str">
        <f>'IS &amp; BS'!A75</f>
        <v>Total Liabilities</v>
      </c>
      <c r="B84" s="17">
        <f>IFERROR('IS &amp; BS'!B75/'IS &amp; BS'!B$47,"NA")</f>
        <v>0.49508107253789202</v>
      </c>
      <c r="C84" s="17">
        <f>IFERROR('IS &amp; BS'!C75/'IS &amp; BS'!C$47,"NA")</f>
        <v>0.38565106762980167</v>
      </c>
      <c r="D84" s="17">
        <f>IFERROR('IS &amp; BS'!D75/'IS &amp; BS'!D$47,"NA")</f>
        <v>0.41312460109253768</v>
      </c>
      <c r="E84" s="17">
        <f>IFERROR('IS &amp; BS'!E75/'IS &amp; BS'!E$47,"NA")</f>
        <v>0.43189207462223633</v>
      </c>
      <c r="F84" s="17">
        <f>IFERROR('IS &amp; BS'!F75/'IS &amp; BS'!F$47,"NA")</f>
        <v>0.48591246753733319</v>
      </c>
      <c r="G84" s="17">
        <f>IFERROR('IS &amp; BS'!G75/'IS &amp; BS'!G$47,"NA")</f>
        <v>0.38391539734233493</v>
      </c>
      <c r="H84" s="17">
        <f>IFERROR('IS &amp; BS'!H75/'IS &amp; BS'!H$47,"NA")</f>
        <v>0.36816928279219946</v>
      </c>
      <c r="I84" s="124">
        <f>IFERROR('IS &amp; BS'!I75/'IS &amp; BS'!I$47,"NA")</f>
        <v>0.42679562359313788</v>
      </c>
      <c r="J84" s="124">
        <f>IFERROR('IS &amp; BS'!J75/'IS &amp; BS'!J$47,"NA")</f>
        <v>0.43779412258736194</v>
      </c>
      <c r="K84" s="124">
        <f>IFERROR('IS &amp; BS'!K75/'IS &amp; BS'!K$47,"NA")</f>
        <v>0.42112466895797868</v>
      </c>
      <c r="L84" s="124">
        <f>IFERROR('IS &amp; BS'!L75/'IS &amp; BS'!L$47,"NA")</f>
        <v>0.41136604245046604</v>
      </c>
      <c r="M84" s="124">
        <f>IFERROR('IS &amp; BS'!M75/'IS &amp; BS'!M$47,"NA")</f>
        <v>0.38789861410262488</v>
      </c>
      <c r="N84" s="124">
        <f>IFERROR('IS &amp; BS'!N75/'IS &amp; BS'!N$47,"NA")</f>
        <v>0.38319314124702653</v>
      </c>
      <c r="O84" s="124">
        <f t="shared" si="0"/>
        <v>0.42009912164484875</v>
      </c>
    </row>
    <row r="85" spans="1:15" ht="15" thickBot="1">
      <c r="A85" t="str">
        <f>'IS &amp; BS'!A76</f>
        <v>Total Equity and Liabilities</v>
      </c>
      <c r="B85" s="177">
        <f>IFERROR('IS &amp; BS'!B76/'IS &amp; BS'!B$47,"NA")</f>
        <v>0.99999999999999978</v>
      </c>
      <c r="C85" s="177">
        <f>IFERROR('IS &amp; BS'!C76/'IS &amp; BS'!C$47,"NA")</f>
        <v>1</v>
      </c>
      <c r="D85" s="177">
        <f>IFERROR('IS &amp; BS'!D76/'IS &amp; BS'!D$47,"NA")</f>
        <v>1</v>
      </c>
      <c r="E85" s="177">
        <f>IFERROR('IS &amp; BS'!E76/'IS &amp; BS'!E$47,"NA")</f>
        <v>1</v>
      </c>
      <c r="F85" s="177">
        <f>IFERROR('IS &amp; BS'!F76/'IS &amp; BS'!F$47,"NA")</f>
        <v>0.99999999999999989</v>
      </c>
      <c r="G85" s="177">
        <f>IFERROR('IS &amp; BS'!G76/'IS &amp; BS'!G$47,"NA")</f>
        <v>0.99999999999999978</v>
      </c>
      <c r="H85" s="177">
        <f>IFERROR('IS &amp; BS'!H76/'IS &amp; BS'!H$47,"NA")</f>
        <v>1</v>
      </c>
      <c r="I85" s="178">
        <f>IFERROR('IS &amp; BS'!I76/'IS &amp; BS'!I$47,"NA")</f>
        <v>1.0000001043495268</v>
      </c>
      <c r="J85" s="178">
        <f>IFERROR('IS &amp; BS'!J76/'IS &amp; BS'!J$47,"NA")</f>
        <v>1.0000000919523049</v>
      </c>
      <c r="K85" s="178">
        <f>IFERROR('IS &amp; BS'!K76/'IS &amp; BS'!K$47,"NA")</f>
        <v>1.0000000843173367</v>
      </c>
      <c r="L85" s="178">
        <f>IFERROR('IS &amp; BS'!L76/'IS &amp; BS'!L$47,"NA")</f>
        <v>1.0000000740380461</v>
      </c>
      <c r="M85" s="178">
        <f>IFERROR('IS &amp; BS'!M76/'IS &amp; BS'!M$47,"NA")</f>
        <v>1.0000000679361312</v>
      </c>
      <c r="N85" s="178">
        <f>IFERROR('IS &amp; BS'!N76/'IS &amp; BS'!N$47,"NA")</f>
        <v>1.0000000626624794</v>
      </c>
      <c r="O85" s="124">
        <f t="shared" si="0"/>
        <v>1</v>
      </c>
    </row>
    <row r="86" spans="1:15">
      <c r="I86" s="57"/>
      <c r="J86" s="57"/>
      <c r="K86" s="57"/>
      <c r="L86" s="57"/>
      <c r="M86" s="57"/>
      <c r="N86" s="57"/>
      <c r="O86" s="57"/>
    </row>
    <row r="87" spans="1:15">
      <c r="I87" s="57"/>
      <c r="J87" s="57"/>
      <c r="K87" s="57"/>
      <c r="L87" s="57"/>
      <c r="M87" s="57"/>
      <c r="N87" s="57"/>
      <c r="O87" s="57"/>
    </row>
    <row r="88" spans="1:15">
      <c r="I88" s="57"/>
      <c r="J88" s="57"/>
      <c r="K88" s="57"/>
      <c r="L88" s="57"/>
      <c r="M88" s="57"/>
      <c r="N88" s="57"/>
      <c r="O88" s="57"/>
    </row>
    <row r="89" spans="1:15">
      <c r="I89" s="57"/>
      <c r="J89" s="57"/>
      <c r="K89" s="57"/>
      <c r="L89" s="57"/>
      <c r="M89" s="57"/>
      <c r="N89" s="57"/>
      <c r="O89" s="57"/>
    </row>
    <row r="90" spans="1:15">
      <c r="I90" s="57"/>
      <c r="J90" s="57"/>
      <c r="K90" s="57"/>
      <c r="L90" s="57"/>
      <c r="M90" s="57"/>
      <c r="N90" s="57"/>
      <c r="O90" s="57"/>
    </row>
    <row r="91" spans="1:15">
      <c r="I91" s="57"/>
      <c r="J91" s="57"/>
      <c r="K91" s="57"/>
      <c r="L91" s="57"/>
      <c r="M91" s="57"/>
      <c r="N91" s="57"/>
      <c r="O91" s="57"/>
    </row>
    <row r="92" spans="1:15">
      <c r="I92" s="57"/>
      <c r="J92" s="57"/>
      <c r="K92" s="57"/>
      <c r="L92" s="57"/>
      <c r="M92" s="57"/>
      <c r="N92" s="57"/>
      <c r="O92" s="57"/>
    </row>
    <row r="93" spans="1:15">
      <c r="I93" s="57"/>
      <c r="J93" s="57"/>
      <c r="K93" s="57"/>
      <c r="L93" s="57"/>
      <c r="M93" s="57"/>
      <c r="N93" s="57"/>
      <c r="O93" s="57"/>
    </row>
    <row r="94" spans="1:15">
      <c r="I94" s="57"/>
      <c r="J94" s="57"/>
      <c r="K94" s="57"/>
      <c r="L94" s="57"/>
      <c r="M94" s="57"/>
      <c r="N94" s="57"/>
      <c r="O94" s="57"/>
    </row>
    <row r="95" spans="1:15">
      <c r="I95" s="57"/>
      <c r="J95" s="57"/>
      <c r="K95" s="57"/>
      <c r="L95" s="57"/>
      <c r="M95" s="57"/>
      <c r="N95" s="57"/>
      <c r="O95" s="57"/>
    </row>
    <row r="96" spans="1:15">
      <c r="I96" s="57"/>
      <c r="J96" s="57"/>
      <c r="K96" s="57"/>
      <c r="L96" s="57"/>
      <c r="M96" s="57"/>
      <c r="N96" s="57"/>
      <c r="O96" s="57"/>
    </row>
    <row r="97" spans="9:15">
      <c r="I97" s="57"/>
      <c r="J97" s="57"/>
      <c r="K97" s="57"/>
      <c r="L97" s="57"/>
      <c r="M97" s="57"/>
      <c r="N97" s="57"/>
      <c r="O97" s="57"/>
    </row>
    <row r="98" spans="9:15">
      <c r="I98" s="57"/>
      <c r="J98" s="57"/>
      <c r="K98" s="57"/>
      <c r="L98" s="57"/>
      <c r="M98" s="57"/>
      <c r="N98" s="57"/>
      <c r="O98" s="57"/>
    </row>
    <row r="99" spans="9:15">
      <c r="I99" s="57"/>
      <c r="J99" s="57"/>
      <c r="K99" s="57"/>
      <c r="L99" s="57"/>
      <c r="M99" s="57"/>
      <c r="N99" s="57"/>
      <c r="O99" s="57"/>
    </row>
    <row r="100" spans="9:15">
      <c r="I100" s="57"/>
      <c r="J100" s="57"/>
      <c r="K100" s="57"/>
      <c r="L100" s="57"/>
      <c r="M100" s="57"/>
      <c r="N100" s="57"/>
      <c r="O100" s="57"/>
    </row>
    <row r="101" spans="9:15">
      <c r="I101" s="57"/>
      <c r="J101" s="57"/>
      <c r="K101" s="57"/>
      <c r="L101" s="57"/>
      <c r="M101" s="57"/>
      <c r="N101" s="57"/>
      <c r="O101" s="57"/>
    </row>
    <row r="102" spans="9:15">
      <c r="I102" s="57"/>
      <c r="J102" s="57"/>
      <c r="K102" s="57"/>
      <c r="L102" s="57"/>
      <c r="M102" s="57"/>
      <c r="N102" s="57"/>
      <c r="O102" s="57"/>
    </row>
    <row r="103" spans="9:15">
      <c r="I103" s="57"/>
      <c r="J103" s="57"/>
      <c r="K103" s="57"/>
      <c r="L103" s="57"/>
      <c r="M103" s="57"/>
      <c r="N103" s="57"/>
      <c r="O103" s="57"/>
    </row>
    <row r="104" spans="9:15">
      <c r="I104" s="57"/>
      <c r="J104" s="57"/>
      <c r="K104" s="57"/>
      <c r="L104" s="57"/>
      <c r="M104" s="57"/>
      <c r="N104" s="57"/>
      <c r="O104" s="57"/>
    </row>
    <row r="105" spans="9:15">
      <c r="I105" s="57"/>
      <c r="J105" s="57"/>
      <c r="K105" s="57"/>
      <c r="L105" s="57"/>
      <c r="M105" s="57"/>
      <c r="N105" s="57"/>
      <c r="O105" s="57"/>
    </row>
    <row r="106" spans="9:15">
      <c r="I106" s="57"/>
      <c r="J106" s="57"/>
      <c r="K106" s="57"/>
      <c r="L106" s="57"/>
      <c r="M106" s="57"/>
      <c r="N106" s="57"/>
      <c r="O106" s="57"/>
    </row>
    <row r="107" spans="9:15">
      <c r="I107" s="57"/>
      <c r="J107" s="57"/>
      <c r="K107" s="57"/>
      <c r="L107" s="57"/>
      <c r="M107" s="57"/>
      <c r="N107" s="57"/>
      <c r="O107" s="57"/>
    </row>
    <row r="108" spans="9:15">
      <c r="I108" s="57"/>
      <c r="J108" s="57"/>
      <c r="K108" s="57"/>
      <c r="L108" s="57"/>
      <c r="M108" s="57"/>
      <c r="N108" s="57"/>
      <c r="O108" s="57"/>
    </row>
    <row r="109" spans="9:15">
      <c r="I109" s="57"/>
      <c r="J109" s="57"/>
      <c r="K109" s="57"/>
      <c r="L109" s="57"/>
      <c r="M109" s="57"/>
      <c r="N109" s="57"/>
      <c r="O109" s="57"/>
    </row>
    <row r="110" spans="9:15">
      <c r="I110" s="57"/>
      <c r="J110" s="57"/>
      <c r="K110" s="57"/>
      <c r="L110" s="57"/>
      <c r="M110" s="57"/>
      <c r="N110" s="57"/>
      <c r="O110" s="57"/>
    </row>
    <row r="111" spans="9:15">
      <c r="I111" s="57"/>
      <c r="J111" s="57"/>
      <c r="K111" s="57"/>
      <c r="L111" s="57"/>
      <c r="M111" s="57"/>
      <c r="N111" s="57"/>
      <c r="O111" s="57"/>
    </row>
    <row r="112" spans="9:15">
      <c r="I112" s="57"/>
      <c r="J112" s="57"/>
      <c r="K112" s="57"/>
      <c r="L112" s="57"/>
      <c r="M112" s="57"/>
      <c r="N112" s="57"/>
      <c r="O112" s="57"/>
    </row>
    <row r="113" spans="9:15">
      <c r="I113" s="57"/>
      <c r="J113" s="57"/>
      <c r="K113" s="57"/>
      <c r="L113" s="57"/>
      <c r="M113" s="57"/>
      <c r="N113" s="57"/>
      <c r="O113" s="57"/>
    </row>
    <row r="114" spans="9:15">
      <c r="I114" s="57"/>
      <c r="J114" s="57"/>
      <c r="K114" s="57"/>
      <c r="L114" s="57"/>
      <c r="M114" s="57"/>
      <c r="N114" s="57"/>
      <c r="O114" s="57"/>
    </row>
    <row r="115" spans="9:15">
      <c r="I115" s="57"/>
      <c r="J115" s="57"/>
      <c r="K115" s="57"/>
      <c r="L115" s="57"/>
      <c r="M115" s="57"/>
      <c r="N115" s="57"/>
      <c r="O115" s="57"/>
    </row>
    <row r="116" spans="9:15">
      <c r="I116" s="57"/>
      <c r="J116" s="57"/>
      <c r="K116" s="57"/>
      <c r="L116" s="57"/>
      <c r="M116" s="57"/>
      <c r="N116" s="57"/>
      <c r="O116" s="57"/>
    </row>
    <row r="117" spans="9:15">
      <c r="I117" s="57"/>
      <c r="J117" s="57"/>
      <c r="K117" s="57"/>
      <c r="L117" s="57"/>
      <c r="M117" s="57"/>
      <c r="N117" s="57"/>
      <c r="O117" s="57"/>
    </row>
    <row r="118" spans="9:15">
      <c r="I118" s="57"/>
      <c r="J118" s="57"/>
      <c r="K118" s="57"/>
      <c r="L118" s="57"/>
      <c r="M118" s="57"/>
      <c r="N118" s="57"/>
      <c r="O118" s="57"/>
    </row>
    <row r="119" spans="9:15">
      <c r="I119" s="57"/>
      <c r="J119" s="57"/>
      <c r="K119" s="57"/>
      <c r="L119" s="57"/>
      <c r="M119" s="57"/>
      <c r="N119" s="57"/>
      <c r="O119" s="57"/>
    </row>
    <row r="120" spans="9:15">
      <c r="I120" s="57"/>
      <c r="J120" s="57"/>
      <c r="K120" s="57"/>
      <c r="L120" s="57"/>
      <c r="M120" s="57"/>
      <c r="N120" s="57"/>
      <c r="O120" s="57"/>
    </row>
    <row r="121" spans="9:15">
      <c r="I121" s="57"/>
      <c r="J121" s="57"/>
      <c r="K121" s="57"/>
      <c r="L121" s="57"/>
      <c r="M121" s="57"/>
      <c r="N121" s="57"/>
      <c r="O121" s="57"/>
    </row>
    <row r="122" spans="9:15">
      <c r="I122" s="57"/>
      <c r="J122" s="57"/>
      <c r="K122" s="57"/>
      <c r="L122" s="57"/>
      <c r="M122" s="57"/>
      <c r="N122" s="57"/>
      <c r="O122" s="57"/>
    </row>
    <row r="123" spans="9:15">
      <c r="I123" s="57"/>
      <c r="J123" s="57"/>
      <c r="K123" s="57"/>
      <c r="L123" s="57"/>
      <c r="M123" s="57"/>
      <c r="N123" s="57"/>
      <c r="O123" s="57"/>
    </row>
  </sheetData>
  <mergeCells count="1">
    <mergeCell ref="H1:I2"/>
  </mergeCells>
  <conditionalFormatting sqref="H1">
    <cfRule type="containsText" dxfId="15" priority="1" operator="containsText" text="SELL">
      <formula>NOT(ISERROR(SEARCH("SELL",H1)))</formula>
    </cfRule>
    <cfRule type="containsText" dxfId="14" priority="2" operator="containsText" text="HOLD">
      <formula>NOT(ISERROR(SEARCH("HOLD",H1)))</formula>
    </cfRule>
    <cfRule type="containsText" dxfId="13" priority="3" operator="containsText" text="BUY">
      <formula>NOT(ISERROR(SEARCH("BUY",H1)))</formula>
    </cfRule>
    <cfRule type="containsText" dxfId="12" priority="4" operator="containsText" text="STRONG BUY">
      <formula>NOT(ISERROR(SEARCH("STRONG BUY",H1)))</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Q119"/>
  <sheetViews>
    <sheetView showGridLines="0" zoomScaleNormal="100" workbookViewId="0">
      <selection activeCell="L7" sqref="L7"/>
    </sheetView>
  </sheetViews>
  <sheetFormatPr defaultRowHeight="14.4" outlineLevelRow="1"/>
  <cols>
    <col min="1" max="1" width="37.6640625" customWidth="1"/>
    <col min="2" max="7" width="11.6640625" style="16" customWidth="1"/>
    <col min="8" max="8" width="11.6640625" customWidth="1"/>
    <col min="9" max="9" width="14.88671875" bestFit="1" customWidth="1"/>
    <col min="10" max="10" width="11.6640625" customWidth="1"/>
  </cols>
  <sheetData>
    <row r="1" spans="1:10">
      <c r="A1" s="3" t="s">
        <v>0</v>
      </c>
      <c r="B1" s="68"/>
      <c r="C1" s="68"/>
      <c r="D1" s="68"/>
      <c r="E1" s="68"/>
      <c r="F1" s="68"/>
      <c r="G1" s="68"/>
      <c r="H1" s="2"/>
      <c r="I1" s="2"/>
      <c r="J1" s="2"/>
    </row>
    <row r="2" spans="1:10">
      <c r="A2" s="3" t="s">
        <v>304</v>
      </c>
      <c r="B2" s="69"/>
      <c r="C2" s="69"/>
      <c r="D2" s="69"/>
      <c r="E2" s="69"/>
      <c r="F2" s="69"/>
      <c r="G2" s="69"/>
      <c r="H2" s="6"/>
      <c r="I2" s="6"/>
      <c r="J2" s="6"/>
    </row>
    <row r="3" spans="1:10">
      <c r="A3" s="3" t="s">
        <v>104</v>
      </c>
      <c r="B3" s="69"/>
      <c r="C3" s="69"/>
      <c r="D3" s="69"/>
      <c r="E3" s="69"/>
      <c r="F3" s="69"/>
      <c r="G3" s="69"/>
      <c r="H3" s="6"/>
      <c r="I3" s="6"/>
      <c r="J3" s="6"/>
    </row>
    <row r="4" spans="1:10">
      <c r="A4" s="91">
        <v>4</v>
      </c>
      <c r="B4" s="134">
        <v>4</v>
      </c>
      <c r="C4" s="134"/>
      <c r="H4" s="17"/>
    </row>
    <row r="5" spans="1:10">
      <c r="H5" s="17"/>
    </row>
    <row r="6" spans="1:10">
      <c r="H6" s="17"/>
    </row>
    <row r="7" spans="1:10">
      <c r="A7" s="135" t="str">
        <f>A43&amp;" FY12-FY17"</f>
        <v>Segmental Liabilities FY12-FY17</v>
      </c>
      <c r="E7" s="16" t="str">
        <f>A43&amp;" composition FY17"</f>
        <v>Segmental Liabilities composition FY17</v>
      </c>
      <c r="H7" s="17"/>
    </row>
    <row r="8" spans="1:10">
      <c r="H8" s="17"/>
    </row>
    <row r="9" spans="1:10">
      <c r="H9" s="17"/>
    </row>
    <row r="10" spans="1:10">
      <c r="H10" s="17"/>
    </row>
    <row r="11" spans="1:10">
      <c r="H11" s="17"/>
    </row>
    <row r="12" spans="1:10">
      <c r="H12" s="17"/>
    </row>
    <row r="13" spans="1:10">
      <c r="H13" s="17"/>
    </row>
    <row r="14" spans="1:10">
      <c r="H14" s="17"/>
    </row>
    <row r="15" spans="1:10">
      <c r="H15" s="17"/>
    </row>
    <row r="16" spans="1:10">
      <c r="H16" s="17"/>
    </row>
    <row r="17" spans="1:8">
      <c r="H17" s="17"/>
    </row>
    <row r="18" spans="1:8">
      <c r="H18" s="17"/>
    </row>
    <row r="19" spans="1:8">
      <c r="H19" s="17"/>
    </row>
    <row r="20" spans="1:8">
      <c r="H20" s="17"/>
    </row>
    <row r="21" spans="1:8">
      <c r="H21" s="17"/>
    </row>
    <row r="22" spans="1:8">
      <c r="H22" s="17"/>
    </row>
    <row r="23" spans="1:8">
      <c r="H23" s="17"/>
    </row>
    <row r="24" spans="1:8">
      <c r="H24" s="17"/>
    </row>
    <row r="25" spans="1:8">
      <c r="A25" s="135" t="str">
        <f>J43&amp;" FY12-FY17"</f>
        <v>Segmental ROE FY12-FY17</v>
      </c>
      <c r="E25" s="16" t="s">
        <v>297</v>
      </c>
      <c r="H25" s="17"/>
    </row>
    <row r="26" spans="1:8">
      <c r="H26" s="17"/>
    </row>
    <row r="27" spans="1:8">
      <c r="H27" s="17"/>
    </row>
    <row r="28" spans="1:8">
      <c r="H28" s="17"/>
    </row>
    <row r="29" spans="1:8">
      <c r="H29" s="17"/>
    </row>
    <row r="30" spans="1:8">
      <c r="H30" s="17"/>
    </row>
    <row r="31" spans="1:8">
      <c r="H31" s="17"/>
    </row>
    <row r="32" spans="1:8">
      <c r="H32" s="17"/>
    </row>
    <row r="33" spans="1:17">
      <c r="H33" s="17"/>
    </row>
    <row r="34" spans="1:17">
      <c r="H34" s="17"/>
    </row>
    <row r="35" spans="1:17">
      <c r="H35" s="17"/>
    </row>
    <row r="36" spans="1:17">
      <c r="H36" s="17"/>
    </row>
    <row r="37" spans="1:17">
      <c r="H37" s="17"/>
    </row>
    <row r="38" spans="1:17">
      <c r="H38" s="17"/>
    </row>
    <row r="39" spans="1:17">
      <c r="H39" s="17"/>
    </row>
    <row r="40" spans="1:17">
      <c r="H40" s="17"/>
    </row>
    <row r="41" spans="1:17">
      <c r="H41" s="17"/>
    </row>
    <row r="42" spans="1:17">
      <c r="H42" s="17"/>
    </row>
    <row r="43" spans="1:17">
      <c r="A43" s="3" t="str">
        <f>"Segmental "&amp;IF($A$4=1,A58,IF($A$4=2,A68,IF($A$4=3,A73,A79)))</f>
        <v>Segmental Liabilities</v>
      </c>
      <c r="B43" s="92" t="str">
        <f>Cashflow!B3</f>
        <v>FY11</v>
      </c>
      <c r="C43" s="92" t="str">
        <f>Cashflow!C3</f>
        <v>FY12</v>
      </c>
      <c r="D43" s="92" t="str">
        <f>Cashflow!D3</f>
        <v>FY13</v>
      </c>
      <c r="E43" s="92" t="str">
        <f>Cashflow!E3</f>
        <v>FY14</v>
      </c>
      <c r="F43" s="92" t="str">
        <f>Cashflow!F3</f>
        <v>FY15</v>
      </c>
      <c r="G43" s="92" t="str">
        <f>Cashflow!G3</f>
        <v>FY16</v>
      </c>
      <c r="H43" s="92" t="s">
        <v>3944</v>
      </c>
      <c r="J43" s="3" t="str">
        <f>"Segmental "&amp;IF($B$4=1,J58,IF($B$4=2,J63,IF($B$4=3,J68,J73)))</f>
        <v>Segmental ROE</v>
      </c>
      <c r="K43" s="92" t="str">
        <f t="shared" ref="K43:Q43" si="0">B43</f>
        <v>FY11</v>
      </c>
      <c r="L43" s="92" t="str">
        <f t="shared" si="0"/>
        <v>FY12</v>
      </c>
      <c r="M43" s="92" t="str">
        <f t="shared" si="0"/>
        <v>FY13</v>
      </c>
      <c r="N43" s="92" t="str">
        <f t="shared" si="0"/>
        <v>FY14</v>
      </c>
      <c r="O43" s="92" t="str">
        <f t="shared" si="0"/>
        <v>FY15</v>
      </c>
      <c r="P43" s="92" t="str">
        <f t="shared" si="0"/>
        <v>FY16</v>
      </c>
      <c r="Q43" s="92" t="str">
        <f t="shared" si="0"/>
        <v>FY17</v>
      </c>
    </row>
    <row r="44" spans="1:17">
      <c r="A44" t="s">
        <v>241</v>
      </c>
      <c r="B44" s="16">
        <f>IF($A$4=1,B59,IF($A$4=2,B69,IF($A$4=3,B74,IF($A$4=4,B80,"ERROR"))))</f>
        <v>4057.4241529999999</v>
      </c>
      <c r="C44" s="16">
        <f t="shared" ref="C44:G46" si="1">IF($A$4=1,C59,IF($A$4=2,C69,IF($A$4=3,C74,IF($A$4=4,C80,"ERROR"))))</f>
        <v>3265.8165319999998</v>
      </c>
      <c r="D44" s="16">
        <f t="shared" si="1"/>
        <v>3987.2168959999999</v>
      </c>
      <c r="E44" s="16">
        <f t="shared" si="1"/>
        <v>4231.7150000000001</v>
      </c>
      <c r="F44" s="16">
        <f t="shared" si="1"/>
        <v>5383.7820000000002</v>
      </c>
      <c r="G44" s="16">
        <f t="shared" si="1"/>
        <v>4445.652</v>
      </c>
      <c r="H44" s="16">
        <f t="shared" ref="H44" si="2">IF($A$4=1,H59,IF($A$4=2,H69,IF($A$4=3,H74,IF($A$4=4,H80,"ERROR"))))</f>
        <v>4865.1949999999997</v>
      </c>
      <c r="J44" t="s">
        <v>241</v>
      </c>
      <c r="K44" s="17">
        <f t="shared" ref="K44:Q46" si="3">IF($B$4=1,K59,IF($B$4=2,K64,IF($B$4=3,K69,IF($B$4=4,K74,"ERROR"))))</f>
        <v>0</v>
      </c>
      <c r="L44" s="17">
        <f t="shared" si="3"/>
        <v>9.2547936606280939E-2</v>
      </c>
      <c r="M44" s="17">
        <f t="shared" si="3"/>
        <v>4.5450154976776173E-2</v>
      </c>
      <c r="N44" s="17">
        <f t="shared" si="3"/>
        <v>3.8425160733044042E-2</v>
      </c>
      <c r="O44" s="17">
        <f t="shared" si="3"/>
        <v>0.10294910426455975</v>
      </c>
      <c r="P44" s="17">
        <f t="shared" si="3"/>
        <v>9.9301421419601854E-2</v>
      </c>
      <c r="Q44" s="17">
        <f t="shared" si="3"/>
        <v>0.11330230210162648</v>
      </c>
    </row>
    <row r="45" spans="1:17">
      <c r="A45" t="s">
        <v>248</v>
      </c>
      <c r="B45" s="16">
        <f>IF($A$4=1,B60,IF($A$4=2,B70,IF($A$4=3,B75,IF($A$4=4,B81,"ERROR"))))</f>
        <v>281.07638300000002</v>
      </c>
      <c r="C45" s="16">
        <f t="shared" si="1"/>
        <v>236.92531299999999</v>
      </c>
      <c r="D45" s="16">
        <f t="shared" si="1"/>
        <v>140.79247000000001</v>
      </c>
      <c r="E45" s="16">
        <f t="shared" si="1"/>
        <v>272.60000000000002</v>
      </c>
      <c r="F45" s="16">
        <f t="shared" si="1"/>
        <v>139.32599999999999</v>
      </c>
      <c r="G45" s="16">
        <f t="shared" si="1"/>
        <v>171.249</v>
      </c>
      <c r="H45" s="16">
        <f t="shared" ref="H45" si="4">IF($A$4=1,H60,IF($A$4=2,H70,IF($A$4=3,H75,IF($A$4=4,H81,"ERROR"))))</f>
        <v>100.108</v>
      </c>
      <c r="J45" t="s">
        <v>248</v>
      </c>
      <c r="K45" s="17">
        <f t="shared" si="3"/>
        <v>0</v>
      </c>
      <c r="L45" s="17">
        <f t="shared" si="3"/>
        <v>0.34334295822910166</v>
      </c>
      <c r="M45" s="17">
        <f t="shared" si="3"/>
        <v>0.18653418061370333</v>
      </c>
      <c r="N45" s="17">
        <f t="shared" si="3"/>
        <v>0.47586211123778716</v>
      </c>
      <c r="O45" s="17">
        <f t="shared" si="3"/>
        <v>0.24410496259203721</v>
      </c>
      <c r="P45" s="17">
        <f t="shared" si="3"/>
        <v>0.38108225468185558</v>
      </c>
      <c r="Q45" s="17">
        <f t="shared" si="3"/>
        <v>0.25048058325532779</v>
      </c>
    </row>
    <row r="46" spans="1:17">
      <c r="A46" t="s">
        <v>156</v>
      </c>
      <c r="B46" s="16">
        <f>IF($A$4=1,B61,IF($A$4=2,B71,IF($A$4=3,B76,IF($A$4=4,B82,"ERROR"))))</f>
        <v>83.046038999999993</v>
      </c>
      <c r="C46" s="16">
        <f t="shared" si="1"/>
        <v>104.56943</v>
      </c>
      <c r="D46" s="16">
        <f t="shared" si="1"/>
        <v>372.46686299999999</v>
      </c>
      <c r="E46" s="16">
        <f t="shared" si="1"/>
        <v>693.63199999999995</v>
      </c>
      <c r="F46" s="16">
        <f t="shared" si="1"/>
        <v>2279.4470000000001</v>
      </c>
      <c r="G46" s="16">
        <f t="shared" si="1"/>
        <v>1280.692</v>
      </c>
      <c r="H46" s="16">
        <f t="shared" ref="H46" si="5">IF($A$4=1,H61,IF($A$4=2,H71,IF($A$4=3,H76,IF($A$4=4,H82,"ERROR"))))</f>
        <v>1129.4449999999999</v>
      </c>
      <c r="J46" t="s">
        <v>156</v>
      </c>
      <c r="K46" s="17">
        <f t="shared" si="3"/>
        <v>0</v>
      </c>
      <c r="L46" s="17">
        <f t="shared" si="3"/>
        <v>0.72210667247283089</v>
      </c>
      <c r="M46" s="17">
        <f t="shared" si="3"/>
        <v>1.457435720246244</v>
      </c>
      <c r="N46" s="17">
        <f t="shared" si="3"/>
        <v>0.32875194395507429</v>
      </c>
      <c r="O46" s="17">
        <f t="shared" si="3"/>
        <v>-1.1328263946862118</v>
      </c>
      <c r="P46" s="17">
        <f t="shared" si="3"/>
        <v>0.42364477783272758</v>
      </c>
      <c r="Q46" s="17">
        <f t="shared" si="3"/>
        <v>0.24544394282867524</v>
      </c>
    </row>
    <row r="47" spans="1:17" ht="15" thickBot="1">
      <c r="B47" s="70">
        <f t="shared" ref="B47:G47" si="6">SUM(B44:B46)</f>
        <v>4421.5465749999994</v>
      </c>
      <c r="C47" s="70">
        <f t="shared" si="6"/>
        <v>3607.311275</v>
      </c>
      <c r="D47" s="70">
        <f t="shared" si="6"/>
        <v>4500.4762289999999</v>
      </c>
      <c r="E47" s="70">
        <f t="shared" si="6"/>
        <v>5197.9470000000001</v>
      </c>
      <c r="F47" s="70">
        <f t="shared" si="6"/>
        <v>7802.5550000000003</v>
      </c>
      <c r="G47" s="70">
        <f t="shared" si="6"/>
        <v>5897.5929999999998</v>
      </c>
      <c r="H47" s="70">
        <f t="shared" ref="H47" si="7">SUM(H44:H46)</f>
        <v>6094.7479999999996</v>
      </c>
      <c r="K47" s="70"/>
      <c r="L47" s="70"/>
      <c r="M47" s="70"/>
      <c r="N47" s="70"/>
      <c r="O47" s="70"/>
      <c r="P47" s="70"/>
      <c r="Q47" s="70"/>
    </row>
    <row r="48" spans="1:17" ht="15" thickTop="1">
      <c r="H48" s="16"/>
    </row>
    <row r="49" spans="1:17">
      <c r="A49" s="3" t="s">
        <v>297</v>
      </c>
      <c r="B49" s="92" t="str">
        <f t="shared" ref="B49:H49" si="8">B90</f>
        <v>FY11</v>
      </c>
      <c r="C49" s="92" t="str">
        <f t="shared" si="8"/>
        <v>FY12</v>
      </c>
      <c r="D49" s="92" t="str">
        <f t="shared" si="8"/>
        <v>FY13</v>
      </c>
      <c r="E49" s="92" t="str">
        <f t="shared" si="8"/>
        <v>FY14</v>
      </c>
      <c r="F49" s="92" t="str">
        <f t="shared" si="8"/>
        <v>FY15</v>
      </c>
      <c r="G49" s="92" t="str">
        <f t="shared" si="8"/>
        <v>FY16</v>
      </c>
      <c r="H49" s="92" t="str">
        <f t="shared" si="8"/>
        <v>FY17</v>
      </c>
    </row>
    <row r="50" spans="1:17">
      <c r="A50" s="4" t="s">
        <v>298</v>
      </c>
      <c r="H50" s="16"/>
    </row>
    <row r="51" spans="1:17">
      <c r="A51" t="s">
        <v>123</v>
      </c>
      <c r="B51" s="16">
        <v>7827.3929680000001</v>
      </c>
      <c r="C51" s="16">
        <v>8808.3803630000002</v>
      </c>
      <c r="D51" s="16">
        <v>9908.7970000000005</v>
      </c>
      <c r="E51" s="16">
        <v>9450.0519999999997</v>
      </c>
      <c r="F51" s="16">
        <v>12241.403</v>
      </c>
      <c r="G51" s="16">
        <v>11636.076999999999</v>
      </c>
      <c r="H51" s="16">
        <v>12876.066999999999</v>
      </c>
      <c r="I51" s="28"/>
    </row>
    <row r="52" spans="1:17">
      <c r="A52" t="s">
        <v>100</v>
      </c>
      <c r="B52" s="16">
        <v>1744.789681</v>
      </c>
      <c r="C52" s="16">
        <v>1497.799802</v>
      </c>
      <c r="D52" s="16">
        <v>1417.723</v>
      </c>
      <c r="E52" s="16">
        <v>1996.81</v>
      </c>
      <c r="F52" s="16">
        <v>2185.8330000000001</v>
      </c>
      <c r="G52" s="16">
        <v>1175.1469999999999</v>
      </c>
      <c r="H52" s="16">
        <v>1793.6679999999999</v>
      </c>
      <c r="I52" s="28"/>
    </row>
    <row r="53" spans="1:17" ht="15" thickBot="1">
      <c r="A53" t="s">
        <v>147</v>
      </c>
      <c r="B53" s="136">
        <f t="shared" ref="B53:H53" si="9">B51+B52</f>
        <v>9572.1826490000003</v>
      </c>
      <c r="C53" s="136">
        <f t="shared" si="9"/>
        <v>10306.180165</v>
      </c>
      <c r="D53" s="136">
        <f t="shared" si="9"/>
        <v>11326.52</v>
      </c>
      <c r="E53" s="136">
        <f t="shared" si="9"/>
        <v>11446.861999999999</v>
      </c>
      <c r="F53" s="136">
        <f t="shared" si="9"/>
        <v>14427.236000000001</v>
      </c>
      <c r="G53" s="136">
        <f t="shared" si="9"/>
        <v>12811.223999999998</v>
      </c>
      <c r="H53" s="136">
        <f t="shared" si="9"/>
        <v>14669.734999999999</v>
      </c>
    </row>
    <row r="54" spans="1:17" ht="15" thickTop="1">
      <c r="A54" s="4" t="s">
        <v>299</v>
      </c>
      <c r="H54" s="16"/>
    </row>
    <row r="55" spans="1:17">
      <c r="A55" t="str">
        <f>A51</f>
        <v>Local</v>
      </c>
      <c r="B55" s="17">
        <f t="shared" ref="B55:G55" si="10">B51/B53</f>
        <v>0.81772290135079306</v>
      </c>
      <c r="C55" s="17">
        <f t="shared" si="10"/>
        <v>0.85466974397686557</v>
      </c>
      <c r="D55" s="17">
        <f t="shared" si="10"/>
        <v>0.87483154578811495</v>
      </c>
      <c r="E55" s="17">
        <f t="shared" si="10"/>
        <v>0.82555830584836265</v>
      </c>
      <c r="F55" s="17">
        <f t="shared" si="10"/>
        <v>0.84849260107757296</v>
      </c>
      <c r="G55" s="17">
        <f t="shared" si="10"/>
        <v>0.90827207454962933</v>
      </c>
      <c r="H55" s="17">
        <f t="shared" ref="H55" si="11">H51/H53</f>
        <v>0.87773003397811888</v>
      </c>
    </row>
    <row r="56" spans="1:17">
      <c r="A56" t="str">
        <f>A52</f>
        <v>Export</v>
      </c>
      <c r="B56" s="17">
        <f t="shared" ref="B56:G56" si="12">B52/B53</f>
        <v>0.18227709864920694</v>
      </c>
      <c r="C56" s="17">
        <f t="shared" si="12"/>
        <v>0.14533025602313446</v>
      </c>
      <c r="D56" s="17">
        <f t="shared" si="12"/>
        <v>0.12516845421188502</v>
      </c>
      <c r="E56" s="17">
        <f t="shared" si="12"/>
        <v>0.17444169415163738</v>
      </c>
      <c r="F56" s="17">
        <f t="shared" si="12"/>
        <v>0.15150739892242698</v>
      </c>
      <c r="G56" s="17">
        <f t="shared" si="12"/>
        <v>9.1727925450370715E-2</v>
      </c>
      <c r="H56" s="17">
        <f t="shared" ref="H56" si="13">H52/H53</f>
        <v>0.1222699660218811</v>
      </c>
    </row>
    <row r="57" spans="1:17">
      <c r="H57" s="16"/>
    </row>
    <row r="58" spans="1:17" outlineLevel="1">
      <c r="A58" s="3" t="s">
        <v>243</v>
      </c>
      <c r="B58" s="92" t="str">
        <f t="shared" ref="B58:H58" si="14">B$43</f>
        <v>FY11</v>
      </c>
      <c r="C58" s="92" t="str">
        <f t="shared" si="14"/>
        <v>FY12</v>
      </c>
      <c r="D58" s="92" t="str">
        <f t="shared" si="14"/>
        <v>FY13</v>
      </c>
      <c r="E58" s="92" t="str">
        <f t="shared" si="14"/>
        <v>FY14</v>
      </c>
      <c r="F58" s="92" t="str">
        <f t="shared" si="14"/>
        <v>FY15</v>
      </c>
      <c r="G58" s="92" t="str">
        <f t="shared" si="14"/>
        <v>FY16</v>
      </c>
      <c r="H58" s="92" t="str">
        <f t="shared" si="14"/>
        <v>FY17</v>
      </c>
      <c r="J58" s="3" t="s">
        <v>265</v>
      </c>
      <c r="K58" s="92" t="str">
        <f t="shared" ref="K58:Q58" si="15">K$43</f>
        <v>FY11</v>
      </c>
      <c r="L58" s="92" t="str">
        <f t="shared" si="15"/>
        <v>FY12</v>
      </c>
      <c r="M58" s="92" t="str">
        <f t="shared" si="15"/>
        <v>FY13</v>
      </c>
      <c r="N58" s="92" t="str">
        <f t="shared" si="15"/>
        <v>FY14</v>
      </c>
      <c r="O58" s="92" t="str">
        <f t="shared" si="15"/>
        <v>FY15</v>
      </c>
      <c r="P58" s="92" t="str">
        <f t="shared" si="15"/>
        <v>FY16</v>
      </c>
      <c r="Q58" s="92" t="str">
        <f t="shared" si="15"/>
        <v>FY17</v>
      </c>
    </row>
    <row r="59" spans="1:17" outlineLevel="1">
      <c r="A59" t="s">
        <v>241</v>
      </c>
      <c r="B59" s="16">
        <v>9480.4468469999993</v>
      </c>
      <c r="C59" s="16">
        <v>10191.988413999999</v>
      </c>
      <c r="D59" s="16">
        <v>11239.561222</v>
      </c>
      <c r="E59" s="16">
        <v>11183.419</v>
      </c>
      <c r="F59" s="16">
        <v>13595.13</v>
      </c>
      <c r="G59" s="16">
        <v>12302.486000000001</v>
      </c>
      <c r="H59" s="16">
        <v>14171.567999999999</v>
      </c>
      <c r="J59" t="str">
        <f>A59</f>
        <v>Cables</v>
      </c>
      <c r="K59" s="17">
        <f t="shared" ref="K59:Q61" si="16">IFERROR(B69/B59,0)</f>
        <v>0</v>
      </c>
      <c r="L59" s="17">
        <f t="shared" si="16"/>
        <v>4.4520500962963519E-2</v>
      </c>
      <c r="M59" s="17">
        <f t="shared" si="16"/>
        <v>2.2064971229888462E-2</v>
      </c>
      <c r="N59" s="17">
        <f t="shared" si="16"/>
        <v>1.884656203974831E-2</v>
      </c>
      <c r="O59" s="17">
        <f t="shared" si="16"/>
        <v>5.5850146339167038E-2</v>
      </c>
      <c r="P59" s="17">
        <f t="shared" si="16"/>
        <v>6.287672263963559E-2</v>
      </c>
      <c r="Q59" s="17">
        <f t="shared" si="16"/>
        <v>6.9431907605425169E-2</v>
      </c>
    </row>
    <row r="60" spans="1:17" outlineLevel="1">
      <c r="A60" t="s">
        <v>248</v>
      </c>
      <c r="B60" s="16">
        <v>89.324268000000004</v>
      </c>
      <c r="C60" s="16">
        <v>113.474028</v>
      </c>
      <c r="D60" s="16">
        <v>86.959486999999996</v>
      </c>
      <c r="E60" s="16">
        <v>70.537000000000006</v>
      </c>
      <c r="F60" s="16">
        <v>90.26</v>
      </c>
      <c r="G60" s="16">
        <v>75.653000000000006</v>
      </c>
      <c r="H60" s="16">
        <v>125.73</v>
      </c>
      <c r="J60" t="str">
        <f>A60</f>
        <v>PVC Compound</v>
      </c>
      <c r="K60" s="17">
        <f t="shared" si="16"/>
        <v>0</v>
      </c>
      <c r="L60" s="17">
        <f t="shared" si="16"/>
        <v>0.46968174074159064</v>
      </c>
      <c r="M60" s="17">
        <f t="shared" si="16"/>
        <v>0.47389869031771081</v>
      </c>
      <c r="N60" s="17">
        <f t="shared" si="16"/>
        <v>1.1006280391851084</v>
      </c>
      <c r="O60" s="17">
        <f t="shared" si="16"/>
        <v>0.95756702858409037</v>
      </c>
      <c r="P60" s="17">
        <f t="shared" si="16"/>
        <v>2.7260782784555797</v>
      </c>
      <c r="Q60" s="17">
        <f t="shared" si="16"/>
        <v>1.3493279249184762</v>
      </c>
    </row>
    <row r="61" spans="1:17" outlineLevel="1">
      <c r="A61" t="s">
        <v>156</v>
      </c>
      <c r="B61" s="16">
        <v>0</v>
      </c>
      <c r="C61" s="16">
        <v>0.717723</v>
      </c>
      <c r="D61" s="16">
        <v>0</v>
      </c>
      <c r="E61" s="16">
        <v>192.90700000000001</v>
      </c>
      <c r="F61" s="16">
        <v>741.84699999999998</v>
      </c>
      <c r="G61" s="16">
        <v>433.08499999999998</v>
      </c>
      <c r="H61" s="16">
        <v>372.43700000000001</v>
      </c>
      <c r="J61" t="str">
        <f>A61</f>
        <v>Other</v>
      </c>
      <c r="K61" s="17">
        <f t="shared" si="16"/>
        <v>0</v>
      </c>
      <c r="L61" s="17">
        <f t="shared" si="16"/>
        <v>102.15360800754608</v>
      </c>
      <c r="M61" s="17">
        <f t="shared" si="16"/>
        <v>0</v>
      </c>
      <c r="N61" s="17">
        <f t="shared" si="16"/>
        <v>1.1550073351407673</v>
      </c>
      <c r="O61" s="17">
        <f t="shared" si="16"/>
        <v>8.4142687103944611E-2</v>
      </c>
      <c r="P61" s="17">
        <f t="shared" si="16"/>
        <v>0.54196520313564323</v>
      </c>
      <c r="Q61" s="17">
        <f t="shared" si="16"/>
        <v>0.34129530632026356</v>
      </c>
    </row>
    <row r="62" spans="1:17" ht="15" outlineLevel="1" thickBot="1">
      <c r="B62" s="70">
        <f t="shared" ref="B62:H62" si="17">SUM(B59:B61)</f>
        <v>9569.7711149999996</v>
      </c>
      <c r="C62" s="70">
        <f t="shared" si="17"/>
        <v>10306.180165</v>
      </c>
      <c r="D62" s="70">
        <f t="shared" si="17"/>
        <v>11326.520709</v>
      </c>
      <c r="E62" s="70">
        <f t="shared" si="17"/>
        <v>11446.862999999999</v>
      </c>
      <c r="F62" s="70">
        <f t="shared" si="17"/>
        <v>14427.236999999999</v>
      </c>
      <c r="G62" s="70">
        <f t="shared" si="17"/>
        <v>12811.224</v>
      </c>
      <c r="H62" s="70">
        <f t="shared" si="17"/>
        <v>14669.734999999999</v>
      </c>
    </row>
    <row r="63" spans="1:17" ht="15" outlineLevel="1" thickTop="1">
      <c r="A63" s="3" t="s">
        <v>244</v>
      </c>
      <c r="B63" s="92" t="str">
        <f t="shared" ref="B63:H63" si="18">B$43</f>
        <v>FY11</v>
      </c>
      <c r="C63" s="92" t="str">
        <f t="shared" si="18"/>
        <v>FY12</v>
      </c>
      <c r="D63" s="92" t="str">
        <f t="shared" si="18"/>
        <v>FY13</v>
      </c>
      <c r="E63" s="92" t="str">
        <f t="shared" si="18"/>
        <v>FY14</v>
      </c>
      <c r="F63" s="92" t="str">
        <f t="shared" si="18"/>
        <v>FY15</v>
      </c>
      <c r="G63" s="92" t="str">
        <f t="shared" si="18"/>
        <v>FY16</v>
      </c>
      <c r="H63" s="92" t="str">
        <f t="shared" si="18"/>
        <v>FY17</v>
      </c>
      <c r="J63" s="3" t="s">
        <v>286</v>
      </c>
      <c r="K63" s="92" t="str">
        <f t="shared" ref="K63:Q63" si="19">K$43</f>
        <v>FY11</v>
      </c>
      <c r="L63" s="92" t="str">
        <f t="shared" si="19"/>
        <v>FY12</v>
      </c>
      <c r="M63" s="92" t="str">
        <f t="shared" si="19"/>
        <v>FY13</v>
      </c>
      <c r="N63" s="92" t="str">
        <f t="shared" si="19"/>
        <v>FY14</v>
      </c>
      <c r="O63" s="92" t="str">
        <f t="shared" si="19"/>
        <v>FY15</v>
      </c>
      <c r="P63" s="92" t="str">
        <f t="shared" si="19"/>
        <v>FY16</v>
      </c>
      <c r="Q63" s="92" t="str">
        <f t="shared" si="19"/>
        <v>FY17</v>
      </c>
    </row>
    <row r="64" spans="1:17" outlineLevel="1">
      <c r="A64" t="str">
        <f>A59</f>
        <v>Cables</v>
      </c>
      <c r="B64" s="16">
        <v>413.89207699999997</v>
      </c>
      <c r="C64" s="16">
        <v>868.19736799999998</v>
      </c>
      <c r="D64" s="16">
        <v>666.07367699999998</v>
      </c>
      <c r="E64" s="16">
        <v>560.37099999999998</v>
      </c>
      <c r="F64" s="16">
        <v>1059.8019999999999</v>
      </c>
      <c r="G64" s="16">
        <v>1232.183</v>
      </c>
      <c r="H64" s="16">
        <v>1407.903</v>
      </c>
      <c r="J64" t="str">
        <f>A64</f>
        <v>Cables</v>
      </c>
      <c r="K64" s="17">
        <f t="shared" ref="K64:Q66" si="20">IFERROR(B86/B59,0)</f>
        <v>1.6614248098426158E-2</v>
      </c>
      <c r="L64" s="17">
        <f t="shared" si="20"/>
        <v>6.4554273736834328E-3</v>
      </c>
      <c r="M64" s="17">
        <f t="shared" si="20"/>
        <v>7.4180887806191264E-3</v>
      </c>
      <c r="N64" s="17">
        <f t="shared" si="20"/>
        <v>1.7729104131750762E-2</v>
      </c>
      <c r="O64" s="17">
        <f t="shared" si="20"/>
        <v>9.8978825505898066E-3</v>
      </c>
      <c r="P64" s="17">
        <f t="shared" si="20"/>
        <v>8.5612777775158615E-3</v>
      </c>
      <c r="Q64" s="17">
        <f t="shared" si="20"/>
        <v>6.06778304277974E-3</v>
      </c>
    </row>
    <row r="65" spans="1:17" outlineLevel="1">
      <c r="A65" t="str">
        <f>A60</f>
        <v>PVC Compound</v>
      </c>
      <c r="B65" s="16">
        <v>105.516463</v>
      </c>
      <c r="C65" s="16">
        <v>94.725050999999993</v>
      </c>
      <c r="D65" s="16">
        <v>73.049569000000005</v>
      </c>
      <c r="E65" s="16">
        <v>100.378</v>
      </c>
      <c r="F65" s="16">
        <v>132.08500000000001</v>
      </c>
      <c r="G65" s="16">
        <v>278.46699999999998</v>
      </c>
      <c r="H65" s="16">
        <v>253.66800000000001</v>
      </c>
      <c r="J65" t="str">
        <f>A65</f>
        <v>PVC Compound</v>
      </c>
      <c r="K65" s="17">
        <f t="shared" si="20"/>
        <v>2.0460688242079968E-2</v>
      </c>
      <c r="L65" s="17">
        <f t="shared" si="20"/>
        <v>0.17191552414090738</v>
      </c>
      <c r="M65" s="17">
        <f t="shared" si="20"/>
        <v>4.3083855818974649E-2</v>
      </c>
      <c r="N65" s="17">
        <f t="shared" si="20"/>
        <v>0.15648524887647616</v>
      </c>
      <c r="O65" s="17">
        <f t="shared" si="20"/>
        <v>0.51207622424108123</v>
      </c>
      <c r="P65" s="17">
        <f t="shared" si="20"/>
        <v>0.13740367202886863</v>
      </c>
      <c r="Q65" s="17">
        <f t="shared" si="20"/>
        <v>2.5658156366817782E-2</v>
      </c>
    </row>
    <row r="66" spans="1:17" outlineLevel="1">
      <c r="A66" t="str">
        <f>A61</f>
        <v>Other</v>
      </c>
      <c r="B66" s="16">
        <f>(106632802)/1000000</f>
        <v>106.632802</v>
      </c>
      <c r="C66" s="16">
        <f>(69804626-533405)/1000000</f>
        <v>69.271220999999997</v>
      </c>
      <c r="D66" s="16">
        <f>(65743465+272770207-3807624)/1000000</f>
        <v>334.70604800000001</v>
      </c>
      <c r="E66" s="16">
        <v>283.76</v>
      </c>
      <c r="F66" s="16">
        <v>212.02099999999999</v>
      </c>
      <c r="G66" s="16">
        <v>336.92200000000003</v>
      </c>
      <c r="H66" s="16">
        <v>294.86700000000002</v>
      </c>
      <c r="J66" t="str">
        <f>A66</f>
        <v>Other</v>
      </c>
      <c r="K66" s="17">
        <f t="shared" si="20"/>
        <v>0</v>
      </c>
      <c r="L66" s="17">
        <f t="shared" si="20"/>
        <v>90.196265132927323</v>
      </c>
      <c r="M66" s="17">
        <f t="shared" si="20"/>
        <v>0</v>
      </c>
      <c r="N66" s="17">
        <f t="shared" si="20"/>
        <v>0.11328775005572632</v>
      </c>
      <c r="O66" s="17">
        <f t="shared" si="20"/>
        <v>2.8313115777242479E-2</v>
      </c>
      <c r="P66" s="17">
        <f t="shared" si="20"/>
        <v>5.374233695463939E-2</v>
      </c>
      <c r="Q66" s="17">
        <f t="shared" si="20"/>
        <v>7.3625874980197986E-2</v>
      </c>
    </row>
    <row r="67" spans="1:17" ht="15" outlineLevel="1" thickBot="1">
      <c r="B67" s="70">
        <f t="shared" ref="B67:H67" si="21">SUM(B64:B66)</f>
        <v>626.04134199999999</v>
      </c>
      <c r="C67" s="70">
        <f t="shared" si="21"/>
        <v>1032.19364</v>
      </c>
      <c r="D67" s="70">
        <f t="shared" si="21"/>
        <v>1073.8292940000001</v>
      </c>
      <c r="E67" s="70">
        <f t="shared" si="21"/>
        <v>944.50900000000001</v>
      </c>
      <c r="F67" s="70">
        <f t="shared" si="21"/>
        <v>1403.9079999999999</v>
      </c>
      <c r="G67" s="70">
        <f t="shared" si="21"/>
        <v>1847.5720000000001</v>
      </c>
      <c r="H67" s="70">
        <f t="shared" si="21"/>
        <v>1956.4379999999999</v>
      </c>
    </row>
    <row r="68" spans="1:17" ht="15" outlineLevel="1" thickTop="1">
      <c r="A68" s="3" t="s">
        <v>145</v>
      </c>
      <c r="B68" s="92" t="str">
        <f t="shared" ref="B68:H68" si="22">B$43</f>
        <v>FY11</v>
      </c>
      <c r="C68" s="92" t="str">
        <f t="shared" si="22"/>
        <v>FY12</v>
      </c>
      <c r="D68" s="92" t="str">
        <f t="shared" si="22"/>
        <v>FY13</v>
      </c>
      <c r="E68" s="92" t="str">
        <f t="shared" si="22"/>
        <v>FY14</v>
      </c>
      <c r="F68" s="92" t="str">
        <f t="shared" si="22"/>
        <v>FY15</v>
      </c>
      <c r="G68" s="92" t="str">
        <f t="shared" si="22"/>
        <v>FY16</v>
      </c>
      <c r="H68" s="92" t="str">
        <f t="shared" si="22"/>
        <v>FY17</v>
      </c>
      <c r="J68" s="3" t="s">
        <v>287</v>
      </c>
      <c r="K68" s="92" t="str">
        <f t="shared" ref="K68:Q68" si="23">K$43</f>
        <v>FY11</v>
      </c>
      <c r="L68" s="92" t="str">
        <f t="shared" si="23"/>
        <v>FY12</v>
      </c>
      <c r="M68" s="92" t="str">
        <f t="shared" si="23"/>
        <v>FY13</v>
      </c>
      <c r="N68" s="92" t="str">
        <f t="shared" si="23"/>
        <v>FY14</v>
      </c>
      <c r="O68" s="92" t="str">
        <f t="shared" si="23"/>
        <v>FY15</v>
      </c>
      <c r="P68" s="92" t="str">
        <f t="shared" si="23"/>
        <v>FY16</v>
      </c>
      <c r="Q68" s="92" t="str">
        <f t="shared" si="23"/>
        <v>FY17</v>
      </c>
    </row>
    <row r="69" spans="1:17" outlineLevel="1">
      <c r="A69" t="str">
        <f>A64</f>
        <v>Cables</v>
      </c>
      <c r="B69" s="16">
        <v>0</v>
      </c>
      <c r="C69" s="16">
        <v>453.75243</v>
      </c>
      <c r="D69" s="16">
        <v>248.000595</v>
      </c>
      <c r="E69" s="16">
        <v>210.76900000000001</v>
      </c>
      <c r="F69" s="16">
        <v>759.29</v>
      </c>
      <c r="G69" s="16">
        <v>773.54</v>
      </c>
      <c r="H69" s="16">
        <v>983.95899999999995</v>
      </c>
      <c r="J69" t="str">
        <f>A69</f>
        <v>Cables</v>
      </c>
      <c r="K69" s="131">
        <f t="shared" ref="K69:Q71" si="24">B59/B74</f>
        <v>1.159713459873233</v>
      </c>
      <c r="L69" s="131">
        <f t="shared" si="24"/>
        <v>1.2476868075442435</v>
      </c>
      <c r="M69" s="131">
        <f t="shared" si="24"/>
        <v>1.1901578131621047</v>
      </c>
      <c r="N69" s="131">
        <f t="shared" si="24"/>
        <v>1.1509249300471127</v>
      </c>
      <c r="O69" s="131">
        <f t="shared" si="24"/>
        <v>1.0655180343178954</v>
      </c>
      <c r="P69" s="131">
        <f t="shared" si="24"/>
        <v>1.0054771904961559</v>
      </c>
      <c r="Q69" s="131">
        <f t="shared" si="24"/>
        <v>1.0459058313610681</v>
      </c>
    </row>
    <row r="70" spans="1:17" outlineLevel="1">
      <c r="A70" t="str">
        <f>A65</f>
        <v>PVC Compound</v>
      </c>
      <c r="B70" s="16">
        <v>0</v>
      </c>
      <c r="C70" s="16">
        <v>53.296678999999997</v>
      </c>
      <c r="D70" s="16">
        <v>41.209986999999998</v>
      </c>
      <c r="E70" s="16">
        <v>77.635000000000005</v>
      </c>
      <c r="F70" s="16">
        <v>86.43</v>
      </c>
      <c r="G70" s="16">
        <v>206.23599999999999</v>
      </c>
      <c r="H70" s="16">
        <v>169.65100000000001</v>
      </c>
      <c r="J70" t="str">
        <f>A70</f>
        <v>PVC Compound</v>
      </c>
      <c r="K70" s="131">
        <f t="shared" si="24"/>
        <v>0.30714114216839444</v>
      </c>
      <c r="L70" s="131">
        <f t="shared" si="24"/>
        <v>0.28936087856932191</v>
      </c>
      <c r="M70" s="131">
        <f t="shared" si="24"/>
        <v>0.24040748169526469</v>
      </c>
      <c r="N70" s="131">
        <f t="shared" si="24"/>
        <v>0.1618764142413241</v>
      </c>
      <c r="O70" s="131">
        <f t="shared" si="24"/>
        <v>0.1829365923854113</v>
      </c>
      <c r="P70" s="131">
        <f t="shared" si="24"/>
        <v>0.10618948562252785</v>
      </c>
      <c r="Q70" s="131">
        <f t="shared" si="24"/>
        <v>0.16172933201270887</v>
      </c>
    </row>
    <row r="71" spans="1:17" outlineLevel="1">
      <c r="A71" t="str">
        <f>A66</f>
        <v>Other</v>
      </c>
      <c r="B71" s="16">
        <v>0</v>
      </c>
      <c r="C71" s="16">
        <f>(74236651-918657)/1000000</f>
        <v>73.317993999999999</v>
      </c>
      <c r="D71" s="16">
        <f>(42191438+262889460-3807624)/1000000</f>
        <v>301.27327400000001</v>
      </c>
      <c r="E71" s="16">
        <v>222.809</v>
      </c>
      <c r="F71" s="16">
        <v>62.420999999999999</v>
      </c>
      <c r="G71" s="16">
        <v>234.71700000000001</v>
      </c>
      <c r="H71" s="16">
        <v>127.111</v>
      </c>
      <c r="J71" t="str">
        <f>A71</f>
        <v>Other</v>
      </c>
      <c r="K71" s="131">
        <f t="shared" si="24"/>
        <v>0</v>
      </c>
      <c r="L71" s="131">
        <f t="shared" si="24"/>
        <v>3.4823527977872137E-3</v>
      </c>
      <c r="M71" s="131">
        <f t="shared" si="24"/>
        <v>0</v>
      </c>
      <c r="N71" s="131">
        <f t="shared" si="24"/>
        <v>0.14066695153911332</v>
      </c>
      <c r="O71" s="131">
        <f t="shared" si="24"/>
        <v>0.33351256212503011</v>
      </c>
      <c r="P71" s="131">
        <f t="shared" si="24"/>
        <v>0.23604784126745348</v>
      </c>
      <c r="Q71" s="131">
        <f t="shared" si="24"/>
        <v>0.2260856526967627</v>
      </c>
    </row>
    <row r="72" spans="1:17" ht="15" outlineLevel="1" thickBot="1">
      <c r="B72" s="70">
        <f t="shared" ref="B72:H72" si="25">SUM(B69:B71)</f>
        <v>0</v>
      </c>
      <c r="C72" s="70">
        <f t="shared" si="25"/>
        <v>580.36710300000004</v>
      </c>
      <c r="D72" s="70">
        <f t="shared" si="25"/>
        <v>590.48385600000006</v>
      </c>
      <c r="E72" s="70">
        <f t="shared" si="25"/>
        <v>511.21299999999997</v>
      </c>
      <c r="F72" s="70">
        <f t="shared" si="25"/>
        <v>908.14100000000008</v>
      </c>
      <c r="G72" s="70">
        <f t="shared" si="25"/>
        <v>1214.4929999999999</v>
      </c>
      <c r="H72" s="70">
        <f t="shared" si="25"/>
        <v>1280.721</v>
      </c>
    </row>
    <row r="73" spans="1:17" ht="15" outlineLevel="1" thickTop="1">
      <c r="A73" s="3" t="s">
        <v>20</v>
      </c>
      <c r="B73" s="92" t="str">
        <f t="shared" ref="B73:H73" si="26">B$43</f>
        <v>FY11</v>
      </c>
      <c r="C73" s="92" t="str">
        <f t="shared" si="26"/>
        <v>FY12</v>
      </c>
      <c r="D73" s="92" t="str">
        <f t="shared" si="26"/>
        <v>FY13</v>
      </c>
      <c r="E73" s="92" t="str">
        <f t="shared" si="26"/>
        <v>FY14</v>
      </c>
      <c r="F73" s="92" t="str">
        <f t="shared" si="26"/>
        <v>FY15</v>
      </c>
      <c r="G73" s="92" t="str">
        <f t="shared" si="26"/>
        <v>FY16</v>
      </c>
      <c r="H73" s="92" t="str">
        <f t="shared" si="26"/>
        <v>FY17</v>
      </c>
      <c r="J73" s="3" t="s">
        <v>288</v>
      </c>
      <c r="K73" s="92" t="str">
        <f t="shared" ref="K73:Q73" si="27">K$43</f>
        <v>FY11</v>
      </c>
      <c r="L73" s="92" t="str">
        <f t="shared" si="27"/>
        <v>FY12</v>
      </c>
      <c r="M73" s="92" t="str">
        <f t="shared" si="27"/>
        <v>FY13</v>
      </c>
      <c r="N73" s="92" t="str">
        <f t="shared" si="27"/>
        <v>FY14</v>
      </c>
      <c r="O73" s="92" t="str">
        <f t="shared" si="27"/>
        <v>FY15</v>
      </c>
      <c r="P73" s="92" t="str">
        <f t="shared" si="27"/>
        <v>FY16</v>
      </c>
      <c r="Q73" s="92" t="str">
        <f t="shared" si="27"/>
        <v>FY17</v>
      </c>
    </row>
    <row r="74" spans="1:17" outlineLevel="1">
      <c r="A74" t="str">
        <f>A69</f>
        <v>Cables</v>
      </c>
      <c r="B74" s="16">
        <v>8174.8183280000003</v>
      </c>
      <c r="C74" s="16">
        <v>8168.7073650000002</v>
      </c>
      <c r="D74" s="16">
        <v>9443.7570360000009</v>
      </c>
      <c r="E74" s="16">
        <v>9716.8970000000008</v>
      </c>
      <c r="F74" s="16">
        <v>12759.174000000001</v>
      </c>
      <c r="G74" s="16">
        <v>12235.47</v>
      </c>
      <c r="H74" s="16">
        <v>13549.564</v>
      </c>
      <c r="J74" t="str">
        <f>A74</f>
        <v>Cables</v>
      </c>
      <c r="K74" s="17">
        <f t="shared" ref="K74:Q76" si="28">B69/(B74-B80)</f>
        <v>0</v>
      </c>
      <c r="L74" s="17">
        <f t="shared" si="28"/>
        <v>9.2547936606280939E-2</v>
      </c>
      <c r="M74" s="17">
        <f t="shared" si="28"/>
        <v>4.5450154976776173E-2</v>
      </c>
      <c r="N74" s="17">
        <f t="shared" si="28"/>
        <v>3.8425160733044042E-2</v>
      </c>
      <c r="O74" s="17">
        <f t="shared" si="28"/>
        <v>0.10294910426455975</v>
      </c>
      <c r="P74" s="17">
        <f t="shared" si="28"/>
        <v>9.9301421419601854E-2</v>
      </c>
      <c r="Q74" s="17">
        <f t="shared" si="28"/>
        <v>0.11330230210162648</v>
      </c>
    </row>
    <row r="75" spans="1:17" outlineLevel="1">
      <c r="A75" t="str">
        <f>A70</f>
        <v>PVC Compound</v>
      </c>
      <c r="B75" s="16">
        <v>290.82482199999998</v>
      </c>
      <c r="C75" s="16">
        <v>392.15400699999998</v>
      </c>
      <c r="D75" s="16">
        <v>361.71705800000001</v>
      </c>
      <c r="E75" s="16">
        <v>435.74599999999998</v>
      </c>
      <c r="F75" s="16">
        <v>493.39499999999998</v>
      </c>
      <c r="G75" s="16">
        <v>712.43399999999997</v>
      </c>
      <c r="H75" s="16">
        <v>777.41</v>
      </c>
      <c r="J75" t="str">
        <f>A75</f>
        <v>PVC Compound</v>
      </c>
      <c r="K75" s="17">
        <f t="shared" si="28"/>
        <v>0</v>
      </c>
      <c r="L75" s="17">
        <f t="shared" si="28"/>
        <v>0.34334295822910166</v>
      </c>
      <c r="M75" s="17">
        <f t="shared" si="28"/>
        <v>0.18653418061370333</v>
      </c>
      <c r="N75" s="17">
        <f t="shared" si="28"/>
        <v>0.47586211123778716</v>
      </c>
      <c r="O75" s="17">
        <f t="shared" si="28"/>
        <v>0.24410496259203721</v>
      </c>
      <c r="P75" s="17">
        <f t="shared" si="28"/>
        <v>0.38108225468185558</v>
      </c>
      <c r="Q75" s="17">
        <f t="shared" si="28"/>
        <v>0.25048058325532779</v>
      </c>
    </row>
    <row r="76" spans="1:17" outlineLevel="1">
      <c r="A76" t="str">
        <f>A71</f>
        <v>Other</v>
      </c>
      <c r="B76" s="16">
        <v>116.26407500000001</v>
      </c>
      <c r="C76" s="16">
        <f>(135774763+70328134)/1000000</f>
        <v>206.10289700000001</v>
      </c>
      <c r="D76" s="16">
        <f>(159255631+307689987+112235867)/1000000</f>
        <v>579.18148499999995</v>
      </c>
      <c r="E76" s="16">
        <v>1371.374</v>
      </c>
      <c r="F76" s="16">
        <v>2224.3449999999998</v>
      </c>
      <c r="G76" s="16">
        <v>1834.7339999999999</v>
      </c>
      <c r="H76" s="16">
        <v>1647.327</v>
      </c>
      <c r="J76" t="str">
        <f>A76</f>
        <v>Other</v>
      </c>
      <c r="K76" s="17">
        <f t="shared" si="28"/>
        <v>0</v>
      </c>
      <c r="L76" s="17">
        <f t="shared" si="28"/>
        <v>0.72210667247283089</v>
      </c>
      <c r="M76" s="17">
        <f t="shared" si="28"/>
        <v>1.457435720246244</v>
      </c>
      <c r="N76" s="17">
        <f t="shared" si="28"/>
        <v>0.32875194395507429</v>
      </c>
      <c r="O76" s="17">
        <f t="shared" si="28"/>
        <v>-1.1328263946862118</v>
      </c>
      <c r="P76" s="17">
        <f t="shared" si="28"/>
        <v>0.42364477783272758</v>
      </c>
      <c r="Q76" s="17">
        <f t="shared" si="28"/>
        <v>0.24544394282867524</v>
      </c>
    </row>
    <row r="77" spans="1:17" ht="15" outlineLevel="1" thickBot="1">
      <c r="B77" s="70">
        <f t="shared" ref="B77:H77" si="29">SUM(B74:B76)</f>
        <v>8581.907224999999</v>
      </c>
      <c r="C77" s="70">
        <f t="shared" si="29"/>
        <v>8766.9642690000001</v>
      </c>
      <c r="D77" s="70">
        <f t="shared" si="29"/>
        <v>10384.655579</v>
      </c>
      <c r="E77" s="70">
        <f t="shared" si="29"/>
        <v>11524.017</v>
      </c>
      <c r="F77" s="70">
        <f t="shared" si="29"/>
        <v>15476.914000000001</v>
      </c>
      <c r="G77" s="70">
        <f t="shared" si="29"/>
        <v>14782.637999999999</v>
      </c>
      <c r="H77" s="70">
        <f t="shared" si="29"/>
        <v>15974.300999999999</v>
      </c>
    </row>
    <row r="78" spans="1:17" ht="15" outlineLevel="1" thickTop="1">
      <c r="A78" t="s">
        <v>246</v>
      </c>
      <c r="B78" s="16">
        <v>364.19837200000001</v>
      </c>
      <c r="C78" s="16">
        <v>524.45385199999998</v>
      </c>
      <c r="D78" s="16">
        <v>524.50985700000001</v>
      </c>
      <c r="E78" s="16">
        <v>524.45600000000002</v>
      </c>
      <c r="F78" s="16">
        <v>591.15899999999999</v>
      </c>
      <c r="G78" s="16">
        <v>591.15700000000004</v>
      </c>
      <c r="H78" s="16">
        <v>591.16300000000001</v>
      </c>
    </row>
    <row r="79" spans="1:17" outlineLevel="1">
      <c r="A79" s="3" t="s">
        <v>245</v>
      </c>
      <c r="B79" s="92" t="str">
        <f t="shared" ref="B79:H79" si="30">B$43</f>
        <v>FY11</v>
      </c>
      <c r="C79" s="92" t="str">
        <f t="shared" si="30"/>
        <v>FY12</v>
      </c>
      <c r="D79" s="92" t="str">
        <f t="shared" si="30"/>
        <v>FY13</v>
      </c>
      <c r="E79" s="92" t="str">
        <f t="shared" si="30"/>
        <v>FY14</v>
      </c>
      <c r="F79" s="92" t="str">
        <f t="shared" si="30"/>
        <v>FY15</v>
      </c>
      <c r="G79" s="92" t="str">
        <f t="shared" si="30"/>
        <v>FY16</v>
      </c>
      <c r="H79" s="92" t="str">
        <f t="shared" si="30"/>
        <v>FY17</v>
      </c>
      <c r="J79" t="str">
        <f>J58</f>
        <v>Net margins</v>
      </c>
    </row>
    <row r="80" spans="1:17" outlineLevel="1">
      <c r="A80" t="str">
        <f>A74</f>
        <v>Cables</v>
      </c>
      <c r="B80" s="16">
        <v>4057.4241529999999</v>
      </c>
      <c r="C80" s="16">
        <v>3265.8165319999998</v>
      </c>
      <c r="D80" s="16">
        <v>3987.2168959999999</v>
      </c>
      <c r="E80" s="16">
        <v>4231.7150000000001</v>
      </c>
      <c r="F80" s="16">
        <v>5383.7820000000002</v>
      </c>
      <c r="G80" s="16">
        <v>4445.652</v>
      </c>
      <c r="H80" s="16">
        <v>4865.1949999999997</v>
      </c>
      <c r="J80" t="str">
        <f>J63</f>
        <v>Capex / Sales</v>
      </c>
    </row>
    <row r="81" spans="1:10" outlineLevel="1">
      <c r="A81" t="str">
        <f>A75</f>
        <v>PVC Compound</v>
      </c>
      <c r="B81" s="16">
        <v>281.07638300000002</v>
      </c>
      <c r="C81" s="16">
        <v>236.92531299999999</v>
      </c>
      <c r="D81" s="16">
        <v>140.79247000000001</v>
      </c>
      <c r="E81" s="16">
        <v>272.60000000000002</v>
      </c>
      <c r="F81" s="16">
        <v>139.32599999999999</v>
      </c>
      <c r="G81" s="16">
        <v>171.249</v>
      </c>
      <c r="H81" s="16">
        <v>100.108</v>
      </c>
      <c r="J81" t="str">
        <f>J68</f>
        <v>Asset turnover</v>
      </c>
    </row>
    <row r="82" spans="1:10" outlineLevel="1">
      <c r="A82" t="str">
        <f>A76</f>
        <v>Other</v>
      </c>
      <c r="B82" s="16">
        <v>83.046038999999993</v>
      </c>
      <c r="C82" s="16">
        <f>(81142052+23427378)/1000000</f>
        <v>104.56943</v>
      </c>
      <c r="D82" s="16">
        <f>(36671229+318486949+17308685)/1000000</f>
        <v>372.46686299999999</v>
      </c>
      <c r="E82" s="16">
        <v>693.63199999999995</v>
      </c>
      <c r="F82" s="16">
        <v>2279.4470000000001</v>
      </c>
      <c r="G82" s="16">
        <v>1280.692</v>
      </c>
      <c r="H82" s="16">
        <v>1129.4449999999999</v>
      </c>
      <c r="J82" t="str">
        <f>J73</f>
        <v>ROE</v>
      </c>
    </row>
    <row r="83" spans="1:10" ht="15" outlineLevel="1" thickBot="1">
      <c r="B83" s="70">
        <f t="shared" ref="B83:H83" si="31">SUM(B80:B82)</f>
        <v>4421.5465749999994</v>
      </c>
      <c r="C83" s="70">
        <f t="shared" si="31"/>
        <v>3607.311275</v>
      </c>
      <c r="D83" s="70">
        <f t="shared" si="31"/>
        <v>4500.4762289999999</v>
      </c>
      <c r="E83" s="70">
        <f t="shared" si="31"/>
        <v>5197.9470000000001</v>
      </c>
      <c r="F83" s="70">
        <f t="shared" si="31"/>
        <v>7802.5550000000003</v>
      </c>
      <c r="G83" s="70">
        <f t="shared" si="31"/>
        <v>5897.5929999999998</v>
      </c>
      <c r="H83" s="70">
        <f t="shared" si="31"/>
        <v>6094.7479999999996</v>
      </c>
    </row>
    <row r="84" spans="1:10" ht="15" outlineLevel="1" thickTop="1">
      <c r="A84" t="s">
        <v>246</v>
      </c>
      <c r="B84" s="16">
        <v>7.5009810000000003</v>
      </c>
      <c r="C84" s="16">
        <v>6.8576030000000001</v>
      </c>
      <c r="D84" s="16">
        <v>6.3683899999999998</v>
      </c>
      <c r="E84" s="16">
        <v>5.6929999999999996</v>
      </c>
      <c r="F84" s="16">
        <v>5.1219999999999999</v>
      </c>
      <c r="G84" s="16">
        <v>4.6440000000000001</v>
      </c>
      <c r="H84" s="16">
        <v>4.1479999999999997</v>
      </c>
    </row>
    <row r="85" spans="1:10" outlineLevel="1">
      <c r="A85" s="3" t="s">
        <v>198</v>
      </c>
      <c r="B85" s="92" t="str">
        <f t="shared" ref="B85:H85" si="32">B$43</f>
        <v>FY11</v>
      </c>
      <c r="C85" s="92" t="str">
        <f t="shared" si="32"/>
        <v>FY12</v>
      </c>
      <c r="D85" s="92" t="str">
        <f t="shared" si="32"/>
        <v>FY13</v>
      </c>
      <c r="E85" s="92" t="str">
        <f t="shared" si="32"/>
        <v>FY14</v>
      </c>
      <c r="F85" s="92" t="str">
        <f t="shared" si="32"/>
        <v>FY15</v>
      </c>
      <c r="G85" s="92" t="str">
        <f t="shared" si="32"/>
        <v>FY16</v>
      </c>
      <c r="H85" s="92" t="str">
        <f t="shared" si="32"/>
        <v>FY17</v>
      </c>
    </row>
    <row r="86" spans="1:10" outlineLevel="1">
      <c r="A86" t="str">
        <f>A80</f>
        <v>Cables</v>
      </c>
      <c r="B86" s="16">
        <v>157.51049599999999</v>
      </c>
      <c r="C86" s="16">
        <v>65.793640999999994</v>
      </c>
      <c r="D86" s="16">
        <v>83.376063000000002</v>
      </c>
      <c r="E86" s="16">
        <v>198.27199999999999</v>
      </c>
      <c r="F86" s="16">
        <v>134.56299999999999</v>
      </c>
      <c r="G86" s="16">
        <v>105.325</v>
      </c>
      <c r="H86" s="16">
        <v>85.99</v>
      </c>
    </row>
    <row r="87" spans="1:10" outlineLevel="1">
      <c r="A87" t="str">
        <f>A81</f>
        <v>PVC Compound</v>
      </c>
      <c r="B87" s="16">
        <v>1.827636</v>
      </c>
      <c r="C87" s="16">
        <v>19.507947000000001</v>
      </c>
      <c r="D87" s="16">
        <v>3.74655</v>
      </c>
      <c r="E87" s="16">
        <v>11.038</v>
      </c>
      <c r="F87" s="16">
        <v>46.22</v>
      </c>
      <c r="G87" s="16">
        <v>10.395</v>
      </c>
      <c r="H87" s="16">
        <v>3.226</v>
      </c>
    </row>
    <row r="88" spans="1:10" outlineLevel="1">
      <c r="A88" t="str">
        <f>A82</f>
        <v>Other</v>
      </c>
      <c r="B88" s="16">
        <v>6.4185939999999997</v>
      </c>
      <c r="C88" s="16">
        <f>(858857+63877077)/1000000</f>
        <v>64.735934</v>
      </c>
      <c r="D88" s="16">
        <f>(503343+25677013+111811488)/1000000</f>
        <v>137.99184399999999</v>
      </c>
      <c r="E88" s="16">
        <v>21.853999999999999</v>
      </c>
      <c r="F88" s="16">
        <v>21.004000000000001</v>
      </c>
      <c r="G88" s="16">
        <v>23.274999999999999</v>
      </c>
      <c r="H88" s="16">
        <v>27.420999999999999</v>
      </c>
    </row>
    <row r="89" spans="1:10" ht="15" outlineLevel="1" thickBot="1">
      <c r="B89" s="70">
        <f t="shared" ref="B89:H89" si="33">SUM(B86:B88)</f>
        <v>165.75672600000001</v>
      </c>
      <c r="C89" s="70">
        <f t="shared" si="33"/>
        <v>150.037522</v>
      </c>
      <c r="D89" s="70">
        <f t="shared" si="33"/>
        <v>225.11445699999999</v>
      </c>
      <c r="E89" s="70">
        <f t="shared" si="33"/>
        <v>231.16399999999999</v>
      </c>
      <c r="F89" s="70">
        <f t="shared" si="33"/>
        <v>201.78699999999998</v>
      </c>
      <c r="G89" s="70">
        <f t="shared" si="33"/>
        <v>138.995</v>
      </c>
      <c r="H89" s="70">
        <f t="shared" si="33"/>
        <v>116.637</v>
      </c>
    </row>
    <row r="90" spans="1:10" ht="15" outlineLevel="1" thickTop="1">
      <c r="A90" s="3" t="s">
        <v>201</v>
      </c>
      <c r="B90" s="92" t="str">
        <f t="shared" ref="B90:H90" si="34">B$43</f>
        <v>FY11</v>
      </c>
      <c r="C90" s="92" t="str">
        <f t="shared" si="34"/>
        <v>FY12</v>
      </c>
      <c r="D90" s="92" t="str">
        <f t="shared" si="34"/>
        <v>FY13</v>
      </c>
      <c r="E90" s="92" t="str">
        <f t="shared" si="34"/>
        <v>FY14</v>
      </c>
      <c r="F90" s="92" t="str">
        <f t="shared" si="34"/>
        <v>FY15</v>
      </c>
      <c r="G90" s="92" t="str">
        <f t="shared" si="34"/>
        <v>FY16</v>
      </c>
      <c r="H90" s="92" t="str">
        <f t="shared" si="34"/>
        <v>FY17</v>
      </c>
    </row>
    <row r="91" spans="1:10" outlineLevel="1">
      <c r="A91" t="str">
        <f>A86</f>
        <v>Cables</v>
      </c>
      <c r="B91" s="16">
        <v>102.228292</v>
      </c>
      <c r="C91" s="16">
        <v>108.40278600000001</v>
      </c>
      <c r="D91" s="16">
        <v>140.430105</v>
      </c>
      <c r="E91" s="16">
        <v>147.703</v>
      </c>
      <c r="F91" s="16">
        <v>153.108</v>
      </c>
      <c r="G91" s="16">
        <v>150.48599999999999</v>
      </c>
      <c r="H91" s="16">
        <v>178.86500000000001</v>
      </c>
    </row>
    <row r="92" spans="1:10" outlineLevel="1">
      <c r="A92" t="str">
        <f>A87</f>
        <v>PVC Compound</v>
      </c>
      <c r="B92" s="16">
        <v>8.811496</v>
      </c>
      <c r="C92" s="16">
        <v>9.3700919999999996</v>
      </c>
      <c r="D92" s="16">
        <v>10.966608000000001</v>
      </c>
      <c r="E92" s="16">
        <v>10.976000000000001</v>
      </c>
      <c r="F92" s="16">
        <v>13.599</v>
      </c>
      <c r="G92" s="16">
        <v>18.72</v>
      </c>
      <c r="H92" s="16">
        <v>17.408000000000001</v>
      </c>
      <c r="J92" s="16"/>
    </row>
    <row r="93" spans="1:10" outlineLevel="1">
      <c r="A93" t="str">
        <f>A88</f>
        <v>Other</v>
      </c>
      <c r="B93" s="16">
        <v>6.5576319999999999</v>
      </c>
      <c r="C93" s="16">
        <v>8.7647809999999993</v>
      </c>
      <c r="D93" s="16">
        <f>(8071235+4426092)/1000000</f>
        <v>12.497327</v>
      </c>
      <c r="E93" s="16">
        <v>19.933</v>
      </c>
      <c r="F93" s="16">
        <v>25.039000000000001</v>
      </c>
      <c r="G93" s="16">
        <v>28.091999999999999</v>
      </c>
      <c r="H93" s="16">
        <v>31.427</v>
      </c>
    </row>
    <row r="94" spans="1:10" ht="15" outlineLevel="1" thickBot="1">
      <c r="B94" s="70">
        <f t="shared" ref="B94:H94" si="35">SUM(B91:B93)</f>
        <v>117.59742</v>
      </c>
      <c r="C94" s="70">
        <f t="shared" si="35"/>
        <v>126.537659</v>
      </c>
      <c r="D94" s="70">
        <f t="shared" si="35"/>
        <v>163.89404000000002</v>
      </c>
      <c r="E94" s="70">
        <f t="shared" si="35"/>
        <v>178.61199999999999</v>
      </c>
      <c r="F94" s="70">
        <f t="shared" si="35"/>
        <v>191.74599999999998</v>
      </c>
      <c r="G94" s="70">
        <f t="shared" si="35"/>
        <v>197.298</v>
      </c>
      <c r="H94" s="70">
        <f t="shared" si="35"/>
        <v>227.70000000000002</v>
      </c>
    </row>
    <row r="95" spans="1:10" ht="15" outlineLevel="1" thickTop="1">
      <c r="H95" s="16"/>
    </row>
    <row r="96" spans="1:10" outlineLevel="1">
      <c r="H96" s="16"/>
    </row>
    <row r="97" spans="1:10" outlineLevel="1">
      <c r="A97" s="12" t="s">
        <v>247</v>
      </c>
      <c r="H97" s="16"/>
    </row>
    <row r="98" spans="1:10" outlineLevel="1">
      <c r="A98" s="12" t="str">
        <f>A58</f>
        <v>Revenues</v>
      </c>
      <c r="B98" s="72">
        <f>B62-'IS &amp; BS'!B4</f>
        <v>0</v>
      </c>
      <c r="C98" s="72">
        <f>C62-'IS &amp; BS'!C4</f>
        <v>0</v>
      </c>
      <c r="D98" s="72">
        <f>D62-'IS &amp; BS'!D4</f>
        <v>0</v>
      </c>
      <c r="E98" s="72">
        <f>E62-'IS &amp; BS'!E4</f>
        <v>1.0000000002037268E-3</v>
      </c>
      <c r="F98" s="72">
        <f>F62-'IS &amp; BS'!F4</f>
        <v>9.9999999838473741E-4</v>
      </c>
      <c r="G98" s="72">
        <f>G62-'IS &amp; BS'!G4</f>
        <v>0</v>
      </c>
      <c r="H98" s="72"/>
    </row>
    <row r="99" spans="1:10" outlineLevel="1">
      <c r="A99" s="12" t="str">
        <f>A68</f>
        <v>PAT</v>
      </c>
      <c r="B99" s="72">
        <f>B72-'IS &amp; BS'!B15</f>
        <v>-286.74021299999936</v>
      </c>
      <c r="C99" s="72">
        <f>C72-'IS &amp; BS'!C15</f>
        <v>14.914106000000402</v>
      </c>
      <c r="D99" s="72">
        <f>D72-'IS &amp; BS'!D15</f>
        <v>0</v>
      </c>
      <c r="E99" s="72">
        <f>E72-'IS &amp; BS'!E15</f>
        <v>1.8189894035458565E-12</v>
      </c>
      <c r="F99" s="72">
        <f>F72-'IS &amp; BS'!F15</f>
        <v>-45.945999999999685</v>
      </c>
      <c r="G99" s="72">
        <f>G72-'IS &amp; BS'!G15</f>
        <v>-54.734999999999218</v>
      </c>
    </row>
    <row r="100" spans="1:10" outlineLevel="1">
      <c r="A100" s="12" t="str">
        <f>A73</f>
        <v>Assets</v>
      </c>
      <c r="B100" s="72">
        <f>B77+B78-'IS &amp; BS'!B47</f>
        <v>0</v>
      </c>
      <c r="C100" s="72">
        <f>C77+C78-'IS &amp; BS'!C47</f>
        <v>-276.33053499999914</v>
      </c>
      <c r="D100" s="72">
        <f>D77+D78-'IS &amp; BS'!D47</f>
        <v>0</v>
      </c>
      <c r="E100" s="72">
        <f>E77+E78-'IS &amp; BS'!E47</f>
        <v>0</v>
      </c>
      <c r="F100" s="72">
        <f>F77+F78-'IS &amp; BS'!F47</f>
        <v>0</v>
      </c>
      <c r="G100" s="72">
        <f>G77+G78-'IS &amp; BS'!G47</f>
        <v>-1.0000000038417056E-3</v>
      </c>
    </row>
    <row r="101" spans="1:10" outlineLevel="1">
      <c r="A101" s="12" t="str">
        <f>A79</f>
        <v>Liabilities</v>
      </c>
      <c r="B101" s="72">
        <f>(B83+B84)-'IS &amp; BS'!B75</f>
        <v>1.99999976757681E-6</v>
      </c>
      <c r="C101" s="72">
        <f>(C83+C84)-'IS &amp; BS'!C75</f>
        <v>-75.643606000000091</v>
      </c>
      <c r="D101" s="72">
        <f>(D83+D84)-'IS &amp; BS'!D75</f>
        <v>0</v>
      </c>
      <c r="E101" s="72">
        <f>(E83+E84)-'IS &amp; BS'!E75</f>
        <v>0</v>
      </c>
      <c r="F101" s="72">
        <f>(F83+F84)-'IS &amp; BS'!F75</f>
        <v>0</v>
      </c>
      <c r="G101" s="72">
        <f>(G83+G84)-'IS &amp; BS'!G75</f>
        <v>0</v>
      </c>
    </row>
    <row r="102" spans="1:10" outlineLevel="1">
      <c r="A102" s="12" t="str">
        <f>A90</f>
        <v>Depreciation</v>
      </c>
      <c r="B102" s="72">
        <f>B94-Cashflow!B7</f>
        <v>0</v>
      </c>
      <c r="C102" s="72">
        <f>C94-Cashflow!C7</f>
        <v>-19.072112999999987</v>
      </c>
      <c r="D102" s="72">
        <f>D94-Cashflow!D7</f>
        <v>0</v>
      </c>
      <c r="E102" s="72">
        <f>E94-Cashflow!E7</f>
        <v>0.72200000000000841</v>
      </c>
      <c r="F102" s="72">
        <f>F94-Cashflow!F7</f>
        <v>0</v>
      </c>
      <c r="G102" s="72">
        <f>G94-Cashflow!G7</f>
        <v>-33.079000000000008</v>
      </c>
    </row>
    <row r="103" spans="1:10" outlineLevel="1">
      <c r="J103" s="16"/>
    </row>
    <row r="104" spans="1:10" outlineLevel="1">
      <c r="A104" t="s">
        <v>3065</v>
      </c>
      <c r="J104" s="16"/>
    </row>
    <row r="105" spans="1:10" outlineLevel="1">
      <c r="A105" t="s">
        <v>1</v>
      </c>
      <c r="F105" s="92" t="s">
        <v>105</v>
      </c>
      <c r="G105" s="92" t="s">
        <v>150</v>
      </c>
      <c r="J105" s="16"/>
    </row>
    <row r="106" spans="1:10" outlineLevel="1">
      <c r="A106" t="s">
        <v>127</v>
      </c>
      <c r="F106" s="16">
        <v>7895.3980000000001</v>
      </c>
      <c r="G106" s="16">
        <v>6790.5550000000003</v>
      </c>
      <c r="J106" s="16"/>
    </row>
    <row r="107" spans="1:10" outlineLevel="1">
      <c r="A107" t="s">
        <v>142</v>
      </c>
      <c r="F107" s="15">
        <v>6204</v>
      </c>
      <c r="G107" s="15">
        <v>6620</v>
      </c>
      <c r="J107" s="16"/>
    </row>
    <row r="108" spans="1:10" outlineLevel="1">
      <c r="A108" t="s">
        <v>155</v>
      </c>
      <c r="F108" s="15">
        <v>1165.9909660000001</v>
      </c>
      <c r="G108" s="15">
        <v>1283.519616</v>
      </c>
      <c r="J108" s="16"/>
    </row>
    <row r="109" spans="1:10" outlineLevel="1">
      <c r="J109" s="16"/>
    </row>
    <row r="110" spans="1:10" outlineLevel="1">
      <c r="A110" t="s">
        <v>383</v>
      </c>
      <c r="J110" s="16"/>
    </row>
    <row r="111" spans="1:10" outlineLevel="1">
      <c r="A111" t="s">
        <v>127</v>
      </c>
      <c r="F111" s="16">
        <v>1154.914</v>
      </c>
      <c r="G111" s="16">
        <v>1060.6949999999999</v>
      </c>
      <c r="J111" s="16"/>
    </row>
    <row r="112" spans="1:10" outlineLevel="1">
      <c r="A112" t="s">
        <v>142</v>
      </c>
      <c r="F112" s="15">
        <v>1023</v>
      </c>
      <c r="G112" s="15">
        <v>1302</v>
      </c>
      <c r="J112" s="16"/>
    </row>
    <row r="113" spans="1:10" outlineLevel="1">
      <c r="A113" t="s">
        <v>155</v>
      </c>
      <c r="F113" s="15">
        <v>137.98865900000001</v>
      </c>
      <c r="G113" s="15">
        <v>283.93516199999999</v>
      </c>
      <c r="J113" s="16"/>
    </row>
    <row r="114" spans="1:10" outlineLevel="1">
      <c r="J114" s="16"/>
    </row>
    <row r="115" spans="1:10" outlineLevel="1">
      <c r="A115" t="s">
        <v>385</v>
      </c>
      <c r="J115" s="16"/>
    </row>
    <row r="116" spans="1:10" outlineLevel="1">
      <c r="A116" t="s">
        <v>127</v>
      </c>
      <c r="F116" s="16">
        <v>491.77499999999998</v>
      </c>
      <c r="G116" s="16">
        <v>544.33399999999995</v>
      </c>
      <c r="J116" s="16"/>
    </row>
    <row r="117" spans="1:10" outlineLevel="1">
      <c r="A117" t="s">
        <v>142</v>
      </c>
      <c r="F117" s="16">
        <v>326</v>
      </c>
      <c r="G117">
        <v>499</v>
      </c>
      <c r="J117" s="16"/>
    </row>
    <row r="118" spans="1:10" outlineLevel="1">
      <c r="A118" t="s">
        <v>155</v>
      </c>
      <c r="F118" s="15">
        <v>86.429879</v>
      </c>
      <c r="G118" s="15">
        <v>206.235963</v>
      </c>
      <c r="J118" s="16"/>
    </row>
    <row r="119" spans="1:10" outlineLevel="1">
      <c r="J119" s="16"/>
    </row>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Drop Down 1">
              <controlPr defaultSize="0" autoLine="0" autoPict="0">
                <anchor moveWithCells="1">
                  <from>
                    <xdr:col>0</xdr:col>
                    <xdr:colOff>76200</xdr:colOff>
                    <xdr:row>4</xdr:row>
                    <xdr:rowOff>45720</xdr:rowOff>
                  </from>
                  <to>
                    <xdr:col>0</xdr:col>
                    <xdr:colOff>1325880</xdr:colOff>
                    <xdr:row>5</xdr:row>
                    <xdr:rowOff>106680</xdr:rowOff>
                  </to>
                </anchor>
              </controlPr>
            </control>
          </mc:Choice>
        </mc:AlternateContent>
        <mc:AlternateContent xmlns:mc="http://schemas.openxmlformats.org/markup-compatibility/2006">
          <mc:Choice Requires="x14">
            <control shapeId="23554" r:id="rId5" name="Drop Down 2">
              <controlPr defaultSize="0" autoLine="0" autoPict="0">
                <anchor moveWithCells="1">
                  <from>
                    <xdr:col>0</xdr:col>
                    <xdr:colOff>60960</xdr:colOff>
                    <xdr:row>22</xdr:row>
                    <xdr:rowOff>60960</xdr:rowOff>
                  </from>
                  <to>
                    <xdr:col>0</xdr:col>
                    <xdr:colOff>1318260</xdr:colOff>
                    <xdr:row>23</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175"/>
  <sheetViews>
    <sheetView showGridLines="0" workbookViewId="0">
      <selection activeCell="N14" sqref="N14"/>
    </sheetView>
  </sheetViews>
  <sheetFormatPr defaultRowHeight="14.4" outlineLevelRow="1"/>
  <cols>
    <col min="1" max="1" width="30.44140625" customWidth="1"/>
    <col min="2" max="8" width="10.6640625" style="99" customWidth="1"/>
    <col min="9" max="11" width="10.6640625" customWidth="1"/>
  </cols>
  <sheetData>
    <row r="1" spans="1:11">
      <c r="A1" s="3" t="s">
        <v>0</v>
      </c>
      <c r="B1" s="2"/>
      <c r="C1" s="2"/>
      <c r="D1" s="2"/>
      <c r="E1" s="2"/>
      <c r="F1" s="2"/>
      <c r="G1" s="2"/>
      <c r="H1" s="2"/>
      <c r="I1" s="2"/>
      <c r="J1" s="2"/>
      <c r="K1" s="2"/>
    </row>
    <row r="2" spans="1:11">
      <c r="A2" s="3" t="s">
        <v>342</v>
      </c>
      <c r="B2" s="6"/>
      <c r="C2" s="6"/>
      <c r="D2" s="6"/>
      <c r="E2" s="6"/>
      <c r="F2" s="6"/>
      <c r="G2" s="6"/>
      <c r="H2" s="6"/>
      <c r="I2" s="6"/>
      <c r="J2" s="6"/>
      <c r="K2" s="6"/>
    </row>
    <row r="3" spans="1:11">
      <c r="A3" s="3" t="s">
        <v>371</v>
      </c>
      <c r="B3" s="6"/>
      <c r="C3" s="6"/>
      <c r="D3" s="6"/>
      <c r="E3" s="6"/>
      <c r="F3" s="6"/>
      <c r="G3" s="6"/>
      <c r="H3" s="6"/>
      <c r="I3" s="6"/>
      <c r="J3" s="6"/>
      <c r="K3" s="6"/>
    </row>
    <row r="4" spans="1:11">
      <c r="A4" s="151">
        <v>4</v>
      </c>
      <c r="B4" s="151">
        <v>3</v>
      </c>
      <c r="C4" s="151">
        <v>2</v>
      </c>
      <c r="D4" s="151">
        <v>1</v>
      </c>
      <c r="E4"/>
      <c r="F4"/>
      <c r="G4"/>
      <c r="I4" s="99"/>
      <c r="J4" s="99"/>
      <c r="K4" s="99"/>
    </row>
    <row r="5" spans="1:11">
      <c r="B5"/>
      <c r="C5"/>
      <c r="D5"/>
      <c r="E5"/>
      <c r="F5"/>
      <c r="G5"/>
      <c r="I5" s="99"/>
      <c r="J5" s="99"/>
      <c r="K5" s="99"/>
    </row>
    <row r="6" spans="1:11">
      <c r="B6"/>
      <c r="C6"/>
      <c r="D6"/>
      <c r="E6"/>
      <c r="F6"/>
      <c r="G6"/>
      <c r="I6" s="99"/>
      <c r="J6" s="99"/>
      <c r="K6" s="99"/>
    </row>
    <row r="7" spans="1:11">
      <c r="B7"/>
      <c r="C7"/>
      <c r="D7"/>
      <c r="E7"/>
      <c r="F7"/>
      <c r="G7"/>
      <c r="I7" s="99"/>
      <c r="J7" s="99"/>
      <c r="K7" s="99"/>
    </row>
    <row r="8" spans="1:11">
      <c r="A8" s="135" t="str">
        <f>A48&amp;" of ACL Vs. SIRA"</f>
        <v>DPS of ACL Vs. SIRA</v>
      </c>
      <c r="B8"/>
      <c r="C8"/>
      <c r="D8"/>
      <c r="E8"/>
      <c r="F8" t="str">
        <f>A51&amp;" of ACL Vs. SIRA"</f>
        <v>EV/EBITDA of ACL Vs. SIRA</v>
      </c>
      <c r="G8"/>
      <c r="I8" s="99"/>
      <c r="J8" s="99"/>
      <c r="K8" s="99"/>
    </row>
    <row r="9" spans="1:11">
      <c r="B9"/>
      <c r="C9"/>
      <c r="D9"/>
      <c r="E9"/>
      <c r="F9"/>
      <c r="G9"/>
      <c r="I9" s="99"/>
      <c r="J9" s="99"/>
      <c r="K9" s="99"/>
    </row>
    <row r="10" spans="1:11">
      <c r="B10"/>
      <c r="C10"/>
      <c r="D10"/>
      <c r="E10"/>
      <c r="F10"/>
      <c r="G10"/>
      <c r="I10" s="99"/>
      <c r="J10" s="99"/>
      <c r="K10" s="99"/>
    </row>
    <row r="11" spans="1:11">
      <c r="B11"/>
      <c r="C11"/>
      <c r="D11"/>
      <c r="E11"/>
      <c r="F11"/>
      <c r="G11"/>
      <c r="I11" s="99"/>
      <c r="J11" s="99"/>
      <c r="K11" s="99"/>
    </row>
    <row r="12" spans="1:11">
      <c r="B12"/>
      <c r="C12"/>
      <c r="D12"/>
      <c r="E12"/>
      <c r="F12"/>
      <c r="G12"/>
      <c r="I12" s="99"/>
      <c r="J12" s="99"/>
      <c r="K12" s="99"/>
    </row>
    <row r="13" spans="1:11">
      <c r="B13"/>
      <c r="C13"/>
      <c r="D13"/>
      <c r="E13"/>
      <c r="F13"/>
      <c r="G13"/>
      <c r="I13" s="99"/>
      <c r="J13" s="99"/>
      <c r="K13" s="99"/>
    </row>
    <row r="14" spans="1:11">
      <c r="B14"/>
      <c r="C14"/>
      <c r="D14"/>
      <c r="E14"/>
      <c r="F14"/>
      <c r="G14"/>
      <c r="I14" s="99"/>
      <c r="J14" s="99"/>
      <c r="K14" s="99"/>
    </row>
    <row r="15" spans="1:11">
      <c r="B15"/>
      <c r="C15"/>
      <c r="D15"/>
      <c r="E15"/>
      <c r="F15"/>
      <c r="G15"/>
      <c r="I15" s="99"/>
      <c r="J15" s="99"/>
      <c r="K15" s="99"/>
    </row>
    <row r="16" spans="1:11">
      <c r="B16"/>
      <c r="C16"/>
      <c r="D16"/>
      <c r="E16"/>
      <c r="F16"/>
      <c r="G16"/>
      <c r="I16" s="99"/>
      <c r="J16" s="99"/>
      <c r="K16" s="99"/>
    </row>
    <row r="17" spans="1:11">
      <c r="B17"/>
      <c r="C17"/>
      <c r="D17"/>
      <c r="E17"/>
      <c r="F17"/>
      <c r="G17"/>
      <c r="I17" s="99"/>
      <c r="J17" s="99"/>
      <c r="K17" s="99"/>
    </row>
    <row r="18" spans="1:11">
      <c r="B18"/>
      <c r="C18"/>
      <c r="D18"/>
      <c r="E18"/>
      <c r="F18"/>
      <c r="G18"/>
      <c r="I18" s="99"/>
      <c r="J18" s="99"/>
      <c r="K18" s="99"/>
    </row>
    <row r="19" spans="1:11">
      <c r="B19"/>
      <c r="C19"/>
      <c r="D19"/>
      <c r="E19"/>
      <c r="F19"/>
      <c r="G19"/>
      <c r="I19" s="99"/>
      <c r="J19" s="99"/>
      <c r="K19" s="99"/>
    </row>
    <row r="20" spans="1:11">
      <c r="B20"/>
      <c r="C20"/>
      <c r="D20"/>
      <c r="E20"/>
      <c r="F20"/>
      <c r="G20"/>
      <c r="I20" s="99"/>
      <c r="J20" s="99"/>
      <c r="K20" s="99"/>
    </row>
    <row r="21" spans="1:11">
      <c r="B21"/>
      <c r="C21"/>
      <c r="D21"/>
      <c r="E21"/>
      <c r="F21"/>
      <c r="G21"/>
      <c r="I21" s="99"/>
      <c r="J21" s="99"/>
      <c r="K21" s="99"/>
    </row>
    <row r="22" spans="1:11">
      <c r="B22"/>
      <c r="C22"/>
      <c r="D22"/>
      <c r="E22"/>
      <c r="F22"/>
      <c r="G22"/>
      <c r="I22" s="99"/>
      <c r="J22" s="99"/>
      <c r="K22" s="99"/>
    </row>
    <row r="23" spans="1:11">
      <c r="B23"/>
      <c r="C23"/>
      <c r="D23"/>
      <c r="E23"/>
      <c r="F23"/>
      <c r="G23"/>
      <c r="I23" s="99"/>
      <c r="J23" s="99"/>
      <c r="K23" s="99"/>
    </row>
    <row r="24" spans="1:11">
      <c r="B24"/>
      <c r="C24"/>
      <c r="D24"/>
      <c r="E24"/>
      <c r="F24"/>
      <c r="G24"/>
      <c r="I24" s="99"/>
      <c r="J24" s="99"/>
      <c r="K24" s="99"/>
    </row>
    <row r="25" spans="1:11">
      <c r="B25"/>
      <c r="C25"/>
      <c r="D25"/>
      <c r="E25"/>
      <c r="F25"/>
      <c r="G25"/>
      <c r="I25" s="99"/>
      <c r="J25" s="99"/>
      <c r="K25" s="99"/>
    </row>
    <row r="26" spans="1:11">
      <c r="B26"/>
      <c r="C26"/>
      <c r="D26"/>
      <c r="E26"/>
      <c r="F26"/>
      <c r="G26"/>
      <c r="I26" s="99"/>
      <c r="J26" s="99"/>
      <c r="K26" s="99"/>
    </row>
    <row r="27" spans="1:11">
      <c r="B27"/>
      <c r="C27"/>
      <c r="D27"/>
      <c r="E27"/>
      <c r="F27"/>
      <c r="G27"/>
      <c r="I27" s="99"/>
      <c r="J27" s="99"/>
      <c r="K27" s="99"/>
    </row>
    <row r="28" spans="1:11">
      <c r="A28" s="135" t="str">
        <f>A54&amp;" of ACL Vs SIRA"</f>
        <v>Net margin of ACL Vs SIRA</v>
      </c>
      <c r="B28"/>
      <c r="C28"/>
      <c r="D28"/>
      <c r="E28"/>
      <c r="F28" t="str">
        <f>A57&amp;" of ACL Vs SIRA"</f>
        <v>Revenue growth of ACL Vs SIRA</v>
      </c>
      <c r="G28"/>
      <c r="I28" s="99"/>
      <c r="J28" s="99"/>
      <c r="K28" s="99"/>
    </row>
    <row r="29" spans="1:11">
      <c r="B29"/>
      <c r="C29"/>
      <c r="D29"/>
      <c r="E29"/>
      <c r="F29"/>
      <c r="G29"/>
      <c r="I29" s="99"/>
      <c r="J29" s="99"/>
      <c r="K29" s="99"/>
    </row>
    <row r="30" spans="1:11">
      <c r="B30"/>
      <c r="C30"/>
      <c r="D30"/>
      <c r="E30"/>
      <c r="F30"/>
      <c r="G30"/>
      <c r="I30" s="99"/>
      <c r="J30" s="99"/>
      <c r="K30" s="99"/>
    </row>
    <row r="31" spans="1:11">
      <c r="B31"/>
      <c r="C31"/>
      <c r="D31"/>
      <c r="E31"/>
      <c r="F31"/>
      <c r="G31"/>
      <c r="I31" s="99"/>
      <c r="J31" s="99"/>
      <c r="K31" s="99"/>
    </row>
    <row r="32" spans="1:11">
      <c r="B32"/>
      <c r="C32"/>
      <c r="D32"/>
      <c r="E32"/>
      <c r="F32"/>
      <c r="G32"/>
      <c r="I32" s="99"/>
      <c r="J32" s="99"/>
      <c r="K32" s="99"/>
    </row>
    <row r="33" spans="1:11">
      <c r="B33"/>
      <c r="C33"/>
      <c r="D33"/>
      <c r="E33"/>
      <c r="F33"/>
      <c r="G33"/>
      <c r="I33" s="99"/>
      <c r="J33" s="99"/>
      <c r="K33" s="99"/>
    </row>
    <row r="34" spans="1:11">
      <c r="B34"/>
      <c r="C34"/>
      <c r="D34"/>
      <c r="E34"/>
      <c r="F34"/>
      <c r="G34"/>
      <c r="I34" s="99"/>
      <c r="J34" s="99"/>
      <c r="K34" s="99"/>
    </row>
    <row r="35" spans="1:11">
      <c r="B35"/>
      <c r="C35"/>
      <c r="D35"/>
      <c r="E35"/>
      <c r="F35"/>
      <c r="G35"/>
      <c r="I35" s="99"/>
      <c r="J35" s="99"/>
      <c r="K35" s="99"/>
    </row>
    <row r="36" spans="1:11">
      <c r="B36"/>
      <c r="C36"/>
      <c r="D36"/>
      <c r="E36"/>
      <c r="F36"/>
      <c r="G36"/>
      <c r="I36" s="99"/>
      <c r="J36" s="99"/>
      <c r="K36" s="99"/>
    </row>
    <row r="37" spans="1:11">
      <c r="B37"/>
      <c r="C37"/>
      <c r="D37"/>
      <c r="E37"/>
      <c r="F37"/>
      <c r="G37"/>
      <c r="I37" s="99"/>
      <c r="J37" s="99"/>
      <c r="K37" s="99"/>
    </row>
    <row r="38" spans="1:11">
      <c r="B38"/>
      <c r="C38"/>
      <c r="D38"/>
      <c r="E38"/>
      <c r="F38"/>
      <c r="G38"/>
      <c r="I38" s="99"/>
      <c r="J38" s="99"/>
      <c r="K38" s="99"/>
    </row>
    <row r="39" spans="1:11">
      <c r="B39"/>
      <c r="C39"/>
      <c r="D39"/>
      <c r="E39"/>
      <c r="F39"/>
      <c r="G39"/>
      <c r="I39" s="99"/>
      <c r="J39" s="99"/>
      <c r="K39" s="99"/>
    </row>
    <row r="40" spans="1:11">
      <c r="B40"/>
      <c r="C40"/>
      <c r="D40"/>
      <c r="E40"/>
      <c r="F40"/>
      <c r="G40"/>
      <c r="I40" s="99"/>
      <c r="J40" s="99"/>
      <c r="K40" s="99"/>
    </row>
    <row r="41" spans="1:11">
      <c r="B41"/>
      <c r="C41"/>
      <c r="D41"/>
      <c r="E41"/>
      <c r="F41"/>
      <c r="G41"/>
      <c r="I41" s="99"/>
      <c r="J41" s="99"/>
      <c r="K41" s="99"/>
    </row>
    <row r="42" spans="1:11">
      <c r="B42"/>
      <c r="C42"/>
      <c r="D42"/>
      <c r="E42"/>
      <c r="F42"/>
      <c r="G42"/>
      <c r="I42" s="99"/>
      <c r="J42" s="99"/>
      <c r="K42" s="99"/>
    </row>
    <row r="43" spans="1:11">
      <c r="B43"/>
      <c r="C43"/>
      <c r="D43"/>
      <c r="E43"/>
      <c r="F43"/>
      <c r="G43"/>
      <c r="I43" s="99"/>
      <c r="J43" s="99"/>
      <c r="K43" s="99"/>
    </row>
    <row r="44" spans="1:11">
      <c r="B44"/>
      <c r="C44"/>
      <c r="D44"/>
      <c r="E44"/>
      <c r="F44"/>
      <c r="G44"/>
      <c r="I44" s="99"/>
      <c r="J44" s="99"/>
      <c r="K44" s="99"/>
    </row>
    <row r="45" spans="1:11">
      <c r="B45"/>
      <c r="C45"/>
      <c r="D45"/>
      <c r="E45"/>
      <c r="F45"/>
      <c r="G45"/>
      <c r="I45" s="99"/>
      <c r="J45" s="99"/>
      <c r="K45" s="99"/>
    </row>
    <row r="46" spans="1:11">
      <c r="B46"/>
      <c r="C46"/>
      <c r="D46"/>
      <c r="E46"/>
      <c r="F46"/>
      <c r="G46"/>
      <c r="I46" s="99"/>
      <c r="J46" s="99"/>
      <c r="K46" s="99"/>
    </row>
    <row r="47" spans="1:11">
      <c r="A47" s="3"/>
      <c r="B47" s="69"/>
      <c r="C47" s="69" t="str">
        <f>'IS &amp; BS'!C3</f>
        <v>FY12</v>
      </c>
      <c r="D47" s="69" t="str">
        <f>'IS &amp; BS'!D3</f>
        <v>FY13</v>
      </c>
      <c r="E47" s="69" t="str">
        <f>'IS &amp; BS'!E3</f>
        <v>FY14</v>
      </c>
      <c r="F47" s="69" t="str">
        <f>'IS &amp; BS'!F3</f>
        <v>FY15</v>
      </c>
      <c r="G47" s="69" t="str">
        <f>'IS &amp; BS'!G3</f>
        <v>FY16</v>
      </c>
      <c r="H47" s="6"/>
      <c r="I47" s="6"/>
      <c r="J47" s="6"/>
      <c r="K47" s="6"/>
    </row>
    <row r="48" spans="1:11">
      <c r="A48" s="152" t="str">
        <f>IF(A4=1,A62,IF(A4=2,A63,IF(A4=3,A64,IF(A4=4,A65,"ERROR"))))</f>
        <v>DPS</v>
      </c>
      <c r="B48" s="10" t="s">
        <v>127</v>
      </c>
      <c r="C48" s="10">
        <f>VLOOKUP($A$48,$A$62:$G$65,C60,FALSE)</f>
        <v>0.35</v>
      </c>
      <c r="D48" s="10">
        <f>VLOOKUP($A$48,$A$62:$G$65,D60,FALSE)</f>
        <v>0.50000267140038812</v>
      </c>
      <c r="E48" s="10">
        <f>VLOOKUP($A$48,$A$62:$G$65,E60,FALSE)</f>
        <v>0.50000267140038812</v>
      </c>
      <c r="F48" s="10">
        <f>VLOOKUP($A$48,$A$62:$G$65,F60,FALSE)</f>
        <v>0.50000267140038812</v>
      </c>
      <c r="G48" s="10">
        <f>VLOOKUP($A$48,$A$62:$G$65,G60,FALSE)</f>
        <v>1</v>
      </c>
      <c r="I48" s="99"/>
      <c r="J48" s="99"/>
      <c r="K48" s="99"/>
    </row>
    <row r="49" spans="1:11">
      <c r="A49" s="152" t="str">
        <f>IF(A4=1,A92,IF(A4=2,A93,IF(A4=3,A94,IF(A4=4,A95,"ERROR"))))</f>
        <v>DPS</v>
      </c>
      <c r="B49" t="s">
        <v>163</v>
      </c>
      <c r="C49" s="10">
        <f>VLOOKUP($A$49,$A$92:$G$95,C90,FALSE)</f>
        <v>0.1</v>
      </c>
      <c r="D49" s="10">
        <f>VLOOKUP($A$49,$A$92:$G$95,D90,FALSE)</f>
        <v>0</v>
      </c>
      <c r="E49" s="10">
        <f>VLOOKUP($A$49,$A$92:$G$95,E90,FALSE)</f>
        <v>0</v>
      </c>
      <c r="F49" s="10">
        <f>VLOOKUP($A$49,$A$92:$G$95,F90,FALSE)</f>
        <v>0.2</v>
      </c>
      <c r="G49" s="10">
        <f>VLOOKUP($A$49,$A$92:$G$95,G90,FALSE)</f>
        <v>0</v>
      </c>
      <c r="I49" s="99"/>
      <c r="J49" s="99"/>
      <c r="K49" s="99"/>
    </row>
    <row r="50" spans="1:11">
      <c r="A50" s="152"/>
      <c r="B50"/>
      <c r="C50"/>
      <c r="D50"/>
      <c r="E50"/>
      <c r="F50"/>
      <c r="G50"/>
      <c r="I50" s="99"/>
      <c r="J50" s="99"/>
      <c r="K50" s="99"/>
    </row>
    <row r="51" spans="1:11">
      <c r="A51" s="152" t="str">
        <f>IF(B4=1,A67,IF(B4=2,A68,IF(B4=3,A69,IF(B4=4,A70,IF(B4=5,A71,"ERROR")))))</f>
        <v>EV/EBITDA</v>
      </c>
      <c r="B51" s="10" t="str">
        <f>B48</f>
        <v>ACL</v>
      </c>
      <c r="C51" s="10">
        <f>VLOOKUP($A$51,$A$67:$G$71,C60,FALSE)</f>
        <v>6.6598740932343174</v>
      </c>
      <c r="D51" s="10">
        <f>VLOOKUP($A$51,$A$67:$G$71,D60,FALSE)</f>
        <v>6.2475955493257764</v>
      </c>
      <c r="E51" s="10">
        <f>VLOOKUP($A$51,$A$67:$G$71,E60,FALSE)</f>
        <v>7.3112887052237454</v>
      </c>
      <c r="F51" s="10">
        <f>VLOOKUP($A$51,$A$67:$G$71,F60,FALSE)</f>
        <v>4.6859487983558621</v>
      </c>
      <c r="G51" s="10">
        <f>VLOOKUP($A$51,$A$67:$G$71,G60,FALSE)</f>
        <v>3.720464355329784</v>
      </c>
      <c r="I51" s="99"/>
      <c r="J51" s="99"/>
      <c r="K51" s="99"/>
    </row>
    <row r="52" spans="1:11">
      <c r="A52" s="152" t="str">
        <f>IF(B4=1,A97,IF(B4=2,A98,IF(B4=3,A99,IF(B4=4,A100,IF(B4=5,A101,"ERROR")))))</f>
        <v>EV/EBITDA</v>
      </c>
      <c r="B52" t="str">
        <f>B49</f>
        <v>SIRA</v>
      </c>
      <c r="C52" s="10">
        <f>VLOOKUP($A$52,$A$97:$G$101,C90,FALSE)</f>
        <v>9.3086602996078529</v>
      </c>
      <c r="D52" s="10">
        <f>VLOOKUP($A$52,$A$97:$G$101,D90,FALSE)</f>
        <v>11.769663632419284</v>
      </c>
      <c r="E52" s="10">
        <f>VLOOKUP($A$52,$A$97:$G$101,E90,FALSE)</f>
        <v>-17.096211568703357</v>
      </c>
      <c r="F52" s="10">
        <f>VLOOKUP($A$52,$A$97:$G$101,F90,FALSE)</f>
        <v>5.9322044362948469</v>
      </c>
      <c r="G52" s="10">
        <f>VLOOKUP($A$52,$A$97:$G$101,G90,FALSE)</f>
        <v>7.2029109453766793</v>
      </c>
      <c r="I52" s="99"/>
      <c r="J52" s="99"/>
      <c r="K52" s="99"/>
    </row>
    <row r="53" spans="1:11">
      <c r="A53" s="152"/>
      <c r="B53"/>
      <c r="C53" s="10"/>
      <c r="D53" s="10"/>
      <c r="E53" s="10"/>
      <c r="F53" s="10"/>
      <c r="G53" s="10"/>
      <c r="I53" s="99"/>
      <c r="J53" s="99"/>
      <c r="K53" s="99"/>
    </row>
    <row r="54" spans="1:11">
      <c r="A54" s="152" t="str">
        <f>IF(C4=1,A73,IF(C4=2,A74,IF(C4=3,A75,IF(C4=4,A76,IF(C4=5,A77,"ERROR")))))</f>
        <v>Net margin</v>
      </c>
      <c r="B54" t="str">
        <f>B51</f>
        <v>ACL</v>
      </c>
      <c r="C54" s="10">
        <f>VLOOKUP($A$54,$A$73:$G$77,C60,FALSE)</f>
        <v>5.4865429086936562E-2</v>
      </c>
      <c r="D54" s="10">
        <f>VLOOKUP($A$54,$A$73:$G$77,D60,FALSE)</f>
        <v>5.2132854489976288E-2</v>
      </c>
      <c r="E54" s="10">
        <f>VLOOKUP($A$54,$A$73:$G$77,E60,FALSE)</f>
        <v>4.4659663058749043E-2</v>
      </c>
      <c r="F54" s="10">
        <f>VLOOKUP($A$54,$A$73:$G$77,F60,FALSE)</f>
        <v>6.6130962299362106E-2</v>
      </c>
      <c r="G54" s="10">
        <f>VLOOKUP($A$54,$A$73:$G$77,G60,FALSE)</f>
        <v>9.9071564122210271E-2</v>
      </c>
      <c r="I54" s="99"/>
      <c r="J54" s="99"/>
      <c r="K54" s="99"/>
    </row>
    <row r="55" spans="1:11">
      <c r="A55" s="152" t="str">
        <f>IF(C4=1,A103,IF(C4=2,A104,IF(C4=3,A105,IF(C4=4,A106,IF(C4=5,A107,"ERROR")))))</f>
        <v>Net margin</v>
      </c>
      <c r="B55" t="str">
        <f>B52</f>
        <v>SIRA</v>
      </c>
      <c r="C55" s="10">
        <f>VLOOKUP($A$55,$A$103:$G$107,C90,FALSE)</f>
        <v>4.859896768514179E-2</v>
      </c>
      <c r="D55" s="10">
        <f>VLOOKUP($A$55,$A$103:$G$107,D90,FALSE)</f>
        <v>-1.0825595886587635E-2</v>
      </c>
      <c r="E55" s="10">
        <f>VLOOKUP($A$55,$A$103:$G$107,E90,FALSE)</f>
        <v>-0.13413015884158702</v>
      </c>
      <c r="F55" s="10">
        <f>VLOOKUP($A$55,$A$103:$G$107,F90,FALSE)</f>
        <v>7.1851040301682656E-2</v>
      </c>
      <c r="G55" s="10">
        <f>VLOOKUP($A$55,$A$103:$G$107,G90,FALSE)</f>
        <v>8.0614766774608909E-2</v>
      </c>
      <c r="I55" s="99"/>
      <c r="J55" s="99"/>
      <c r="K55" s="99"/>
    </row>
    <row r="56" spans="1:11">
      <c r="A56" s="152"/>
      <c r="B56"/>
      <c r="C56" s="10"/>
      <c r="D56" s="10"/>
      <c r="E56" s="10"/>
      <c r="F56" s="10"/>
      <c r="G56" s="10"/>
      <c r="I56" s="99"/>
      <c r="J56" s="99"/>
      <c r="K56" s="99"/>
    </row>
    <row r="57" spans="1:11">
      <c r="A57" s="152" t="str">
        <f>IF(D4=1,A79,IF(D4=2,A80,IF(D4=3,A81,IF(D4=4,A82,IF(D4=5,A83,IF(D4=6,A84,"ERROR"))))))</f>
        <v>Revenue growth</v>
      </c>
      <c r="B57" t="str">
        <f>B54</f>
        <v>ACL</v>
      </c>
      <c r="C57" s="10">
        <f>VLOOKUP($A$57,$A$79:$G$84,C60,FALSE)</f>
        <v>7.6951584437137344E-2</v>
      </c>
      <c r="D57" s="10">
        <f>VLOOKUP($A$57,$A$79:$G$84,D60,FALSE)</f>
        <v>9.9002785480608813E-2</v>
      </c>
      <c r="E57" s="10">
        <f>VLOOKUP($A$57,$A$79:$G$84,E60,FALSE)</f>
        <v>1.062473588243007E-2</v>
      </c>
      <c r="F57" s="10">
        <f>VLOOKUP($A$57,$A$79:$G$84,F60,FALSE)</f>
        <v>0.26036602869852032</v>
      </c>
      <c r="G57" s="10">
        <f>VLOOKUP($A$57,$A$79:$G$84,G60,FALSE)</f>
        <v>-0.11201119881867883</v>
      </c>
      <c r="I57" s="99"/>
      <c r="J57" s="99"/>
      <c r="K57" s="99"/>
    </row>
    <row r="58" spans="1:11">
      <c r="A58" s="152" t="str">
        <f>IF(D4=1,A109,IF(D4=2,A110,IF(D4=3,A111,IF(D4=4,A112,IF(D4=5,A113,IF(D4=6,A114,"ERROR"))))))</f>
        <v>Revenue growth</v>
      </c>
      <c r="B58" t="str">
        <f>B55</f>
        <v>SIRA</v>
      </c>
      <c r="C58" s="10">
        <f>VLOOKUP($A$58,$A$109:$G$114,C90,FALSE)</f>
        <v>0.66292250313569157</v>
      </c>
      <c r="D58" s="10">
        <f>VLOOKUP($A$58,$A$109:$G$114,D90,FALSE)</f>
        <v>-0.13517633864324019</v>
      </c>
      <c r="E58" s="10">
        <f>VLOOKUP($A$58,$A$109:$G$114,E90,FALSE)</f>
        <v>6.7051292936738394E-2</v>
      </c>
      <c r="F58" s="10">
        <f>VLOOKUP($A$58,$A$109:$G$114,F90,FALSE)</f>
        <v>0.52412818805865946</v>
      </c>
      <c r="G58" s="10">
        <f>VLOOKUP($A$58,$A$109:$G$114,G90,FALSE)</f>
        <v>-0.12825438674919232</v>
      </c>
      <c r="I58" s="99"/>
      <c r="J58" s="99"/>
      <c r="K58" s="99"/>
    </row>
    <row r="59" spans="1:11">
      <c r="B59"/>
      <c r="C59"/>
      <c r="D59"/>
      <c r="E59"/>
      <c r="F59"/>
      <c r="G59"/>
      <c r="I59" s="99"/>
      <c r="J59" s="99"/>
      <c r="K59" s="99"/>
    </row>
    <row r="60" spans="1:11">
      <c r="A60" s="3" t="s">
        <v>351</v>
      </c>
      <c r="B60" s="6">
        <v>2</v>
      </c>
      <c r="C60" s="6">
        <v>3</v>
      </c>
      <c r="D60" s="6">
        <v>4</v>
      </c>
      <c r="E60" s="6">
        <v>5</v>
      </c>
      <c r="F60" s="6">
        <v>6</v>
      </c>
      <c r="G60" s="6">
        <v>7</v>
      </c>
      <c r="H60" s="6"/>
      <c r="I60" s="6"/>
      <c r="J60" s="6"/>
      <c r="K60" s="6"/>
    </row>
    <row r="61" spans="1:11">
      <c r="B61"/>
      <c r="C61"/>
      <c r="D61"/>
      <c r="E61"/>
      <c r="F61"/>
      <c r="G61"/>
      <c r="H61" s="107"/>
      <c r="I61" s="107"/>
      <c r="J61" s="107"/>
      <c r="K61" s="107"/>
    </row>
    <row r="62" spans="1:11">
      <c r="A62" t="s">
        <v>396</v>
      </c>
      <c r="B62" s="144">
        <v>44.182635983263602</v>
      </c>
      <c r="C62" s="144">
        <v>38.886888888888912</v>
      </c>
      <c r="D62" s="144">
        <v>31.157017543859659</v>
      </c>
      <c r="E62" s="144">
        <v>33.502263374485601</v>
      </c>
      <c r="F62" s="144">
        <v>36.134374999999991</v>
      </c>
      <c r="G62" s="144">
        <v>52.163429752066115</v>
      </c>
      <c r="H62" s="107"/>
      <c r="I62" s="107"/>
      <c r="J62" s="107"/>
      <c r="K62" s="107"/>
    </row>
    <row r="63" spans="1:11">
      <c r="A63" s="156" t="s">
        <v>15</v>
      </c>
      <c r="B63" s="145">
        <f>'IS &amp; BS'!B20</f>
        <v>1.9413303957946759</v>
      </c>
      <c r="C63" s="145">
        <f>'IS &amp; BS'!C20</f>
        <v>4.0851622491721971</v>
      </c>
      <c r="D63" s="145">
        <f>'IS &amp; BS'!D20</f>
        <v>4.4632818270642245</v>
      </c>
      <c r="E63" s="145">
        <f>'IS &amp; BS'!E20</f>
        <v>3.6856559824007986</v>
      </c>
      <c r="F63" s="145">
        <f>'IS &amp; BS'!F20</f>
        <v>7.1758155451459968</v>
      </c>
      <c r="G63" s="145">
        <f>'IS &amp; BS'!G20</f>
        <v>9.1296110040324709</v>
      </c>
      <c r="H63" s="141">
        <f>'IS &amp; BS'!H20</f>
        <v>9.3319695834351677</v>
      </c>
      <c r="I63" s="141">
        <f>'IS &amp; BS'!I20</f>
        <v>6.3399745980733222</v>
      </c>
      <c r="J63" s="141">
        <f>'IS &amp; BS'!J20</f>
        <v>10.86228237019241</v>
      </c>
      <c r="K63" s="141">
        <f>'IS &amp; BS'!K20</f>
        <v>13.142359207071195</v>
      </c>
    </row>
    <row r="64" spans="1:11">
      <c r="A64" t="s">
        <v>346</v>
      </c>
      <c r="B64" s="145">
        <f>'IS &amp; BS'!B23</f>
        <v>33.473819224332182</v>
      </c>
      <c r="C64" s="145">
        <f>'IS &amp; BS'!C23</f>
        <v>43.769714542502648</v>
      </c>
      <c r="D64" s="145">
        <f>'IS &amp; BS'!D23</f>
        <v>47.737604652110207</v>
      </c>
      <c r="E64" s="145">
        <f>'IS &amp; BS'!E23</f>
        <v>50.921148942592943</v>
      </c>
      <c r="F64" s="145">
        <f>'IS &amp; BS'!F23</f>
        <v>61.692844720845329</v>
      </c>
      <c r="G64" s="145">
        <f>'IS &amp; BS'!G23</f>
        <v>70.502062988949746</v>
      </c>
      <c r="H64" s="141">
        <f>'IS &amp; BS'!H23</f>
        <v>77.898461073021394</v>
      </c>
      <c r="I64" s="141">
        <f>'IS &amp; BS'!I23</f>
        <v>83.287439481383714</v>
      </c>
      <c r="J64" s="141">
        <f>'IS &amp; BS'!J23</f>
        <v>92.520379496047255</v>
      </c>
      <c r="K64" s="141">
        <f>'IS &amp; BS'!K23</f>
        <v>103.69138482205777</v>
      </c>
    </row>
    <row r="65" spans="1:11">
      <c r="A65" t="s">
        <v>239</v>
      </c>
      <c r="B65" s="145">
        <f>IS_BS_Assumptions!B167</f>
        <v>0</v>
      </c>
      <c r="C65" s="145">
        <f>IS_BS_Assumptions!C167</f>
        <v>0.35</v>
      </c>
      <c r="D65" s="145">
        <f>IS_BS_Assumptions!D167</f>
        <v>0.50000267140038812</v>
      </c>
      <c r="E65" s="145">
        <f>IS_BS_Assumptions!E167</f>
        <v>0.50000267140038812</v>
      </c>
      <c r="F65" s="145">
        <f>IS_BS_Assumptions!F167</f>
        <v>0.50000267140038812</v>
      </c>
      <c r="G65" s="145">
        <f>IS_BS_Assumptions!G167</f>
        <v>1</v>
      </c>
      <c r="H65" s="141">
        <f>IS_BS_Assumptions!H167</f>
        <v>1.5</v>
      </c>
      <c r="I65" s="141">
        <f>IS_BS_Assumptions!I167</f>
        <v>0.95099618971099831</v>
      </c>
      <c r="J65" s="141">
        <f>IS_BS_Assumptions!J167</f>
        <v>1.6293423555288615</v>
      </c>
      <c r="K65" s="141">
        <f>IS_BS_Assumptions!K167</f>
        <v>1.9713538810606792</v>
      </c>
    </row>
    <row r="66" spans="1:11">
      <c r="B66" s="145"/>
      <c r="C66" s="145"/>
      <c r="D66" s="145"/>
      <c r="E66" s="145"/>
      <c r="F66" s="145"/>
      <c r="G66" s="145"/>
      <c r="H66" s="141"/>
      <c r="I66" s="141"/>
      <c r="J66" s="141"/>
      <c r="K66" s="141"/>
    </row>
    <row r="67" spans="1:11">
      <c r="A67" t="s">
        <v>126</v>
      </c>
      <c r="B67" s="145">
        <f t="shared" ref="B67:G67" si="0">B62/B63</f>
        <v>22.758947203923839</v>
      </c>
      <c r="C67" s="145">
        <f t="shared" si="0"/>
        <v>9.5190561639917277</v>
      </c>
      <c r="D67" s="145">
        <f t="shared" si="0"/>
        <v>6.980741694358465</v>
      </c>
      <c r="E67" s="145">
        <f t="shared" si="0"/>
        <v>9.0899051714160723</v>
      </c>
      <c r="F67" s="145">
        <f t="shared" si="0"/>
        <v>5.0355774577347798</v>
      </c>
      <c r="G67" s="145">
        <f t="shared" si="0"/>
        <v>5.7136530492948685</v>
      </c>
      <c r="H67" s="107"/>
      <c r="I67" s="107"/>
      <c r="J67" s="107"/>
      <c r="K67" s="107"/>
    </row>
    <row r="68" spans="1:11">
      <c r="A68" t="s">
        <v>337</v>
      </c>
      <c r="B68" s="145">
        <f t="shared" ref="B68:G68" si="1">B62/B64</f>
        <v>1.3199161914319941</v>
      </c>
      <c r="C68" s="145">
        <f t="shared" si="1"/>
        <v>0.88844282617214099</v>
      </c>
      <c r="D68" s="145">
        <f t="shared" si="1"/>
        <v>0.65267241142318999</v>
      </c>
      <c r="E68" s="145">
        <f t="shared" si="1"/>
        <v>0.65792434126447341</v>
      </c>
      <c r="F68" s="145">
        <f t="shared" si="1"/>
        <v>0.58571419689762805</v>
      </c>
      <c r="G68" s="145">
        <f t="shared" si="1"/>
        <v>0.73988515428608148</v>
      </c>
      <c r="H68" s="107"/>
      <c r="I68" s="107"/>
      <c r="J68" s="107"/>
      <c r="K68" s="107"/>
    </row>
    <row r="69" spans="1:11">
      <c r="A69" t="s">
        <v>178</v>
      </c>
      <c r="B69" s="145">
        <f t="shared" ref="B69:G69" si="2">B86/B87</f>
        <v>13.734660158303345</v>
      </c>
      <c r="C69" s="145">
        <f t="shared" si="2"/>
        <v>6.6598740932343174</v>
      </c>
      <c r="D69" s="145">
        <f t="shared" si="2"/>
        <v>6.2475955493257764</v>
      </c>
      <c r="E69" s="145">
        <f t="shared" si="2"/>
        <v>7.3112887052237454</v>
      </c>
      <c r="F69" s="145">
        <f t="shared" si="2"/>
        <v>4.6859487983558621</v>
      </c>
      <c r="G69" s="145">
        <f t="shared" si="2"/>
        <v>3.720464355329784</v>
      </c>
      <c r="H69" s="107"/>
      <c r="I69" s="107"/>
      <c r="J69" s="107"/>
      <c r="K69" s="107"/>
    </row>
    <row r="70" spans="1:11">
      <c r="A70" t="s">
        <v>376</v>
      </c>
      <c r="B70" s="17">
        <f t="shared" ref="B70:K70" si="3">B65/B62</f>
        <v>0</v>
      </c>
      <c r="C70" s="17">
        <f t="shared" si="3"/>
        <v>9.0004628809481572E-3</v>
      </c>
      <c r="D70" s="17">
        <f t="shared" si="3"/>
        <v>1.6047834831961549E-2</v>
      </c>
      <c r="E70" s="17">
        <f t="shared" si="3"/>
        <v>1.4924444531147002E-2</v>
      </c>
      <c r="F70" s="17">
        <f t="shared" si="3"/>
        <v>1.3837313400339378E-2</v>
      </c>
      <c r="G70" s="17">
        <f t="shared" si="3"/>
        <v>1.9170518594214783E-2</v>
      </c>
      <c r="H70" s="124" t="e">
        <f t="shared" si="3"/>
        <v>#DIV/0!</v>
      </c>
      <c r="I70" s="124" t="e">
        <f t="shared" si="3"/>
        <v>#DIV/0!</v>
      </c>
      <c r="J70" s="124" t="e">
        <f t="shared" si="3"/>
        <v>#DIV/0!</v>
      </c>
      <c r="K70" s="124" t="e">
        <f t="shared" si="3"/>
        <v>#DIV/0!</v>
      </c>
    </row>
    <row r="71" spans="1:11">
      <c r="A71" s="156" t="s">
        <v>377</v>
      </c>
      <c r="B71" s="17">
        <f>IS_BS_Assumptions!B166/IS_BS_Assumptions!B165</f>
        <v>0</v>
      </c>
      <c r="C71" s="17">
        <f>IS_BS_Assumptions!C166/IS_BS_Assumptions!C165</f>
        <v>8.5675911665668306E-2</v>
      </c>
      <c r="D71" s="17">
        <f>IS_BS_Assumptions!D166/IS_BS_Assumptions!D165</f>
        <v>0.11202578971565205</v>
      </c>
      <c r="E71" s="17">
        <f>IS_BS_Assumptions!E166/IS_BS_Assumptions!E165</f>
        <v>0.13566178552418545</v>
      </c>
      <c r="F71" s="17">
        <f>IS_BS_Assumptions!F166/IS_BS_Assumptions!F165</f>
        <v>6.9678863434360375E-2</v>
      </c>
      <c r="G71" s="17">
        <f>IS_BS_Assumptions!G166/IS_BS_Assumptions!G165</f>
        <v>0.10953369202239926</v>
      </c>
      <c r="H71" s="124">
        <f>IS_BS_Assumptions!H166/IS_BS_Assumptions!H165</f>
        <v>0.16073777208431908</v>
      </c>
      <c r="I71" s="124">
        <f>IS_BS_Assumptions!I166/IS_BS_Assumptions!I165</f>
        <v>0.15</v>
      </c>
      <c r="J71" s="124">
        <f>IS_BS_Assumptions!J166/IS_BS_Assumptions!J165</f>
        <v>0.15</v>
      </c>
      <c r="K71" s="124">
        <f>IS_BS_Assumptions!K166/IS_BS_Assumptions!K165</f>
        <v>0.15</v>
      </c>
    </row>
    <row r="72" spans="1:11">
      <c r="B72" s="145"/>
      <c r="C72" s="145"/>
      <c r="D72" s="145"/>
      <c r="E72" s="145"/>
      <c r="F72" s="145"/>
      <c r="G72" s="145"/>
      <c r="H72" s="107"/>
      <c r="I72" s="107"/>
      <c r="J72" s="107"/>
      <c r="K72" s="107"/>
    </row>
    <row r="73" spans="1:11">
      <c r="A73" t="s">
        <v>387</v>
      </c>
      <c r="B73" s="17">
        <f>'IS &amp; BS'!B6/'IS &amp; BS'!B4</f>
        <v>0.13469099339059787</v>
      </c>
      <c r="C73" s="17">
        <f>'IS &amp; BS'!C6/'IS &amp; BS'!C4</f>
        <v>0.16605132693214464</v>
      </c>
      <c r="D73" s="17">
        <f>'IS &amp; BS'!D6/'IS &amp; BS'!D4</f>
        <v>0.16460068408461867</v>
      </c>
      <c r="E73" s="17">
        <f>'IS &amp; BS'!E6/'IS &amp; BS'!E4</f>
        <v>0.16807558263566019</v>
      </c>
      <c r="F73" s="17">
        <f>'IS &amp; BS'!F6/'IS &amp; BS'!F4</f>
        <v>0.1767329514814896</v>
      </c>
      <c r="G73" s="17">
        <f>'IS &amp; BS'!G6/'IS &amp; BS'!G4</f>
        <v>0.23862778451145647</v>
      </c>
      <c r="H73" s="124">
        <f>'IS &amp; BS'!H6/'IS &amp; BS'!H4</f>
        <v>0.22104148438945892</v>
      </c>
      <c r="I73" s="124">
        <f>'IS &amp; BS'!I6/'IS &amp; BS'!I4</f>
        <v>0.15689873893093445</v>
      </c>
      <c r="J73" s="124">
        <f>'IS &amp; BS'!J6/'IS &amp; BS'!J4</f>
        <v>0.17165569019328486</v>
      </c>
      <c r="K73" s="124">
        <f>'IS &amp; BS'!K6/'IS &amp; BS'!K4</f>
        <v>0.17554114153536132</v>
      </c>
    </row>
    <row r="74" spans="1:11">
      <c r="A74" t="s">
        <v>372</v>
      </c>
      <c r="B74" s="17">
        <f>'IS &amp; BS'!B15/'IS &amp; BS'!B4</f>
        <v>2.9963121328006742E-2</v>
      </c>
      <c r="C74" s="17">
        <f>'IS &amp; BS'!C15/'IS &amp; BS'!C4</f>
        <v>5.4865429086936562E-2</v>
      </c>
      <c r="D74" s="17">
        <f>'IS &amp; BS'!D15/'IS &amp; BS'!D4</f>
        <v>5.2132854489976288E-2</v>
      </c>
      <c r="E74" s="17">
        <f>'IS &amp; BS'!E15/'IS &amp; BS'!E4</f>
        <v>4.4659663058749043E-2</v>
      </c>
      <c r="F74" s="17">
        <f>'IS &amp; BS'!F15/'IS &amp; BS'!F4</f>
        <v>6.6130962299362106E-2</v>
      </c>
      <c r="G74" s="17">
        <f>'IS &amp; BS'!G15/'IS &amp; BS'!G4</f>
        <v>9.9071564122210271E-2</v>
      </c>
      <c r="H74" s="124">
        <f>'IS &amp; BS'!H15/'IS &amp; BS'!H4</f>
        <v>8.5580073532343884E-2</v>
      </c>
      <c r="I74" s="124">
        <f>'IS &amp; BS'!I15/'IS &amp; BS'!I4</f>
        <v>4.0674968978379709E-2</v>
      </c>
      <c r="J74" s="124">
        <f>'IS &amp; BS'!J15/'IS &amp; BS'!J4</f>
        <v>5.5226755264346346E-2</v>
      </c>
      <c r="K74" s="124">
        <f>'IS &amp; BS'!K15/'IS &amp; BS'!K4</f>
        <v>5.8862850423191497E-2</v>
      </c>
    </row>
    <row r="75" spans="1:11">
      <c r="A75" t="s">
        <v>288</v>
      </c>
      <c r="B75" s="145"/>
      <c r="C75" s="17">
        <f>'IS &amp; BS'!C17/(('IS &amp; BS'!B56+'IS &amp; BS'!C56)/2)</f>
        <v>0.1057735722320409</v>
      </c>
      <c r="D75" s="17">
        <f>'IS &amp; BS'!D17/(('IS &amp; BS'!C56+'IS &amp; BS'!D56)/2)</f>
        <v>9.7550269559792416E-2</v>
      </c>
      <c r="E75" s="17">
        <f>'IS &amp; BS'!E17/(('IS &amp; BS'!D56+'IS &amp; BS'!E56)/2)</f>
        <v>7.4715235052364895E-2</v>
      </c>
      <c r="F75" s="17">
        <f>'IS &amp; BS'!F17/(('IS &amp; BS'!E56+'IS &amp; BS'!F56)/2)</f>
        <v>0.12744092118057485</v>
      </c>
      <c r="G75" s="17">
        <f>'IS &amp; BS'!G17/(('IS &amp; BS'!F56+'IS &amp; BS'!G56)/2)</f>
        <v>0.13812348996187554</v>
      </c>
      <c r="H75" s="124">
        <f>'IS &amp; BS'!H17/(('IS &amp; BS'!G56+'IS &amp; BS'!H56)/2)</f>
        <v>0.1257673400066727</v>
      </c>
      <c r="I75" s="124">
        <f>'IS &amp; BS'!I17/(('IS &amp; BS'!H56+'IS &amp; BS'!I56)/2)</f>
        <v>7.8666615085646263E-2</v>
      </c>
      <c r="J75" s="124">
        <f>'IS &amp; BS'!J17/(('IS &amp; BS'!I56+'IS &amp; BS'!J56)/2)</f>
        <v>0.12356995762044959</v>
      </c>
      <c r="K75" s="124">
        <f>'IS &amp; BS'!K17/(('IS &amp; BS'!J56+'IS &amp; BS'!K56)/2)</f>
        <v>0.13396097071696847</v>
      </c>
    </row>
    <row r="76" spans="1:11">
      <c r="A76" t="s">
        <v>380</v>
      </c>
      <c r="B76" s="145"/>
      <c r="C76" s="17">
        <f>'IS &amp; BS'!C17/(('IS &amp; BS'!B47+'IS &amp; BS'!C47)/2)</f>
        <v>5.2863201180349012E-2</v>
      </c>
      <c r="D76" s="17">
        <f>'IS &amp; BS'!D17/(('IS &amp; BS'!C47+'IS &amp; BS'!D47)/2)</f>
        <v>5.2219269426820238E-2</v>
      </c>
      <c r="E76" s="17">
        <f>'IS &amp; BS'!E17/(('IS &amp; BS'!D47+'IS &amp; BS'!E47)/2)</f>
        <v>3.8461708614391917E-2</v>
      </c>
      <c r="F76" s="17">
        <f>'IS &amp; BS'!F17/(('IS &amp; BS'!E47+'IS &amp; BS'!F47)/2)</f>
        <v>6.1143498920528838E-2</v>
      </c>
      <c r="G76" s="17">
        <f>'IS &amp; BS'!G17/(('IS &amp; BS'!F47+'IS &amp; BS'!G47)/2)</f>
        <v>6.9564058039933888E-2</v>
      </c>
      <c r="H76" s="124">
        <f>'IS &amp; BS'!H17/(('IS &amp; BS'!G47+'IS &amp; BS'!H47)/2)</f>
        <v>6.9998616123228802E-2</v>
      </c>
      <c r="I76" s="124">
        <f>'IS &amp; BS'!I17/(('IS &amp; BS'!H47+'IS &amp; BS'!I47)/2)</f>
        <v>4.2057082248036261E-2</v>
      </c>
      <c r="J76" s="124">
        <f>'IS &amp; BS'!J17/(('IS &amp; BS'!I47+'IS &amp; BS'!J47)/2)</f>
        <v>6.235347490607001E-2</v>
      </c>
      <c r="K76" s="124">
        <f>'IS &amp; BS'!K17/(('IS &amp; BS'!J47+'IS &amp; BS'!K47)/2)</f>
        <v>6.7886924364534265E-2</v>
      </c>
    </row>
    <row r="77" spans="1:11">
      <c r="A77" t="s">
        <v>287</v>
      </c>
      <c r="B77" s="145"/>
      <c r="C77" s="145">
        <f>'IS &amp; BS'!C4/(('IS &amp; BS'!C47+'IS &amp; BS'!B47)/2)</f>
        <v>1.1133478771261232</v>
      </c>
      <c r="D77" s="145">
        <f>'IS &amp; BS'!D4/(('IS &amp; BS'!D47+'IS &amp; BS'!C47)/2)</f>
        <v>1.1062722300939953</v>
      </c>
      <c r="E77" s="145">
        <f>'IS &amp; BS'!E4/(('IS &amp; BS'!E47+'IS &amp; BS'!D47)/2)</f>
        <v>0.99721598385747823</v>
      </c>
      <c r="F77" s="145">
        <f>'IS &amp; BS'!F4/(('IS &amp; BS'!F47+'IS &amp; BS'!E47)/2)</f>
        <v>1.0262452578634658</v>
      </c>
      <c r="G77" s="145">
        <f>'IS &amp; BS'!G4/(('IS &amp; BS'!G47+'IS &amp; BS'!F47)/2)</f>
        <v>0.814914914886262</v>
      </c>
      <c r="H77" s="141">
        <f>'IS &amp; BS'!H4/(('IS &amp; BS'!H47+'IS &amp; BS'!G47)/2)</f>
        <v>0.9186020590333025</v>
      </c>
      <c r="I77" s="141">
        <f>'IS &amp; BS'!I4/(('IS &amp; BS'!I47+'IS &amp; BS'!H47)/2)</f>
        <v>1.1617746683080956</v>
      </c>
      <c r="J77" s="141">
        <f>'IS &amp; BS'!J4/(('IS &amp; BS'!J47+'IS &amp; BS'!I47)/2)</f>
        <v>1.2685895419489448</v>
      </c>
      <c r="K77" s="141">
        <f>'IS &amp; BS'!K4/(('IS &amp; BS'!K47+'IS &amp; BS'!J47)/2)</f>
        <v>1.295850312341748</v>
      </c>
    </row>
    <row r="78" spans="1:11">
      <c r="B78" s="145"/>
      <c r="C78" s="145"/>
      <c r="D78" s="145"/>
      <c r="E78" s="145"/>
      <c r="F78" s="145"/>
      <c r="G78" s="145"/>
      <c r="H78" s="141"/>
      <c r="I78" s="141"/>
      <c r="J78" s="141"/>
      <c r="K78" s="141"/>
    </row>
    <row r="79" spans="1:11">
      <c r="A79" t="s">
        <v>378</v>
      </c>
      <c r="B79" s="145">
        <f>IFERROR('IS &amp; BS'!B4/'IS &amp; BS'!A4-1,0)</f>
        <v>0</v>
      </c>
      <c r="C79" s="17">
        <f>IFERROR('IS &amp; BS'!C4/'IS &amp; BS'!B4-1,0)</f>
        <v>7.6951584437137344E-2</v>
      </c>
      <c r="D79" s="17">
        <f>IFERROR('IS &amp; BS'!D4/'IS &amp; BS'!C4-1,0)</f>
        <v>9.9002785480608813E-2</v>
      </c>
      <c r="E79" s="17">
        <f>IFERROR('IS &amp; BS'!E4/'IS &amp; BS'!D4-1,0)</f>
        <v>1.062473588243007E-2</v>
      </c>
      <c r="F79" s="17">
        <f>IFERROR('IS &amp; BS'!F4/'IS &amp; BS'!E4-1,0)</f>
        <v>0.26036602869852032</v>
      </c>
      <c r="G79" s="17">
        <f>IFERROR('IS &amp; BS'!G4/'IS &amp; BS'!F4-1,0)</f>
        <v>-0.11201119881867883</v>
      </c>
      <c r="H79" s="124">
        <f>IFERROR('IS &amp; BS'!H4/'IS &amp; BS'!G4-1,0)</f>
        <v>0.14506896452673046</v>
      </c>
      <c r="I79" s="124">
        <f>IFERROR('IS &amp; BS'!I4/'IS &amp; BS'!H4-1,0)</f>
        <v>0.43007562954520995</v>
      </c>
      <c r="J79" s="124">
        <f>IFERROR('IS &amp; BS'!J4/'IS &amp; BS'!I4-1,0)</f>
        <v>0.26186028823058449</v>
      </c>
      <c r="K79" s="124">
        <f>IFERROR('IS &amp; BS'!K4/'IS &amp; BS'!J4-1,0)</f>
        <v>0.13516889871505811</v>
      </c>
    </row>
    <row r="80" spans="1:11">
      <c r="A80" t="s">
        <v>382</v>
      </c>
      <c r="B80" s="145">
        <f>IFERROR('IS &amp; BS'!B15/'IS &amp; BS'!A15-1,0)</f>
        <v>0</v>
      </c>
      <c r="C80" s="17">
        <f>IFERROR('IS &amp; BS'!C15/'IS &amp; BS'!B15-1,0)</f>
        <v>0.97200452313258512</v>
      </c>
      <c r="D80" s="17">
        <f>IFERROR('IS &amp; BS'!D15/'IS &amp; BS'!C15-1,0)</f>
        <v>4.4266913665328866E-2</v>
      </c>
      <c r="E80" s="17">
        <f>IFERROR('IS &amp; BS'!E15/'IS &amp; BS'!D15-1,0)</f>
        <v>-0.13424728753295823</v>
      </c>
      <c r="F80" s="17">
        <f>IFERROR('IS &amp; BS'!F15/'IS &amp; BS'!E15-1,0)</f>
        <v>0.86631990970496298</v>
      </c>
      <c r="G80" s="17">
        <f>IFERROR('IS &amp; BS'!G15/'IS &amp; BS'!F15-1,0)</f>
        <v>0.3303063557096988</v>
      </c>
      <c r="H80" s="124">
        <f>IFERROR('IS &amp; BS'!H15/'IS &amp; BS'!G15-1,0)</f>
        <v>-1.086566007053158E-2</v>
      </c>
      <c r="I80" s="124">
        <f>IFERROR('IS &amp; BS'!I15/'IS &amp; BS'!H15-1,0)</f>
        <v>-0.32030577367400481</v>
      </c>
      <c r="J80" s="124">
        <f>IFERROR('IS &amp; BS'!J15/'IS &amp; BS'!I15-1,0)</f>
        <v>0.71330061377428677</v>
      </c>
      <c r="K80" s="124">
        <f>IFERROR('IS &amp; BS'!K15/'IS &amp; BS'!J15-1,0)</f>
        <v>0.20990771176558898</v>
      </c>
    </row>
    <row r="81" spans="1:11">
      <c r="A81" t="s">
        <v>379</v>
      </c>
      <c r="B81" s="145">
        <f>IFERROR('IS &amp; BS'!B47/'IS &amp; BS'!A47-1,0)</f>
        <v>0</v>
      </c>
      <c r="C81" s="17">
        <f>IFERROR('IS &amp; BS'!C47/'IS &amp; BS'!B47-1,0)</f>
        <v>6.9487561068859005E-2</v>
      </c>
      <c r="D81" s="17">
        <f>IFERROR('IS &amp; BS'!D47/'IS &amp; BS'!C47-1,0)</f>
        <v>0.14020192505357976</v>
      </c>
      <c r="E81" s="17">
        <f>IFERROR('IS &amp; BS'!E47/'IS &amp; BS'!D47-1,0)</f>
        <v>0.10443581323281714</v>
      </c>
      <c r="F81" s="17">
        <f>IFERROR('IS &amp; BS'!F47/'IS &amp; BS'!E47-1,0)</f>
        <v>0.33361904035474033</v>
      </c>
      <c r="G81" s="17">
        <f>IFERROR('IS &amp; BS'!G47/'IS &amp; BS'!F47-1,0)</f>
        <v>-4.3208479324185145E-2</v>
      </c>
      <c r="H81" s="124">
        <f>IFERROR('IS &amp; BS'!H47/'IS &amp; BS'!G47-1,0)</f>
        <v>7.7512931744378344E-2</v>
      </c>
      <c r="I81" s="124">
        <f>IFERROR('IS &amp; BS'!I47/'IS &amp; BS'!H47-1,0)</f>
        <v>0.18014692301831592</v>
      </c>
      <c r="J81" s="124">
        <f>IFERROR('IS &amp; BS'!J47/'IS &amp; BS'!I47-1,0)</f>
        <v>0.13482231011795909</v>
      </c>
      <c r="K81" s="124">
        <f>IFERROR('IS &amp; BS'!K47/'IS &amp; BS'!J47-1,0)</f>
        <v>9.0550391621156967E-2</v>
      </c>
    </row>
    <row r="82" spans="1:11">
      <c r="A82" t="s">
        <v>374</v>
      </c>
      <c r="B82" s="17">
        <f>('IS &amp; BS'!B64+'IS &amp; BS'!B65+'IS &amp; BS'!B70+'IS &amp; BS'!B72+'IS &amp; BS'!B73)/'IS &amp; BS'!B56</f>
        <v>0.71855261866060227</v>
      </c>
      <c r="C82" s="17">
        <f>('IS &amp; BS'!C64+'IS &amp; BS'!C65+'IS &amp; BS'!C70+'IS &amp; BS'!C72+'IS &amp; BS'!C73)/'IS &amp; BS'!C56</f>
        <v>0.40367672601881777</v>
      </c>
      <c r="D82" s="17">
        <f>('IS &amp; BS'!D64+'IS &amp; BS'!D65+'IS &amp; BS'!D70+'IS &amp; BS'!D72+'IS &amp; BS'!D73)/'IS &amp; BS'!D56</f>
        <v>0.52715931973881858</v>
      </c>
      <c r="E82" s="17">
        <f>('IS &amp; BS'!E64+'IS &amp; BS'!E65+'IS &amp; BS'!E70+'IS &amp; BS'!E72+'IS &amp; BS'!E73)/'IS &amp; BS'!E56</f>
        <v>0.50646916000924624</v>
      </c>
      <c r="F82" s="17">
        <f>('IS &amp; BS'!F64+'IS &amp; BS'!F65+'IS &amp; BS'!F70+'IS &amp; BS'!F72+'IS &amp; BS'!F73)/'IS &amp; BS'!F56</f>
        <v>0.47397213784043701</v>
      </c>
      <c r="G82" s="17">
        <f>('IS &amp; BS'!G64+'IS &amp; BS'!G65+'IS &amp; BS'!G70+'IS &amp; BS'!G72+'IS &amp; BS'!G73)/'IS &amp; BS'!G56</f>
        <v>0.31347729423477516</v>
      </c>
      <c r="H82" s="124">
        <f>('IS &amp; BS'!H64+'IS &amp; BS'!H65+'IS &amp; BS'!H70+'IS &amp; BS'!H72+'IS &amp; BS'!H73)/'IS &amp; BS'!H56</f>
        <v>0.29955833360392942</v>
      </c>
      <c r="I82" s="124">
        <f>('IS &amp; BS'!I64+'IS &amp; BS'!I65+'IS &amp; BS'!I70+'IS &amp; BS'!I72+'IS &amp; BS'!I73)/'IS &amp; BS'!I56</f>
        <v>0.29998885690300464</v>
      </c>
      <c r="J82" s="124">
        <f>('IS &amp; BS'!J64+'IS &amp; BS'!J65+'IS &amp; BS'!J70+'IS &amp; BS'!J72+'IS &amp; BS'!J73)/'IS &amp; BS'!J56</f>
        <v>0.29766697899242794</v>
      </c>
      <c r="K82" s="124">
        <f>('IS &amp; BS'!K64+'IS &amp; BS'!K65+'IS &amp; BS'!K70+'IS &amp; BS'!K72+'IS &amp; BS'!K73)/'IS &amp; BS'!K56</f>
        <v>0.29100197112720644</v>
      </c>
    </row>
    <row r="83" spans="1:11">
      <c r="A83" t="s">
        <v>375</v>
      </c>
      <c r="B83" s="145">
        <f>'IS &amp; BS'!B46/'IS &amp; BS'!B74</f>
        <v>1.708664624348786</v>
      </c>
      <c r="C83" s="145">
        <f>'IS &amp; BS'!C46/'IS &amp; BS'!C74</f>
        <v>2.0363470550721599</v>
      </c>
      <c r="D83" s="145">
        <f>'IS &amp; BS'!D46/'IS &amp; BS'!D74</f>
        <v>1.9036254160347297</v>
      </c>
      <c r="E83" s="145">
        <f>'IS &amp; BS'!E46/'IS &amp; BS'!E74</f>
        <v>1.854010127984306</v>
      </c>
      <c r="F83" s="145">
        <f>'IS &amp; BS'!F46/'IS &amp; BS'!F74</f>
        <v>1.8444133493266899</v>
      </c>
      <c r="G83" s="145">
        <f>'IS &amp; BS'!G46/'IS &amp; BS'!G74</f>
        <v>2.4337219165251875</v>
      </c>
      <c r="H83" s="141">
        <f>'IS &amp; BS'!H46/'IS &amp; BS'!H74</f>
        <v>2.2907001704840821</v>
      </c>
      <c r="I83" s="141">
        <f>'IS &amp; BS'!I46/'IS &amp; BS'!I74</f>
        <v>2.0687871846813559</v>
      </c>
      <c r="J83" s="141">
        <f>'IS &amp; BS'!J46/'IS &amp; BS'!J74</f>
        <v>2.0511099734787539</v>
      </c>
      <c r="K83" s="141">
        <f>'IS &amp; BS'!K46/'IS &amp; BS'!K74</f>
        <v>2.167803992689791</v>
      </c>
    </row>
    <row r="84" spans="1:11">
      <c r="A84" t="s">
        <v>373</v>
      </c>
      <c r="B84" s="145">
        <f>'IS &amp; BS'!B10/-'IS &amp; BS'!B11</f>
        <v>2.9831965875480195</v>
      </c>
      <c r="C84" s="145">
        <f>'IS &amp; BS'!C10/-'IS &amp; BS'!C11</f>
        <v>4.0999520354528629</v>
      </c>
      <c r="D84" s="145">
        <f>'IS &amp; BS'!D10/-'IS &amp; BS'!D11</f>
        <v>3.240014379012258</v>
      </c>
      <c r="E84" s="145">
        <f>'IS &amp; BS'!E10/-'IS &amp; BS'!E11</f>
        <v>3.4173929245664363</v>
      </c>
      <c r="F84" s="145">
        <f>'IS &amp; BS'!F10/-'IS &amp; BS'!F11</f>
        <v>4.1176906014649743</v>
      </c>
      <c r="G84" s="145">
        <f>'IS &amp; BS'!G10/-'IS &amp; BS'!G11</f>
        <v>7.5191655211321295</v>
      </c>
      <c r="H84" s="141">
        <f>'IS &amp; BS'!H10/-'IS &amp; BS'!H11</f>
        <v>9.171875356694434</v>
      </c>
      <c r="I84" s="141">
        <f>'IS &amp; BS'!I10/-'IS &amp; BS'!I11</f>
        <v>3.5090165365375103</v>
      </c>
      <c r="J84" s="141">
        <f>'IS &amp; BS'!J10/-'IS &amp; BS'!J11</f>
        <v>4.892145559670694</v>
      </c>
      <c r="K84" s="141">
        <f>'IS &amp; BS'!K10/-'IS &amp; BS'!K11</f>
        <v>5.284541444883823</v>
      </c>
    </row>
    <row r="85" spans="1:11">
      <c r="B85" s="145"/>
      <c r="C85" s="145"/>
      <c r="D85" s="145"/>
      <c r="E85" s="145"/>
      <c r="F85" s="145"/>
      <c r="G85" s="145"/>
      <c r="H85" s="107"/>
      <c r="I85" s="107"/>
      <c r="J85" s="107"/>
      <c r="K85" s="107"/>
    </row>
    <row r="86" spans="1:11">
      <c r="A86" t="s">
        <v>368</v>
      </c>
      <c r="B86" s="99">
        <f>(B62*B88)+('IS &amp; BS'!B64+'IS &amp; BS'!B65+'IS &amp; BS'!B70+'IS &amp; BS'!B72+'IS &amp; BS'!B73)-'IS &amp; BS'!B45</f>
        <v>7791.6389342761513</v>
      </c>
      <c r="C86" s="99">
        <f>(C62*C88)+('IS &amp; BS'!C64+'IS &amp; BS'!C65+'IS &amp; BS'!C70+'IS &amp; BS'!C72+'IS &amp; BS'!C73)-'IS &amp; BS'!C45</f>
        <v>6109.3559006133364</v>
      </c>
      <c r="D86" s="99">
        <f>(D62*D88)+('IS &amp; BS'!D64+'IS &amp; BS'!D65+'IS &amp; BS'!D70+'IS &amp; BS'!D72+'IS &amp; BS'!D73)-'IS &amp; BS'!D45</f>
        <v>5731.1197140526328</v>
      </c>
      <c r="E86" s="99">
        <f>(E62*E88)+('IS &amp; BS'!E64+'IS &amp; BS'!E65+'IS &amp; BS'!E70+'IS &amp; BS'!E72+'IS &amp; BS'!E73)-'IS &amp; BS'!E45</f>
        <v>6336.9936836543211</v>
      </c>
      <c r="F86" s="99">
        <f>(F62*F88)+('IS &amp; BS'!F64+'IS &amp; BS'!F65+'IS &amp; BS'!F70+'IS &amp; BS'!F72+'IS &amp; BS'!F73)-'IS &amp; BS'!F45</f>
        <v>6792.348386499998</v>
      </c>
      <c r="G86" s="99">
        <f>(G62*G88)+('IS &amp; BS'!G64+'IS &amp; BS'!G65+'IS &amp; BS'!G70+'IS &amp; BS'!G72+'IS &amp; BS'!G73)-'IS &amp; BS'!G45</f>
        <v>7188.6105385454539</v>
      </c>
      <c r="H86" s="107">
        <f>(H62*H88)+('IS &amp; BS'!H64+'IS &amp; BS'!H65+'IS &amp; BS'!H70+'IS &amp; BS'!H72+'IS &amp; BS'!H73)-'IS &amp; BS'!H45</f>
        <v>570.2829999999999</v>
      </c>
      <c r="I86" s="107">
        <f>(I62*I88)+('IS &amp; BS'!I64+'IS &amp; BS'!I65+'IS &amp; BS'!I70+'IS &amp; BS'!I72+'IS &amp; BS'!I73)-'IS &amp; BS'!I45</f>
        <v>855.51402533743249</v>
      </c>
      <c r="J86" s="107">
        <f>(J62*J88)+('IS &amp; BS'!J64+'IS &amp; BS'!J65+'IS &amp; BS'!J70+'IS &amp; BS'!J72+'IS &amp; BS'!J73)-'IS &amp; BS'!J45</f>
        <v>1821.5606052893215</v>
      </c>
      <c r="K86" s="107">
        <f>(K62*K88)+('IS &amp; BS'!K64+'IS &amp; BS'!K65+'IS &amp; BS'!K70+'IS &amp; BS'!K72+'IS &amp; BS'!K73)-'IS &amp; BS'!K45</f>
        <v>2442.809186920726</v>
      </c>
    </row>
    <row r="87" spans="1:11">
      <c r="A87" t="s">
        <v>355</v>
      </c>
      <c r="B87" s="99">
        <f>'IS &amp; BS'!B13+IS_BS_Assumptions!B87+IS_BS_Assumptions!B88</f>
        <v>567.29754099999946</v>
      </c>
      <c r="C87" s="99">
        <f>'IS &amp; BS'!C13+IS_BS_Assumptions!C87+IS_BS_Assumptions!C88</f>
        <v>917.33804799999962</v>
      </c>
      <c r="D87" s="99">
        <f>'IS &amp; BS'!D13+IS_BS_Assumptions!D87+IS_BS_Assumptions!D88</f>
        <v>917.33206300000006</v>
      </c>
      <c r="E87" s="99">
        <f>'IS &amp; BS'!E13+IS_BS_Assumptions!E87+IS_BS_Assumptions!E88</f>
        <v>866.74099999999817</v>
      </c>
      <c r="F87" s="99">
        <f>'IS &amp; BS'!F13+IS_BS_Assumptions!F87+IS_BS_Assumptions!F88</f>
        <v>1449.5139999999999</v>
      </c>
      <c r="G87" s="99">
        <f>'IS &amp; BS'!G13+IS_BS_Assumptions!G87+IS_BS_Assumptions!G88</f>
        <v>1932.1809999999991</v>
      </c>
      <c r="H87" s="107">
        <f>'IS &amp; BS'!H13+IS_BS_Assumptions!H87+IS_BS_Assumptions!H88</f>
        <v>1992.2629999999983</v>
      </c>
      <c r="I87" s="107">
        <f>'IS &amp; BS'!I13+IS_BS_Assumptions!I87+IS_BS_Assumptions!I88</f>
        <v>1418.7933190582303</v>
      </c>
      <c r="J87" s="107">
        <f>'IS &amp; BS'!J13+IS_BS_Assumptions!J87+IS_BS_Assumptions!J88</f>
        <v>2268.7861990943829</v>
      </c>
      <c r="K87" s="107">
        <f>'IS &amp; BS'!K13+IS_BS_Assumptions!K87+IS_BS_Assumptions!K88</f>
        <v>2694.8068927921831</v>
      </c>
    </row>
    <row r="88" spans="1:11">
      <c r="A88" t="s">
        <v>370</v>
      </c>
      <c r="B88" s="99">
        <f>IS_BS_Assumptions!B170</f>
        <v>119.78736000000001</v>
      </c>
      <c r="C88" s="99">
        <f>IS_BS_Assumptions!C170</f>
        <v>119.78736000000001</v>
      </c>
      <c r="D88" s="99">
        <f>IS_BS_Assumptions!D170</f>
        <v>119.78736000000001</v>
      </c>
      <c r="E88" s="99">
        <f>IS_BS_Assumptions!E170</f>
        <v>119.78736000000001</v>
      </c>
      <c r="F88" s="99">
        <f>IS_BS_Assumptions!F170</f>
        <v>119.78736000000001</v>
      </c>
      <c r="G88" s="99">
        <f>IS_BS_Assumptions!G170</f>
        <v>119.78736000000001</v>
      </c>
      <c r="H88" s="107">
        <f>IS_BS_Assumptions!H170</f>
        <v>119.78736000000001</v>
      </c>
      <c r="I88" s="107">
        <f>IS_BS_Assumptions!I170</f>
        <v>119.78736000000001</v>
      </c>
      <c r="J88" s="107">
        <f>IS_BS_Assumptions!J170</f>
        <v>119.78736000000001</v>
      </c>
      <c r="K88" s="107">
        <f>IS_BS_Assumptions!K170</f>
        <v>119.78736000000001</v>
      </c>
    </row>
    <row r="89" spans="1:11">
      <c r="B89"/>
      <c r="C89"/>
      <c r="D89"/>
      <c r="E89"/>
      <c r="F89"/>
      <c r="G89"/>
      <c r="H89" s="107"/>
      <c r="I89" s="107"/>
      <c r="J89" s="107"/>
      <c r="K89" s="107"/>
    </row>
    <row r="90" spans="1:11">
      <c r="A90" s="3" t="s">
        <v>343</v>
      </c>
      <c r="B90" s="6">
        <f t="shared" ref="B90:G90" si="4">B60</f>
        <v>2</v>
      </c>
      <c r="C90" s="6">
        <f t="shared" si="4"/>
        <v>3</v>
      </c>
      <c r="D90" s="6">
        <f t="shared" si="4"/>
        <v>4</v>
      </c>
      <c r="E90" s="6">
        <f t="shared" si="4"/>
        <v>5</v>
      </c>
      <c r="F90" s="6">
        <f t="shared" si="4"/>
        <v>6</v>
      </c>
      <c r="G90" s="6">
        <f t="shared" si="4"/>
        <v>7</v>
      </c>
      <c r="H90" s="6"/>
      <c r="I90" s="6"/>
      <c r="J90" s="6"/>
      <c r="K90" s="6"/>
    </row>
    <row r="91" spans="1:11">
      <c r="H91" s="107"/>
      <c r="I91" s="107"/>
      <c r="J91" s="107"/>
      <c r="K91" s="107"/>
    </row>
    <row r="92" spans="1:11">
      <c r="A92" t="str">
        <f>A62</f>
        <v>MPS (annual average)</v>
      </c>
      <c r="B92" s="144">
        <v>3.9087866108786602</v>
      </c>
      <c r="C92" s="144">
        <v>4.38</v>
      </c>
      <c r="D92" s="144">
        <v>2.6037974683544296</v>
      </c>
      <c r="E92" s="144">
        <v>2.0308641975308652</v>
      </c>
      <c r="F92" s="144">
        <v>2.9671717171717171</v>
      </c>
      <c r="G92" s="144">
        <v>4.0074688796680507</v>
      </c>
      <c r="H92" s="107"/>
      <c r="I92" s="107"/>
      <c r="J92" s="107"/>
      <c r="K92" s="107"/>
    </row>
    <row r="93" spans="1:11">
      <c r="A93" t="str">
        <f t="shared" ref="A93:A114" si="5">A63</f>
        <v>EPS</v>
      </c>
      <c r="B93" s="145">
        <f>B121/B135</f>
        <v>2.9982562449765115E-2</v>
      </c>
      <c r="C93" s="145">
        <f>C121/C135</f>
        <v>0.2248915434383536</v>
      </c>
      <c r="D93" s="145">
        <f>D121/D135</f>
        <v>-2.3614337625643373E-2</v>
      </c>
      <c r="E93" s="145">
        <f>E121/E135</f>
        <v>-0.54116143881547074</v>
      </c>
      <c r="F93" s="145">
        <f>F121/F135</f>
        <v>0.48837669298177899</v>
      </c>
      <c r="G93" s="145">
        <v>0.47</v>
      </c>
      <c r="H93" s="107"/>
      <c r="I93" s="107"/>
      <c r="J93" s="107"/>
      <c r="K93" s="107"/>
    </row>
    <row r="94" spans="1:11">
      <c r="A94" t="str">
        <f t="shared" si="5"/>
        <v>NAVPS</v>
      </c>
      <c r="B94" s="145">
        <f t="shared" ref="B94:G94" si="6">B129/B135</f>
        <v>2.4527451393077553</v>
      </c>
      <c r="C94" s="145">
        <f t="shared" si="6"/>
        <v>2.5017430759694248</v>
      </c>
      <c r="D94" s="145">
        <f t="shared" si="6"/>
        <v>3.0817705927284322</v>
      </c>
      <c r="E94" s="145">
        <f t="shared" si="6"/>
        <v>2.5223100422068376</v>
      </c>
      <c r="F94" s="145">
        <f t="shared" si="6"/>
        <v>2.6983153561676705</v>
      </c>
      <c r="G94" s="145">
        <f t="shared" si="6"/>
        <v>2.9668076699175123</v>
      </c>
      <c r="H94" s="107"/>
      <c r="I94" s="107"/>
      <c r="J94" s="107"/>
      <c r="K94" s="107"/>
    </row>
    <row r="95" spans="1:11">
      <c r="A95" t="str">
        <f t="shared" si="5"/>
        <v>DPS</v>
      </c>
      <c r="B95" s="145">
        <v>0.2</v>
      </c>
      <c r="C95" s="145">
        <v>0.1</v>
      </c>
      <c r="D95" s="145">
        <v>0</v>
      </c>
      <c r="E95" s="145">
        <v>0</v>
      </c>
      <c r="F95" s="145">
        <v>0.2</v>
      </c>
      <c r="H95" s="107"/>
      <c r="I95" s="107"/>
      <c r="J95" s="107"/>
      <c r="K95" s="107"/>
    </row>
    <row r="96" spans="1:11">
      <c r="B96" s="145"/>
      <c r="C96" s="145"/>
      <c r="D96" s="145"/>
      <c r="E96" s="145"/>
      <c r="F96" s="145"/>
      <c r="H96" s="107"/>
      <c r="I96" s="107"/>
      <c r="J96" s="107"/>
      <c r="K96" s="107"/>
    </row>
    <row r="97" spans="1:11">
      <c r="A97" t="str">
        <f t="shared" si="5"/>
        <v>PER</v>
      </c>
      <c r="B97" s="99">
        <f t="shared" ref="B97:G97" si="7">B92/B93</f>
        <v>130.36866403356001</v>
      </c>
      <c r="C97" s="99">
        <f t="shared" si="7"/>
        <v>19.476054693006404</v>
      </c>
      <c r="D97" s="99">
        <f t="shared" si="7"/>
        <v>-110.26341325478906</v>
      </c>
      <c r="E97" s="99">
        <f t="shared" si="7"/>
        <v>-3.7527880810875081</v>
      </c>
      <c r="F97" s="99">
        <f t="shared" si="7"/>
        <v>6.075580099975042</v>
      </c>
      <c r="G97" s="99">
        <f t="shared" si="7"/>
        <v>8.5265295312086185</v>
      </c>
      <c r="H97" s="107"/>
      <c r="I97" s="107"/>
      <c r="J97" s="107"/>
      <c r="K97" s="107"/>
    </row>
    <row r="98" spans="1:11">
      <c r="A98" t="str">
        <f t="shared" si="5"/>
        <v>PBV</v>
      </c>
      <c r="B98" s="145">
        <f t="shared" ref="B98:G98" si="8">B92/B94</f>
        <v>1.5936374914117035</v>
      </c>
      <c r="C98" s="145">
        <f t="shared" si="8"/>
        <v>1.7507793034673438</v>
      </c>
      <c r="D98" s="145">
        <f t="shared" si="8"/>
        <v>0.84490308087766153</v>
      </c>
      <c r="E98" s="145">
        <f t="shared" si="8"/>
        <v>0.80516041388552173</v>
      </c>
      <c r="F98" s="145">
        <f t="shared" si="8"/>
        <v>1.0996385987240183</v>
      </c>
      <c r="G98" s="145">
        <f t="shared" si="8"/>
        <v>1.3507680057263276</v>
      </c>
      <c r="H98" s="107"/>
      <c r="I98" s="107"/>
      <c r="J98" s="107"/>
      <c r="K98" s="107"/>
    </row>
    <row r="99" spans="1:11">
      <c r="A99" t="str">
        <f t="shared" si="5"/>
        <v>EV/EBITDA</v>
      </c>
      <c r="B99" s="145">
        <f t="shared" ref="B99:G99" si="9">B131/B119</f>
        <v>19.664691522074548</v>
      </c>
      <c r="C99" s="145">
        <f t="shared" si="9"/>
        <v>9.3086602996078529</v>
      </c>
      <c r="D99" s="145">
        <f t="shared" si="9"/>
        <v>11.769663632419284</v>
      </c>
      <c r="E99" s="145">
        <f t="shared" si="9"/>
        <v>-17.096211568703357</v>
      </c>
      <c r="F99" s="145">
        <f t="shared" si="9"/>
        <v>5.9322044362948469</v>
      </c>
      <c r="G99" s="145">
        <f t="shared" si="9"/>
        <v>7.2029109453766793</v>
      </c>
      <c r="H99" s="107"/>
      <c r="I99" s="107"/>
      <c r="J99" s="107"/>
      <c r="K99" s="107"/>
    </row>
    <row r="100" spans="1:11">
      <c r="A100" t="str">
        <f t="shared" si="5"/>
        <v>Dividend yield</v>
      </c>
      <c r="B100" s="17">
        <f t="shared" ref="B100:G100" si="10">B95/B92</f>
        <v>5.1166773710126325E-2</v>
      </c>
      <c r="C100" s="17">
        <f t="shared" si="10"/>
        <v>2.2831050228310504E-2</v>
      </c>
      <c r="D100" s="17">
        <f t="shared" si="10"/>
        <v>0</v>
      </c>
      <c r="E100" s="17">
        <f t="shared" si="10"/>
        <v>0</v>
      </c>
      <c r="F100" s="17">
        <f t="shared" si="10"/>
        <v>6.740425531914894E-2</v>
      </c>
      <c r="G100" s="17">
        <f t="shared" si="10"/>
        <v>0</v>
      </c>
      <c r="H100" s="107"/>
      <c r="I100" s="107"/>
      <c r="J100" s="107"/>
      <c r="K100" s="107"/>
    </row>
    <row r="101" spans="1:11">
      <c r="A101" t="str">
        <f t="shared" si="5"/>
        <v>Dividend payout</v>
      </c>
      <c r="B101" s="17">
        <f t="shared" ref="B101:G101" si="11">B95/B93</f>
        <v>6.6705439314966499</v>
      </c>
      <c r="C101" s="17">
        <f t="shared" si="11"/>
        <v>0.44465878294535172</v>
      </c>
      <c r="D101" s="17">
        <f t="shared" si="11"/>
        <v>0</v>
      </c>
      <c r="E101" s="17">
        <f t="shared" si="11"/>
        <v>0</v>
      </c>
      <c r="F101" s="17">
        <f t="shared" si="11"/>
        <v>0.40951995227065818</v>
      </c>
      <c r="G101" s="17">
        <f t="shared" si="11"/>
        <v>0</v>
      </c>
      <c r="H101" s="107"/>
      <c r="I101" s="107"/>
      <c r="J101" s="107"/>
      <c r="K101" s="107"/>
    </row>
    <row r="102" spans="1:11">
      <c r="B102" s="145"/>
      <c r="C102" s="145"/>
      <c r="D102" s="145"/>
      <c r="E102" s="145"/>
      <c r="F102" s="145"/>
      <c r="G102" s="145"/>
      <c r="H102" s="107"/>
      <c r="I102" s="107"/>
      <c r="J102" s="107"/>
      <c r="K102" s="107"/>
    </row>
    <row r="103" spans="1:11">
      <c r="A103" t="str">
        <f t="shared" si="5"/>
        <v>Gross margin</v>
      </c>
      <c r="B103" s="17">
        <f t="shared" ref="B103:G103" si="12">B117/B116</f>
        <v>0.17219694170755484</v>
      </c>
      <c r="C103" s="17">
        <f t="shared" si="12"/>
        <v>0.18799039612359403</v>
      </c>
      <c r="D103" s="17">
        <f t="shared" si="12"/>
        <v>0.14245810114174981</v>
      </c>
      <c r="E103" s="17">
        <f t="shared" si="12"/>
        <v>0.13893024162942882</v>
      </c>
      <c r="F103" s="17">
        <f t="shared" si="12"/>
        <v>0.21304928113830096</v>
      </c>
      <c r="G103" s="17">
        <f t="shared" si="12"/>
        <v>0.2180723038404313</v>
      </c>
      <c r="H103" s="107"/>
      <c r="I103" s="107"/>
      <c r="J103" s="107"/>
      <c r="K103" s="107"/>
    </row>
    <row r="104" spans="1:11">
      <c r="A104" t="str">
        <f t="shared" si="5"/>
        <v>Net margin</v>
      </c>
      <c r="B104" s="17">
        <f t="shared" ref="B104:G104" si="13">B120/B116</f>
        <v>1.0823941144363296E-2</v>
      </c>
      <c r="C104" s="17">
        <f t="shared" si="13"/>
        <v>4.859896768514179E-2</v>
      </c>
      <c r="D104" s="17">
        <f t="shared" si="13"/>
        <v>-1.0825595886587635E-2</v>
      </c>
      <c r="E104" s="17">
        <f t="shared" si="13"/>
        <v>-0.13413015884158702</v>
      </c>
      <c r="F104" s="17">
        <f t="shared" si="13"/>
        <v>7.1851040301682656E-2</v>
      </c>
      <c r="G104" s="17">
        <f t="shared" si="13"/>
        <v>8.0614766774608909E-2</v>
      </c>
      <c r="H104" s="107"/>
      <c r="I104" s="107"/>
      <c r="J104" s="107"/>
      <c r="K104" s="107"/>
    </row>
    <row r="105" spans="1:11">
      <c r="A105" t="str">
        <f t="shared" si="5"/>
        <v>ROE</v>
      </c>
      <c r="C105" s="17">
        <f>C121/((B129+C129)/2)</f>
        <v>9.0782956247589738E-2</v>
      </c>
      <c r="D105" s="17">
        <f>D121/((C129+D129)/2)</f>
        <v>-8.4585940061468572E-3</v>
      </c>
      <c r="E105" s="17">
        <f>E121/((D129+E129)/2)</f>
        <v>-0.19313121065458094</v>
      </c>
      <c r="F105" s="17">
        <f>F121/((E129+F129)/2)</f>
        <v>0.18709509137883737</v>
      </c>
      <c r="G105" s="17">
        <f>G121/((F129+G129)/2)</f>
        <v>0.16522882292185076</v>
      </c>
      <c r="H105" s="107"/>
      <c r="I105" s="107"/>
      <c r="J105" s="107"/>
      <c r="K105" s="107"/>
    </row>
    <row r="106" spans="1:11">
      <c r="A106" t="str">
        <f t="shared" si="5"/>
        <v>ROA</v>
      </c>
      <c r="C106" s="17">
        <f>C121/((B128+C128)/2)</f>
        <v>4.5803698215799202E-2</v>
      </c>
      <c r="D106" s="17">
        <f>D121/((C128+D128)/2)</f>
        <v>-4.1188042901068303E-3</v>
      </c>
      <c r="E106" s="17">
        <f>E121/((D128+E128)/2)</f>
        <v>-9.1034127133718529E-2</v>
      </c>
      <c r="F106" s="17">
        <f>F121/((E128+F128)/2)</f>
        <v>8.591630098584245E-2</v>
      </c>
      <c r="G106" s="17">
        <f>G121/((F128+G128)/2)</f>
        <v>7.9071121707695355E-2</v>
      </c>
      <c r="H106" s="107"/>
      <c r="I106" s="107"/>
      <c r="J106" s="107"/>
      <c r="K106" s="107"/>
    </row>
    <row r="107" spans="1:11">
      <c r="A107" t="str">
        <f t="shared" si="5"/>
        <v>Asset turnover</v>
      </c>
      <c r="C107" s="144">
        <f>C116/((B128+C128)/2)</f>
        <v>0.93820947051453829</v>
      </c>
      <c r="D107" s="144">
        <f>D116/((C128+D128)/2)</f>
        <v>0.69485685190604274</v>
      </c>
      <c r="E107" s="144">
        <f>E116/((D128+E128)/2)</f>
        <v>0.71509319008767103</v>
      </c>
      <c r="F107" s="144">
        <f>F116/((E128+F128)/2)</f>
        <v>1.1397966833111379</v>
      </c>
      <c r="G107" s="144">
        <f>G116/((F128+G128)/2)</f>
        <v>0.95422163552184214</v>
      </c>
      <c r="H107" s="107"/>
      <c r="I107" s="107"/>
      <c r="J107" s="107"/>
      <c r="K107" s="107"/>
    </row>
    <row r="108" spans="1:11">
      <c r="C108" s="144"/>
      <c r="D108" s="144"/>
      <c r="E108" s="144"/>
      <c r="F108" s="144"/>
      <c r="G108" s="144"/>
      <c r="H108" s="107"/>
      <c r="I108" s="107"/>
      <c r="J108" s="107"/>
      <c r="K108" s="107"/>
    </row>
    <row r="109" spans="1:11">
      <c r="A109" t="str">
        <f t="shared" si="5"/>
        <v>Revenue growth</v>
      </c>
      <c r="B109" s="17">
        <f t="shared" ref="B109:G109" si="14">IFERROR(B116/A116-1,0)</f>
        <v>0</v>
      </c>
      <c r="C109" s="17">
        <f t="shared" si="14"/>
        <v>0.66292250313569157</v>
      </c>
      <c r="D109" s="17">
        <f t="shared" si="14"/>
        <v>-0.13517633864324019</v>
      </c>
      <c r="E109" s="17">
        <f t="shared" si="14"/>
        <v>6.7051292936738394E-2</v>
      </c>
      <c r="F109" s="17">
        <f t="shared" si="14"/>
        <v>0.52412818805865946</v>
      </c>
      <c r="G109" s="17">
        <f t="shared" si="14"/>
        <v>-0.12825438674919232</v>
      </c>
      <c r="H109" s="107"/>
      <c r="I109" s="107"/>
      <c r="J109" s="107"/>
      <c r="K109" s="107"/>
    </row>
    <row r="110" spans="1:11">
      <c r="A110" t="str">
        <f t="shared" si="5"/>
        <v>Net income growth</v>
      </c>
      <c r="B110" s="17">
        <f t="shared" ref="B110:G110" si="15">IFERROR(B120/A120-1,0)</f>
        <v>0</v>
      </c>
      <c r="C110" s="17">
        <f t="shared" si="15"/>
        <v>6.4664409123171076</v>
      </c>
      <c r="D110" s="17">
        <f t="shared" si="15"/>
        <v>-1.1926425995643055</v>
      </c>
      <c r="E110" s="17">
        <f t="shared" si="15"/>
        <v>12.220866630634958</v>
      </c>
      <c r="F110" s="17">
        <f t="shared" si="15"/>
        <v>-1.8164472241807239</v>
      </c>
      <c r="G110" s="17">
        <f t="shared" si="15"/>
        <v>-2.1926905944094965E-2</v>
      </c>
      <c r="H110" s="107"/>
      <c r="I110" s="107"/>
      <c r="J110" s="107"/>
      <c r="K110" s="107"/>
    </row>
    <row r="111" spans="1:11">
      <c r="A111" t="str">
        <f t="shared" si="5"/>
        <v>Total asset growth</v>
      </c>
      <c r="B111" s="17">
        <f t="shared" ref="B111:G111" si="16">IFERROR(B128/A128-1,0)</f>
        <v>0</v>
      </c>
      <c r="C111" s="17">
        <f t="shared" si="16"/>
        <v>0.1219226920706713</v>
      </c>
      <c r="D111" s="17">
        <f t="shared" si="16"/>
        <v>0.20850637107426473</v>
      </c>
      <c r="E111" s="17">
        <f t="shared" si="16"/>
        <v>-0.1051810880999976</v>
      </c>
      <c r="F111" s="17">
        <f t="shared" si="16"/>
        <v>2.483344202139226E-2</v>
      </c>
      <c r="G111" s="17">
        <f t="shared" si="16"/>
        <v>5.7329798485107553E-2</v>
      </c>
      <c r="H111" s="107"/>
      <c r="I111" s="107"/>
      <c r="J111" s="107"/>
      <c r="K111" s="107"/>
    </row>
    <row r="112" spans="1:11">
      <c r="A112" t="str">
        <f t="shared" si="5"/>
        <v>Debt to equity</v>
      </c>
      <c r="B112" s="17">
        <f t="shared" ref="B112:G112" si="17">B130/B129</f>
        <v>0.58094207971747158</v>
      </c>
      <c r="C112" s="17">
        <f t="shared" si="17"/>
        <v>0.61628832216122631</v>
      </c>
      <c r="D112" s="17">
        <f t="shared" si="17"/>
        <v>0.72487488605424721</v>
      </c>
      <c r="E112" s="17">
        <f t="shared" si="17"/>
        <v>0.84932064586033207</v>
      </c>
      <c r="F112" s="17">
        <f t="shared" si="17"/>
        <v>0.74949355755691505</v>
      </c>
      <c r="G112" s="17">
        <f t="shared" si="17"/>
        <v>0.6818616212745251</v>
      </c>
      <c r="H112" s="107"/>
      <c r="I112" s="107"/>
      <c r="J112" s="107"/>
      <c r="K112" s="107"/>
    </row>
    <row r="113" spans="1:11">
      <c r="A113" t="str">
        <f t="shared" si="5"/>
        <v>Current ratio</v>
      </c>
      <c r="B113" s="145">
        <f t="shared" ref="B113:G113" si="18">B127/B132</f>
        <v>1.6759458067508717</v>
      </c>
      <c r="C113" s="145">
        <f t="shared" si="18"/>
        <v>1.4403383601059383</v>
      </c>
      <c r="D113" s="145">
        <f t="shared" si="18"/>
        <v>1.5097567051856604</v>
      </c>
      <c r="E113" s="145">
        <f t="shared" si="18"/>
        <v>1.2361925639062317</v>
      </c>
      <c r="F113" s="145">
        <f t="shared" si="18"/>
        <v>1.4003500469320789</v>
      </c>
      <c r="G113" s="145">
        <f t="shared" si="18"/>
        <v>1.4625738342309977</v>
      </c>
      <c r="H113" s="107"/>
      <c r="I113" s="107"/>
      <c r="J113" s="107"/>
      <c r="K113" s="107"/>
    </row>
    <row r="114" spans="1:11">
      <c r="A114" t="str">
        <f t="shared" si="5"/>
        <v>Interest cover</v>
      </c>
      <c r="B114" s="7">
        <f t="shared" ref="B114:G114" si="19">(B118+B123)/B123</f>
        <v>2.084927509379777</v>
      </c>
      <c r="C114" s="7">
        <f t="shared" si="19"/>
        <v>1.9282966230901482</v>
      </c>
      <c r="D114" s="7">
        <f t="shared" si="19"/>
        <v>0.87366912108314287</v>
      </c>
      <c r="E114" s="7">
        <f t="shared" si="19"/>
        <v>-1.2447576650873027</v>
      </c>
      <c r="F114" s="7">
        <f t="shared" si="19"/>
        <v>4.1021480430876993</v>
      </c>
      <c r="G114" s="7">
        <f t="shared" si="19"/>
        <v>3.8072842484667038</v>
      </c>
      <c r="H114" s="107"/>
      <c r="I114" s="107"/>
      <c r="J114" s="107"/>
      <c r="K114" s="107"/>
    </row>
    <row r="115" spans="1:11">
      <c r="H115" s="107"/>
      <c r="I115" s="107"/>
      <c r="J115" s="107"/>
      <c r="K115" s="107"/>
    </row>
    <row r="116" spans="1:11" outlineLevel="1">
      <c r="A116" t="s">
        <v>1</v>
      </c>
      <c r="B116" s="99">
        <v>1488.9801030000001</v>
      </c>
      <c r="C116" s="99">
        <v>2476.05852</v>
      </c>
      <c r="D116" s="99">
        <v>2141.3539949999999</v>
      </c>
      <c r="E116" s="99">
        <v>2284.9345490000001</v>
      </c>
      <c r="F116" s="99">
        <v>3482.5331540000002</v>
      </c>
      <c r="G116" s="99">
        <v>3035.8829999999998</v>
      </c>
      <c r="H116" s="107"/>
      <c r="I116" s="107"/>
      <c r="J116" s="107"/>
      <c r="K116" s="107"/>
    </row>
    <row r="117" spans="1:11" outlineLevel="1">
      <c r="A117" t="s">
        <v>356</v>
      </c>
      <c r="B117" s="99">
        <v>256.39782000000002</v>
      </c>
      <c r="C117" s="99">
        <v>465.47522199999997</v>
      </c>
      <c r="D117" s="99">
        <v>305.053224</v>
      </c>
      <c r="E117" s="99">
        <v>317.44650899999999</v>
      </c>
      <c r="F117" s="99">
        <v>741.95118500000001</v>
      </c>
      <c r="G117" s="99">
        <v>662.04200000000003</v>
      </c>
      <c r="H117" s="107"/>
      <c r="I117" s="107"/>
      <c r="J117" s="107"/>
      <c r="K117" s="107"/>
    </row>
    <row r="118" spans="1:11" outlineLevel="1">
      <c r="A118" t="s">
        <v>354</v>
      </c>
      <c r="B118" s="99">
        <v>46.844999999999999</v>
      </c>
      <c r="C118" s="99">
        <v>143.083</v>
      </c>
      <c r="D118" s="99">
        <v>-20.004999999999999</v>
      </c>
      <c r="E118" s="99">
        <v>-376.17200000000003</v>
      </c>
      <c r="F118" s="99">
        <v>359.185</v>
      </c>
      <c r="G118" s="99">
        <v>289.73700000000002</v>
      </c>
      <c r="H118" s="107"/>
      <c r="I118" s="107"/>
      <c r="J118" s="107"/>
      <c r="K118" s="107"/>
    </row>
    <row r="119" spans="1:11" outlineLevel="1">
      <c r="A119" t="s">
        <v>367</v>
      </c>
      <c r="B119" s="99">
        <f t="shared" ref="B119:G119" si="20">B118+B122+B123-B124</f>
        <v>144.09599999999998</v>
      </c>
      <c r="C119" s="99">
        <f t="shared" si="20"/>
        <v>340.178</v>
      </c>
      <c r="D119" s="99">
        <f t="shared" si="20"/>
        <v>219.56800000000001</v>
      </c>
      <c r="E119" s="99">
        <f t="shared" si="20"/>
        <v>-130.59500000000006</v>
      </c>
      <c r="F119" s="99">
        <f t="shared" si="20"/>
        <v>444.84789900000004</v>
      </c>
      <c r="G119" s="99">
        <f t="shared" si="20"/>
        <v>439.83500000000004</v>
      </c>
      <c r="H119" s="107"/>
      <c r="I119" s="107"/>
      <c r="J119" s="107"/>
      <c r="K119" s="107"/>
    </row>
    <row r="120" spans="1:11" outlineLevel="1">
      <c r="A120" t="s">
        <v>357</v>
      </c>
      <c r="B120" s="99">
        <v>16.116633</v>
      </c>
      <c r="C120" s="99">
        <v>120.333888</v>
      </c>
      <c r="D120" s="99">
        <v>-23.181432999999998</v>
      </c>
      <c r="E120" s="99">
        <v>-306.478634</v>
      </c>
      <c r="F120" s="99">
        <v>250.22363000000001</v>
      </c>
      <c r="G120" s="99">
        <v>244.73699999999999</v>
      </c>
      <c r="H120" s="107"/>
      <c r="I120" s="107"/>
      <c r="J120" s="107"/>
      <c r="K120" s="107"/>
    </row>
    <row r="121" spans="1:11" outlineLevel="1">
      <c r="A121" t="s">
        <v>362</v>
      </c>
      <c r="B121" s="99">
        <v>16.116</v>
      </c>
      <c r="C121" s="99">
        <v>120.88200000000001</v>
      </c>
      <c r="D121" s="99">
        <v>-12.693</v>
      </c>
      <c r="E121" s="99">
        <v>-290.88099999999997</v>
      </c>
      <c r="F121" s="99">
        <v>262.50854299999997</v>
      </c>
      <c r="G121" s="99">
        <v>251.56700000000001</v>
      </c>
      <c r="H121" s="107"/>
      <c r="I121" s="107"/>
      <c r="J121" s="107"/>
      <c r="K121" s="107"/>
    </row>
    <row r="122" spans="1:11" outlineLevel="1">
      <c r="A122" t="s">
        <v>363</v>
      </c>
      <c r="B122" s="99">
        <v>58.972999999999999</v>
      </c>
      <c r="C122" s="99">
        <v>62.66</v>
      </c>
      <c r="D122" s="99">
        <v>83.519000000000005</v>
      </c>
      <c r="E122" s="99">
        <v>80.299000000000007</v>
      </c>
      <c r="F122" s="99">
        <v>81.456000000000003</v>
      </c>
      <c r="G122" s="99">
        <f>83.85+0.977+0.68</f>
        <v>85.507000000000005</v>
      </c>
      <c r="H122" s="107"/>
      <c r="I122" s="107"/>
      <c r="J122" s="107"/>
      <c r="K122" s="107"/>
    </row>
    <row r="123" spans="1:11" outlineLevel="1">
      <c r="A123" t="s">
        <v>364</v>
      </c>
      <c r="B123" s="99">
        <v>43.177999999999997</v>
      </c>
      <c r="C123" s="99">
        <v>154.13499999999999</v>
      </c>
      <c r="D123" s="99">
        <v>158.35400000000001</v>
      </c>
      <c r="E123" s="99">
        <v>167.578</v>
      </c>
      <c r="F123" s="99">
        <v>115.785899</v>
      </c>
      <c r="G123" s="99">
        <v>103.209</v>
      </c>
      <c r="H123" s="107"/>
      <c r="I123" s="107"/>
      <c r="J123" s="107"/>
      <c r="K123" s="107"/>
    </row>
    <row r="124" spans="1:11" outlineLevel="1">
      <c r="A124" t="s">
        <v>365</v>
      </c>
      <c r="B124" s="99">
        <v>4.9000000000000004</v>
      </c>
      <c r="C124" s="99">
        <f>17.2+2.5</f>
        <v>19.7</v>
      </c>
      <c r="D124" s="99">
        <f>1.5+0.8</f>
        <v>2.2999999999999998</v>
      </c>
      <c r="E124" s="99">
        <f>1.5+0.8</f>
        <v>2.2999999999999998</v>
      </c>
      <c r="F124" s="99">
        <f>111.421+0.158</f>
        <v>111.57900000000001</v>
      </c>
      <c r="G124" s="99">
        <v>38.618000000000002</v>
      </c>
      <c r="H124" s="107"/>
      <c r="I124" s="107"/>
      <c r="J124" s="107"/>
      <c r="K124" s="107"/>
    </row>
    <row r="125" spans="1:11" outlineLevel="1">
      <c r="A125" t="s">
        <v>182</v>
      </c>
      <c r="B125" s="99">
        <v>66.805000000000007</v>
      </c>
      <c r="C125" s="99">
        <f>66.982+9.682+7.642</f>
        <v>84.305999999999997</v>
      </c>
      <c r="D125" s="99">
        <f>96.363+10.786+3.453</f>
        <v>110.602</v>
      </c>
      <c r="E125" s="99">
        <f>105.587+11.766+4.853</f>
        <v>122.206</v>
      </c>
      <c r="F125" s="99">
        <f>125.389+15.292+5.927</f>
        <v>146.60799999999998</v>
      </c>
      <c r="H125" s="107"/>
      <c r="I125" s="107"/>
      <c r="J125" s="107"/>
      <c r="K125" s="107"/>
    </row>
    <row r="126" spans="1:11" outlineLevel="1">
      <c r="A126" t="s">
        <v>353</v>
      </c>
      <c r="B126" s="99">
        <v>33.320999999999998</v>
      </c>
      <c r="C126" s="99">
        <v>16.437000000000001</v>
      </c>
      <c r="D126" s="99">
        <v>16.079999999999998</v>
      </c>
      <c r="E126" s="99">
        <v>10.420999999999999</v>
      </c>
      <c r="F126" s="99">
        <v>43.012</v>
      </c>
      <c r="G126" s="99">
        <v>73.334000000000003</v>
      </c>
      <c r="H126" s="107"/>
      <c r="I126" s="107"/>
      <c r="J126" s="107"/>
      <c r="K126" s="107"/>
    </row>
    <row r="127" spans="1:11" outlineLevel="1">
      <c r="A127" t="s">
        <v>358</v>
      </c>
      <c r="B127" s="99">
        <v>1821.0089720000001</v>
      </c>
      <c r="C127" s="99">
        <v>1850.146311</v>
      </c>
      <c r="D127" s="99">
        <v>2033.442994</v>
      </c>
      <c r="E127" s="99">
        <v>1679.046188</v>
      </c>
      <c r="F127" s="99">
        <v>1793.251861</v>
      </c>
      <c r="G127" s="99">
        <v>1999.7070000000001</v>
      </c>
      <c r="H127" s="107"/>
      <c r="I127" s="107"/>
      <c r="J127" s="107"/>
      <c r="K127" s="107"/>
    </row>
    <row r="128" spans="1:11" outlineLevel="1">
      <c r="A128" t="s">
        <v>361</v>
      </c>
      <c r="B128" s="99">
        <v>2487.4910719999998</v>
      </c>
      <c r="C128" s="99">
        <v>2790.77268</v>
      </c>
      <c r="D128" s="99">
        <v>3372.6665640000001</v>
      </c>
      <c r="E128" s="99">
        <v>3017.9258249999998</v>
      </c>
      <c r="F128" s="99">
        <v>3092.8713109999999</v>
      </c>
      <c r="G128" s="99">
        <v>3270.1849999999999</v>
      </c>
      <c r="H128" s="107"/>
      <c r="I128" s="107"/>
      <c r="J128" s="107"/>
      <c r="K128" s="107"/>
    </row>
    <row r="129" spans="1:11" outlineLevel="1">
      <c r="A129" t="s">
        <v>366</v>
      </c>
      <c r="B129" s="99">
        <v>1318.3810000000001</v>
      </c>
      <c r="C129" s="99">
        <v>1344.7180000000001</v>
      </c>
      <c r="D129" s="99">
        <v>1656.49</v>
      </c>
      <c r="E129" s="99">
        <v>1355.7729999999999</v>
      </c>
      <c r="F129" s="99">
        <f>(894565898+555812146)/1000000</f>
        <v>1450.378044</v>
      </c>
      <c r="G129" s="99">
        <v>1594.6959999999999</v>
      </c>
      <c r="H129" s="107"/>
      <c r="I129" s="107"/>
      <c r="J129" s="107"/>
      <c r="K129" s="107"/>
    </row>
    <row r="130" spans="1:11" outlineLevel="1">
      <c r="A130" t="s">
        <v>327</v>
      </c>
      <c r="B130" s="99">
        <f>29.86+10.5+26.767+4.424+658.946+35.406</f>
        <v>765.90300000000002</v>
      </c>
      <c r="C130" s="99">
        <f>55.204+9.684+33.434+4.581+647.131+78.7</f>
        <v>828.73400000000004</v>
      </c>
      <c r="D130" s="99">
        <f>217.485+6.234+54.158+5.859+843.246+73.766</f>
        <v>1200.748</v>
      </c>
      <c r="E130" s="99">
        <f>182.843+2.757+63.292+3.48+771.034+128.08</f>
        <v>1151.4859999999999</v>
      </c>
      <c r="F130" s="99">
        <f>187.473+1.058+93.99+1.629+767.506+35.393</f>
        <v>1087.049</v>
      </c>
      <c r="G130" s="99">
        <f>142.263+104.817+768.178+72.104</f>
        <v>1087.3620000000001</v>
      </c>
      <c r="H130" s="107"/>
      <c r="I130" s="107"/>
      <c r="J130" s="107"/>
      <c r="K130" s="107"/>
    </row>
    <row r="131" spans="1:11" outlineLevel="1">
      <c r="A131" t="s">
        <v>368</v>
      </c>
      <c r="B131" s="28">
        <f t="shared" ref="B131:G131" si="21">(B135*B92)+B130-B126</f>
        <v>2833.6033895648534</v>
      </c>
      <c r="C131" s="28">
        <f t="shared" si="21"/>
        <v>3166.6014433999999</v>
      </c>
      <c r="D131" s="28">
        <f t="shared" si="21"/>
        <v>2584.2415044430377</v>
      </c>
      <c r="E131" s="28">
        <f t="shared" si="21"/>
        <v>2232.6797498148158</v>
      </c>
      <c r="F131" s="28">
        <f t="shared" si="21"/>
        <v>2638.9286799242423</v>
      </c>
      <c r="G131" s="28">
        <f t="shared" si="21"/>
        <v>3168.0923356597518</v>
      </c>
      <c r="H131" s="107"/>
      <c r="I131" s="107"/>
      <c r="J131" s="107"/>
      <c r="K131" s="107"/>
    </row>
    <row r="132" spans="1:11" outlineLevel="1">
      <c r="A132" t="s">
        <v>359</v>
      </c>
      <c r="B132" s="99">
        <v>1086.556</v>
      </c>
      <c r="C132" s="99">
        <v>1284.5219999999999</v>
      </c>
      <c r="D132" s="99">
        <v>1346.8679999999999</v>
      </c>
      <c r="E132" s="99">
        <v>1358.24</v>
      </c>
      <c r="F132" s="99">
        <v>1280.5740000000001</v>
      </c>
      <c r="G132" s="99">
        <v>1367.252</v>
      </c>
      <c r="H132" s="107"/>
      <c r="I132" s="107"/>
      <c r="J132" s="107"/>
      <c r="K132" s="107"/>
    </row>
    <row r="133" spans="1:11" outlineLevel="1">
      <c r="A133" t="s">
        <v>360</v>
      </c>
      <c r="B133" s="99">
        <v>47.98</v>
      </c>
      <c r="C133" s="99">
        <v>-169.78700000000001</v>
      </c>
      <c r="D133" s="99">
        <v>-283.41000000000003</v>
      </c>
      <c r="E133" s="99">
        <v>62.448999999999998</v>
      </c>
      <c r="F133" s="99">
        <v>168.471</v>
      </c>
      <c r="G133" s="99">
        <v>133.54900000000001</v>
      </c>
      <c r="H133" s="107"/>
      <c r="I133" s="107"/>
      <c r="J133" s="107"/>
      <c r="K133" s="107"/>
    </row>
    <row r="134" spans="1:11" outlineLevel="1">
      <c r="A134" t="s">
        <v>198</v>
      </c>
      <c r="B134" s="99">
        <f>81.854+1.88-10.345</f>
        <v>73.388999999999996</v>
      </c>
      <c r="C134" s="99">
        <f>307.305+0.377-3.2+29.99</f>
        <v>334.47200000000004</v>
      </c>
      <c r="D134" s="99">
        <f>72.818+0.48-1.334+2.817</f>
        <v>74.781000000000006</v>
      </c>
      <c r="E134" s="99">
        <f>104.997+0.14-15</f>
        <v>90.137</v>
      </c>
      <c r="F134" s="99">
        <f>104.101+0.45</f>
        <v>104.551</v>
      </c>
      <c r="G134" s="99">
        <f>57.258+0.637-41.65-21.95</f>
        <v>-5.7049999999999947</v>
      </c>
      <c r="H134" s="107"/>
      <c r="I134" s="107"/>
      <c r="J134" s="107"/>
      <c r="K134" s="107"/>
    </row>
    <row r="135" spans="1:11" outlineLevel="1">
      <c r="A135" t="s">
        <v>326</v>
      </c>
      <c r="B135" s="99">
        <v>537.51242999999999</v>
      </c>
      <c r="C135" s="99">
        <v>537.51242999999999</v>
      </c>
      <c r="D135" s="99">
        <v>537.51242999999999</v>
      </c>
      <c r="E135" s="99">
        <v>537.51242999999999</v>
      </c>
      <c r="F135" s="99">
        <v>537.51242999999999</v>
      </c>
      <c r="G135" s="99">
        <v>537.51242999999999</v>
      </c>
      <c r="H135" s="107"/>
      <c r="I135" s="107"/>
      <c r="J135" s="107"/>
      <c r="K135" s="107"/>
    </row>
    <row r="136" spans="1:11">
      <c r="H136" s="107"/>
      <c r="I136" s="107"/>
      <c r="J136" s="107"/>
      <c r="K136" s="107"/>
    </row>
    <row r="137" spans="1:11">
      <c r="H137" s="107"/>
      <c r="I137" s="107"/>
      <c r="J137" s="107"/>
      <c r="K137" s="107"/>
    </row>
    <row r="138" spans="1:11">
      <c r="A138" s="3" t="s">
        <v>345</v>
      </c>
      <c r="B138" s="6"/>
      <c r="C138" s="6"/>
      <c r="D138" s="6"/>
      <c r="E138" s="6"/>
      <c r="F138" s="6"/>
      <c r="G138" s="6"/>
      <c r="H138" s="6"/>
      <c r="I138" s="6"/>
      <c r="J138" s="6"/>
      <c r="K138" s="6"/>
    </row>
    <row r="139" spans="1:11">
      <c r="A139" t="s">
        <v>344</v>
      </c>
      <c r="G139" s="99">
        <v>127</v>
      </c>
      <c r="H139" s="107"/>
      <c r="I139" s="107"/>
      <c r="J139" s="107"/>
      <c r="K139" s="107"/>
    </row>
    <row r="140" spans="1:11">
      <c r="A140" t="s">
        <v>15</v>
      </c>
      <c r="G140" s="99">
        <v>22.79</v>
      </c>
      <c r="H140" s="107"/>
      <c r="I140" s="107"/>
      <c r="J140" s="107"/>
      <c r="K140" s="107"/>
    </row>
    <row r="141" spans="1:11">
      <c r="A141" t="s">
        <v>177</v>
      </c>
      <c r="G141" s="99">
        <f>G139/G140</f>
        <v>5.5726195699868368</v>
      </c>
      <c r="H141" s="107"/>
      <c r="I141" s="107"/>
      <c r="J141" s="107"/>
      <c r="K141" s="107"/>
    </row>
    <row r="142" spans="1:11">
      <c r="A142" t="s">
        <v>346</v>
      </c>
      <c r="G142" s="99">
        <v>146.47</v>
      </c>
      <c r="H142" s="107"/>
      <c r="I142" s="107"/>
      <c r="J142" s="107"/>
      <c r="K142" s="107"/>
    </row>
    <row r="143" spans="1:11">
      <c r="A143" t="s">
        <v>326</v>
      </c>
      <c r="G143" s="99">
        <v>21.8</v>
      </c>
      <c r="H143" s="107"/>
      <c r="I143" s="107"/>
      <c r="J143" s="107"/>
      <c r="K143" s="107"/>
    </row>
    <row r="144" spans="1:11">
      <c r="A144" t="s">
        <v>408</v>
      </c>
      <c r="G144" s="99">
        <f>31.84+24+129.175</f>
        <v>185.01500000000001</v>
      </c>
      <c r="H144" s="107"/>
      <c r="I144" s="107"/>
      <c r="J144" s="107"/>
      <c r="K144" s="107"/>
    </row>
    <row r="145" spans="1:11">
      <c r="A145" t="s">
        <v>353</v>
      </c>
      <c r="G145" s="99">
        <v>603.57000000000005</v>
      </c>
      <c r="H145" s="107"/>
      <c r="I145" s="107"/>
      <c r="J145" s="107"/>
      <c r="K145" s="107"/>
    </row>
    <row r="146" spans="1:11">
      <c r="A146" t="s">
        <v>368</v>
      </c>
      <c r="G146" s="7">
        <f>(G139*G143)+G144-G145</f>
        <v>2350.0449999999996</v>
      </c>
      <c r="H146" s="107"/>
      <c r="I146" s="107"/>
      <c r="J146" s="107"/>
      <c r="K146" s="107"/>
    </row>
    <row r="147" spans="1:11">
      <c r="A147" t="s">
        <v>354</v>
      </c>
      <c r="G147" s="7">
        <v>680.62199999999996</v>
      </c>
      <c r="H147" s="107"/>
      <c r="I147" s="107"/>
      <c r="J147" s="107"/>
      <c r="K147" s="107"/>
    </row>
    <row r="148" spans="1:11">
      <c r="A148" t="s">
        <v>409</v>
      </c>
      <c r="G148" s="7">
        <f>79.8+1.1</f>
        <v>80.899999999999991</v>
      </c>
      <c r="H148" s="107"/>
      <c r="I148" s="107"/>
      <c r="J148" s="107"/>
      <c r="K148" s="107"/>
    </row>
    <row r="149" spans="1:11">
      <c r="A149" t="s">
        <v>410</v>
      </c>
      <c r="G149" s="7">
        <v>17.369</v>
      </c>
      <c r="H149" s="107"/>
      <c r="I149" s="107"/>
      <c r="J149" s="107"/>
      <c r="K149" s="107"/>
    </row>
    <row r="150" spans="1:11">
      <c r="A150" t="s">
        <v>355</v>
      </c>
      <c r="G150" s="7">
        <f>G147+G148+G149</f>
        <v>778.89099999999996</v>
      </c>
      <c r="H150" s="107"/>
      <c r="I150" s="107"/>
      <c r="J150" s="107"/>
      <c r="K150" s="107"/>
    </row>
    <row r="151" spans="1:11">
      <c r="A151" t="s">
        <v>178</v>
      </c>
      <c r="G151" s="145">
        <f>G146/G150</f>
        <v>3.0171679991166926</v>
      </c>
      <c r="H151" s="107"/>
      <c r="I151" s="107"/>
      <c r="J151" s="107"/>
      <c r="K151" s="107"/>
    </row>
    <row r="152" spans="1:11">
      <c r="A152" t="s">
        <v>1</v>
      </c>
      <c r="G152" s="145">
        <v>6620</v>
      </c>
      <c r="H152" s="107"/>
      <c r="I152" s="107"/>
      <c r="J152" s="107"/>
      <c r="K152" s="107"/>
    </row>
    <row r="153" spans="1:11">
      <c r="G153" s="145"/>
      <c r="H153" s="107"/>
      <c r="I153" s="107"/>
      <c r="J153" s="107"/>
      <c r="K153" s="107"/>
    </row>
    <row r="154" spans="1:11">
      <c r="A154" t="s">
        <v>352</v>
      </c>
      <c r="H154" s="107"/>
      <c r="I154" s="107"/>
      <c r="J154" s="107"/>
      <c r="K154" s="107"/>
    </row>
    <row r="155" spans="1:11">
      <c r="A155" t="s">
        <v>344</v>
      </c>
      <c r="H155" s="107"/>
      <c r="I155" s="107"/>
      <c r="J155" s="107"/>
      <c r="K155" s="107"/>
    </row>
    <row r="156" spans="1:11">
      <c r="A156" t="s">
        <v>15</v>
      </c>
      <c r="H156" s="107"/>
      <c r="I156" s="107"/>
      <c r="J156" s="107"/>
      <c r="K156" s="107"/>
    </row>
    <row r="157" spans="1:11">
      <c r="A157" t="s">
        <v>177</v>
      </c>
      <c r="H157" s="107"/>
      <c r="I157" s="107"/>
      <c r="J157" s="107"/>
      <c r="K157" s="107"/>
    </row>
    <row r="158" spans="1:11">
      <c r="H158" s="107"/>
      <c r="I158" s="107"/>
      <c r="J158" s="107"/>
      <c r="K158" s="107"/>
    </row>
    <row r="159" spans="1:11">
      <c r="H159" s="107"/>
      <c r="I159" s="107"/>
      <c r="J159" s="107"/>
      <c r="K159" s="107"/>
    </row>
    <row r="160" spans="1:11">
      <c r="H160" s="107"/>
      <c r="I160" s="107"/>
      <c r="J160" s="107"/>
      <c r="K160" s="107"/>
    </row>
    <row r="161" spans="8:11">
      <c r="H161" s="107"/>
      <c r="I161" s="107"/>
      <c r="J161" s="107"/>
      <c r="K161" s="107"/>
    </row>
    <row r="162" spans="8:11">
      <c r="H162" s="107"/>
      <c r="I162" s="107"/>
      <c r="J162" s="107"/>
      <c r="K162" s="107"/>
    </row>
    <row r="163" spans="8:11">
      <c r="H163" s="107"/>
      <c r="I163" s="107"/>
      <c r="J163" s="107"/>
      <c r="K163" s="107"/>
    </row>
    <row r="164" spans="8:11">
      <c r="H164" s="107"/>
      <c r="I164" s="107"/>
      <c r="J164" s="107"/>
      <c r="K164" s="107"/>
    </row>
    <row r="165" spans="8:11">
      <c r="H165" s="107"/>
      <c r="I165" s="107"/>
      <c r="J165" s="107"/>
      <c r="K165" s="107"/>
    </row>
    <row r="166" spans="8:11">
      <c r="H166" s="107"/>
      <c r="I166" s="107"/>
      <c r="J166" s="107"/>
      <c r="K166" s="107"/>
    </row>
    <row r="167" spans="8:11">
      <c r="H167" s="107"/>
      <c r="I167" s="107"/>
      <c r="J167" s="107"/>
      <c r="K167" s="107"/>
    </row>
    <row r="168" spans="8:11">
      <c r="H168" s="107"/>
      <c r="I168" s="107"/>
      <c r="J168" s="107"/>
      <c r="K168" s="107"/>
    </row>
    <row r="169" spans="8:11">
      <c r="H169" s="107"/>
      <c r="I169" s="107"/>
      <c r="J169" s="107"/>
      <c r="K169" s="107"/>
    </row>
    <row r="170" spans="8:11">
      <c r="H170" s="107"/>
      <c r="I170" s="107"/>
      <c r="J170" s="107"/>
      <c r="K170" s="107"/>
    </row>
    <row r="171" spans="8:11">
      <c r="H171" s="107"/>
      <c r="I171" s="107"/>
      <c r="J171" s="107"/>
      <c r="K171" s="107"/>
    </row>
    <row r="172" spans="8:11">
      <c r="H172" s="107"/>
      <c r="I172" s="107"/>
      <c r="J172" s="107"/>
      <c r="K172" s="107"/>
    </row>
    <row r="173" spans="8:11">
      <c r="H173" s="107"/>
      <c r="I173" s="107"/>
      <c r="J173" s="107"/>
      <c r="K173" s="107"/>
    </row>
    <row r="174" spans="8:11">
      <c r="H174" s="107"/>
      <c r="I174" s="107"/>
      <c r="J174" s="107"/>
      <c r="K174" s="107"/>
    </row>
    <row r="175" spans="8:11">
      <c r="H175" s="107"/>
      <c r="I175" s="107"/>
      <c r="J175" s="107"/>
      <c r="K175" s="10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24" r:id="rId3" name="Drop Down 8">
              <controlPr defaultSize="0" autoLine="0" autoPict="0">
                <anchor moveWithCells="1">
                  <from>
                    <xdr:col>0</xdr:col>
                    <xdr:colOff>175260</xdr:colOff>
                    <xdr:row>4</xdr:row>
                    <xdr:rowOff>144780</xdr:rowOff>
                  </from>
                  <to>
                    <xdr:col>1</xdr:col>
                    <xdr:colOff>83820</xdr:colOff>
                    <xdr:row>6</xdr:row>
                    <xdr:rowOff>99060</xdr:rowOff>
                  </to>
                </anchor>
              </controlPr>
            </control>
          </mc:Choice>
        </mc:AlternateContent>
        <mc:AlternateContent xmlns:mc="http://schemas.openxmlformats.org/markup-compatibility/2006">
          <mc:Choice Requires="x14">
            <control shapeId="34825" r:id="rId4" name="Drop Down 9">
              <controlPr defaultSize="0" autoLine="0" autoPict="0">
                <anchor moveWithCells="1">
                  <from>
                    <xdr:col>5</xdr:col>
                    <xdr:colOff>7620</xdr:colOff>
                    <xdr:row>4</xdr:row>
                    <xdr:rowOff>114300</xdr:rowOff>
                  </from>
                  <to>
                    <xdr:col>7</xdr:col>
                    <xdr:colOff>525780</xdr:colOff>
                    <xdr:row>6</xdr:row>
                    <xdr:rowOff>76200</xdr:rowOff>
                  </to>
                </anchor>
              </controlPr>
            </control>
          </mc:Choice>
        </mc:AlternateContent>
        <mc:AlternateContent xmlns:mc="http://schemas.openxmlformats.org/markup-compatibility/2006">
          <mc:Choice Requires="x14">
            <control shapeId="34826" r:id="rId5" name="Drop Down 10">
              <controlPr defaultSize="0" autoLine="0" autoPict="0">
                <anchor moveWithCells="1">
                  <from>
                    <xdr:col>0</xdr:col>
                    <xdr:colOff>175260</xdr:colOff>
                    <xdr:row>24</xdr:row>
                    <xdr:rowOff>60960</xdr:rowOff>
                  </from>
                  <to>
                    <xdr:col>1</xdr:col>
                    <xdr:colOff>83820</xdr:colOff>
                    <xdr:row>26</xdr:row>
                    <xdr:rowOff>22860</xdr:rowOff>
                  </to>
                </anchor>
              </controlPr>
            </control>
          </mc:Choice>
        </mc:AlternateContent>
        <mc:AlternateContent xmlns:mc="http://schemas.openxmlformats.org/markup-compatibility/2006">
          <mc:Choice Requires="x14">
            <control shapeId="34827" r:id="rId6" name="Drop Down 11">
              <controlPr defaultSize="0" autoLine="0" autoPict="0">
                <anchor moveWithCells="1">
                  <from>
                    <xdr:col>4</xdr:col>
                    <xdr:colOff>693420</xdr:colOff>
                    <xdr:row>24</xdr:row>
                    <xdr:rowOff>45720</xdr:rowOff>
                  </from>
                  <to>
                    <xdr:col>7</xdr:col>
                    <xdr:colOff>495300</xdr:colOff>
                    <xdr:row>26</xdr:row>
                    <xdr:rowOff>7620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R77"/>
  <sheetViews>
    <sheetView showGridLines="0" workbookViewId="0">
      <pane xSplit="1" ySplit="4" topLeftCell="C35" activePane="bottomRight" state="frozen"/>
      <selection activeCell="J2" sqref="J2"/>
      <selection pane="topRight" activeCell="J2" sqref="J2"/>
      <selection pane="bottomLeft" activeCell="J2" sqref="J2"/>
      <selection pane="bottomRight" activeCell="G41" sqref="G41"/>
    </sheetView>
  </sheetViews>
  <sheetFormatPr defaultRowHeight="14.4"/>
  <cols>
    <col min="1" max="1" width="30.44140625" customWidth="1"/>
    <col min="2" max="14" width="10.6640625" customWidth="1"/>
    <col min="15" max="15" width="9.5546875" bestFit="1" customWidth="1"/>
    <col min="16" max="16" width="10.44140625" customWidth="1"/>
    <col min="17" max="17" width="10.5546875" bestFit="1" customWidth="1"/>
  </cols>
  <sheetData>
    <row r="1" spans="1:18" ht="15" customHeight="1">
      <c r="A1" s="3" t="s">
        <v>0</v>
      </c>
      <c r="B1" s="68"/>
      <c r="C1" s="148" t="str">
        <f>Summary!$A$31</f>
        <v>DDM</v>
      </c>
      <c r="D1" s="148" t="str">
        <f>Summary!$A$32</f>
        <v>FCFE</v>
      </c>
      <c r="E1" s="148" t="str">
        <f>Summary!$A$33</f>
        <v>PER</v>
      </c>
      <c r="F1" s="148" t="str">
        <f>Summary!$A$34</f>
        <v>PBV</v>
      </c>
      <c r="G1" s="148" t="str">
        <f>Summary!$A$35</f>
        <v>EV/EBITDA</v>
      </c>
      <c r="H1" s="682" t="str">
        <f ca="1">Summary!$J$45</f>
        <v>SELL</v>
      </c>
      <c r="I1" s="682"/>
      <c r="J1" s="148" t="str">
        <f>Summary!A41</f>
        <v>Fair value</v>
      </c>
      <c r="K1" s="6"/>
      <c r="L1" s="6"/>
      <c r="M1" s="6"/>
      <c r="N1" s="6"/>
    </row>
    <row r="2" spans="1:18" ht="15" customHeight="1">
      <c r="A2" s="3" t="s">
        <v>308</v>
      </c>
      <c r="B2" s="69"/>
      <c r="C2" s="149"/>
      <c r="D2" s="149">
        <f>Summary!J32</f>
        <v>32.51756655746712</v>
      </c>
      <c r="E2" s="149">
        <f>Summary!J33</f>
        <v>86.898258961539284</v>
      </c>
      <c r="F2" s="149"/>
      <c r="G2" s="149"/>
      <c r="H2" s="682"/>
      <c r="I2" s="682"/>
      <c r="J2" s="149">
        <f>Summary!$J$41</f>
        <v>59.707912759503202</v>
      </c>
      <c r="K2" s="6"/>
      <c r="L2" s="6"/>
      <c r="M2" s="6"/>
      <c r="N2" s="6"/>
    </row>
    <row r="3" spans="1:18">
      <c r="A3" s="3" t="s">
        <v>371</v>
      </c>
      <c r="B3" s="69"/>
      <c r="C3" s="69"/>
      <c r="D3" s="69"/>
      <c r="E3" s="69"/>
      <c r="F3" s="69"/>
      <c r="G3" s="69"/>
      <c r="H3" s="6">
        <v>0</v>
      </c>
      <c r="I3" s="6">
        <f>H3+1</f>
        <v>1</v>
      </c>
      <c r="J3" s="6">
        <f>I3+1</f>
        <v>2</v>
      </c>
      <c r="K3" s="6">
        <f>J3+1</f>
        <v>3</v>
      </c>
      <c r="L3" s="6">
        <f t="shared" ref="L3:N3" si="0">K3+1</f>
        <v>4</v>
      </c>
      <c r="M3" s="6">
        <f t="shared" si="0"/>
        <v>5</v>
      </c>
      <c r="N3" s="6">
        <f t="shared" si="0"/>
        <v>6</v>
      </c>
    </row>
    <row r="4" spans="1:18">
      <c r="A4" s="3"/>
      <c r="B4" s="3" t="str">
        <f>'IS &amp; BS'!B3</f>
        <v>FY11</v>
      </c>
      <c r="C4" s="3" t="str">
        <f>'IS &amp; BS'!C3</f>
        <v>FY12</v>
      </c>
      <c r="D4" s="3" t="str">
        <f>'IS &amp; BS'!D3</f>
        <v>FY13</v>
      </c>
      <c r="E4" s="3" t="str">
        <f>'IS &amp; BS'!E3</f>
        <v>FY14</v>
      </c>
      <c r="F4" s="3" t="str">
        <f>'IS &amp; BS'!F3</f>
        <v>FY15</v>
      </c>
      <c r="G4" s="3" t="str">
        <f>'IS &amp; BS'!G3</f>
        <v>FY16</v>
      </c>
      <c r="H4" s="3" t="str">
        <f>'IS &amp; BS'!H3</f>
        <v>FY17</v>
      </c>
      <c r="I4" s="3" t="str">
        <f>'IS &amp; BS'!I3</f>
        <v>FY18E</v>
      </c>
      <c r="J4" s="3" t="str">
        <f>'IS &amp; BS'!J3</f>
        <v>FY19E</v>
      </c>
      <c r="K4" s="3" t="str">
        <f>'IS &amp; BS'!K3</f>
        <v>FY20E</v>
      </c>
      <c r="L4" s="3" t="str">
        <f>'IS &amp; BS'!L3</f>
        <v>FY21E</v>
      </c>
      <c r="M4" s="3" t="str">
        <f>'IS &amp; BS'!M3</f>
        <v>FY22E</v>
      </c>
      <c r="N4" s="3" t="str">
        <f>'IS &amp; BS'!N3</f>
        <v>FY23E</v>
      </c>
    </row>
    <row r="5" spans="1:18">
      <c r="A5" s="3" t="s">
        <v>179</v>
      </c>
      <c r="B5" s="3"/>
      <c r="C5" s="3"/>
      <c r="D5" s="3"/>
      <c r="E5" s="3"/>
      <c r="F5" s="3"/>
      <c r="G5" s="3"/>
      <c r="H5" s="3"/>
      <c r="I5" s="3"/>
      <c r="J5" s="3"/>
      <c r="K5" s="3"/>
      <c r="L5" s="3"/>
      <c r="M5" s="3"/>
      <c r="N5" s="3"/>
    </row>
    <row r="6" spans="1:18">
      <c r="A6" t="s">
        <v>2800</v>
      </c>
      <c r="B6" s="10">
        <f>IS_BS_Assumptions!B167</f>
        <v>0</v>
      </c>
      <c r="C6" s="10">
        <f>IS_BS_Assumptions!C167</f>
        <v>0.35</v>
      </c>
      <c r="D6" s="10">
        <f>IS_BS_Assumptions!D167</f>
        <v>0.50000267140038812</v>
      </c>
      <c r="E6" s="10">
        <f>IS_BS_Assumptions!E167</f>
        <v>0.50000267140038812</v>
      </c>
      <c r="F6" s="10">
        <f>IS_BS_Assumptions!F167</f>
        <v>0.50000267140038812</v>
      </c>
      <c r="G6" s="10">
        <f>IS_BS_Assumptions!G167</f>
        <v>1</v>
      </c>
      <c r="H6" s="10">
        <f>IS_BS_Assumptions!H167</f>
        <v>1.5</v>
      </c>
      <c r="I6" s="127">
        <f>IS_BS_Assumptions!I167</f>
        <v>0.95099618971099831</v>
      </c>
      <c r="J6" s="127">
        <f>IS_BS_Assumptions!J167</f>
        <v>1.6293423555288615</v>
      </c>
      <c r="K6" s="127"/>
      <c r="L6" s="127"/>
      <c r="M6" s="127"/>
      <c r="N6" s="127"/>
    </row>
    <row r="7" spans="1:18">
      <c r="A7" t="s">
        <v>323</v>
      </c>
      <c r="I7" s="57"/>
      <c r="J7" s="63">
        <f>(J6*(1+$G$37))/(G40-G37)</f>
        <v>11.474555752890325</v>
      </c>
      <c r="K7" s="63"/>
      <c r="L7" s="63"/>
      <c r="M7" s="63"/>
      <c r="N7" s="63"/>
    </row>
    <row r="8" spans="1:18">
      <c r="A8" t="s">
        <v>314</v>
      </c>
      <c r="G8" s="5"/>
      <c r="H8" s="5">
        <f>1/((1+$G$40)^H3)</f>
        <v>1</v>
      </c>
      <c r="I8" s="138">
        <f>1/((1+$G$40)^I3)</f>
        <v>0.85015506828445508</v>
      </c>
      <c r="J8" s="138">
        <f>1/((1+$G$40)^J3)</f>
        <v>0.72276364012974659</v>
      </c>
      <c r="K8" s="138"/>
      <c r="L8" s="138"/>
      <c r="M8" s="138"/>
      <c r="N8" s="138"/>
    </row>
    <row r="9" spans="1:18">
      <c r="A9" t="s">
        <v>315</v>
      </c>
      <c r="G9" s="10"/>
      <c r="H9" s="10">
        <f>H6*H8</f>
        <v>1.5</v>
      </c>
      <c r="I9" s="127">
        <f>I6*I8</f>
        <v>0.80849423060201042</v>
      </c>
      <c r="J9" s="127">
        <f>(J6+J7)*J8</f>
        <v>9.4710210967303521</v>
      </c>
      <c r="K9" s="127"/>
      <c r="L9" s="127"/>
      <c r="M9" s="127"/>
      <c r="N9" s="127"/>
    </row>
    <row r="10" spans="1:18">
      <c r="A10" t="s">
        <v>324</v>
      </c>
      <c r="H10" s="10">
        <f>SUM(H9:J9)</f>
        <v>11.779515327332362</v>
      </c>
      <c r="I10" s="127">
        <f>(I6*H8)+(J6*I8)+(J7*I8)</f>
        <v>12.091341580866654</v>
      </c>
      <c r="J10" s="138"/>
      <c r="K10" s="138"/>
      <c r="L10" s="138"/>
      <c r="M10" s="138"/>
      <c r="N10" s="138"/>
      <c r="R10" s="17"/>
    </row>
    <row r="11" spans="1:18">
      <c r="A11" t="s">
        <v>319</v>
      </c>
      <c r="G11" s="99">
        <f>G50</f>
        <v>43</v>
      </c>
      <c r="H11" s="99"/>
      <c r="I11" s="138"/>
      <c r="J11" s="138"/>
      <c r="K11" s="138"/>
      <c r="L11" s="138"/>
      <c r="M11" s="138"/>
      <c r="N11" s="138"/>
      <c r="R11" s="17"/>
    </row>
    <row r="12" spans="1:18">
      <c r="A12" t="s">
        <v>320</v>
      </c>
      <c r="G12" s="17">
        <f>((H10-G11)+H6)/G11</f>
        <v>-0.69117406215506139</v>
      </c>
      <c r="H12" s="17"/>
      <c r="I12" s="138"/>
      <c r="J12" s="138"/>
      <c r="K12" s="138"/>
      <c r="L12" s="138"/>
      <c r="M12" s="138"/>
      <c r="N12" s="138"/>
      <c r="R12" s="17"/>
    </row>
    <row r="13" spans="1:18">
      <c r="A13" t="s">
        <v>377</v>
      </c>
      <c r="B13" s="137">
        <f>IS_BS_Assumptions!B171</f>
        <v>0</v>
      </c>
      <c r="C13" s="17">
        <f>IS_BS_Assumptions!C171</f>
        <v>8.5675911665668306E-2</v>
      </c>
      <c r="D13" s="17">
        <f>IS_BS_Assumptions!D171</f>
        <v>0.11202578971565205</v>
      </c>
      <c r="E13" s="17">
        <f>IS_BS_Assumptions!E171</f>
        <v>0.13566178552418545</v>
      </c>
      <c r="F13" s="17">
        <f>IS_BS_Assumptions!F171</f>
        <v>6.9678863434360375E-2</v>
      </c>
      <c r="G13" s="17">
        <f>IS_BS_Assumptions!G171</f>
        <v>0.10953369202239926</v>
      </c>
      <c r="H13" s="17">
        <f>IS_BS_Assumptions!H171</f>
        <v>0.16073777208431908</v>
      </c>
      <c r="I13" s="124">
        <f>IS_BS_Assumptions!I171</f>
        <v>0.15</v>
      </c>
      <c r="J13" s="124">
        <f>IS_BS_Assumptions!J171</f>
        <v>0.15</v>
      </c>
      <c r="K13" s="124">
        <f>IS_BS_Assumptions!K171</f>
        <v>0.15</v>
      </c>
      <c r="L13" s="124"/>
      <c r="M13" s="124"/>
      <c r="N13" s="124"/>
      <c r="R13" s="17"/>
    </row>
    <row r="14" spans="1:18">
      <c r="I14" s="57"/>
      <c r="J14" s="57"/>
      <c r="K14" s="57"/>
      <c r="L14" s="57"/>
      <c r="M14" s="57"/>
      <c r="N14" s="57"/>
    </row>
    <row r="15" spans="1:18">
      <c r="A15" s="3" t="s">
        <v>335</v>
      </c>
      <c r="B15" s="3"/>
      <c r="C15" s="3"/>
      <c r="D15" s="3"/>
      <c r="E15" s="3"/>
      <c r="F15" s="3"/>
      <c r="G15" s="3"/>
      <c r="H15" s="3"/>
      <c r="I15" s="3"/>
      <c r="J15" s="3"/>
      <c r="K15" s="3"/>
      <c r="L15" s="3"/>
      <c r="M15" s="3"/>
      <c r="N15" s="3"/>
    </row>
    <row r="16" spans="1:18">
      <c r="I16" s="57"/>
      <c r="J16" s="57"/>
      <c r="K16" s="57"/>
      <c r="L16" s="57"/>
      <c r="M16" s="57"/>
      <c r="N16" s="57"/>
    </row>
    <row r="17" spans="1:16">
      <c r="A17" s="1" t="s">
        <v>106</v>
      </c>
      <c r="B17" s="105">
        <f>'IS &amp; BS'!B10</f>
        <v>676.45531199999937</v>
      </c>
      <c r="C17" s="105">
        <f>'IS &amp; BS'!C10</f>
        <v>1020.6767329999996</v>
      </c>
      <c r="D17" s="105">
        <f>'IS &amp; BS'!D10</f>
        <v>1089.7921820000001</v>
      </c>
      <c r="E17" s="105">
        <f>'IS &amp; BS'!E10</f>
        <v>972.07399999999825</v>
      </c>
      <c r="F17" s="105">
        <f>'IS &amp; BS'!F10</f>
        <v>1596.511</v>
      </c>
      <c r="G17" s="105">
        <f>'IS &amp; BS'!G10</f>
        <v>1892.5889999999993</v>
      </c>
      <c r="H17" s="105">
        <f>'IS &amp; BS'!H10</f>
        <v>2008.8699999999985</v>
      </c>
      <c r="I17" s="107">
        <f>'IS &amp; BS'!I10</f>
        <v>1665.8344171987794</v>
      </c>
      <c r="J17" s="107">
        <f>'IS &amp; BS'!J10</f>
        <v>2572.1309785383332</v>
      </c>
      <c r="K17" s="107">
        <f>'IS &amp; BS'!K10</f>
        <v>3055.6692372425518</v>
      </c>
      <c r="L17" s="107">
        <f>'IS &amp; BS'!L10</f>
        <v>4195.7324688111212</v>
      </c>
      <c r="M17" s="107">
        <f>'IS &amp; BS'!M10</f>
        <v>4116.3416341720067</v>
      </c>
      <c r="N17" s="107">
        <f>'IS &amp; BS'!N10</f>
        <v>3372.8123151521945</v>
      </c>
    </row>
    <row r="18" spans="1:16">
      <c r="A18" s="1" t="s">
        <v>291</v>
      </c>
      <c r="B18" s="139">
        <f>IS_BS_Assumptions!B101</f>
        <v>0.36237461452673309</v>
      </c>
      <c r="C18" s="139">
        <f>IS_BS_Assumptions!C101</f>
        <v>0.26729003642209442</v>
      </c>
      <c r="D18" s="139">
        <f>IS_BS_Assumptions!D101</f>
        <v>0.21628082652362624</v>
      </c>
      <c r="E18" s="139">
        <f>IS_BS_Assumptions!E101</f>
        <v>0.25655262679512886</v>
      </c>
      <c r="F18" s="139">
        <f>IS_BS_Assumptions!F101</f>
        <v>0.23961257250517642</v>
      </c>
      <c r="G18" s="139">
        <f>IS_BS_Assumptions!G101</f>
        <v>0.25146760303888499</v>
      </c>
      <c r="H18" s="139">
        <f>IS_BS_Assumptions!H101</f>
        <v>0.28852809449138422</v>
      </c>
      <c r="I18" s="124">
        <f>IS_BS_Assumptions!I101</f>
        <v>0.28852809449138422</v>
      </c>
      <c r="J18" s="124">
        <f>IS_BS_Assumptions!J101</f>
        <v>0.28852809449138422</v>
      </c>
      <c r="K18" s="124">
        <f>IS_BS_Assumptions!K101</f>
        <v>0.28852809449138422</v>
      </c>
      <c r="L18" s="124">
        <f>IS_BS_Assumptions!L101</f>
        <v>0.28852809449138422</v>
      </c>
      <c r="M18" s="124">
        <f>IS_BS_Assumptions!M101</f>
        <v>0.28852809449138422</v>
      </c>
      <c r="N18" s="124">
        <f>IS_BS_Assumptions!N101</f>
        <v>0.28852809449138422</v>
      </c>
    </row>
    <row r="19" spans="1:16">
      <c r="A19" s="1" t="s">
        <v>325</v>
      </c>
      <c r="B19" s="105">
        <f t="shared" ref="B19:K19" si="1">B17*(1-B18)</f>
        <v>431.32507906943869</v>
      </c>
      <c r="C19" s="105">
        <f t="shared" si="1"/>
        <v>747.86001186124531</v>
      </c>
      <c r="D19" s="105">
        <f t="shared" si="1"/>
        <v>854.09102813805396</v>
      </c>
      <c r="E19" s="105">
        <f t="shared" si="1"/>
        <v>722.68586186075072</v>
      </c>
      <c r="F19" s="105">
        <f t="shared" si="1"/>
        <v>1213.9668922571882</v>
      </c>
      <c r="G19" s="105">
        <f t="shared" si="1"/>
        <v>1416.6641806322393</v>
      </c>
      <c r="H19" s="105">
        <f t="shared" si="1"/>
        <v>1429.2545668190921</v>
      </c>
      <c r="I19" s="107">
        <f t="shared" si="1"/>
        <v>1185.1943870662501</v>
      </c>
      <c r="J19" s="107">
        <f t="shared" si="1"/>
        <v>1829.9989285184085</v>
      </c>
      <c r="K19" s="107">
        <f t="shared" si="1"/>
        <v>2174.0228148250171</v>
      </c>
      <c r="L19" s="107">
        <f t="shared" ref="L19:N19" si="2">L17*(1-L18)</f>
        <v>2985.1457745894172</v>
      </c>
      <c r="M19" s="107">
        <f t="shared" si="2"/>
        <v>2928.6614261888071</v>
      </c>
      <c r="N19" s="107">
        <f t="shared" si="2"/>
        <v>2399.6612047842577</v>
      </c>
    </row>
    <row r="20" spans="1:16">
      <c r="A20" s="1" t="s">
        <v>329</v>
      </c>
      <c r="B20" s="105">
        <f>IS_BS_Assumptions!B87+IS_BS_Assumptions!B88</f>
        <v>117.59742</v>
      </c>
      <c r="C20" s="105">
        <f>IS_BS_Assumptions!C87+IS_BS_Assumptions!C88</f>
        <v>145.60977199999999</v>
      </c>
      <c r="D20" s="105">
        <f>IS_BS_Assumptions!D87+IS_BS_Assumptions!D88</f>
        <v>163.89400000000001</v>
      </c>
      <c r="E20" s="105">
        <f>IS_BS_Assumptions!E87+IS_BS_Assumptions!E88</f>
        <v>179.11600000000001</v>
      </c>
      <c r="F20" s="105">
        <f>IS_BS_Assumptions!F87+IS_BS_Assumptions!F88</f>
        <v>194.77600000000001</v>
      </c>
      <c r="G20" s="105">
        <f>IS_BS_Assumptions!G87+IS_BS_Assumptions!G88</f>
        <v>236.559</v>
      </c>
      <c r="H20" s="105">
        <f>IS_BS_Assumptions!H87+IS_BS_Assumptions!H88</f>
        <v>227.70000000000002</v>
      </c>
      <c r="I20" s="107">
        <f>IS_BS_Assumptions!I87+IS_BS_Assumptions!I88</f>
        <v>219.43003596975436</v>
      </c>
      <c r="J20" s="107">
        <f>IS_BS_Assumptions!J87+IS_BS_Assumptions!J88</f>
        <v>213.91635004055337</v>
      </c>
      <c r="K20" s="107">
        <f>IS_BS_Assumptions!K87+IS_BS_Assumptions!K88</f>
        <v>208.60401574736343</v>
      </c>
      <c r="L20" s="107">
        <f>IS_BS_Assumptions!L87+IS_BS_Assumptions!L88</f>
        <v>203.48386673698053</v>
      </c>
      <c r="M20" s="107">
        <f>IS_BS_Assumptions!M87+IS_BS_Assumptions!M88</f>
        <v>198.54756798510971</v>
      </c>
      <c r="N20" s="107">
        <f>IS_BS_Assumptions!N87+IS_BS_Assumptions!N88</f>
        <v>193.78746456224403</v>
      </c>
    </row>
    <row r="21" spans="1:16">
      <c r="A21" s="1" t="s">
        <v>322</v>
      </c>
      <c r="B21" s="105">
        <f>Cashflow!B40+Cashflow!B41+Cashflow!B43</f>
        <v>-165.75672600000001</v>
      </c>
      <c r="C21" s="105">
        <f>Cashflow!C40+Cashflow!C41+Cashflow!C43</f>
        <v>-150.037521</v>
      </c>
      <c r="D21" s="105">
        <f>Cashflow!D40+Cashflow!D41+Cashflow!D43</f>
        <v>-229.11445599999999</v>
      </c>
      <c r="E21" s="105">
        <f>Cashflow!E40+Cashflow!E41+Cashflow!E43</f>
        <v>-228.07499999999999</v>
      </c>
      <c r="F21" s="105">
        <f>Cashflow!F40+Cashflow!F41+Cashflow!F43</f>
        <v>-201.78700000000001</v>
      </c>
      <c r="G21" s="105">
        <f>Cashflow!G40+Cashflow!G41+Cashflow!G43</f>
        <v>-136.584</v>
      </c>
      <c r="H21" s="105">
        <f>Cashflow!H40+Cashflow!H41+Cashflow!H43</f>
        <v>-116.637</v>
      </c>
      <c r="I21" s="107">
        <f>Cashflow!I40+Cashflow!I41+Cashflow!I43</f>
        <v>-135.34760333333332</v>
      </c>
      <c r="J21" s="107">
        <f>Cashflow!J40+Cashflow!J41+Cashflow!J43</f>
        <v>-139.78596043520179</v>
      </c>
      <c r="K21" s="107">
        <f>Cashflow!K40+Cashflow!K41+Cashflow!K43</f>
        <v>-124.34332988494452</v>
      </c>
      <c r="L21" s="107">
        <f>Cashflow!L40+Cashflow!L41+Cashflow!L43</f>
        <v>-131.4728550440376</v>
      </c>
      <c r="M21" s="107">
        <f>Cashflow!M40+Cashflow!M41+Cashflow!M43</f>
        <v>-126.06082374488867</v>
      </c>
      <c r="N21" s="107">
        <f>Cashflow!N40+Cashflow!N41+Cashflow!N43</f>
        <v>-125.01692380129325</v>
      </c>
    </row>
    <row r="22" spans="1:16">
      <c r="A22" s="1" t="s">
        <v>321</v>
      </c>
      <c r="B22" s="105">
        <f>Cashflow!B23+Cashflow!B24+Cashflow!B25</f>
        <v>-606.57774800000016</v>
      </c>
      <c r="C22" s="105">
        <f>Cashflow!C23+Cashflow!C24+Cashflow!C25</f>
        <v>488.38813199999993</v>
      </c>
      <c r="D22" s="105">
        <f>Cashflow!D23+Cashflow!D24+Cashflow!D25</f>
        <v>-1081.460871</v>
      </c>
      <c r="E22" s="105">
        <f>Cashflow!E23+Cashflow!E24+Cashflow!E25</f>
        <v>-799.16399999999999</v>
      </c>
      <c r="F22" s="105">
        <f>Cashflow!F23+Cashflow!F24+Cashflow!F25</f>
        <v>-237.52799999999979</v>
      </c>
      <c r="G22" s="105">
        <f>Cashflow!G23+Cashflow!G24+Cashflow!G25</f>
        <v>551.61600000000067</v>
      </c>
      <c r="H22" s="105">
        <f>Cashflow!H23+Cashflow!H24+Cashflow!H25</f>
        <v>-1519.8830000000007</v>
      </c>
      <c r="I22" s="107">
        <f>Cashflow!I23+Cashflow!I24+Cashflow!I25</f>
        <v>-976.69576735356372</v>
      </c>
      <c r="J22" s="107">
        <f>Cashflow!J23+Cashflow!J24+Cashflow!J25</f>
        <v>-2173.6779010755681</v>
      </c>
      <c r="K22" s="107">
        <f>Cashflow!K23+Cashflow!K24+Cashflow!K25</f>
        <v>-2103.5742593434707</v>
      </c>
      <c r="L22" s="107">
        <f>Cashflow!L23+Cashflow!L24+Cashflow!L25</f>
        <v>-1382.7889481227503</v>
      </c>
      <c r="M22" s="107">
        <f>Cashflow!M23+Cashflow!M24+Cashflow!M25</f>
        <v>-1525.2963014521974</v>
      </c>
      <c r="N22" s="107">
        <f>Cashflow!N23+Cashflow!N24+Cashflow!N25</f>
        <v>-1986.1212933730512</v>
      </c>
    </row>
    <row r="23" spans="1:16">
      <c r="A23" s="1" t="s">
        <v>180</v>
      </c>
      <c r="B23" s="105">
        <f t="shared" ref="B23:K23" si="3">B19+B20+B21+B22</f>
        <v>-223.41197493056148</v>
      </c>
      <c r="C23" s="105">
        <f t="shared" si="3"/>
        <v>1231.8203948612454</v>
      </c>
      <c r="D23" s="105">
        <f t="shared" si="3"/>
        <v>-292.59029886194605</v>
      </c>
      <c r="E23" s="105">
        <f t="shared" si="3"/>
        <v>-125.43713813924933</v>
      </c>
      <c r="F23" s="105">
        <f t="shared" si="3"/>
        <v>969.42789225718843</v>
      </c>
      <c r="G23" s="105">
        <f t="shared" si="3"/>
        <v>2068.2551806322399</v>
      </c>
      <c r="H23" s="105">
        <f t="shared" si="3"/>
        <v>20.434566819091515</v>
      </c>
      <c r="I23" s="107">
        <f t="shared" si="3"/>
        <v>292.58105234910727</v>
      </c>
      <c r="J23" s="107">
        <f t="shared" si="3"/>
        <v>-269.54858295180793</v>
      </c>
      <c r="K23" s="107">
        <f t="shared" si="3"/>
        <v>154.70924134396546</v>
      </c>
      <c r="L23" s="107">
        <f t="shared" ref="L23:N23" si="4">L19+L20+L21+L22</f>
        <v>1674.3678381596096</v>
      </c>
      <c r="M23" s="107">
        <f t="shared" si="4"/>
        <v>1475.8518689768307</v>
      </c>
      <c r="N23" s="107">
        <f t="shared" si="4"/>
        <v>482.31045217215751</v>
      </c>
    </row>
    <row r="24" spans="1:16">
      <c r="A24" s="1"/>
      <c r="B24" s="105"/>
      <c r="C24" s="105"/>
      <c r="D24" s="105"/>
      <c r="E24" s="105"/>
      <c r="F24" s="105"/>
      <c r="G24" s="17"/>
      <c r="H24" s="17"/>
      <c r="I24" s="142"/>
      <c r="J24" s="142"/>
      <c r="K24" s="142"/>
      <c r="L24" s="142"/>
      <c r="M24" s="142"/>
      <c r="N24" s="142"/>
      <c r="P24" s="17"/>
    </row>
    <row r="25" spans="1:16">
      <c r="A25" s="1" t="s">
        <v>314</v>
      </c>
      <c r="B25" s="105"/>
      <c r="C25" s="105"/>
      <c r="D25" s="105"/>
      <c r="E25" s="105"/>
      <c r="F25" s="105"/>
      <c r="G25" s="17"/>
      <c r="H25" s="672">
        <f>1/((1+DCF!$G$49)^DCF!H3)</f>
        <v>1</v>
      </c>
      <c r="I25" s="142">
        <f>1/((1+DCF!$G$49)^DCF!I3)</f>
        <v>0.87726666403368425</v>
      </c>
      <c r="J25" s="142">
        <f>1/((1+DCF!$G$49)^DCF!J3)</f>
        <v>0.76959679982478901</v>
      </c>
      <c r="K25" s="142">
        <f>1/((1+DCF!$G$49)^DCF!K3)</f>
        <v>0.6751416172332918</v>
      </c>
      <c r="L25" s="142">
        <f>1/((1+DCF!$G$49)^DCF!L3)</f>
        <v>0.5922792343005564</v>
      </c>
      <c r="M25" s="142">
        <f>1/((1+DCF!$G$49)^DCF!M3)</f>
        <v>0.51958682805127399</v>
      </c>
      <c r="N25" s="142">
        <f>1/((1+DCF!$G$49)^DCF!N3)</f>
        <v>0.45581620332038458</v>
      </c>
    </row>
    <row r="26" spans="1:16">
      <c r="A26" s="1" t="s">
        <v>2972</v>
      </c>
      <c r="B26" s="105"/>
      <c r="C26" s="105"/>
      <c r="D26" s="105"/>
      <c r="E26" s="105"/>
      <c r="F26" s="105"/>
      <c r="G26" s="17"/>
      <c r="H26" s="17"/>
      <c r="I26" s="142"/>
      <c r="J26" s="142"/>
      <c r="K26" s="107">
        <f>(K23*(1+DCF!$G$37))/(DCF!G49-DCF!G37)</f>
        <v>1449.9031335096377</v>
      </c>
      <c r="L26" s="107"/>
      <c r="M26" s="107"/>
      <c r="N26" s="107">
        <f>(N23*(1+DCF!$G$37))/(DCF!$G$49-DCF!$G$37)</f>
        <v>4520.114182281447</v>
      </c>
    </row>
    <row r="27" spans="1:16">
      <c r="A27" s="1" t="s">
        <v>2971</v>
      </c>
      <c r="B27" s="105"/>
      <c r="C27" s="105"/>
      <c r="D27" s="105"/>
      <c r="E27" s="105"/>
      <c r="F27" s="105"/>
      <c r="G27" s="17"/>
      <c r="H27" s="17">
        <f>H23*H25</f>
        <v>20.434566819091515</v>
      </c>
      <c r="I27" s="107">
        <f>I23*I25</f>
        <v>256.67160375376608</v>
      </c>
      <c r="J27" s="107">
        <f>J23*J25</f>
        <v>-207.44372683701806</v>
      </c>
      <c r="K27" s="107">
        <f>(K23+K26)*K25</f>
        <v>1083.3405937912146</v>
      </c>
      <c r="L27" s="107">
        <f>(L23+L26)*L25</f>
        <v>991.69330112265152</v>
      </c>
      <c r="M27" s="107">
        <f>(M23+M26)*M25</f>
        <v>766.83319127521588</v>
      </c>
      <c r="N27" s="107">
        <f>(N23+N26)*N25</f>
        <v>2280.1862042730045</v>
      </c>
    </row>
    <row r="28" spans="1:16">
      <c r="A28" s="1"/>
      <c r="B28" s="105"/>
      <c r="C28" s="105"/>
      <c r="D28" s="105"/>
      <c r="E28" s="105"/>
      <c r="F28" s="105"/>
      <c r="G28" s="17"/>
      <c r="H28" s="17"/>
      <c r="I28" s="107"/>
      <c r="J28" s="107"/>
      <c r="K28" s="107"/>
      <c r="L28" s="107"/>
      <c r="M28" s="107"/>
      <c r="N28" s="107"/>
    </row>
    <row r="29" spans="1:16">
      <c r="A29" s="1" t="s">
        <v>2969</v>
      </c>
      <c r="B29" s="105"/>
      <c r="C29" s="105"/>
      <c r="D29" s="105"/>
      <c r="E29" s="105"/>
      <c r="F29" s="105"/>
      <c r="G29" s="17"/>
      <c r="H29" s="295">
        <f>SUM(H27:K27)</f>
        <v>1153.0030375270542</v>
      </c>
      <c r="I29" s="107">
        <f>(I23*H25)+(J23*I25)+(K23*J25)+(L23*K25)+(M23*L25)+(N23*M25)+(N26*M25)</f>
        <v>4778.9245766080385</v>
      </c>
      <c r="J29" s="107">
        <f>(J23*H25)+(K23*I25)+(L23*J25)+(M23*K25)+(N23*L25)+(N26*L25)</f>
        <v>5114.0020568325963</v>
      </c>
      <c r="K29" s="107"/>
      <c r="L29" s="107"/>
      <c r="M29" s="107"/>
      <c r="N29" s="107"/>
    </row>
    <row r="30" spans="1:16">
      <c r="A30" s="1" t="s">
        <v>381</v>
      </c>
      <c r="B30" s="105"/>
      <c r="C30" s="105"/>
      <c r="D30" s="105"/>
      <c r="E30" s="105"/>
      <c r="F30" s="105"/>
      <c r="G30" s="295"/>
      <c r="H30" s="295">
        <f>'IS &amp; BS'!H64+'IS &amp; BS'!H72+'IS &amp; BS'!H73</f>
        <v>2795.2539999999999</v>
      </c>
      <c r="I30" s="107">
        <f>'IS &amp; BS'!I64+'IS &amp; BS'!I72+'IS &amp; BS'!I73</f>
        <v>2992.9235767353562</v>
      </c>
      <c r="J30" s="107">
        <f>'IS &amp; BS'!J64+'IS &amp; BS'!J72+'IS &amp; BS'!J73</f>
        <v>3298.9752618966913</v>
      </c>
      <c r="K30" s="107"/>
      <c r="L30" s="107"/>
      <c r="M30" s="107"/>
      <c r="N30" s="107"/>
    </row>
    <row r="31" spans="1:16">
      <c r="A31" s="1" t="s">
        <v>3899</v>
      </c>
      <c r="B31" s="105"/>
      <c r="C31" s="105"/>
      <c r="D31" s="105"/>
      <c r="E31" s="105"/>
      <c r="F31" s="105"/>
      <c r="G31" s="295"/>
      <c r="H31" s="295">
        <f>'IS &amp; BS'!H45+'IS &amp; BS'!H44</f>
        <v>2627.723</v>
      </c>
      <c r="I31" s="107">
        <f>'IS &amp; BS'!I45+'IS &amp; BS'!I44</f>
        <v>2640.1615513979236</v>
      </c>
      <c r="J31" s="107">
        <f>'IS &amp; BS'!J45+'IS &amp; BS'!J44</f>
        <v>2080.16665660737</v>
      </c>
      <c r="K31" s="107"/>
      <c r="L31" s="107"/>
      <c r="M31" s="107"/>
      <c r="N31" s="107"/>
    </row>
    <row r="32" spans="1:16">
      <c r="A32" s="1" t="s">
        <v>328</v>
      </c>
      <c r="B32" s="105"/>
      <c r="C32" s="105"/>
      <c r="D32" s="105"/>
      <c r="E32" s="105"/>
      <c r="F32" s="105"/>
      <c r="H32">
        <f>H29-H30+H31</f>
        <v>985.47203752705423</v>
      </c>
      <c r="I32" s="107">
        <f>I29-I30+I31</f>
        <v>4426.1625512706059</v>
      </c>
      <c r="J32" s="107">
        <f>J29-J30+J31</f>
        <v>3895.1934515432749</v>
      </c>
      <c r="K32" s="107"/>
      <c r="L32" s="107"/>
      <c r="M32" s="107"/>
      <c r="N32" s="107"/>
    </row>
    <row r="33" spans="1:16">
      <c r="A33" s="1" t="s">
        <v>341</v>
      </c>
      <c r="B33" s="105"/>
      <c r="C33" s="105"/>
      <c r="D33" s="105"/>
      <c r="E33" s="105"/>
      <c r="F33" s="105"/>
      <c r="G33" s="295"/>
      <c r="H33" s="295">
        <f>H32/DCF!$G$51</f>
        <v>8.2268449486411104</v>
      </c>
      <c r="I33" s="93">
        <f>I32/DCF!$G$51</f>
        <v>36.9501636171847</v>
      </c>
      <c r="J33" s="93">
        <f>J32/DCF!$G$51</f>
        <v>32.51756655746712</v>
      </c>
      <c r="K33" s="107"/>
      <c r="L33" s="107"/>
      <c r="M33" s="107"/>
      <c r="N33" s="107"/>
    </row>
    <row r="34" spans="1:16">
      <c r="A34" s="1"/>
      <c r="B34" s="105"/>
      <c r="C34" s="105"/>
      <c r="D34" s="105"/>
      <c r="E34" s="105"/>
      <c r="F34" s="105"/>
      <c r="G34" s="295"/>
      <c r="H34" s="295"/>
      <c r="I34" s="107"/>
      <c r="J34" s="107"/>
      <c r="K34" s="107"/>
      <c r="L34" s="107"/>
      <c r="M34" s="107"/>
      <c r="N34" s="107"/>
    </row>
    <row r="35" spans="1:16">
      <c r="A35" s="3" t="s">
        <v>317</v>
      </c>
      <c r="B35" s="3"/>
      <c r="C35" s="3"/>
      <c r="D35" s="3"/>
      <c r="E35" s="3"/>
      <c r="F35" s="3"/>
      <c r="G35" s="3"/>
      <c r="H35" s="3"/>
      <c r="I35" s="3"/>
      <c r="J35" s="3"/>
      <c r="K35" s="3"/>
      <c r="L35" s="3"/>
      <c r="M35" s="3"/>
      <c r="N35" s="3"/>
    </row>
    <row r="36" spans="1:16">
      <c r="C36" s="137"/>
      <c r="D36" s="137"/>
      <c r="E36" s="137"/>
      <c r="F36" s="137"/>
      <c r="G36" s="137"/>
      <c r="H36" s="57"/>
      <c r="I36" s="57"/>
      <c r="J36" s="57"/>
      <c r="K36" s="57"/>
      <c r="L36" s="57"/>
      <c r="M36" s="57"/>
      <c r="N36" s="57"/>
    </row>
    <row r="37" spans="1:16">
      <c r="A37" t="s">
        <v>306</v>
      </c>
      <c r="C37" s="137"/>
      <c r="D37" s="137"/>
      <c r="E37" s="137"/>
      <c r="F37" s="137"/>
      <c r="G37" s="236">
        <v>0.03</v>
      </c>
      <c r="H37" s="57"/>
      <c r="I37" s="57"/>
      <c r="J37" s="57"/>
      <c r="K37" s="57"/>
      <c r="L37" s="57"/>
      <c r="M37" s="57"/>
      <c r="N37" s="57"/>
    </row>
    <row r="38" spans="1:16" s="48" customFormat="1">
      <c r="A38" s="49" t="s">
        <v>310</v>
      </c>
      <c r="B38" s="52"/>
      <c r="C38" s="52"/>
      <c r="D38" s="52"/>
      <c r="E38" s="52"/>
      <c r="F38" s="52"/>
      <c r="G38" s="161">
        <f>(IS_BS_Assumptions!G165-IS_BS_Assumptions!G166)/IS_BS_Assumptions!G165</f>
        <v>0.89046630797760074</v>
      </c>
      <c r="H38" s="58"/>
      <c r="I38" s="58"/>
      <c r="J38" s="58"/>
      <c r="K38" s="58"/>
      <c r="L38" s="58"/>
      <c r="M38" s="58"/>
      <c r="N38" s="58"/>
    </row>
    <row r="39" spans="1:16" s="48" customFormat="1">
      <c r="A39" s="49" t="s">
        <v>288</v>
      </c>
      <c r="C39" s="52"/>
      <c r="D39" s="52"/>
      <c r="E39" s="52"/>
      <c r="F39" s="52"/>
      <c r="G39" s="161">
        <f>'IS &amp; BS'!G17/(('IS &amp; BS'!G56+'IS &amp; BS'!F56)/2)</f>
        <v>0.13812348996187554</v>
      </c>
      <c r="H39" s="58"/>
      <c r="I39" s="58"/>
      <c r="J39" s="58"/>
      <c r="K39" s="58"/>
      <c r="L39" s="58"/>
      <c r="M39" s="58"/>
      <c r="N39" s="58"/>
    </row>
    <row r="40" spans="1:16">
      <c r="A40" t="s">
        <v>307</v>
      </c>
      <c r="G40" s="154">
        <f>G41+((G42*(G43-G41)))</f>
        <v>0.17625600000000002</v>
      </c>
      <c r="H40" s="57"/>
      <c r="I40" s="57"/>
      <c r="J40" s="57"/>
      <c r="K40" s="57"/>
      <c r="L40" s="57"/>
      <c r="M40" s="57"/>
      <c r="N40" s="57"/>
    </row>
    <row r="41" spans="1:16" s="48" customFormat="1">
      <c r="A41" s="49" t="s">
        <v>311</v>
      </c>
      <c r="G41" s="236">
        <v>9.5399999999999999E-2</v>
      </c>
      <c r="H41" s="58"/>
      <c r="I41" s="58"/>
      <c r="J41" s="58"/>
      <c r="K41" s="58"/>
      <c r="L41" s="58"/>
      <c r="M41" s="58"/>
      <c r="N41" s="58"/>
    </row>
    <row r="42" spans="1:16" s="48" customFormat="1">
      <c r="A42" s="49" t="s">
        <v>312</v>
      </c>
      <c r="G42" s="237">
        <v>0.89839999999999998</v>
      </c>
      <c r="H42" s="58"/>
      <c r="I42" s="58"/>
      <c r="J42" s="58"/>
      <c r="K42" s="58"/>
      <c r="L42" s="58"/>
      <c r="M42" s="58"/>
      <c r="N42" s="58"/>
    </row>
    <row r="43" spans="1:16" s="48" customFormat="1">
      <c r="A43" s="49" t="s">
        <v>313</v>
      </c>
      <c r="G43" s="671">
        <f>G41+9%</f>
        <v>0.18540000000000001</v>
      </c>
      <c r="H43" s="58"/>
      <c r="I43" s="58"/>
      <c r="J43" s="58"/>
      <c r="K43" s="58"/>
      <c r="L43" s="58"/>
      <c r="M43" s="58"/>
      <c r="N43" s="58"/>
      <c r="O43" s="48" t="s">
        <v>2986</v>
      </c>
    </row>
    <row r="44" spans="1:16">
      <c r="A44" s="45" t="s">
        <v>330</v>
      </c>
      <c r="G44" s="154">
        <f>G45*(1-H46)</f>
        <v>8.537662866103389E-2</v>
      </c>
      <c r="H44" s="57"/>
      <c r="I44" s="57"/>
      <c r="J44" s="57"/>
      <c r="K44" s="57"/>
      <c r="L44" s="57"/>
      <c r="M44" s="57"/>
      <c r="N44" s="57"/>
    </row>
    <row r="45" spans="1:16" s="48" customFormat="1">
      <c r="A45" s="49" t="s">
        <v>2985</v>
      </c>
      <c r="G45" s="236">
        <v>0.12</v>
      </c>
      <c r="H45" s="58"/>
      <c r="I45" s="58"/>
      <c r="J45" s="58"/>
      <c r="K45" s="58"/>
      <c r="L45" s="58"/>
      <c r="M45" s="58"/>
      <c r="N45" s="58"/>
      <c r="P45" s="236"/>
    </row>
    <row r="46" spans="1:16" s="48" customFormat="1">
      <c r="A46" s="49" t="s">
        <v>2981</v>
      </c>
      <c r="G46" s="175">
        <f>IS_BS_Assumptions!G101</f>
        <v>0.25146760303888499</v>
      </c>
      <c r="H46" s="60">
        <f>IS_BS_Assumptions!H101</f>
        <v>0.28852809449138422</v>
      </c>
      <c r="I46" s="58"/>
      <c r="J46" s="58"/>
      <c r="K46" s="58"/>
      <c r="L46" s="58"/>
      <c r="M46" s="58"/>
      <c r="N46" s="58"/>
      <c r="P46" s="300"/>
    </row>
    <row r="47" spans="1:16">
      <c r="A47" s="45" t="s">
        <v>331</v>
      </c>
      <c r="G47" s="105">
        <f>G51*G50</f>
        <v>5150.8564800000004</v>
      </c>
      <c r="H47" s="128">
        <v>0.6</v>
      </c>
      <c r="I47" s="57"/>
      <c r="J47" s="57"/>
      <c r="K47" s="57"/>
      <c r="L47" s="57"/>
      <c r="M47" s="57"/>
      <c r="N47" s="57"/>
    </row>
    <row r="48" spans="1:16">
      <c r="A48" s="45" t="s">
        <v>332</v>
      </c>
      <c r="F48" t="s">
        <v>3786</v>
      </c>
      <c r="G48" s="105">
        <f>'IS &amp; BS'!G64+'IS &amp; BS'!G72+'IS &amp; BS'!G73</f>
        <v>2647.3960000000002</v>
      </c>
      <c r="H48" s="124">
        <v>0.4</v>
      </c>
      <c r="I48" s="57"/>
      <c r="J48" s="57"/>
      <c r="K48" s="57"/>
      <c r="L48" s="57"/>
      <c r="M48" s="57"/>
      <c r="N48" s="57"/>
      <c r="P48" s="140"/>
    </row>
    <row r="49" spans="1:16">
      <c r="A49" s="45" t="s">
        <v>333</v>
      </c>
      <c r="G49" s="154">
        <f>(G40*H47)+(G44*H48)</f>
        <v>0.13990425146441357</v>
      </c>
      <c r="H49" s="57"/>
      <c r="I49" s="57"/>
      <c r="J49" s="57"/>
      <c r="K49" s="57"/>
      <c r="L49" s="57"/>
      <c r="M49" s="57"/>
      <c r="N49" s="57"/>
      <c r="P49" s="140"/>
    </row>
    <row r="50" spans="1:16">
      <c r="A50" s="45" t="s">
        <v>338</v>
      </c>
      <c r="G50" s="237">
        <v>43</v>
      </c>
      <c r="H50" s="57"/>
      <c r="I50" s="57"/>
      <c r="J50" s="57"/>
      <c r="K50" s="57"/>
      <c r="L50" s="57"/>
      <c r="M50" s="57"/>
      <c r="N50" s="57"/>
      <c r="P50" s="140"/>
    </row>
    <row r="51" spans="1:16">
      <c r="A51" s="45" t="s">
        <v>336</v>
      </c>
      <c r="G51" s="105">
        <f>IS_BS_Assumptions!G170</f>
        <v>119.78736000000001</v>
      </c>
      <c r="H51" s="57"/>
      <c r="I51" s="57"/>
      <c r="J51" s="57"/>
      <c r="K51" s="57"/>
      <c r="L51" s="57"/>
      <c r="M51" s="57"/>
      <c r="N51" s="57"/>
    </row>
    <row r="52" spans="1:16">
      <c r="A52" s="45"/>
      <c r="G52" s="105"/>
      <c r="H52" s="57"/>
      <c r="I52" s="57"/>
      <c r="J52" s="57"/>
      <c r="K52" s="57"/>
      <c r="L52" s="57"/>
      <c r="M52" s="57"/>
      <c r="N52" s="57"/>
    </row>
    <row r="59" spans="1:16">
      <c r="A59" s="3" t="s">
        <v>411</v>
      </c>
      <c r="B59" s="3"/>
      <c r="C59" s="3"/>
      <c r="D59" s="3"/>
      <c r="E59" s="3"/>
      <c r="F59" s="3"/>
      <c r="G59" s="3"/>
      <c r="H59" s="3"/>
      <c r="I59" s="3"/>
      <c r="J59" s="3"/>
      <c r="K59" s="3"/>
      <c r="L59" s="3"/>
      <c r="M59" s="3"/>
      <c r="N59" s="3"/>
    </row>
    <row r="61" spans="1:16">
      <c r="B61" s="164"/>
      <c r="C61" s="164"/>
      <c r="D61" s="164"/>
      <c r="E61" s="289" t="s">
        <v>333</v>
      </c>
      <c r="F61" s="164"/>
      <c r="G61" s="164"/>
      <c r="H61" s="164"/>
    </row>
    <row r="62" spans="1:16">
      <c r="B62" s="684" t="s">
        <v>306</v>
      </c>
      <c r="C62" s="290">
        <f>J2</f>
        <v>59.707912759503202</v>
      </c>
      <c r="D62" s="291">
        <v>9.4803200000000004E-2</v>
      </c>
      <c r="E62" s="291">
        <v>0.11480320000000001</v>
      </c>
      <c r="F62" s="291">
        <v>0.13990425146441357</v>
      </c>
      <c r="G62" s="291">
        <v>0.1548032</v>
      </c>
      <c r="H62" s="291">
        <v>0.17480319999999999</v>
      </c>
    </row>
    <row r="63" spans="1:16">
      <c r="B63" s="684"/>
      <c r="C63" s="291">
        <v>9.9999999999999967E-3</v>
      </c>
      <c r="D63" s="292">
        <f t="dataTable" ref="D63:H67" dt2D="1" dtr="1" r1="G49" r2="G37" ca="1"/>
        <v>66.44306700007796</v>
      </c>
      <c r="E63" s="292">
        <v>61.750763968923053</v>
      </c>
      <c r="F63" s="293">
        <v>57.803887514526721</v>
      </c>
      <c r="G63" s="292">
        <v>56.064587590061805</v>
      </c>
      <c r="H63" s="292">
        <v>54.183457597517112</v>
      </c>
    </row>
    <row r="64" spans="1:16" ht="15" customHeight="1">
      <c r="B64" s="684"/>
      <c r="C64" s="291">
        <v>1.9999999999999997E-2</v>
      </c>
      <c r="D64" s="292">
        <v>68.861561436432339</v>
      </c>
      <c r="E64" s="292">
        <v>63.21325605346064</v>
      </c>
      <c r="F64" s="293">
        <v>58.676502399998867</v>
      </c>
      <c r="G64" s="292">
        <v>56.734292352412908</v>
      </c>
      <c r="H64" s="292">
        <v>54.670138996599341</v>
      </c>
    </row>
    <row r="65" spans="2:8">
      <c r="B65" s="684"/>
      <c r="C65" s="291">
        <v>0.03</v>
      </c>
      <c r="D65" s="293">
        <v>72.026467913042254</v>
      </c>
      <c r="E65" s="293">
        <v>65.020662500790564</v>
      </c>
      <c r="F65" s="294">
        <v>59.707912759503202</v>
      </c>
      <c r="G65" s="293">
        <v>57.511318844070814</v>
      </c>
      <c r="H65" s="293">
        <v>55.224040097881833</v>
      </c>
    </row>
    <row r="66" spans="2:8">
      <c r="B66" s="684"/>
      <c r="C66" s="291">
        <v>0.04</v>
      </c>
      <c r="D66" s="292">
        <v>76.346382300361739</v>
      </c>
      <c r="E66" s="292">
        <v>67.311312030590202</v>
      </c>
      <c r="F66" s="293">
        <v>60.945802892267572</v>
      </c>
      <c r="G66" s="292">
        <v>58.423712031370982</v>
      </c>
      <c r="H66" s="292">
        <v>55.860120420619374</v>
      </c>
    </row>
    <row r="67" spans="2:8">
      <c r="B67" s="684"/>
      <c r="C67" s="291">
        <v>0.05</v>
      </c>
      <c r="D67" s="292">
        <v>82.594692153772712</v>
      </c>
      <c r="E67" s="292">
        <v>70.308917244615216</v>
      </c>
      <c r="F67" s="293">
        <v>62.459072690086913</v>
      </c>
      <c r="G67" s="292">
        <v>59.510220739437727</v>
      </c>
      <c r="H67" s="292">
        <v>56.598134078838306</v>
      </c>
    </row>
    <row r="71" spans="2:8">
      <c r="B71" s="164"/>
      <c r="C71" s="164"/>
      <c r="D71" s="164"/>
      <c r="E71" s="289" t="s">
        <v>333</v>
      </c>
      <c r="F71" s="164"/>
      <c r="G71" s="164"/>
      <c r="H71" s="164"/>
    </row>
    <row r="72" spans="2:8">
      <c r="B72" s="684" t="s">
        <v>306</v>
      </c>
      <c r="C72" s="290">
        <f>DCF!I33</f>
        <v>36.9501636171847</v>
      </c>
      <c r="D72" s="291">
        <f>E72-2%</f>
        <v>9.5592799999999978E-2</v>
      </c>
      <c r="E72" s="291">
        <f>F72-2%</f>
        <v>0.11559279999999998</v>
      </c>
      <c r="F72" s="291">
        <v>0.13559279999999999</v>
      </c>
      <c r="G72" s="291">
        <f>F72+2%</f>
        <v>0.15559279999999998</v>
      </c>
      <c r="H72" s="291">
        <f>G72+2%</f>
        <v>0.17559279999999997</v>
      </c>
    </row>
    <row r="73" spans="2:8">
      <c r="B73" s="684"/>
      <c r="C73" s="291">
        <f>C74-1%</f>
        <v>9.9999999999999967E-3</v>
      </c>
      <c r="D73" s="577">
        <f t="dataTable" ref="D73:H77" dt2D="1" dtr="1" r1="G49" r2="G37" ca="1"/>
        <v>50.349950531227144</v>
      </c>
      <c r="E73" s="577">
        <v>41.15857015300486</v>
      </c>
      <c r="F73" s="657">
        <v>34.749111043317512</v>
      </c>
      <c r="G73" s="577">
        <v>29.992344374883725</v>
      </c>
      <c r="H73" s="577">
        <v>26.302579770607888</v>
      </c>
    </row>
    <row r="74" spans="2:8">
      <c r="B74" s="684"/>
      <c r="C74" s="291">
        <f>C75-1%</f>
        <v>1.9999999999999997E-2</v>
      </c>
      <c r="D74" s="577">
        <v>54.669130856829433</v>
      </c>
      <c r="E74" s="577">
        <v>43.733903079392746</v>
      </c>
      <c r="F74" s="657">
        <v>36.416855985600542</v>
      </c>
      <c r="G74" s="577">
        <v>31.13606471189043</v>
      </c>
      <c r="H74" s="577">
        <v>27.120775227903856</v>
      </c>
    </row>
    <row r="75" spans="2:8">
      <c r="B75" s="684"/>
      <c r="C75" s="291">
        <v>0.03</v>
      </c>
      <c r="D75" s="657">
        <v>60.305278997680432</v>
      </c>
      <c r="E75" s="657">
        <v>46.91099992199505</v>
      </c>
      <c r="F75" s="558">
        <v>38.400483249837912</v>
      </c>
      <c r="G75" s="657">
        <v>32.461916562328909</v>
      </c>
      <c r="H75" s="657">
        <v>28.051365729088804</v>
      </c>
    </row>
    <row r="76" spans="2:8">
      <c r="B76" s="684"/>
      <c r="C76" s="291">
        <f>C75+1%</f>
        <v>0.04</v>
      </c>
      <c r="D76" s="577">
        <v>67.969081130001911</v>
      </c>
      <c r="E76" s="577">
        <v>50.92867863022537</v>
      </c>
      <c r="F76" s="657">
        <v>40.799126553826682</v>
      </c>
      <c r="G76" s="577">
        <v>34.017168833976747</v>
      </c>
      <c r="H76" s="577">
        <v>29.119218754712357</v>
      </c>
    </row>
    <row r="77" spans="2:8">
      <c r="B77" s="684"/>
      <c r="C77" s="291">
        <f>C76+1%</f>
        <v>0.05</v>
      </c>
      <c r="D77" s="577">
        <v>78.99473080505885</v>
      </c>
      <c r="E77" s="577">
        <v>56.171393838873534</v>
      </c>
      <c r="F77" s="657">
        <v>43.758247679311822</v>
      </c>
      <c r="G77" s="577">
        <v>35.866996544792386</v>
      </c>
      <c r="H77" s="577">
        <v>30.357121819131692</v>
      </c>
    </row>
  </sheetData>
  <mergeCells count="3">
    <mergeCell ref="H1:I2"/>
    <mergeCell ref="B62:B67"/>
    <mergeCell ref="B72:B77"/>
  </mergeCells>
  <conditionalFormatting sqref="H1">
    <cfRule type="containsText" dxfId="11" priority="1" operator="containsText" text="SELL">
      <formula>NOT(ISERROR(SEARCH("SELL",H1)))</formula>
    </cfRule>
    <cfRule type="containsText" dxfId="10" priority="2" operator="containsText" text="HOLD">
      <formula>NOT(ISERROR(SEARCH("HOLD",H1)))</formula>
    </cfRule>
    <cfRule type="containsText" dxfId="9" priority="3" operator="containsText" text="BUY">
      <formula>NOT(ISERROR(SEARCH("BUY",H1)))</formula>
    </cfRule>
    <cfRule type="containsText" dxfId="8" priority="4" operator="containsText" text="STRONG BUY">
      <formula>NOT(ISERROR(SEARCH("STRONG BUY",H1)))</formula>
    </cfRule>
  </conditionalFormatting>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L98"/>
  <sheetViews>
    <sheetView showGridLines="0" zoomScaleNormal="100" workbookViewId="0">
      <pane xSplit="1" ySplit="4" topLeftCell="B5" activePane="bottomRight" state="frozen"/>
      <selection activeCell="J2" sqref="J2"/>
      <selection pane="topRight" activeCell="J2" sqref="J2"/>
      <selection pane="bottomLeft" activeCell="J2" sqref="J2"/>
      <selection pane="bottomRight" activeCell="I6" sqref="I6"/>
    </sheetView>
  </sheetViews>
  <sheetFormatPr defaultRowHeight="14.4"/>
  <cols>
    <col min="1" max="1" width="30.44140625" customWidth="1"/>
    <col min="2" max="11" width="10.6640625" customWidth="1"/>
  </cols>
  <sheetData>
    <row r="1" spans="1:11" ht="15" customHeight="1">
      <c r="A1" s="3" t="s">
        <v>0</v>
      </c>
      <c r="B1" s="68"/>
      <c r="C1" s="148" t="str">
        <f>Summary!$A$31</f>
        <v>DDM</v>
      </c>
      <c r="D1" s="148" t="str">
        <f>Summary!$A$32</f>
        <v>FCFE</v>
      </c>
      <c r="E1" s="148" t="str">
        <f>Summary!$A$33</f>
        <v>PER</v>
      </c>
      <c r="F1" s="148" t="str">
        <f>Summary!$A$34</f>
        <v>PBV</v>
      </c>
      <c r="G1" s="148" t="str">
        <f>Summary!$A$35</f>
        <v>EV/EBITDA</v>
      </c>
      <c r="H1" s="682" t="str">
        <f ca="1">Summary!$J$45</f>
        <v>SELL</v>
      </c>
      <c r="I1" s="682"/>
      <c r="J1" s="148" t="str">
        <f>Summary!A41</f>
        <v>Fair value</v>
      </c>
      <c r="K1" s="2"/>
    </row>
    <row r="2" spans="1:11" ht="15" customHeight="1">
      <c r="A2" s="3" t="s">
        <v>308</v>
      </c>
      <c r="B2" s="69"/>
      <c r="C2" s="149"/>
      <c r="D2" s="149">
        <f>Summary!J32</f>
        <v>32.51756655746712</v>
      </c>
      <c r="E2" s="149">
        <f>Summary!J33</f>
        <v>86.898258961539284</v>
      </c>
      <c r="F2" s="149"/>
      <c r="G2" s="149"/>
      <c r="H2" s="682"/>
      <c r="I2" s="682"/>
      <c r="J2" s="149">
        <f>Summary!$J$41</f>
        <v>59.707912759503202</v>
      </c>
      <c r="K2" s="6"/>
    </row>
    <row r="3" spans="1:11">
      <c r="A3" s="3" t="s">
        <v>318</v>
      </c>
      <c r="B3" s="69"/>
      <c r="C3" s="69"/>
      <c r="D3" s="69"/>
      <c r="E3" s="69"/>
      <c r="F3" s="69"/>
      <c r="G3" s="69"/>
      <c r="H3" s="6">
        <v>0</v>
      </c>
      <c r="I3" s="6">
        <f>H3+1</f>
        <v>1</v>
      </c>
      <c r="J3" s="6">
        <f>I3+1</f>
        <v>2</v>
      </c>
      <c r="K3" s="6">
        <f>J3+1</f>
        <v>3</v>
      </c>
    </row>
    <row r="4" spans="1:11">
      <c r="A4" s="3"/>
      <c r="B4" s="3" t="str">
        <f>'IS &amp; BS'!B3</f>
        <v>FY11</v>
      </c>
      <c r="C4" s="3" t="str">
        <f>'IS &amp; BS'!C3</f>
        <v>FY12</v>
      </c>
      <c r="D4" s="3" t="str">
        <f>'IS &amp; BS'!D3</f>
        <v>FY13</v>
      </c>
      <c r="E4" s="3" t="str">
        <f>'IS &amp; BS'!E3</f>
        <v>FY14</v>
      </c>
      <c r="F4" s="3" t="str">
        <f>'IS &amp; BS'!F3</f>
        <v>FY15</v>
      </c>
      <c r="G4" s="3" t="str">
        <f>'IS &amp; BS'!G3</f>
        <v>FY16</v>
      </c>
      <c r="H4" s="3" t="str">
        <f>'IS &amp; BS'!H3</f>
        <v>FY17</v>
      </c>
      <c r="I4" s="3" t="str">
        <f>'IS &amp; BS'!I3</f>
        <v>FY18E</v>
      </c>
      <c r="J4" s="3" t="str">
        <f>'IS &amp; BS'!J3</f>
        <v>FY19E</v>
      </c>
      <c r="K4" s="3" t="str">
        <f>'IS &amp; BS'!K3</f>
        <v>FY20E</v>
      </c>
    </row>
    <row r="5" spans="1:11">
      <c r="A5" s="3" t="s">
        <v>126</v>
      </c>
      <c r="B5" s="3"/>
      <c r="C5" s="3"/>
      <c r="D5" s="3"/>
      <c r="E5" s="3"/>
      <c r="F5" s="3"/>
      <c r="G5" s="3"/>
      <c r="H5" s="3"/>
      <c r="I5" s="3"/>
      <c r="J5" s="3"/>
      <c r="K5" s="3"/>
    </row>
    <row r="6" spans="1:11">
      <c r="A6" t="s">
        <v>303</v>
      </c>
      <c r="B6" s="7">
        <f>'IS &amp; BS'!B20</f>
        <v>1.9413303957946759</v>
      </c>
      <c r="C6" s="7">
        <f>'IS &amp; BS'!C20</f>
        <v>4.0851622491721971</v>
      </c>
      <c r="D6" s="7">
        <f>'IS &amp; BS'!D20</f>
        <v>4.4632818270642245</v>
      </c>
      <c r="E6" s="7">
        <f>'IS &amp; BS'!E20</f>
        <v>3.6856559824007986</v>
      </c>
      <c r="F6" s="7">
        <f>'IS &amp; BS'!F20</f>
        <v>7.1758155451459968</v>
      </c>
      <c r="G6" s="7">
        <f>'IS &amp; BS'!G20</f>
        <v>9.1296110040324709</v>
      </c>
      <c r="H6" s="145">
        <f>'IS &amp; BS'!H20</f>
        <v>9.3319695834351677</v>
      </c>
      <c r="I6" s="141">
        <f>'IS &amp; BS'!I20</f>
        <v>6.3399745980733222</v>
      </c>
      <c r="J6" s="141">
        <f>'IS &amp; BS'!J20</f>
        <v>10.86228237019241</v>
      </c>
      <c r="K6" s="141">
        <f>'IS &amp; BS'!K20</f>
        <v>13.142359207071195</v>
      </c>
    </row>
    <row r="7" spans="1:11">
      <c r="A7" t="s">
        <v>126</v>
      </c>
      <c r="B7" s="7"/>
      <c r="C7" s="7"/>
      <c r="D7" s="7"/>
      <c r="E7" s="7"/>
      <c r="F7" s="7"/>
      <c r="G7" s="7">
        <f>DCF!G11/Multiplier!G6</f>
        <v>4.7099487569631684</v>
      </c>
      <c r="H7" s="145"/>
      <c r="I7" s="124"/>
      <c r="J7" s="141"/>
      <c r="K7" s="141"/>
    </row>
    <row r="8" spans="1:11">
      <c r="B8" s="7"/>
      <c r="C8" s="7"/>
      <c r="D8" s="7"/>
      <c r="E8" s="7"/>
      <c r="F8" s="7"/>
      <c r="G8" s="7"/>
      <c r="H8" s="145"/>
      <c r="I8" s="141"/>
      <c r="J8" s="141"/>
      <c r="K8" s="141"/>
    </row>
    <row r="9" spans="1:11">
      <c r="A9" t="s">
        <v>407</v>
      </c>
      <c r="B9" s="7"/>
      <c r="C9" s="7"/>
      <c r="D9" s="7"/>
      <c r="E9" s="7"/>
      <c r="F9" s="7"/>
      <c r="G9" s="7"/>
      <c r="H9" s="145"/>
      <c r="I9" s="141"/>
      <c r="J9" s="141"/>
      <c r="K9" s="141"/>
    </row>
    <row r="10" spans="1:11">
      <c r="A10" t="str">
        <f>"PER = "&amp;'PE band'!L3</f>
        <v>PER = 6</v>
      </c>
      <c r="B10" s="7"/>
      <c r="C10" s="7"/>
      <c r="D10" s="7"/>
      <c r="E10" s="7"/>
      <c r="F10" s="7"/>
      <c r="G10" s="7">
        <f>G6*'PE band'!$L$3</f>
        <v>54.777666024194829</v>
      </c>
      <c r="H10" s="145">
        <f>H6*'PE band'!$L$3</f>
        <v>55.991817500611006</v>
      </c>
      <c r="I10" s="141">
        <f>I6*'PE band'!$L$3</f>
        <v>38.039847588439933</v>
      </c>
      <c r="J10" s="141">
        <f>J6*'PE band'!$L$3</f>
        <v>65.173694221154463</v>
      </c>
      <c r="K10" s="141"/>
    </row>
    <row r="11" spans="1:11">
      <c r="A11" t="str">
        <f>"PER = "&amp;'PE band'!M3</f>
        <v>PER = 8</v>
      </c>
      <c r="B11" s="7"/>
      <c r="C11" s="7"/>
      <c r="D11" s="7"/>
      <c r="E11" s="7"/>
      <c r="F11" s="7"/>
      <c r="G11" s="7">
        <f>G6*'PE band'!$M$3</f>
        <v>73.036888032259768</v>
      </c>
      <c r="H11" s="145">
        <f>H6*'PE band'!$M$3</f>
        <v>74.655756667481342</v>
      </c>
      <c r="I11" s="141">
        <f>I6*'PE band'!$M$3</f>
        <v>50.719796784586578</v>
      </c>
      <c r="J11" s="141">
        <f>J6*'PE band'!$M$3</f>
        <v>86.898258961539284</v>
      </c>
      <c r="K11" s="141"/>
    </row>
    <row r="12" spans="1:11">
      <c r="A12" t="str">
        <f>"PER = "&amp;'PE band'!N3</f>
        <v>PER = 10</v>
      </c>
      <c r="B12" s="7"/>
      <c r="C12" s="7"/>
      <c r="D12" s="7"/>
      <c r="E12" s="7"/>
      <c r="F12" s="7"/>
      <c r="G12" s="7">
        <f>G6*'PE band'!$N$3</f>
        <v>91.296110040324706</v>
      </c>
      <c r="H12" s="145">
        <f>H6*'PE band'!$N$3</f>
        <v>93.319695834351677</v>
      </c>
      <c r="I12" s="141">
        <f>I6*'PE band'!$N$3</f>
        <v>63.399745980733222</v>
      </c>
      <c r="J12" s="141">
        <f>J6*'PE band'!$N$3</f>
        <v>108.6228237019241</v>
      </c>
      <c r="K12" s="141"/>
    </row>
    <row r="13" spans="1:11">
      <c r="B13" s="7"/>
      <c r="C13" s="7"/>
      <c r="D13" s="7"/>
      <c r="E13" s="7"/>
      <c r="F13" s="7"/>
      <c r="G13" s="7"/>
      <c r="H13" s="145"/>
      <c r="I13" s="141"/>
      <c r="J13" s="141"/>
      <c r="K13" s="141"/>
    </row>
    <row r="14" spans="1:11">
      <c r="A14" t="s">
        <v>406</v>
      </c>
      <c r="B14" s="7"/>
      <c r="C14" s="7"/>
      <c r="D14" s="7"/>
      <c r="E14" s="7"/>
      <c r="F14" s="7"/>
      <c r="G14" s="7"/>
      <c r="H14" s="145"/>
      <c r="I14" s="141"/>
      <c r="J14" s="141"/>
      <c r="K14" s="141"/>
    </row>
    <row r="15" spans="1:11">
      <c r="A15" s="49" t="str">
        <f>Comps!A90</f>
        <v>SIRA.N0000</v>
      </c>
      <c r="B15" s="162"/>
      <c r="C15" s="162"/>
      <c r="D15" s="162"/>
      <c r="E15" s="162"/>
      <c r="F15" s="162"/>
      <c r="G15" s="162">
        <f>Comps!G97</f>
        <v>8.5265295312086185</v>
      </c>
      <c r="H15" s="150"/>
      <c r="I15" s="163"/>
      <c r="J15" s="163"/>
      <c r="K15" s="163"/>
    </row>
    <row r="16" spans="1:11">
      <c r="A16" s="49" t="str">
        <f>Comps!A138</f>
        <v>KCAB.N0000</v>
      </c>
      <c r="B16" s="162"/>
      <c r="C16" s="162"/>
      <c r="D16" s="162"/>
      <c r="E16" s="162"/>
      <c r="F16" s="162"/>
      <c r="G16" s="162">
        <f>Comps!G141</f>
        <v>5.5726195699868368</v>
      </c>
      <c r="H16" s="150"/>
      <c r="I16" s="163"/>
      <c r="J16" s="163"/>
      <c r="K16" s="163"/>
    </row>
    <row r="17" spans="1:12">
      <c r="A17" s="49" t="s">
        <v>350</v>
      </c>
      <c r="B17" s="48"/>
      <c r="C17" s="48"/>
      <c r="D17" s="48"/>
      <c r="E17" s="48"/>
      <c r="F17" s="48"/>
      <c r="G17" s="162">
        <v>7.3</v>
      </c>
      <c r="H17" s="155"/>
      <c r="I17" s="111"/>
      <c r="J17" s="111"/>
      <c r="K17" s="111"/>
    </row>
    <row r="18" spans="1:12">
      <c r="A18" s="49" t="s">
        <v>349</v>
      </c>
      <c r="B18" s="162"/>
      <c r="C18" s="162"/>
      <c r="D18" s="162"/>
      <c r="E18" s="162"/>
      <c r="F18" s="162"/>
      <c r="G18" s="162">
        <f>AVERAGE(G15:G17)</f>
        <v>7.1330497003984847</v>
      </c>
      <c r="H18" s="150"/>
      <c r="I18" s="163"/>
      <c r="J18" s="163"/>
      <c r="K18" s="163"/>
    </row>
    <row r="19" spans="1:12">
      <c r="A19" t="s">
        <v>341</v>
      </c>
      <c r="G19" s="7">
        <f>G6*G18</f>
        <v>65.121969037068524</v>
      </c>
      <c r="H19" s="145"/>
      <c r="I19" s="107"/>
      <c r="J19" s="107"/>
      <c r="K19" s="107"/>
    </row>
    <row r="20" spans="1:12">
      <c r="G20" s="7"/>
      <c r="H20" s="99"/>
      <c r="I20" s="107"/>
      <c r="J20" s="107"/>
      <c r="K20" s="107"/>
    </row>
    <row r="21" spans="1:12">
      <c r="A21" s="3" t="s">
        <v>337</v>
      </c>
      <c r="B21" s="3"/>
      <c r="C21" s="3"/>
      <c r="D21" s="3"/>
      <c r="E21" s="3"/>
      <c r="F21" s="3"/>
      <c r="G21" s="3"/>
      <c r="H21" s="3"/>
      <c r="I21" s="3"/>
      <c r="J21" s="3"/>
      <c r="K21" s="3"/>
    </row>
    <row r="22" spans="1:12">
      <c r="A22" t="s">
        <v>369</v>
      </c>
      <c r="B22" s="10">
        <f>'IS &amp; BS'!B23</f>
        <v>33.473819224332182</v>
      </c>
      <c r="C22" s="10">
        <f>'IS &amp; BS'!C23</f>
        <v>43.769714542502648</v>
      </c>
      <c r="D22" s="10">
        <f>'IS &amp; BS'!D23</f>
        <v>47.737604652110207</v>
      </c>
      <c r="E22" s="10">
        <f>'IS &amp; BS'!E23</f>
        <v>50.921148942592943</v>
      </c>
      <c r="F22" s="10">
        <f>'IS &amp; BS'!F23</f>
        <v>61.692844720845329</v>
      </c>
      <c r="G22" s="10">
        <f>'IS &amp; BS'!G23</f>
        <v>70.502062988949746</v>
      </c>
      <c r="H22" s="127">
        <f>'IS &amp; BS'!H23</f>
        <v>77.898461073021394</v>
      </c>
      <c r="I22" s="127">
        <f>'IS &amp; BS'!I23</f>
        <v>83.287439481383714</v>
      </c>
      <c r="J22" s="127">
        <f>'IS &amp; BS'!J23</f>
        <v>92.520379496047255</v>
      </c>
      <c r="K22" s="127">
        <f>'IS &amp; BS'!K23</f>
        <v>103.69138482205777</v>
      </c>
    </row>
    <row r="23" spans="1:12">
      <c r="A23" t="s">
        <v>337</v>
      </c>
      <c r="G23" s="7">
        <f>DCF!G50/Comps!G64</f>
        <v>0.60991123063646624</v>
      </c>
      <c r="H23" s="107"/>
      <c r="I23" s="107"/>
      <c r="J23" s="107"/>
      <c r="K23" s="107"/>
    </row>
    <row r="24" spans="1:12">
      <c r="B24" s="10"/>
      <c r="C24" s="10"/>
      <c r="D24" s="10"/>
      <c r="E24" s="10"/>
      <c r="F24" s="10"/>
      <c r="G24" s="10"/>
      <c r="H24" s="127"/>
      <c r="I24" s="127"/>
      <c r="J24" s="127"/>
      <c r="K24" s="127"/>
    </row>
    <row r="25" spans="1:12">
      <c r="A25" t="s">
        <v>403</v>
      </c>
      <c r="B25" s="10"/>
      <c r="C25" s="10"/>
      <c r="D25" s="10"/>
      <c r="E25" s="10"/>
      <c r="F25" s="10"/>
      <c r="G25" s="10">
        <f>(G26-G27)/(G28-G27)</f>
        <v>0.73927558501446455</v>
      </c>
      <c r="H25" s="127">
        <f>(H26-H27)/(H28-H27)</f>
        <v>0.65479255556471305</v>
      </c>
      <c r="I25" s="127">
        <f>(I26-I27)/(I28-I27)</f>
        <v>0.33274952881007452</v>
      </c>
      <c r="J25" s="127">
        <f>(J26-J27)/(J28-J27)</f>
        <v>0.63976833511411202</v>
      </c>
      <c r="K25" s="127"/>
    </row>
    <row r="26" spans="1:12" s="48" customFormat="1">
      <c r="A26" s="49" t="s">
        <v>288</v>
      </c>
      <c r="B26" s="54"/>
      <c r="C26" s="54"/>
      <c r="D26" s="54"/>
      <c r="E26" s="54"/>
      <c r="F26" s="54"/>
      <c r="G26" s="52">
        <f>Comps!G75</f>
        <v>0.13812348996187554</v>
      </c>
      <c r="H26" s="60">
        <f>Comps!H75</f>
        <v>0.1257673400066727</v>
      </c>
      <c r="I26" s="60">
        <f>Comps!I75</f>
        <v>7.8666615085646263E-2</v>
      </c>
      <c r="J26" s="60">
        <f>Comps!J75</f>
        <v>0.12356995762044959</v>
      </c>
      <c r="K26" s="60"/>
    </row>
    <row r="27" spans="1:12" s="48" customFormat="1">
      <c r="A27" s="49" t="s">
        <v>404</v>
      </c>
      <c r="B27" s="54"/>
      <c r="C27" s="54"/>
      <c r="D27" s="54"/>
      <c r="E27" s="54"/>
      <c r="F27" s="54"/>
      <c r="G27" s="52">
        <v>0.03</v>
      </c>
      <c r="H27" s="60">
        <f>G27</f>
        <v>0.03</v>
      </c>
      <c r="I27" s="60">
        <f>H27</f>
        <v>0.03</v>
      </c>
      <c r="J27" s="60">
        <f>I27</f>
        <v>0.03</v>
      </c>
      <c r="K27" s="60"/>
      <c r="L27" s="48" t="str">
        <f>"Constant at "&amp;ROUND(G27*100,0)&amp;"%"</f>
        <v>Constant at 3%</v>
      </c>
    </row>
    <row r="28" spans="1:12" s="48" customFormat="1">
      <c r="A28" s="49" t="s">
        <v>307</v>
      </c>
      <c r="B28" s="54"/>
      <c r="C28" s="54"/>
      <c r="D28" s="54"/>
      <c r="E28" s="54"/>
      <c r="F28" s="54"/>
      <c r="G28" s="52">
        <f>DCF!$G$40</f>
        <v>0.17625600000000002</v>
      </c>
      <c r="H28" s="60">
        <f>DCF!$G$40</f>
        <v>0.17625600000000002</v>
      </c>
      <c r="I28" s="60">
        <f>DCF!$G$40</f>
        <v>0.17625600000000002</v>
      </c>
      <c r="J28" s="60">
        <f>DCF!$G$40</f>
        <v>0.17625600000000002</v>
      </c>
      <c r="K28" s="60"/>
    </row>
    <row r="29" spans="1:12">
      <c r="A29" t="s">
        <v>341</v>
      </c>
      <c r="B29" s="10"/>
      <c r="C29" s="10"/>
      <c r="D29" s="10"/>
      <c r="E29" s="10"/>
      <c r="F29" s="10"/>
      <c r="G29" s="10">
        <f>G22*G25</f>
        <v>52.120453860882449</v>
      </c>
      <c r="H29" s="127">
        <f>H22*H25</f>
        <v>51.007332400561999</v>
      </c>
      <c r="I29" s="127">
        <f>I22*I25</f>
        <v>27.71385624322803</v>
      </c>
      <c r="J29" s="127">
        <f>J22*J25</f>
        <v>59.191609154311976</v>
      </c>
      <c r="K29" s="127"/>
    </row>
    <row r="30" spans="1:12">
      <c r="B30" s="10"/>
      <c r="C30" s="10"/>
      <c r="D30" s="10"/>
      <c r="E30" s="10"/>
      <c r="F30" s="10"/>
      <c r="G30" s="10"/>
      <c r="H30" s="127"/>
      <c r="I30" s="127"/>
      <c r="J30" s="127"/>
      <c r="K30" s="127"/>
    </row>
    <row r="31" spans="1:12">
      <c r="A31" t="s">
        <v>405</v>
      </c>
      <c r="B31" s="10"/>
      <c r="C31" s="10"/>
      <c r="D31" s="10"/>
      <c r="E31" s="10"/>
      <c r="F31" s="10"/>
      <c r="H31" s="127"/>
      <c r="I31" s="127"/>
      <c r="J31" s="127"/>
      <c r="K31" s="127"/>
    </row>
    <row r="32" spans="1:12" s="48" customFormat="1">
      <c r="A32" s="49" t="str">
        <f>Multiplier!A15</f>
        <v>SIRA.N0000</v>
      </c>
      <c r="G32" s="162">
        <f>Comps!G98</f>
        <v>1.3507680057263276</v>
      </c>
      <c r="H32" s="111"/>
      <c r="I32" s="111"/>
      <c r="J32" s="111"/>
      <c r="K32" s="111"/>
    </row>
    <row r="33" spans="1:11" s="48" customFormat="1">
      <c r="A33" s="49" t="str">
        <f>Multiplier!A16</f>
        <v>KCAB.N0000</v>
      </c>
      <c r="G33" s="162">
        <f>Comps!G139/Comps!G142</f>
        <v>0.86707175530825431</v>
      </c>
      <c r="H33" s="111"/>
      <c r="I33" s="111"/>
      <c r="J33" s="111"/>
      <c r="K33" s="111"/>
    </row>
    <row r="34" spans="1:11" s="48" customFormat="1">
      <c r="A34" s="49" t="str">
        <f>Multiplier!A17</f>
        <v>Manufacturing sector</v>
      </c>
      <c r="G34" s="162">
        <v>1.4</v>
      </c>
      <c r="H34" s="111"/>
      <c r="I34" s="111"/>
      <c r="J34" s="111"/>
      <c r="K34" s="111"/>
    </row>
    <row r="35" spans="1:11" s="48" customFormat="1">
      <c r="A35" s="49" t="str">
        <f>Multiplier!A18</f>
        <v>Peer average</v>
      </c>
      <c r="G35" s="162">
        <f>AVERAGE(G32:G34)</f>
        <v>1.2059465870115271</v>
      </c>
      <c r="H35" s="111"/>
      <c r="I35" s="111"/>
      <c r="J35" s="111"/>
      <c r="K35" s="111"/>
    </row>
    <row r="36" spans="1:11">
      <c r="A36" t="str">
        <f>Multiplier!A19</f>
        <v>PPS</v>
      </c>
      <c r="G36" s="7">
        <f>G22*G35</f>
        <v>85.021722238795647</v>
      </c>
      <c r="H36" s="107"/>
      <c r="I36" s="107"/>
      <c r="J36" s="107"/>
      <c r="K36" s="107"/>
    </row>
    <row r="37" spans="1:11">
      <c r="H37" s="107"/>
      <c r="I37" s="107"/>
      <c r="J37" s="107"/>
      <c r="K37" s="107"/>
    </row>
    <row r="38" spans="1:11">
      <c r="H38" s="107"/>
      <c r="I38" s="107"/>
      <c r="J38" s="107"/>
      <c r="K38" s="107"/>
    </row>
    <row r="39" spans="1:11">
      <c r="A39" s="3" t="s">
        <v>178</v>
      </c>
      <c r="B39" s="3"/>
      <c r="C39" s="3"/>
      <c r="D39" s="3"/>
      <c r="E39" s="3"/>
      <c r="F39" s="3"/>
      <c r="G39" s="3"/>
      <c r="H39" s="3"/>
      <c r="I39" s="3"/>
      <c r="J39" s="3"/>
      <c r="K39" s="3"/>
    </row>
    <row r="40" spans="1:11">
      <c r="A40" t="s">
        <v>355</v>
      </c>
      <c r="B40" s="99">
        <f>Comps!B87</f>
        <v>567.29754099999946</v>
      </c>
      <c r="C40" s="99">
        <f>Comps!C87</f>
        <v>917.33804799999962</v>
      </c>
      <c r="D40" s="99">
        <f>Comps!D87</f>
        <v>917.33206300000006</v>
      </c>
      <c r="E40" s="99">
        <f>Comps!E87</f>
        <v>866.74099999999817</v>
      </c>
      <c r="F40" s="99">
        <f>Comps!F87</f>
        <v>1449.5139999999999</v>
      </c>
      <c r="G40" s="99">
        <f>Comps!G87</f>
        <v>1932.1809999999991</v>
      </c>
      <c r="H40" s="107"/>
      <c r="I40" s="107"/>
      <c r="J40" s="107"/>
      <c r="K40" s="107"/>
    </row>
    <row r="41" spans="1:11">
      <c r="A41" t="s">
        <v>178</v>
      </c>
      <c r="G41" s="7">
        <f>Comps!G69</f>
        <v>3.720464355329784</v>
      </c>
      <c r="H41" s="107"/>
      <c r="I41" s="107"/>
      <c r="J41" s="107"/>
      <c r="K41" s="107"/>
    </row>
    <row r="42" spans="1:11">
      <c r="H42" s="107"/>
      <c r="I42" s="107"/>
      <c r="J42" s="107"/>
      <c r="K42" s="107"/>
    </row>
    <row r="43" spans="1:11">
      <c r="A43" t="s">
        <v>178</v>
      </c>
      <c r="H43" s="107"/>
      <c r="I43" s="107"/>
      <c r="J43" s="107"/>
      <c r="K43" s="107"/>
    </row>
    <row r="44" spans="1:11">
      <c r="A44" t="str">
        <f>A32</f>
        <v>SIRA.N0000</v>
      </c>
      <c r="G44" s="7">
        <f>Comps!G99</f>
        <v>7.2029109453766793</v>
      </c>
      <c r="H44" s="107"/>
      <c r="I44" s="107"/>
      <c r="J44" s="107"/>
      <c r="K44" s="107"/>
    </row>
    <row r="45" spans="1:11">
      <c r="A45" t="str">
        <f>A33</f>
        <v>KCAB.N0000</v>
      </c>
      <c r="G45" s="7">
        <f>Comps!G151</f>
        <v>3.0171679991166926</v>
      </c>
      <c r="H45" s="107"/>
      <c r="I45" s="107"/>
      <c r="J45" s="107"/>
      <c r="K45" s="107"/>
    </row>
    <row r="46" spans="1:11">
      <c r="A46" t="str">
        <f>A34</f>
        <v>Manufacturing sector</v>
      </c>
      <c r="H46" s="107"/>
      <c r="I46" s="107"/>
      <c r="J46" s="107"/>
      <c r="K46" s="107"/>
    </row>
    <row r="47" spans="1:11">
      <c r="A47" t="str">
        <f>A35</f>
        <v>Peer average</v>
      </c>
      <c r="G47" s="7">
        <f>AVERAGE(G44:G45)</f>
        <v>5.1100394722466858</v>
      </c>
      <c r="H47" s="107"/>
      <c r="I47" s="107"/>
      <c r="J47" s="107"/>
      <c r="K47" s="107"/>
    </row>
    <row r="48" spans="1:11">
      <c r="A48" t="s">
        <v>368</v>
      </c>
      <c r="G48" s="28">
        <f>G40*G47</f>
        <v>9873.5211775250682</v>
      </c>
      <c r="H48" s="107"/>
      <c r="I48" s="107"/>
      <c r="J48" s="107"/>
      <c r="K48" s="107"/>
    </row>
    <row r="49" spans="1:11">
      <c r="A49" t="s">
        <v>381</v>
      </c>
      <c r="G49" s="99">
        <f>'IS &amp; BS'!G64+'IS &amp; BS'!G65+'IS &amp; BS'!G70+'IS &amp; BS'!G72+'IS &amp; BS'!G73</f>
        <v>2647.3960000000002</v>
      </c>
      <c r="H49" s="107"/>
      <c r="I49" s="107"/>
      <c r="J49" s="107"/>
      <c r="K49" s="107"/>
    </row>
    <row r="50" spans="1:11">
      <c r="A50" t="s">
        <v>328</v>
      </c>
      <c r="G50" s="28">
        <f>G48-G49</f>
        <v>7226.1251775250676</v>
      </c>
      <c r="H50" s="107"/>
      <c r="I50" s="107"/>
      <c r="J50" s="107"/>
      <c r="K50" s="107"/>
    </row>
    <row r="51" spans="1:11">
      <c r="A51" t="s">
        <v>341</v>
      </c>
      <c r="G51" s="7">
        <f>G50/DCF!G51</f>
        <v>60.324605012791558</v>
      </c>
      <c r="H51" s="107"/>
      <c r="I51" s="107"/>
      <c r="J51" s="107"/>
      <c r="K51" s="107"/>
    </row>
    <row r="52" spans="1:11">
      <c r="H52" s="107"/>
      <c r="I52" s="107"/>
      <c r="J52" s="107"/>
      <c r="K52" s="107"/>
    </row>
    <row r="53" spans="1:11">
      <c r="H53" s="107"/>
      <c r="I53" s="107"/>
      <c r="J53" s="107"/>
      <c r="K53" s="107"/>
    </row>
    <row r="54" spans="1:11">
      <c r="H54" s="107"/>
      <c r="I54" s="107"/>
      <c r="J54" s="107"/>
      <c r="K54" s="107"/>
    </row>
    <row r="55" spans="1:11">
      <c r="H55" s="107"/>
      <c r="I55" s="107"/>
      <c r="J55" s="107"/>
      <c r="K55" s="107"/>
    </row>
    <row r="56" spans="1:11">
      <c r="H56" s="107"/>
      <c r="I56" s="107"/>
      <c r="J56" s="107"/>
      <c r="K56" s="107"/>
    </row>
    <row r="57" spans="1:11">
      <c r="H57" s="107"/>
      <c r="I57" s="107"/>
      <c r="J57" s="107"/>
      <c r="K57" s="107"/>
    </row>
    <row r="58" spans="1:11">
      <c r="H58" s="107"/>
      <c r="I58" s="107"/>
      <c r="J58" s="107"/>
      <c r="K58" s="107"/>
    </row>
    <row r="59" spans="1:11">
      <c r="H59" s="107"/>
      <c r="I59" s="107"/>
      <c r="J59" s="107"/>
      <c r="K59" s="107"/>
    </row>
    <row r="60" spans="1:11">
      <c r="H60" s="107"/>
      <c r="I60" s="107"/>
      <c r="J60" s="107"/>
      <c r="K60" s="107"/>
    </row>
    <row r="61" spans="1:11">
      <c r="H61" s="107"/>
      <c r="I61" s="107"/>
      <c r="J61" s="107"/>
      <c r="K61" s="107"/>
    </row>
    <row r="62" spans="1:11">
      <c r="H62" s="107"/>
      <c r="I62" s="107"/>
      <c r="J62" s="107"/>
      <c r="K62" s="107"/>
    </row>
    <row r="63" spans="1:11">
      <c r="H63" s="107"/>
      <c r="I63" s="107"/>
      <c r="J63" s="107"/>
      <c r="K63" s="107"/>
    </row>
    <row r="64" spans="1:11">
      <c r="H64" s="107"/>
      <c r="I64" s="107"/>
      <c r="J64" s="107"/>
      <c r="K64" s="107"/>
    </row>
    <row r="65" spans="8:11">
      <c r="H65" s="107"/>
      <c r="I65" s="107"/>
      <c r="J65" s="107"/>
      <c r="K65" s="107"/>
    </row>
    <row r="66" spans="8:11">
      <c r="H66" s="107"/>
      <c r="I66" s="107"/>
      <c r="J66" s="107"/>
      <c r="K66" s="107"/>
    </row>
    <row r="67" spans="8:11">
      <c r="H67" s="107"/>
      <c r="I67" s="107"/>
      <c r="J67" s="107"/>
      <c r="K67" s="107"/>
    </row>
    <row r="68" spans="8:11">
      <c r="H68" s="107"/>
      <c r="I68" s="107"/>
      <c r="J68" s="107"/>
      <c r="K68" s="107"/>
    </row>
    <row r="69" spans="8:11">
      <c r="H69" s="107"/>
      <c r="I69" s="107"/>
      <c r="J69" s="107"/>
      <c r="K69" s="107"/>
    </row>
    <row r="70" spans="8:11">
      <c r="H70" s="107"/>
      <c r="I70" s="107"/>
      <c r="J70" s="107"/>
      <c r="K70" s="107"/>
    </row>
    <row r="71" spans="8:11">
      <c r="H71" s="107"/>
      <c r="I71" s="107"/>
      <c r="J71" s="107"/>
      <c r="K71" s="107"/>
    </row>
    <row r="72" spans="8:11">
      <c r="H72" s="107"/>
      <c r="I72" s="107"/>
      <c r="J72" s="107"/>
      <c r="K72" s="107"/>
    </row>
    <row r="73" spans="8:11">
      <c r="H73" s="107"/>
      <c r="I73" s="107"/>
      <c r="J73" s="107"/>
      <c r="K73" s="107"/>
    </row>
    <row r="74" spans="8:11">
      <c r="H74" s="107"/>
      <c r="I74" s="107"/>
      <c r="J74" s="107"/>
      <c r="K74" s="107"/>
    </row>
    <row r="75" spans="8:11">
      <c r="H75" s="107"/>
      <c r="I75" s="107"/>
      <c r="J75" s="107"/>
      <c r="K75" s="107"/>
    </row>
    <row r="76" spans="8:11">
      <c r="H76" s="107"/>
      <c r="I76" s="107"/>
      <c r="J76" s="107"/>
      <c r="K76" s="107"/>
    </row>
    <row r="77" spans="8:11">
      <c r="H77" s="107"/>
      <c r="I77" s="107"/>
      <c r="J77" s="107"/>
      <c r="K77" s="107"/>
    </row>
    <row r="78" spans="8:11">
      <c r="H78" s="107"/>
      <c r="I78" s="107"/>
      <c r="J78" s="107"/>
      <c r="K78" s="107"/>
    </row>
    <row r="79" spans="8:11">
      <c r="H79" s="107"/>
      <c r="I79" s="107"/>
      <c r="J79" s="107"/>
      <c r="K79" s="107"/>
    </row>
    <row r="80" spans="8:11">
      <c r="H80" s="107"/>
      <c r="I80" s="107"/>
      <c r="J80" s="107"/>
      <c r="K80" s="107"/>
    </row>
    <row r="81" spans="8:11">
      <c r="H81" s="107"/>
      <c r="I81" s="107"/>
      <c r="J81" s="107"/>
      <c r="K81" s="107"/>
    </row>
    <row r="82" spans="8:11">
      <c r="H82" s="107"/>
      <c r="I82" s="107"/>
      <c r="J82" s="107"/>
      <c r="K82" s="107"/>
    </row>
    <row r="83" spans="8:11">
      <c r="H83" s="107"/>
      <c r="I83" s="107"/>
      <c r="J83" s="107"/>
      <c r="K83" s="107"/>
    </row>
    <row r="84" spans="8:11">
      <c r="H84" s="107"/>
      <c r="I84" s="107"/>
      <c r="J84" s="107"/>
      <c r="K84" s="107"/>
    </row>
    <row r="85" spans="8:11">
      <c r="H85" s="107"/>
      <c r="I85" s="107"/>
      <c r="J85" s="107"/>
      <c r="K85" s="107"/>
    </row>
    <row r="86" spans="8:11">
      <c r="H86" s="107"/>
      <c r="I86" s="107"/>
      <c r="J86" s="107"/>
      <c r="K86" s="107"/>
    </row>
    <row r="87" spans="8:11">
      <c r="H87" s="107"/>
      <c r="I87" s="107"/>
      <c r="J87" s="107"/>
      <c r="K87" s="107"/>
    </row>
    <row r="88" spans="8:11">
      <c r="H88" s="107"/>
      <c r="I88" s="107"/>
      <c r="J88" s="107"/>
      <c r="K88" s="107"/>
    </row>
    <row r="89" spans="8:11">
      <c r="H89" s="107"/>
      <c r="I89" s="107"/>
      <c r="J89" s="107"/>
      <c r="K89" s="107"/>
    </row>
    <row r="90" spans="8:11">
      <c r="H90" s="107"/>
      <c r="I90" s="107"/>
      <c r="J90" s="107"/>
      <c r="K90" s="107"/>
    </row>
    <row r="91" spans="8:11">
      <c r="H91" s="107"/>
      <c r="I91" s="107"/>
      <c r="J91" s="107"/>
      <c r="K91" s="107"/>
    </row>
    <row r="92" spans="8:11">
      <c r="H92" s="107"/>
      <c r="I92" s="107"/>
      <c r="J92" s="107"/>
      <c r="K92" s="107"/>
    </row>
    <row r="93" spans="8:11">
      <c r="H93" s="107"/>
      <c r="I93" s="107"/>
      <c r="J93" s="107"/>
      <c r="K93" s="107"/>
    </row>
    <row r="94" spans="8:11">
      <c r="H94" s="107"/>
      <c r="I94" s="107"/>
      <c r="J94" s="107"/>
      <c r="K94" s="107"/>
    </row>
    <row r="95" spans="8:11">
      <c r="H95" s="107"/>
      <c r="I95" s="107"/>
      <c r="J95" s="107"/>
      <c r="K95" s="107"/>
    </row>
    <row r="96" spans="8:11">
      <c r="H96" s="107"/>
      <c r="I96" s="107"/>
      <c r="J96" s="107"/>
      <c r="K96" s="107"/>
    </row>
    <row r="97" spans="8:11">
      <c r="H97" s="107"/>
      <c r="I97" s="107"/>
      <c r="J97" s="107"/>
      <c r="K97" s="107"/>
    </row>
    <row r="98" spans="8:11">
      <c r="H98" s="107"/>
      <c r="I98" s="107"/>
      <c r="J98" s="107"/>
      <c r="K98" s="107"/>
    </row>
  </sheetData>
  <mergeCells count="1">
    <mergeCell ref="H1:I2"/>
  </mergeCells>
  <conditionalFormatting sqref="H1">
    <cfRule type="containsText" dxfId="7" priority="1" operator="containsText" text="SELL">
      <formula>NOT(ISERROR(SEARCH("SELL",H1)))</formula>
    </cfRule>
    <cfRule type="containsText" dxfId="6" priority="2" operator="containsText" text="HOLD">
      <formula>NOT(ISERROR(SEARCH("HOLD",H1)))</formula>
    </cfRule>
    <cfRule type="containsText" dxfId="5" priority="3" operator="containsText" text="BUY">
      <formula>NOT(ISERROR(SEARCH("BUY",H1)))</formula>
    </cfRule>
    <cfRule type="containsText" dxfId="4" priority="4" operator="containsText" text="STRONG BUY">
      <formula>NOT(ISERROR(SEARCH("STRONG BUY",H1)))</formula>
    </cfRule>
  </conditionalFormatting>
  <printOptions headings="1"/>
  <pageMargins left="0.7" right="0.7" top="0.75" bottom="0.75" header="0.3" footer="0.3"/>
  <pageSetup scale="63"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W244"/>
  <sheetViews>
    <sheetView topLeftCell="E222" workbookViewId="0">
      <selection activeCell="O1" sqref="O1:W244"/>
    </sheetView>
  </sheetViews>
  <sheetFormatPr defaultRowHeight="14.4"/>
  <cols>
    <col min="1" max="1" width="8.44140625" bestFit="1" customWidth="1"/>
    <col min="2" max="2" width="9.109375" style="24"/>
    <col min="3" max="3" width="13.33203125" style="25" bestFit="1" customWidth="1"/>
  </cols>
  <sheetData>
    <row r="1" spans="1:23">
      <c r="A1" t="s">
        <v>124</v>
      </c>
      <c r="B1" s="24" t="s">
        <v>108</v>
      </c>
      <c r="C1" s="25" t="s">
        <v>125</v>
      </c>
      <c r="O1" s="29" t="s">
        <v>129</v>
      </c>
      <c r="P1" s="29" t="s">
        <v>124</v>
      </c>
      <c r="Q1" s="29" t="s">
        <v>130</v>
      </c>
      <c r="R1" s="29" t="s">
        <v>131</v>
      </c>
      <c r="S1" s="29" t="s">
        <v>132</v>
      </c>
      <c r="T1" s="31" t="s">
        <v>133</v>
      </c>
      <c r="U1" s="29" t="s">
        <v>134</v>
      </c>
      <c r="V1" s="29" t="s">
        <v>135</v>
      </c>
      <c r="W1" s="29" t="s">
        <v>136</v>
      </c>
    </row>
    <row r="2" spans="1:23">
      <c r="A2" s="23">
        <v>41950</v>
      </c>
      <c r="B2" s="24">
        <v>75</v>
      </c>
      <c r="C2" s="25">
        <v>22726</v>
      </c>
      <c r="O2" s="29" t="s">
        <v>128</v>
      </c>
      <c r="P2" s="30">
        <v>42076</v>
      </c>
      <c r="Q2" s="29">
        <v>7109.23</v>
      </c>
      <c r="R2" s="29">
        <v>7115.89</v>
      </c>
      <c r="S2" s="29">
        <v>7091.25</v>
      </c>
      <c r="T2" s="31">
        <v>7091.25</v>
      </c>
      <c r="U2" s="29">
        <v>-0.25</v>
      </c>
      <c r="V2" s="29">
        <v>-17.82</v>
      </c>
      <c r="W2" s="29">
        <v>7109.07</v>
      </c>
    </row>
    <row r="3" spans="1:23">
      <c r="A3" s="23">
        <v>41953</v>
      </c>
      <c r="B3" s="24">
        <v>76.5</v>
      </c>
      <c r="C3" s="25">
        <v>15100</v>
      </c>
      <c r="O3" s="29" t="s">
        <v>128</v>
      </c>
      <c r="P3" s="30">
        <v>42079</v>
      </c>
      <c r="Q3" s="29">
        <v>7096.13</v>
      </c>
      <c r="R3" s="29">
        <v>7104</v>
      </c>
      <c r="S3" s="29">
        <v>7043.12</v>
      </c>
      <c r="T3" s="31">
        <v>7050.91</v>
      </c>
      <c r="U3" s="29">
        <v>-0.56999999999999995</v>
      </c>
      <c r="V3" s="29">
        <v>-40.340000000000003</v>
      </c>
      <c r="W3" s="29">
        <v>7091.25</v>
      </c>
    </row>
    <row r="4" spans="1:23">
      <c r="A4" s="23">
        <v>41954</v>
      </c>
      <c r="B4" s="24">
        <v>76</v>
      </c>
      <c r="C4" s="25">
        <v>88170</v>
      </c>
      <c r="O4" s="29" t="s">
        <v>128</v>
      </c>
      <c r="P4" s="30">
        <v>42080</v>
      </c>
      <c r="Q4" s="29">
        <v>7050.28</v>
      </c>
      <c r="R4" s="29">
        <v>7065.5</v>
      </c>
      <c r="S4" s="29">
        <v>7046.91</v>
      </c>
      <c r="T4" s="31">
        <v>7057</v>
      </c>
      <c r="U4" s="29">
        <v>0.09</v>
      </c>
      <c r="V4" s="29">
        <v>6.09</v>
      </c>
      <c r="W4" s="29">
        <v>7050.91</v>
      </c>
    </row>
    <row r="5" spans="1:23">
      <c r="A5" s="23">
        <v>41955</v>
      </c>
      <c r="B5" s="24">
        <v>77.900002000000001</v>
      </c>
      <c r="C5" s="25">
        <v>18742</v>
      </c>
      <c r="O5" s="29" t="s">
        <v>128</v>
      </c>
      <c r="P5" s="30">
        <v>42081</v>
      </c>
      <c r="Q5" s="29">
        <v>7051.97</v>
      </c>
      <c r="R5" s="29">
        <v>7070.86</v>
      </c>
      <c r="S5" s="29">
        <v>7037.77</v>
      </c>
      <c r="T5" s="31">
        <v>7043.9</v>
      </c>
      <c r="U5" s="29">
        <v>-0.19</v>
      </c>
      <c r="V5" s="29">
        <v>-13.1</v>
      </c>
      <c r="W5" s="29">
        <v>7057</v>
      </c>
    </row>
    <row r="6" spans="1:23">
      <c r="A6" s="23">
        <v>41956</v>
      </c>
      <c r="B6" s="24">
        <v>80.099997999999999</v>
      </c>
      <c r="C6" s="25">
        <v>1309923</v>
      </c>
      <c r="O6" s="29" t="s">
        <v>128</v>
      </c>
      <c r="P6" s="30">
        <v>42082</v>
      </c>
      <c r="Q6" s="29">
        <v>7042.43</v>
      </c>
      <c r="R6" s="29">
        <v>7061.59</v>
      </c>
      <c r="S6" s="29">
        <v>7042.43</v>
      </c>
      <c r="T6" s="31">
        <v>7046.7</v>
      </c>
      <c r="U6" s="29">
        <v>0.04</v>
      </c>
      <c r="V6" s="29">
        <v>2.8</v>
      </c>
      <c r="W6" s="29">
        <v>7043.9</v>
      </c>
    </row>
    <row r="7" spans="1:23">
      <c r="A7" s="23">
        <v>41957</v>
      </c>
      <c r="B7" s="24">
        <v>82.699996999999996</v>
      </c>
      <c r="C7" s="25">
        <v>403749</v>
      </c>
      <c r="O7" s="29" t="s">
        <v>128</v>
      </c>
      <c r="P7" s="30">
        <v>42083</v>
      </c>
      <c r="Q7" s="29">
        <v>7047.33</v>
      </c>
      <c r="R7" s="29">
        <v>7056.3</v>
      </c>
      <c r="S7" s="29">
        <v>7025</v>
      </c>
      <c r="T7" s="31">
        <v>7054.58</v>
      </c>
      <c r="U7" s="29">
        <v>0.11</v>
      </c>
      <c r="V7" s="29">
        <v>7.88</v>
      </c>
      <c r="W7" s="29">
        <v>7046.7</v>
      </c>
    </row>
    <row r="8" spans="1:23">
      <c r="A8" s="23">
        <v>41960</v>
      </c>
      <c r="B8" s="24">
        <v>83</v>
      </c>
      <c r="C8" s="25">
        <v>338084</v>
      </c>
      <c r="O8" s="29" t="s">
        <v>128</v>
      </c>
      <c r="P8" s="30">
        <v>42086</v>
      </c>
      <c r="Q8" s="29">
        <v>7059.84</v>
      </c>
      <c r="R8" s="29">
        <v>7076.37</v>
      </c>
      <c r="S8" s="29">
        <v>7042.3</v>
      </c>
      <c r="T8" s="31">
        <v>7042.3</v>
      </c>
      <c r="U8" s="29">
        <v>-0.17</v>
      </c>
      <c r="V8" s="29">
        <v>-12.28</v>
      </c>
      <c r="W8" s="29">
        <v>7054.58</v>
      </c>
    </row>
    <row r="9" spans="1:23">
      <c r="A9" s="23">
        <v>41961</v>
      </c>
      <c r="B9" s="24">
        <v>82.900002000000001</v>
      </c>
      <c r="C9" s="25">
        <v>131975</v>
      </c>
      <c r="O9" s="29" t="s">
        <v>128</v>
      </c>
      <c r="P9" s="30">
        <v>42087</v>
      </c>
      <c r="Q9" s="29">
        <v>7041.62</v>
      </c>
      <c r="R9" s="29">
        <v>7045.19</v>
      </c>
      <c r="S9" s="29">
        <v>6994.1</v>
      </c>
      <c r="T9" s="31">
        <v>6997.93</v>
      </c>
      <c r="U9" s="29">
        <v>-0.63</v>
      </c>
      <c r="V9" s="29">
        <v>-44.37</v>
      </c>
      <c r="W9" s="29">
        <v>7042.3</v>
      </c>
    </row>
    <row r="10" spans="1:23">
      <c r="A10" s="23">
        <v>41962</v>
      </c>
      <c r="B10" s="24">
        <v>82.400002000000001</v>
      </c>
      <c r="C10" s="25">
        <v>55001</v>
      </c>
      <c r="O10" s="29" t="s">
        <v>128</v>
      </c>
      <c r="P10" s="30">
        <v>42088</v>
      </c>
      <c r="Q10" s="29">
        <v>6998.34</v>
      </c>
      <c r="R10" s="29">
        <v>7008.74</v>
      </c>
      <c r="S10" s="29">
        <v>6965.8</v>
      </c>
      <c r="T10" s="31">
        <v>6973.03</v>
      </c>
      <c r="U10" s="29">
        <v>-0.36</v>
      </c>
      <c r="V10" s="29">
        <v>-24.9</v>
      </c>
      <c r="W10" s="29">
        <v>6997.93</v>
      </c>
    </row>
    <row r="11" spans="1:23">
      <c r="A11" s="23">
        <v>41963</v>
      </c>
      <c r="B11" s="24">
        <v>82</v>
      </c>
      <c r="C11" s="25">
        <v>141004</v>
      </c>
      <c r="O11" s="29" t="s">
        <v>128</v>
      </c>
      <c r="P11" s="30">
        <v>42089</v>
      </c>
      <c r="Q11" s="29">
        <v>6973.21</v>
      </c>
      <c r="R11" s="29">
        <v>6980.86</v>
      </c>
      <c r="S11" s="29">
        <v>6922.83</v>
      </c>
      <c r="T11" s="31">
        <v>6922.83</v>
      </c>
      <c r="U11" s="29">
        <v>-0.72</v>
      </c>
      <c r="V11" s="29">
        <v>-50.2</v>
      </c>
      <c r="W11" s="29">
        <v>6973.03</v>
      </c>
    </row>
    <row r="12" spans="1:23">
      <c r="A12" s="23">
        <v>41964</v>
      </c>
      <c r="B12" s="24">
        <v>80</v>
      </c>
      <c r="C12" s="25">
        <v>281515</v>
      </c>
      <c r="O12" s="29" t="s">
        <v>128</v>
      </c>
      <c r="P12" s="30">
        <v>42090</v>
      </c>
      <c r="Q12" s="29">
        <v>6921.35</v>
      </c>
      <c r="R12" s="29">
        <v>6936.62</v>
      </c>
      <c r="S12" s="29">
        <v>6873.52</v>
      </c>
      <c r="T12" s="31">
        <v>6873.52</v>
      </c>
      <c r="U12" s="29">
        <v>-0.71</v>
      </c>
      <c r="V12" s="29">
        <v>-49.31</v>
      </c>
      <c r="W12" s="29">
        <v>6922.83</v>
      </c>
    </row>
    <row r="13" spans="1:23">
      <c r="A13" s="23">
        <v>41967</v>
      </c>
      <c r="B13" s="24">
        <v>79.099997999999999</v>
      </c>
      <c r="C13" s="25">
        <v>79395</v>
      </c>
      <c r="O13" s="29" t="s">
        <v>128</v>
      </c>
      <c r="P13" s="30">
        <v>42093</v>
      </c>
      <c r="Q13" s="29">
        <v>6873.44</v>
      </c>
      <c r="R13" s="29">
        <v>6879.12</v>
      </c>
      <c r="S13" s="29">
        <v>6780.39</v>
      </c>
      <c r="T13" s="31">
        <v>6782.43</v>
      </c>
      <c r="U13" s="29">
        <v>-1.33</v>
      </c>
      <c r="V13" s="29">
        <v>-91.09</v>
      </c>
      <c r="W13" s="29">
        <v>6873.52</v>
      </c>
    </row>
    <row r="14" spans="1:23">
      <c r="A14" s="23">
        <v>41968</v>
      </c>
      <c r="B14" s="24">
        <v>77.800003000000004</v>
      </c>
      <c r="C14" s="25">
        <v>12350</v>
      </c>
      <c r="O14" s="29" t="s">
        <v>128</v>
      </c>
      <c r="P14" s="30">
        <v>42094</v>
      </c>
      <c r="Q14" s="29">
        <v>6777.6</v>
      </c>
      <c r="R14" s="29">
        <v>6841.54</v>
      </c>
      <c r="S14" s="29">
        <v>6760.04</v>
      </c>
      <c r="T14" s="31">
        <v>6820.34</v>
      </c>
      <c r="U14" s="29">
        <v>0.56000000000000005</v>
      </c>
      <c r="V14" s="29">
        <v>37.909999999999997</v>
      </c>
      <c r="W14" s="29">
        <v>6782.43</v>
      </c>
    </row>
    <row r="15" spans="1:23">
      <c r="A15" s="23">
        <v>41969</v>
      </c>
      <c r="B15" s="24">
        <v>76</v>
      </c>
      <c r="C15" s="25">
        <v>22123</v>
      </c>
      <c r="O15" s="29" t="s">
        <v>128</v>
      </c>
      <c r="P15" s="30">
        <v>42095</v>
      </c>
      <c r="Q15" s="29">
        <v>6815.67</v>
      </c>
      <c r="R15" s="29">
        <v>6916.08</v>
      </c>
      <c r="S15" s="29">
        <v>6815.17</v>
      </c>
      <c r="T15" s="31">
        <v>6916.08</v>
      </c>
      <c r="U15" s="29">
        <v>1.4</v>
      </c>
      <c r="V15" s="29">
        <v>95.74</v>
      </c>
      <c r="W15" s="29">
        <v>6820.34</v>
      </c>
    </row>
    <row r="16" spans="1:23">
      <c r="A16" s="23">
        <v>41970</v>
      </c>
      <c r="B16" s="24">
        <v>76</v>
      </c>
      <c r="C16" s="25">
        <v>8200</v>
      </c>
      <c r="O16" s="29" t="s">
        <v>128</v>
      </c>
      <c r="P16" s="30">
        <v>42096</v>
      </c>
      <c r="Q16" s="29">
        <v>6921.72</v>
      </c>
      <c r="R16" s="29">
        <v>6967.79</v>
      </c>
      <c r="S16" s="29">
        <v>6921.72</v>
      </c>
      <c r="T16" s="31">
        <v>6948.14</v>
      </c>
      <c r="U16" s="29">
        <v>0.46</v>
      </c>
      <c r="V16" s="29">
        <v>32.06</v>
      </c>
      <c r="W16" s="29">
        <v>6916.08</v>
      </c>
    </row>
    <row r="17" spans="1:23">
      <c r="A17" s="23">
        <v>41971</v>
      </c>
      <c r="B17" s="24">
        <v>77.099997999999999</v>
      </c>
      <c r="C17" s="25">
        <v>4307</v>
      </c>
      <c r="O17" s="29" t="s">
        <v>128</v>
      </c>
      <c r="P17" s="30">
        <v>42100</v>
      </c>
      <c r="Q17" s="29">
        <v>6948.76</v>
      </c>
      <c r="R17" s="29">
        <v>6959.32</v>
      </c>
      <c r="S17" s="29">
        <v>6917.51</v>
      </c>
      <c r="T17" s="31">
        <v>6917.51</v>
      </c>
      <c r="U17" s="29">
        <v>-0.44</v>
      </c>
      <c r="V17" s="29">
        <v>-30.63</v>
      </c>
      <c r="W17" s="29">
        <v>6948.14</v>
      </c>
    </row>
    <row r="18" spans="1:23">
      <c r="A18" s="23">
        <v>41974</v>
      </c>
      <c r="B18" s="24">
        <v>79</v>
      </c>
      <c r="C18" s="25">
        <v>1205</v>
      </c>
      <c r="O18" s="29" t="s">
        <v>128</v>
      </c>
      <c r="P18" s="30">
        <v>42101</v>
      </c>
      <c r="Q18" s="29">
        <v>6916.94</v>
      </c>
      <c r="R18" s="29">
        <v>6938.17</v>
      </c>
      <c r="S18" s="29">
        <v>6903.21</v>
      </c>
      <c r="T18" s="31">
        <v>6927.25</v>
      </c>
      <c r="U18" s="29">
        <v>0.14000000000000001</v>
      </c>
      <c r="V18" s="29">
        <v>9.74</v>
      </c>
      <c r="W18" s="29">
        <v>6917.51</v>
      </c>
    </row>
    <row r="19" spans="1:23">
      <c r="A19" s="23">
        <v>41975</v>
      </c>
      <c r="B19" s="24">
        <v>77.099997999999999</v>
      </c>
      <c r="C19" s="25">
        <v>165729</v>
      </c>
      <c r="O19" s="29" t="s">
        <v>128</v>
      </c>
      <c r="P19" s="30">
        <v>42102</v>
      </c>
      <c r="Q19" s="29">
        <v>6927.25</v>
      </c>
      <c r="R19" s="29">
        <v>6935.11</v>
      </c>
      <c r="S19" s="29">
        <v>6906.74</v>
      </c>
      <c r="T19" s="31">
        <v>6913.73</v>
      </c>
      <c r="U19" s="29">
        <v>-0.2</v>
      </c>
      <c r="V19" s="29">
        <v>-13.52</v>
      </c>
      <c r="W19" s="29">
        <v>6927.25</v>
      </c>
    </row>
    <row r="20" spans="1:23">
      <c r="A20" s="23">
        <v>41977</v>
      </c>
      <c r="B20" s="24">
        <v>78</v>
      </c>
      <c r="C20" s="25">
        <v>1500</v>
      </c>
      <c r="O20" s="29" t="s">
        <v>128</v>
      </c>
      <c r="P20" s="30">
        <v>42103</v>
      </c>
      <c r="Q20" s="29">
        <v>6914.78</v>
      </c>
      <c r="R20" s="29">
        <v>6916.38</v>
      </c>
      <c r="S20" s="29">
        <v>6899.29</v>
      </c>
      <c r="T20" s="31">
        <v>6899.29</v>
      </c>
      <c r="U20" s="29">
        <v>-0.21</v>
      </c>
      <c r="V20" s="29">
        <v>-14.44</v>
      </c>
      <c r="W20" s="29">
        <v>6913.73</v>
      </c>
    </row>
    <row r="21" spans="1:23">
      <c r="A21" s="23">
        <v>41978</v>
      </c>
      <c r="B21" s="24">
        <v>77</v>
      </c>
      <c r="C21" s="25">
        <v>180193</v>
      </c>
      <c r="O21" s="29" t="s">
        <v>128</v>
      </c>
      <c r="P21" s="30">
        <v>42104</v>
      </c>
      <c r="Q21" s="29">
        <v>6899.04</v>
      </c>
      <c r="R21" s="29">
        <v>6914.65</v>
      </c>
      <c r="S21" s="29">
        <v>6896.28</v>
      </c>
      <c r="T21" s="31">
        <v>6901.06</v>
      </c>
      <c r="U21" s="29">
        <v>0.03</v>
      </c>
      <c r="V21" s="29">
        <v>1.77</v>
      </c>
      <c r="W21" s="29">
        <v>6899.29</v>
      </c>
    </row>
    <row r="22" spans="1:23">
      <c r="A22" s="23">
        <v>41981</v>
      </c>
      <c r="B22" s="24">
        <v>77.199996999999996</v>
      </c>
      <c r="C22" s="25">
        <v>300</v>
      </c>
      <c r="O22" s="29" t="s">
        <v>128</v>
      </c>
      <c r="P22" s="30">
        <v>42109</v>
      </c>
      <c r="Q22" s="29">
        <v>6903.42</v>
      </c>
      <c r="R22" s="29">
        <v>6981.03</v>
      </c>
      <c r="S22" s="29">
        <v>6903.42</v>
      </c>
      <c r="T22" s="31">
        <v>6981.03</v>
      </c>
      <c r="U22" s="29">
        <v>1.1599999999999999</v>
      </c>
      <c r="V22" s="29">
        <v>79.97</v>
      </c>
      <c r="W22" s="29">
        <v>6901.06</v>
      </c>
    </row>
    <row r="23" spans="1:23">
      <c r="A23" s="23">
        <v>41982</v>
      </c>
      <c r="B23" s="24">
        <v>76.900002000000001</v>
      </c>
      <c r="C23" s="25">
        <v>5490</v>
      </c>
      <c r="O23" s="29" t="s">
        <v>128</v>
      </c>
      <c r="P23" s="30">
        <v>42110</v>
      </c>
      <c r="Q23" s="29">
        <v>6985.74</v>
      </c>
      <c r="R23" s="29">
        <v>7077.27</v>
      </c>
      <c r="S23" s="29">
        <v>6985.74</v>
      </c>
      <c r="T23" s="31">
        <v>7077.27</v>
      </c>
      <c r="U23" s="29">
        <v>1.38</v>
      </c>
      <c r="V23" s="29">
        <v>96.24</v>
      </c>
      <c r="W23" s="29">
        <v>6981.03</v>
      </c>
    </row>
    <row r="24" spans="1:23">
      <c r="A24" s="23">
        <v>41983</v>
      </c>
      <c r="B24" s="24">
        <v>77</v>
      </c>
      <c r="C24" s="25">
        <v>35502</v>
      </c>
      <c r="O24" s="29" t="s">
        <v>128</v>
      </c>
      <c r="P24" s="30">
        <v>42111</v>
      </c>
      <c r="Q24" s="29">
        <v>7082.14</v>
      </c>
      <c r="R24" s="29">
        <v>7098.26</v>
      </c>
      <c r="S24" s="29">
        <v>7066.52</v>
      </c>
      <c r="T24" s="31">
        <v>7086.41</v>
      </c>
      <c r="U24" s="29">
        <v>0.13</v>
      </c>
      <c r="V24" s="29">
        <v>9.14</v>
      </c>
      <c r="W24" s="29">
        <v>7077.27</v>
      </c>
    </row>
    <row r="25" spans="1:23">
      <c r="A25" s="23">
        <v>41984</v>
      </c>
      <c r="B25" s="24">
        <v>76.300003000000004</v>
      </c>
      <c r="C25" s="25">
        <v>9720</v>
      </c>
      <c r="O25" s="29" t="s">
        <v>128</v>
      </c>
      <c r="P25" s="30">
        <v>42114</v>
      </c>
      <c r="Q25" s="29">
        <v>7088.39</v>
      </c>
      <c r="R25" s="29">
        <v>7096.17</v>
      </c>
      <c r="S25" s="29">
        <v>7043.47</v>
      </c>
      <c r="T25" s="31">
        <v>7080.38</v>
      </c>
      <c r="U25" s="29">
        <v>-0.09</v>
      </c>
      <c r="V25" s="29">
        <v>-6.03</v>
      </c>
      <c r="W25" s="29">
        <v>7086.41</v>
      </c>
    </row>
    <row r="26" spans="1:23">
      <c r="A26" s="23">
        <v>41985</v>
      </c>
      <c r="B26" s="24">
        <v>76.199996999999996</v>
      </c>
      <c r="C26" s="25">
        <v>13970</v>
      </c>
      <c r="O26" s="29" t="s">
        <v>128</v>
      </c>
      <c r="P26" s="30">
        <v>42115</v>
      </c>
      <c r="Q26" s="29">
        <v>7078.99</v>
      </c>
      <c r="R26" s="29">
        <v>7107.4</v>
      </c>
      <c r="S26" s="29">
        <v>7078.38</v>
      </c>
      <c r="T26" s="31">
        <v>7098.6</v>
      </c>
      <c r="U26" s="29">
        <v>0.26</v>
      </c>
      <c r="V26" s="29">
        <v>18.22</v>
      </c>
      <c r="W26" s="29">
        <v>7080.38</v>
      </c>
    </row>
    <row r="27" spans="1:23">
      <c r="A27" s="23">
        <v>41989</v>
      </c>
      <c r="B27" s="24">
        <v>77</v>
      </c>
      <c r="C27" s="25">
        <v>47171</v>
      </c>
      <c r="O27" s="29" t="s">
        <v>128</v>
      </c>
      <c r="P27" s="30">
        <v>42116</v>
      </c>
      <c r="Q27" s="29">
        <v>7096.7</v>
      </c>
      <c r="R27" s="29">
        <v>7117.13</v>
      </c>
      <c r="S27" s="29">
        <v>7069.41</v>
      </c>
      <c r="T27" s="31">
        <v>7117.13</v>
      </c>
      <c r="U27" s="29">
        <v>0.26</v>
      </c>
      <c r="V27" s="29">
        <v>18.53</v>
      </c>
      <c r="W27" s="29">
        <v>7098.6</v>
      </c>
    </row>
    <row r="28" spans="1:23">
      <c r="A28" s="23">
        <v>41990</v>
      </c>
      <c r="B28" s="24">
        <v>76.300003000000004</v>
      </c>
      <c r="C28" s="25">
        <v>743</v>
      </c>
      <c r="O28" s="29" t="s">
        <v>128</v>
      </c>
      <c r="P28" s="30">
        <v>42117</v>
      </c>
      <c r="Q28" s="29">
        <v>7119.61</v>
      </c>
      <c r="R28" s="29">
        <v>7125.73</v>
      </c>
      <c r="S28" s="29">
        <v>7103.62</v>
      </c>
      <c r="T28" s="31">
        <v>7114.39</v>
      </c>
      <c r="U28" s="29">
        <v>-0.04</v>
      </c>
      <c r="V28" s="29">
        <v>-2.74</v>
      </c>
      <c r="W28" s="29">
        <v>7117.13</v>
      </c>
    </row>
    <row r="29" spans="1:23">
      <c r="A29" s="23">
        <v>41991</v>
      </c>
      <c r="B29" s="24">
        <v>76.300003000000004</v>
      </c>
      <c r="C29" s="25">
        <v>767</v>
      </c>
      <c r="O29" s="29" t="s">
        <v>128</v>
      </c>
      <c r="P29" s="30">
        <v>42118</v>
      </c>
      <c r="Q29" s="29">
        <v>7115.29</v>
      </c>
      <c r="R29" s="29">
        <v>7144.98</v>
      </c>
      <c r="S29" s="29">
        <v>7114.81</v>
      </c>
      <c r="T29" s="31">
        <v>7129.78</v>
      </c>
      <c r="U29" s="29">
        <v>0.22</v>
      </c>
      <c r="V29" s="29">
        <v>15.39</v>
      </c>
      <c r="W29" s="29">
        <v>7114.39</v>
      </c>
    </row>
    <row r="30" spans="1:23">
      <c r="A30" s="23">
        <v>41992</v>
      </c>
      <c r="B30" s="24">
        <v>76.5</v>
      </c>
      <c r="C30" s="25">
        <v>510</v>
      </c>
      <c r="O30" s="29" t="s">
        <v>128</v>
      </c>
      <c r="P30" s="30">
        <v>42121</v>
      </c>
      <c r="Q30" s="29">
        <v>7129.82</v>
      </c>
      <c r="R30" s="29">
        <v>7132.04</v>
      </c>
      <c r="S30" s="29">
        <v>7111.24</v>
      </c>
      <c r="T30" s="31">
        <v>7125.12</v>
      </c>
      <c r="U30" s="29">
        <v>-7.0000000000000007E-2</v>
      </c>
      <c r="V30" s="29">
        <v>-4.66</v>
      </c>
      <c r="W30" s="29">
        <v>7129.78</v>
      </c>
    </row>
    <row r="31" spans="1:23">
      <c r="A31" s="23">
        <v>41996</v>
      </c>
      <c r="B31" s="24">
        <v>76.5</v>
      </c>
      <c r="C31" s="25">
        <v>300</v>
      </c>
      <c r="O31" s="29" t="s">
        <v>128</v>
      </c>
      <c r="P31" s="30">
        <v>42122</v>
      </c>
      <c r="Q31" s="29">
        <v>7126.41</v>
      </c>
      <c r="R31" s="29">
        <v>7144.8</v>
      </c>
      <c r="S31" s="29">
        <v>7125.31</v>
      </c>
      <c r="T31" s="31">
        <v>7134.43</v>
      </c>
      <c r="U31" s="29">
        <v>0.13</v>
      </c>
      <c r="V31" s="29">
        <v>9.31</v>
      </c>
      <c r="W31" s="29">
        <v>7125.12</v>
      </c>
    </row>
    <row r="32" spans="1:23">
      <c r="A32" s="23">
        <v>41999</v>
      </c>
      <c r="B32" s="24">
        <v>77</v>
      </c>
      <c r="C32" s="25">
        <v>200</v>
      </c>
      <c r="O32" s="29" t="s">
        <v>128</v>
      </c>
      <c r="P32" s="30">
        <v>42123</v>
      </c>
      <c r="Q32" s="29">
        <v>7139.41</v>
      </c>
      <c r="R32" s="29">
        <v>7185.01</v>
      </c>
      <c r="S32" s="29">
        <v>7139.41</v>
      </c>
      <c r="T32" s="31">
        <v>7173.37</v>
      </c>
      <c r="U32" s="29">
        <v>0.55000000000000004</v>
      </c>
      <c r="V32" s="29">
        <v>38.94</v>
      </c>
      <c r="W32" s="29">
        <v>7134.43</v>
      </c>
    </row>
    <row r="33" spans="1:23">
      <c r="A33" s="23">
        <v>42002</v>
      </c>
      <c r="B33" s="24">
        <v>76.5</v>
      </c>
      <c r="C33" s="25">
        <v>20</v>
      </c>
      <c r="O33" s="29" t="s">
        <v>128</v>
      </c>
      <c r="P33" s="30">
        <v>42124</v>
      </c>
      <c r="Q33" s="29">
        <v>7180.29</v>
      </c>
      <c r="R33" s="29">
        <v>7193.88</v>
      </c>
      <c r="S33" s="29">
        <v>7172.43</v>
      </c>
      <c r="T33" s="31">
        <v>7179</v>
      </c>
      <c r="U33" s="29">
        <v>0.08</v>
      </c>
      <c r="V33" s="29">
        <v>5.63</v>
      </c>
      <c r="W33" s="29">
        <v>7173.37</v>
      </c>
    </row>
    <row r="34" spans="1:23">
      <c r="A34" s="23">
        <v>42003</v>
      </c>
      <c r="B34" s="24">
        <v>76.5</v>
      </c>
      <c r="C34" s="25">
        <v>515</v>
      </c>
      <c r="O34" s="29" t="s">
        <v>128</v>
      </c>
      <c r="P34" s="30">
        <v>42129</v>
      </c>
      <c r="Q34" s="29">
        <v>7182.39</v>
      </c>
      <c r="R34" s="29">
        <v>7206.47</v>
      </c>
      <c r="S34" s="29">
        <v>7182.07</v>
      </c>
      <c r="T34" s="31">
        <v>7202.11</v>
      </c>
      <c r="U34" s="29">
        <v>0.32</v>
      </c>
      <c r="V34" s="29">
        <v>23.11</v>
      </c>
      <c r="W34" s="29">
        <v>7179</v>
      </c>
    </row>
    <row r="35" spans="1:23">
      <c r="A35" s="23">
        <v>42004</v>
      </c>
      <c r="B35" s="24">
        <v>76.400002000000001</v>
      </c>
      <c r="C35" s="25">
        <v>7144</v>
      </c>
      <c r="O35" s="29" t="s">
        <v>128</v>
      </c>
      <c r="P35" s="30">
        <v>42130</v>
      </c>
      <c r="Q35" s="29">
        <v>7203.53</v>
      </c>
      <c r="R35" s="29">
        <v>7208.09</v>
      </c>
      <c r="S35" s="29">
        <v>7180.55</v>
      </c>
      <c r="T35" s="31">
        <v>7192.29</v>
      </c>
      <c r="U35" s="29">
        <v>-0.14000000000000001</v>
      </c>
      <c r="V35" s="29">
        <v>-9.82</v>
      </c>
      <c r="W35" s="29">
        <v>7202.11</v>
      </c>
    </row>
    <row r="36" spans="1:23">
      <c r="A36" s="23">
        <v>42006</v>
      </c>
      <c r="B36" s="24">
        <v>76.5</v>
      </c>
      <c r="C36" s="25">
        <v>2000</v>
      </c>
      <c r="O36" s="29" t="s">
        <v>128</v>
      </c>
      <c r="P36" s="30">
        <v>42131</v>
      </c>
      <c r="Q36" s="29">
        <v>7191.47</v>
      </c>
      <c r="R36" s="29">
        <v>7212.9</v>
      </c>
      <c r="S36" s="29">
        <v>7186.99</v>
      </c>
      <c r="T36" s="31">
        <v>7212.9</v>
      </c>
      <c r="U36" s="29">
        <v>0.28999999999999998</v>
      </c>
      <c r="V36" s="29">
        <v>20.61</v>
      </c>
      <c r="W36" s="29">
        <v>7192.29</v>
      </c>
    </row>
    <row r="37" spans="1:23">
      <c r="A37" s="23">
        <v>42010</v>
      </c>
      <c r="B37" s="24">
        <v>79.900002000000001</v>
      </c>
      <c r="C37" s="25">
        <v>13012</v>
      </c>
      <c r="O37" s="29" t="s">
        <v>128</v>
      </c>
      <c r="P37" s="30">
        <v>42132</v>
      </c>
      <c r="Q37" s="29">
        <v>7214.3</v>
      </c>
      <c r="R37" s="29">
        <v>7228.8</v>
      </c>
      <c r="S37" s="29">
        <v>7212.28</v>
      </c>
      <c r="T37" s="31">
        <v>7212.47</v>
      </c>
      <c r="U37" s="29">
        <v>-0.01</v>
      </c>
      <c r="V37" s="29">
        <v>-0.43</v>
      </c>
      <c r="W37" s="29">
        <v>7212.9</v>
      </c>
    </row>
    <row r="38" spans="1:23">
      <c r="A38" s="23">
        <v>42011</v>
      </c>
      <c r="B38" s="24">
        <v>79.800003000000004</v>
      </c>
      <c r="C38" s="25">
        <v>16170</v>
      </c>
      <c r="O38" s="29" t="s">
        <v>128</v>
      </c>
      <c r="P38" s="30">
        <v>42135</v>
      </c>
      <c r="Q38" s="29">
        <v>7218.58</v>
      </c>
      <c r="R38" s="29">
        <v>7222.48</v>
      </c>
      <c r="S38" s="29">
        <v>7209.46</v>
      </c>
      <c r="T38" s="31">
        <v>7213.63</v>
      </c>
      <c r="U38" s="29">
        <v>0.02</v>
      </c>
      <c r="V38" s="29">
        <v>1.1599999999999999</v>
      </c>
      <c r="W38" s="29">
        <v>7212.47</v>
      </c>
    </row>
    <row r="39" spans="1:23">
      <c r="A39" s="23">
        <v>42012</v>
      </c>
      <c r="B39" s="24">
        <v>81.400002000000001</v>
      </c>
      <c r="C39" s="25">
        <v>116350</v>
      </c>
      <c r="O39" s="29" t="s">
        <v>128</v>
      </c>
      <c r="P39" s="30">
        <v>42136</v>
      </c>
      <c r="Q39" s="29">
        <v>7210.58</v>
      </c>
      <c r="R39" s="29">
        <v>7265.52</v>
      </c>
      <c r="S39" s="29">
        <v>7210.58</v>
      </c>
      <c r="T39" s="31">
        <v>7258.61</v>
      </c>
      <c r="U39" s="29">
        <v>0.62</v>
      </c>
      <c r="V39" s="29">
        <v>44.98</v>
      </c>
      <c r="W39" s="29">
        <v>7213.63</v>
      </c>
    </row>
    <row r="40" spans="1:23">
      <c r="A40" s="23">
        <v>42013</v>
      </c>
      <c r="B40" s="24">
        <v>81.800003000000004</v>
      </c>
      <c r="C40" s="25">
        <v>68129</v>
      </c>
      <c r="O40" s="29" t="s">
        <v>128</v>
      </c>
      <c r="P40" s="30">
        <v>42137</v>
      </c>
      <c r="Q40" s="29">
        <v>7262.68</v>
      </c>
      <c r="R40" s="29">
        <v>7272.41</v>
      </c>
      <c r="S40" s="29">
        <v>7243.69</v>
      </c>
      <c r="T40" s="31">
        <v>7245.05</v>
      </c>
      <c r="U40" s="29">
        <v>-0.19</v>
      </c>
      <c r="V40" s="29">
        <v>-13.56</v>
      </c>
      <c r="W40" s="29">
        <v>7258.61</v>
      </c>
    </row>
    <row r="41" spans="1:23">
      <c r="A41" s="23">
        <v>42016</v>
      </c>
      <c r="B41" s="24">
        <v>80.400002000000001</v>
      </c>
      <c r="C41" s="25">
        <v>102548</v>
      </c>
      <c r="O41" s="29" t="s">
        <v>128</v>
      </c>
      <c r="P41" s="30">
        <v>42138</v>
      </c>
      <c r="Q41" s="29">
        <v>7244.15</v>
      </c>
      <c r="R41" s="29">
        <v>7255.55</v>
      </c>
      <c r="S41" s="29">
        <v>7234.86</v>
      </c>
      <c r="T41" s="31">
        <v>7236.87</v>
      </c>
      <c r="U41" s="29">
        <v>-0.11</v>
      </c>
      <c r="V41" s="29">
        <v>-8.18</v>
      </c>
      <c r="W41" s="29">
        <v>7245.05</v>
      </c>
    </row>
    <row r="42" spans="1:23">
      <c r="A42" s="23">
        <v>42017</v>
      </c>
      <c r="B42" s="24">
        <v>80.099997999999999</v>
      </c>
      <c r="C42" s="25">
        <v>2550</v>
      </c>
      <c r="O42" s="29" t="s">
        <v>128</v>
      </c>
      <c r="P42" s="30">
        <v>42139</v>
      </c>
      <c r="Q42" s="29">
        <v>7240.45</v>
      </c>
      <c r="R42" s="29">
        <v>7267.1</v>
      </c>
      <c r="S42" s="29">
        <v>7240.35</v>
      </c>
      <c r="T42" s="31">
        <v>7258.67</v>
      </c>
      <c r="U42" s="29">
        <v>0.3</v>
      </c>
      <c r="V42" s="29">
        <v>21.8</v>
      </c>
      <c r="W42" s="29">
        <v>7236.87</v>
      </c>
    </row>
    <row r="43" spans="1:23">
      <c r="A43" s="23">
        <v>42020</v>
      </c>
      <c r="B43" s="24">
        <v>80</v>
      </c>
      <c r="C43" s="25">
        <v>10341</v>
      </c>
      <c r="O43" s="29" t="s">
        <v>128</v>
      </c>
      <c r="P43" s="30">
        <v>42142</v>
      </c>
      <c r="Q43" s="29">
        <v>7260.84</v>
      </c>
      <c r="R43" s="29">
        <v>7277.14</v>
      </c>
      <c r="S43" s="29">
        <v>7246.53</v>
      </c>
      <c r="T43" s="31">
        <v>7255.02</v>
      </c>
      <c r="U43" s="29">
        <v>-0.05</v>
      </c>
      <c r="V43" s="29">
        <v>-3.65</v>
      </c>
      <c r="W43" s="29">
        <v>7258.67</v>
      </c>
    </row>
    <row r="44" spans="1:23">
      <c r="A44" s="23">
        <v>42023</v>
      </c>
      <c r="B44" s="24">
        <v>78</v>
      </c>
      <c r="C44" s="25">
        <v>76735</v>
      </c>
      <c r="O44" s="29" t="s">
        <v>128</v>
      </c>
      <c r="P44" s="30">
        <v>42143</v>
      </c>
      <c r="Q44" s="29">
        <v>7253.37</v>
      </c>
      <c r="R44" s="29">
        <v>7266.2</v>
      </c>
      <c r="S44" s="29">
        <v>7249.31</v>
      </c>
      <c r="T44" s="31">
        <v>7266.2</v>
      </c>
      <c r="U44" s="29">
        <v>0.15</v>
      </c>
      <c r="V44" s="29">
        <v>11.18</v>
      </c>
      <c r="W44" s="29">
        <v>7255.02</v>
      </c>
    </row>
    <row r="45" spans="1:23">
      <c r="A45" s="23">
        <v>42024</v>
      </c>
      <c r="B45" s="24">
        <v>78.099997999999999</v>
      </c>
      <c r="C45" s="25">
        <v>5400</v>
      </c>
      <c r="O45" s="29" t="s">
        <v>128</v>
      </c>
      <c r="P45" s="30">
        <v>42144</v>
      </c>
      <c r="Q45" s="29">
        <v>7267.81</v>
      </c>
      <c r="R45" s="29">
        <v>7296.94</v>
      </c>
      <c r="S45" s="29">
        <v>7267.1</v>
      </c>
      <c r="T45" s="31">
        <v>7289.77</v>
      </c>
      <c r="U45" s="29">
        <v>0.32</v>
      </c>
      <c r="V45" s="29">
        <v>23.57</v>
      </c>
      <c r="W45" s="29">
        <v>7266.2</v>
      </c>
    </row>
    <row r="46" spans="1:23">
      <c r="A46" s="23">
        <v>42025</v>
      </c>
      <c r="B46" s="24">
        <v>80</v>
      </c>
      <c r="C46" s="25">
        <v>1006</v>
      </c>
      <c r="O46" s="29" t="s">
        <v>128</v>
      </c>
      <c r="P46" s="30">
        <v>42145</v>
      </c>
      <c r="Q46" s="29">
        <v>7292.61</v>
      </c>
      <c r="R46" s="29">
        <v>7299.87</v>
      </c>
      <c r="S46" s="29">
        <v>7273.69</v>
      </c>
      <c r="T46" s="31">
        <v>7273.69</v>
      </c>
      <c r="U46" s="29">
        <v>-0.22</v>
      </c>
      <c r="V46" s="29">
        <v>-16.079999999999998</v>
      </c>
      <c r="W46" s="29">
        <v>7289.77</v>
      </c>
    </row>
    <row r="47" spans="1:23">
      <c r="A47" s="23">
        <v>42026</v>
      </c>
      <c r="B47" s="24">
        <v>79</v>
      </c>
      <c r="C47" s="25">
        <v>9550</v>
      </c>
      <c r="O47" s="29" t="s">
        <v>128</v>
      </c>
      <c r="P47" s="30">
        <v>42146</v>
      </c>
      <c r="Q47" s="29">
        <v>7276.04</v>
      </c>
      <c r="R47" s="29">
        <v>7294.52</v>
      </c>
      <c r="S47" s="29">
        <v>7273.57</v>
      </c>
      <c r="T47" s="31">
        <v>7288.74</v>
      </c>
      <c r="U47" s="29">
        <v>0.21</v>
      </c>
      <c r="V47" s="29">
        <v>15.05</v>
      </c>
      <c r="W47" s="29">
        <v>7273.69</v>
      </c>
    </row>
    <row r="48" spans="1:23">
      <c r="A48" s="23">
        <v>42027</v>
      </c>
      <c r="B48" s="24">
        <v>76.900002000000001</v>
      </c>
      <c r="C48" s="25">
        <v>1100</v>
      </c>
      <c r="O48" s="29" t="s">
        <v>128</v>
      </c>
      <c r="P48" s="30">
        <v>42149</v>
      </c>
      <c r="Q48" s="29">
        <v>7293.96</v>
      </c>
      <c r="R48" s="29">
        <v>7302.34</v>
      </c>
      <c r="S48" s="29">
        <v>7261.25</v>
      </c>
      <c r="T48" s="31">
        <v>7284.76</v>
      </c>
      <c r="U48" s="29">
        <v>-0.05</v>
      </c>
      <c r="V48" s="29">
        <v>-3.98</v>
      </c>
      <c r="W48" s="29">
        <v>7288.74</v>
      </c>
    </row>
    <row r="49" spans="1:23">
      <c r="A49" s="23">
        <v>42030</v>
      </c>
      <c r="B49" s="24">
        <v>79.699996999999996</v>
      </c>
      <c r="C49" s="25">
        <v>17511</v>
      </c>
      <c r="O49" s="29" t="s">
        <v>128</v>
      </c>
      <c r="P49" s="30">
        <v>42150</v>
      </c>
      <c r="Q49" s="29">
        <v>7293.59</v>
      </c>
      <c r="R49" s="29">
        <v>7314.66</v>
      </c>
      <c r="S49" s="29">
        <v>7261.78</v>
      </c>
      <c r="T49" s="31">
        <v>7261.78</v>
      </c>
      <c r="U49" s="29">
        <v>-0.32</v>
      </c>
      <c r="V49" s="29">
        <v>-22.98</v>
      </c>
      <c r="W49" s="29">
        <v>7284.76</v>
      </c>
    </row>
    <row r="50" spans="1:23">
      <c r="A50" s="23">
        <v>42031</v>
      </c>
      <c r="B50" s="24">
        <v>79</v>
      </c>
      <c r="C50" s="25">
        <v>67772</v>
      </c>
      <c r="O50" s="29" t="s">
        <v>128</v>
      </c>
      <c r="P50" s="30">
        <v>42151</v>
      </c>
      <c r="Q50" s="29">
        <v>7266.11</v>
      </c>
      <c r="R50" s="29">
        <v>7277.05</v>
      </c>
      <c r="S50" s="29">
        <v>7253.5</v>
      </c>
      <c r="T50" s="31">
        <v>7253.5</v>
      </c>
      <c r="U50" s="29">
        <v>-0.11</v>
      </c>
      <c r="V50" s="29">
        <v>-8.2799999999999994</v>
      </c>
      <c r="W50" s="29">
        <v>7261.78</v>
      </c>
    </row>
    <row r="51" spans="1:23">
      <c r="A51" s="23">
        <v>42032</v>
      </c>
      <c r="B51" s="24">
        <v>80</v>
      </c>
      <c r="C51" s="25">
        <v>10400</v>
      </c>
      <c r="O51" s="29" t="s">
        <v>128</v>
      </c>
      <c r="P51" s="30">
        <v>42152</v>
      </c>
      <c r="Q51" s="29">
        <v>7255.76</v>
      </c>
      <c r="R51" s="29">
        <v>7270.55</v>
      </c>
      <c r="S51" s="29">
        <v>7253.36</v>
      </c>
      <c r="T51" s="31">
        <v>7255.71</v>
      </c>
      <c r="U51" s="29">
        <v>0.03</v>
      </c>
      <c r="V51" s="29">
        <v>2.21</v>
      </c>
      <c r="W51" s="29">
        <v>7253.5</v>
      </c>
    </row>
    <row r="52" spans="1:23">
      <c r="A52" s="23">
        <v>42033</v>
      </c>
      <c r="B52" s="24">
        <v>80.199996999999996</v>
      </c>
      <c r="C52" s="25">
        <v>13217</v>
      </c>
      <c r="O52" s="29" t="s">
        <v>128</v>
      </c>
      <c r="P52" s="30">
        <v>42153</v>
      </c>
      <c r="Q52" s="29">
        <v>7255.88</v>
      </c>
      <c r="R52" s="29">
        <v>7270.33</v>
      </c>
      <c r="S52" s="29">
        <v>7220.29</v>
      </c>
      <c r="T52" s="31">
        <v>7220.29</v>
      </c>
      <c r="U52" s="29">
        <v>-0.49</v>
      </c>
      <c r="V52" s="29">
        <v>-35.42</v>
      </c>
      <c r="W52" s="29">
        <v>7255.71</v>
      </c>
    </row>
    <row r="53" spans="1:23">
      <c r="A53" s="23">
        <v>42034</v>
      </c>
      <c r="B53" s="24">
        <v>79.800003000000004</v>
      </c>
      <c r="C53" s="25">
        <v>66150</v>
      </c>
      <c r="O53" s="29" t="s">
        <v>128</v>
      </c>
      <c r="P53" s="30">
        <v>42156</v>
      </c>
      <c r="Q53" s="29">
        <v>7228.67</v>
      </c>
      <c r="R53" s="29">
        <v>7231.04</v>
      </c>
      <c r="S53" s="29">
        <v>7195.19</v>
      </c>
      <c r="T53" s="31">
        <v>7195.19</v>
      </c>
      <c r="U53" s="29">
        <v>-0.35</v>
      </c>
      <c r="V53" s="29">
        <v>-25.1</v>
      </c>
      <c r="W53" s="29">
        <v>7220.29</v>
      </c>
    </row>
    <row r="54" spans="1:23">
      <c r="A54" s="23">
        <v>42037</v>
      </c>
      <c r="B54" s="24">
        <v>79.199996999999996</v>
      </c>
      <c r="C54" s="25">
        <v>504</v>
      </c>
      <c r="O54" s="29" t="s">
        <v>128</v>
      </c>
      <c r="P54" s="30">
        <v>42158</v>
      </c>
      <c r="Q54" s="29">
        <v>7196.22</v>
      </c>
      <c r="R54" s="29">
        <v>7199.81</v>
      </c>
      <c r="S54" s="29">
        <v>7133.57</v>
      </c>
      <c r="T54" s="31">
        <v>7149.46</v>
      </c>
      <c r="U54" s="29">
        <v>-0.64</v>
      </c>
      <c r="V54" s="29">
        <v>-45.73</v>
      </c>
      <c r="W54" s="29">
        <v>7195.19</v>
      </c>
    </row>
    <row r="55" spans="1:23">
      <c r="A55" s="23">
        <v>42040</v>
      </c>
      <c r="B55" s="24">
        <v>78.099997999999999</v>
      </c>
      <c r="C55" s="25">
        <v>117</v>
      </c>
      <c r="O55" s="29" t="s">
        <v>128</v>
      </c>
      <c r="P55" s="30">
        <v>42159</v>
      </c>
      <c r="Q55" s="29">
        <v>7147.85</v>
      </c>
      <c r="R55" s="29">
        <v>7158.94</v>
      </c>
      <c r="S55" s="29">
        <v>7120.91</v>
      </c>
      <c r="T55" s="31">
        <v>7120.91</v>
      </c>
      <c r="U55" s="29">
        <v>-0.4</v>
      </c>
      <c r="V55" s="29">
        <v>-28.55</v>
      </c>
      <c r="W55" s="29">
        <v>7149.46</v>
      </c>
    </row>
    <row r="56" spans="1:23">
      <c r="A56" s="23">
        <v>42041</v>
      </c>
      <c r="B56" s="24">
        <v>79.599997999999999</v>
      </c>
      <c r="C56" s="25">
        <v>11800</v>
      </c>
      <c r="O56" s="29" t="s">
        <v>128</v>
      </c>
      <c r="P56" s="30">
        <v>42160</v>
      </c>
      <c r="Q56" s="29">
        <v>7129.68</v>
      </c>
      <c r="R56" s="29">
        <v>7156.8</v>
      </c>
      <c r="S56" s="29">
        <v>7122.73</v>
      </c>
      <c r="T56" s="31">
        <v>7122.73</v>
      </c>
      <c r="U56" s="29">
        <v>0.03</v>
      </c>
      <c r="V56" s="29">
        <v>1.82</v>
      </c>
      <c r="W56" s="29">
        <v>7120.91</v>
      </c>
    </row>
    <row r="57" spans="1:23">
      <c r="A57" s="23">
        <v>42044</v>
      </c>
      <c r="B57" s="24">
        <v>79.199996999999996</v>
      </c>
      <c r="C57" s="25">
        <v>11073</v>
      </c>
      <c r="O57" s="29" t="s">
        <v>128</v>
      </c>
      <c r="P57" s="30">
        <v>42163</v>
      </c>
      <c r="Q57" s="29">
        <v>7122.62</v>
      </c>
      <c r="R57" s="29">
        <v>7135.13</v>
      </c>
      <c r="S57" s="29">
        <v>7078.66</v>
      </c>
      <c r="T57" s="31">
        <v>7078.66</v>
      </c>
      <c r="U57" s="29">
        <v>-0.62</v>
      </c>
      <c r="V57" s="29">
        <v>-44.07</v>
      </c>
      <c r="W57" s="29">
        <v>7122.73</v>
      </c>
    </row>
    <row r="58" spans="1:23">
      <c r="A58" s="23">
        <v>42045</v>
      </c>
      <c r="B58" s="24">
        <v>80</v>
      </c>
      <c r="C58" s="25">
        <v>44729</v>
      </c>
      <c r="O58" s="29" t="s">
        <v>128</v>
      </c>
      <c r="P58" s="30">
        <v>42164</v>
      </c>
      <c r="Q58" s="29">
        <v>7077.55</v>
      </c>
      <c r="R58" s="29">
        <v>7090.26</v>
      </c>
      <c r="S58" s="29">
        <v>7067.11</v>
      </c>
      <c r="T58" s="31">
        <v>7067.11</v>
      </c>
      <c r="U58" s="29">
        <v>-0.16</v>
      </c>
      <c r="V58" s="29">
        <v>-11.55</v>
      </c>
      <c r="W58" s="29">
        <v>7078.66</v>
      </c>
    </row>
    <row r="59" spans="1:23">
      <c r="A59" s="23">
        <v>42046</v>
      </c>
      <c r="B59" s="24">
        <v>80</v>
      </c>
      <c r="C59" s="25">
        <v>60866</v>
      </c>
      <c r="O59" s="29" t="s">
        <v>128</v>
      </c>
      <c r="P59" s="30">
        <v>42165</v>
      </c>
      <c r="Q59" s="29">
        <v>7066.53</v>
      </c>
      <c r="R59" s="29">
        <v>7077.06</v>
      </c>
      <c r="S59" s="29">
        <v>7052.98</v>
      </c>
      <c r="T59" s="31">
        <v>7063.45</v>
      </c>
      <c r="U59" s="29">
        <v>-0.05</v>
      </c>
      <c r="V59" s="29">
        <v>-3.66</v>
      </c>
      <c r="W59" s="29">
        <v>7067.11</v>
      </c>
    </row>
    <row r="60" spans="1:23">
      <c r="A60" s="23">
        <v>42047</v>
      </c>
      <c r="B60" s="24">
        <v>80</v>
      </c>
      <c r="C60" s="25">
        <v>57240</v>
      </c>
      <c r="O60" s="29" t="s">
        <v>128</v>
      </c>
      <c r="P60" s="30">
        <v>42166</v>
      </c>
      <c r="Q60" s="29">
        <v>7063.34</v>
      </c>
      <c r="R60" s="29">
        <v>7080.73</v>
      </c>
      <c r="S60" s="29">
        <v>7051.52</v>
      </c>
      <c r="T60" s="31">
        <v>7051.52</v>
      </c>
      <c r="U60" s="29">
        <v>-0.17</v>
      </c>
      <c r="V60" s="29">
        <v>-11.93</v>
      </c>
      <c r="W60" s="29">
        <v>7063.45</v>
      </c>
    </row>
    <row r="61" spans="1:23">
      <c r="A61" s="23">
        <v>42048</v>
      </c>
      <c r="B61" s="24">
        <v>80</v>
      </c>
      <c r="C61" s="25">
        <v>11654</v>
      </c>
      <c r="O61" s="29" t="s">
        <v>128</v>
      </c>
      <c r="P61" s="30">
        <v>42167</v>
      </c>
      <c r="Q61" s="29">
        <v>7054.2</v>
      </c>
      <c r="R61" s="29">
        <v>7065.09</v>
      </c>
      <c r="S61" s="29">
        <v>7040.08</v>
      </c>
      <c r="T61" s="31">
        <v>7061.28</v>
      </c>
      <c r="U61" s="29">
        <v>0.14000000000000001</v>
      </c>
      <c r="V61" s="29">
        <v>9.76</v>
      </c>
      <c r="W61" s="29">
        <v>7051.52</v>
      </c>
    </row>
    <row r="62" spans="1:23">
      <c r="A62" s="23">
        <v>42051</v>
      </c>
      <c r="B62" s="24">
        <v>81.900002000000001</v>
      </c>
      <c r="C62" s="25">
        <v>16800</v>
      </c>
      <c r="O62" s="29" t="s">
        <v>128</v>
      </c>
      <c r="P62" s="30">
        <v>42170</v>
      </c>
      <c r="Q62" s="29">
        <v>7071.76</v>
      </c>
      <c r="R62" s="29">
        <v>7086.84</v>
      </c>
      <c r="S62" s="29">
        <v>7071.76</v>
      </c>
      <c r="T62" s="31">
        <v>7078.97</v>
      </c>
      <c r="U62" s="29">
        <v>0.25</v>
      </c>
      <c r="V62" s="29">
        <v>17.690000000000001</v>
      </c>
      <c r="W62" s="29">
        <v>7061.28</v>
      </c>
    </row>
    <row r="63" spans="1:23">
      <c r="A63" s="23">
        <v>42053</v>
      </c>
      <c r="B63" s="24">
        <v>80.599997999999999</v>
      </c>
      <c r="C63" s="25">
        <v>3530</v>
      </c>
      <c r="O63" s="29" t="s">
        <v>128</v>
      </c>
      <c r="P63" s="30">
        <v>42171</v>
      </c>
      <c r="Q63" s="29">
        <v>7081.07</v>
      </c>
      <c r="R63" s="29">
        <v>7088.22</v>
      </c>
      <c r="S63" s="29">
        <v>7042.87</v>
      </c>
      <c r="T63" s="31">
        <v>7044.6</v>
      </c>
      <c r="U63" s="29">
        <v>-0.49</v>
      </c>
      <c r="V63" s="29">
        <v>-34.369999999999997</v>
      </c>
      <c r="W63" s="29">
        <v>7078.97</v>
      </c>
    </row>
    <row r="64" spans="1:23">
      <c r="A64" s="23">
        <v>42054</v>
      </c>
      <c r="B64" s="24">
        <v>80.900002000000001</v>
      </c>
      <c r="C64" s="25">
        <v>14607</v>
      </c>
      <c r="O64" s="29" t="s">
        <v>128</v>
      </c>
      <c r="P64" s="30">
        <v>42172</v>
      </c>
      <c r="Q64" s="29">
        <v>7045.36</v>
      </c>
      <c r="R64" s="29">
        <v>7069.41</v>
      </c>
      <c r="S64" s="29">
        <v>7035.81</v>
      </c>
      <c r="T64" s="31">
        <v>7049.71</v>
      </c>
      <c r="U64" s="29">
        <v>7.0000000000000007E-2</v>
      </c>
      <c r="V64" s="29">
        <v>5.1100000000000003</v>
      </c>
      <c r="W64" s="29">
        <v>7044.6</v>
      </c>
    </row>
    <row r="65" spans="1:23">
      <c r="A65" s="23">
        <v>42055</v>
      </c>
      <c r="B65" s="24">
        <v>81.400002000000001</v>
      </c>
      <c r="C65" s="25">
        <v>104346</v>
      </c>
      <c r="O65" s="29" t="s">
        <v>128</v>
      </c>
      <c r="P65" s="30">
        <v>42173</v>
      </c>
      <c r="Q65" s="29">
        <v>7051.47</v>
      </c>
      <c r="R65" s="29">
        <v>7065.93</v>
      </c>
      <c r="S65" s="29">
        <v>7048.18</v>
      </c>
      <c r="T65" s="31">
        <v>7064.15</v>
      </c>
      <c r="U65" s="29">
        <v>0.2</v>
      </c>
      <c r="V65" s="29">
        <v>14.44</v>
      </c>
      <c r="W65" s="29">
        <v>7049.71</v>
      </c>
    </row>
    <row r="66" spans="1:23">
      <c r="A66" s="23">
        <v>42058</v>
      </c>
      <c r="B66" s="24">
        <v>82.400002000000001</v>
      </c>
      <c r="C66" s="25">
        <v>15751</v>
      </c>
      <c r="O66" s="29" t="s">
        <v>128</v>
      </c>
      <c r="P66" s="30">
        <v>42174</v>
      </c>
      <c r="Q66" s="29">
        <v>7065.94</v>
      </c>
      <c r="R66" s="29">
        <v>7068.65</v>
      </c>
      <c r="S66" s="29">
        <v>7032.85</v>
      </c>
      <c r="T66" s="31">
        <v>7035.15</v>
      </c>
      <c r="U66" s="29">
        <v>-0.41</v>
      </c>
      <c r="V66" s="29">
        <v>-29</v>
      </c>
      <c r="W66" s="29">
        <v>7064.15</v>
      </c>
    </row>
    <row r="67" spans="1:23">
      <c r="A67" s="23">
        <v>42059</v>
      </c>
      <c r="B67" s="24">
        <v>82</v>
      </c>
      <c r="C67" s="25">
        <v>37781</v>
      </c>
      <c r="O67" s="29" t="s">
        <v>128</v>
      </c>
      <c r="P67" s="30">
        <v>42177</v>
      </c>
      <c r="Q67" s="29">
        <v>7037.04</v>
      </c>
      <c r="R67" s="29">
        <v>7052.47</v>
      </c>
      <c r="S67" s="29">
        <v>7026.65</v>
      </c>
      <c r="T67" s="31">
        <v>7039.65</v>
      </c>
      <c r="U67" s="29">
        <v>0.06</v>
      </c>
      <c r="V67" s="29">
        <v>4.5</v>
      </c>
      <c r="W67" s="29">
        <v>7035.15</v>
      </c>
    </row>
    <row r="68" spans="1:23">
      <c r="A68" s="23">
        <v>42060</v>
      </c>
      <c r="B68" s="24">
        <v>80.800003000000004</v>
      </c>
      <c r="C68" s="25">
        <v>18093</v>
      </c>
      <c r="O68" s="29" t="s">
        <v>128</v>
      </c>
      <c r="P68" s="30">
        <v>42178</v>
      </c>
      <c r="Q68" s="29">
        <v>7040.76</v>
      </c>
      <c r="R68" s="29">
        <v>7066.89</v>
      </c>
      <c r="S68" s="29">
        <v>7040.68</v>
      </c>
      <c r="T68" s="31">
        <v>7053.96</v>
      </c>
      <c r="U68" s="29">
        <v>0.2</v>
      </c>
      <c r="V68" s="29">
        <v>14.31</v>
      </c>
      <c r="W68" s="29">
        <v>7039.65</v>
      </c>
    </row>
    <row r="69" spans="1:23">
      <c r="A69" s="23">
        <v>42061</v>
      </c>
      <c r="B69" s="24">
        <v>81.900002000000001</v>
      </c>
      <c r="C69" s="25">
        <v>32544</v>
      </c>
      <c r="O69" s="29" t="s">
        <v>128</v>
      </c>
      <c r="P69" s="30">
        <v>42179</v>
      </c>
      <c r="Q69" s="29">
        <v>7054.59</v>
      </c>
      <c r="R69" s="29">
        <v>7072.85</v>
      </c>
      <c r="S69" s="29">
        <v>7045.56</v>
      </c>
      <c r="T69" s="31">
        <v>7053.83</v>
      </c>
      <c r="U69" s="29">
        <v>0</v>
      </c>
      <c r="V69" s="29">
        <v>-0.13</v>
      </c>
      <c r="W69" s="29">
        <v>7053.96</v>
      </c>
    </row>
    <row r="70" spans="1:23">
      <c r="A70" s="23">
        <v>42062</v>
      </c>
      <c r="B70" s="24">
        <v>81.300003000000004</v>
      </c>
      <c r="C70" s="25">
        <v>44212</v>
      </c>
      <c r="O70" s="29" t="s">
        <v>128</v>
      </c>
      <c r="P70" s="30">
        <v>42180</v>
      </c>
      <c r="Q70" s="29">
        <v>7054.78</v>
      </c>
      <c r="R70" s="29">
        <v>7058.02</v>
      </c>
      <c r="S70" s="29">
        <v>7031.33</v>
      </c>
      <c r="T70" s="31">
        <v>7031.33</v>
      </c>
      <c r="U70" s="29">
        <v>-0.32</v>
      </c>
      <c r="V70" s="29">
        <v>-22.5</v>
      </c>
      <c r="W70" s="29">
        <v>7053.83</v>
      </c>
    </row>
    <row r="71" spans="1:23">
      <c r="A71" s="23">
        <v>42065</v>
      </c>
      <c r="B71" s="24">
        <v>81</v>
      </c>
      <c r="C71" s="25">
        <v>8531</v>
      </c>
      <c r="O71" s="29" t="s">
        <v>128</v>
      </c>
      <c r="P71" s="30">
        <v>42181</v>
      </c>
      <c r="Q71" s="29">
        <v>7031.05</v>
      </c>
      <c r="R71" s="29">
        <v>7035.31</v>
      </c>
      <c r="S71" s="29">
        <v>7015.87</v>
      </c>
      <c r="T71" s="31">
        <v>7016.2</v>
      </c>
      <c r="U71" s="29">
        <v>-0.22</v>
      </c>
      <c r="V71" s="29">
        <v>-15.13</v>
      </c>
      <c r="W71" s="29">
        <v>7031.33</v>
      </c>
    </row>
    <row r="72" spans="1:23">
      <c r="A72" s="23">
        <v>42066</v>
      </c>
      <c r="B72" s="24">
        <v>81</v>
      </c>
      <c r="C72" s="25">
        <v>24534</v>
      </c>
      <c r="O72" s="29" t="s">
        <v>128</v>
      </c>
      <c r="P72" s="30">
        <v>42184</v>
      </c>
      <c r="Q72" s="29">
        <v>7024.06</v>
      </c>
      <c r="R72" s="29">
        <v>7043.2</v>
      </c>
      <c r="S72" s="29">
        <v>7024.06</v>
      </c>
      <c r="T72" s="31">
        <v>7032.15</v>
      </c>
      <c r="U72" s="29">
        <v>0.23</v>
      </c>
      <c r="V72" s="29">
        <v>15.95</v>
      </c>
      <c r="W72" s="29">
        <v>7016.2</v>
      </c>
    </row>
    <row r="73" spans="1:23">
      <c r="A73" s="23">
        <v>42067</v>
      </c>
      <c r="B73" s="24">
        <v>81</v>
      </c>
      <c r="C73" s="25">
        <v>82911</v>
      </c>
      <c r="O73" s="29" t="s">
        <v>128</v>
      </c>
      <c r="P73" s="30">
        <v>42185</v>
      </c>
      <c r="Q73" s="29">
        <v>7032.95</v>
      </c>
      <c r="R73" s="29">
        <v>7035.01</v>
      </c>
      <c r="S73" s="29">
        <v>7012.12</v>
      </c>
      <c r="T73" s="31">
        <v>7020.8</v>
      </c>
      <c r="U73" s="29">
        <v>-0.16</v>
      </c>
      <c r="V73" s="29">
        <v>-11.35</v>
      </c>
      <c r="W73" s="29">
        <v>7032.15</v>
      </c>
    </row>
    <row r="74" spans="1:23">
      <c r="A74" s="23">
        <v>42069</v>
      </c>
      <c r="B74" s="24">
        <v>80.599997999999999</v>
      </c>
      <c r="C74" s="25">
        <v>5366</v>
      </c>
      <c r="O74" s="29" t="s">
        <v>128</v>
      </c>
      <c r="P74" s="30">
        <v>42187</v>
      </c>
      <c r="Q74" s="29">
        <v>7018.27</v>
      </c>
      <c r="R74" s="29">
        <v>7020.86</v>
      </c>
      <c r="S74" s="29">
        <v>6982.8</v>
      </c>
      <c r="T74" s="31">
        <v>6982.8</v>
      </c>
      <c r="U74" s="29">
        <v>-0.54</v>
      </c>
      <c r="V74" s="29">
        <v>-38</v>
      </c>
      <c r="W74" s="29">
        <v>7020.8</v>
      </c>
    </row>
    <row r="75" spans="1:23">
      <c r="A75" s="23">
        <v>42072</v>
      </c>
      <c r="B75" s="24">
        <v>80</v>
      </c>
      <c r="C75" s="25">
        <v>24102</v>
      </c>
      <c r="O75" s="29" t="s">
        <v>128</v>
      </c>
      <c r="P75" s="30">
        <v>42188</v>
      </c>
      <c r="Q75" s="29">
        <v>6982.96</v>
      </c>
      <c r="R75" s="29">
        <v>7016.57</v>
      </c>
      <c r="S75" s="29">
        <v>6982.72</v>
      </c>
      <c r="T75" s="31">
        <v>7007.05</v>
      </c>
      <c r="U75" s="29">
        <v>0.35</v>
      </c>
      <c r="V75" s="29">
        <v>24.25</v>
      </c>
      <c r="W75" s="29">
        <v>6982.8</v>
      </c>
    </row>
    <row r="76" spans="1:23">
      <c r="A76" s="23">
        <v>42073</v>
      </c>
      <c r="B76" s="24">
        <v>79.900002000000001</v>
      </c>
      <c r="C76" s="25">
        <v>6800</v>
      </c>
      <c r="O76" s="29" t="s">
        <v>128</v>
      </c>
      <c r="P76" s="30">
        <v>42191</v>
      </c>
      <c r="Q76" s="29">
        <v>7010.51</v>
      </c>
      <c r="R76" s="29">
        <v>7024.67</v>
      </c>
      <c r="S76" s="29">
        <v>6989.31</v>
      </c>
      <c r="T76" s="31">
        <v>6989.41</v>
      </c>
      <c r="U76" s="29">
        <v>-0.25</v>
      </c>
      <c r="V76" s="29">
        <v>-17.64</v>
      </c>
      <c r="W76" s="29">
        <v>7007.05</v>
      </c>
    </row>
    <row r="77" spans="1:23">
      <c r="A77" s="23">
        <v>42074</v>
      </c>
      <c r="B77" s="24">
        <v>79.400002000000001</v>
      </c>
      <c r="C77" s="25">
        <v>12820</v>
      </c>
      <c r="O77" s="29" t="s">
        <v>128</v>
      </c>
      <c r="P77" s="30">
        <v>42192</v>
      </c>
      <c r="Q77" s="29">
        <v>6991.71</v>
      </c>
      <c r="R77" s="29">
        <v>6998.43</v>
      </c>
      <c r="S77" s="29">
        <v>6966.81</v>
      </c>
      <c r="T77" s="31">
        <v>6967.78</v>
      </c>
      <c r="U77" s="29">
        <v>-0.31</v>
      </c>
      <c r="V77" s="29">
        <v>-21.63</v>
      </c>
      <c r="W77" s="29">
        <v>6989.41</v>
      </c>
    </row>
    <row r="78" spans="1:23">
      <c r="A78" s="23">
        <v>42075</v>
      </c>
      <c r="B78" s="24">
        <v>79</v>
      </c>
      <c r="C78" s="25">
        <v>1000</v>
      </c>
      <c r="O78" s="29" t="s">
        <v>128</v>
      </c>
      <c r="P78" s="30">
        <v>42193</v>
      </c>
      <c r="Q78" s="29">
        <v>6967.41</v>
      </c>
      <c r="R78" s="29">
        <v>6967.41</v>
      </c>
      <c r="S78" s="29">
        <v>6923.79</v>
      </c>
      <c r="T78" s="31">
        <v>6923.79</v>
      </c>
      <c r="U78" s="29">
        <v>-0.63</v>
      </c>
      <c r="V78" s="29">
        <v>-43.99</v>
      </c>
      <c r="W78" s="29">
        <v>6967.78</v>
      </c>
    </row>
    <row r="79" spans="1:23">
      <c r="A79" s="23">
        <v>42076</v>
      </c>
      <c r="B79" s="24">
        <v>76.400002000000001</v>
      </c>
      <c r="C79" s="25">
        <v>600</v>
      </c>
      <c r="O79" s="29" t="s">
        <v>128</v>
      </c>
      <c r="P79" s="30">
        <v>42194</v>
      </c>
      <c r="Q79" s="29">
        <v>6925.33</v>
      </c>
      <c r="R79" s="29">
        <v>6947.05</v>
      </c>
      <c r="S79" s="29">
        <v>6921.64</v>
      </c>
      <c r="T79" s="31">
        <v>6947.05</v>
      </c>
      <c r="U79" s="29">
        <v>0.34</v>
      </c>
      <c r="V79" s="29">
        <v>23.26</v>
      </c>
      <c r="W79" s="29">
        <v>6923.79</v>
      </c>
    </row>
    <row r="80" spans="1:23">
      <c r="A80" s="23">
        <v>42080</v>
      </c>
      <c r="B80" s="24">
        <v>79.900002000000001</v>
      </c>
      <c r="C80" s="25">
        <v>8321</v>
      </c>
      <c r="O80" s="29" t="s">
        <v>128</v>
      </c>
      <c r="P80" s="30">
        <v>42195</v>
      </c>
      <c r="Q80" s="29">
        <v>6946.15</v>
      </c>
      <c r="R80" s="29">
        <v>6993.99</v>
      </c>
      <c r="S80" s="29">
        <v>6946.03</v>
      </c>
      <c r="T80" s="31">
        <v>6984.12</v>
      </c>
      <c r="U80" s="29">
        <v>0.53</v>
      </c>
      <c r="V80" s="29">
        <v>37.07</v>
      </c>
      <c r="W80" s="29">
        <v>6947.05</v>
      </c>
    </row>
    <row r="81" spans="1:23">
      <c r="A81" s="23">
        <v>42081</v>
      </c>
      <c r="B81" s="24">
        <v>79.800003000000004</v>
      </c>
      <c r="C81" s="25">
        <v>3509</v>
      </c>
      <c r="O81" s="29" t="s">
        <v>128</v>
      </c>
      <c r="P81" s="30">
        <v>42198</v>
      </c>
      <c r="Q81" s="29">
        <v>6992.03</v>
      </c>
      <c r="R81" s="29">
        <v>7022.7</v>
      </c>
      <c r="S81" s="29">
        <v>6992.03</v>
      </c>
      <c r="T81" s="31">
        <v>7002.78</v>
      </c>
      <c r="U81" s="29">
        <v>0.27</v>
      </c>
      <c r="V81" s="29">
        <v>18.66</v>
      </c>
      <c r="W81" s="29">
        <v>6984.12</v>
      </c>
    </row>
    <row r="82" spans="1:23">
      <c r="A82" s="23">
        <v>42082</v>
      </c>
      <c r="B82" s="24">
        <v>78.5</v>
      </c>
      <c r="C82" s="25">
        <v>1210</v>
      </c>
      <c r="O82" s="29" t="s">
        <v>128</v>
      </c>
      <c r="P82" s="30">
        <v>42199</v>
      </c>
      <c r="Q82" s="29">
        <v>7003.96</v>
      </c>
      <c r="R82" s="29">
        <v>7034.8</v>
      </c>
      <c r="S82" s="29">
        <v>7002.78</v>
      </c>
      <c r="T82" s="31">
        <v>7027</v>
      </c>
      <c r="U82" s="29">
        <v>0.35</v>
      </c>
      <c r="V82" s="29">
        <v>24.22</v>
      </c>
      <c r="W82" s="29">
        <v>7002.78</v>
      </c>
    </row>
    <row r="83" spans="1:23">
      <c r="A83" s="23">
        <v>42083</v>
      </c>
      <c r="B83" s="24">
        <v>78</v>
      </c>
      <c r="C83" s="25">
        <v>505</v>
      </c>
      <c r="O83" s="29" t="s">
        <v>128</v>
      </c>
      <c r="P83" s="30">
        <v>42200</v>
      </c>
      <c r="Q83" s="29">
        <v>7030.63</v>
      </c>
      <c r="R83" s="29">
        <v>7085</v>
      </c>
      <c r="S83" s="29">
        <v>7028.86</v>
      </c>
      <c r="T83" s="31">
        <v>7066.19</v>
      </c>
      <c r="U83" s="29">
        <v>0.56000000000000005</v>
      </c>
      <c r="V83" s="29">
        <v>39.19</v>
      </c>
      <c r="W83" s="29">
        <v>7027</v>
      </c>
    </row>
    <row r="84" spans="1:23">
      <c r="A84" s="23">
        <v>42086</v>
      </c>
      <c r="B84" s="24">
        <v>78</v>
      </c>
      <c r="C84" s="25">
        <v>1800</v>
      </c>
      <c r="O84" s="29" t="s">
        <v>128</v>
      </c>
      <c r="P84" s="30">
        <v>42201</v>
      </c>
      <c r="Q84" s="29">
        <v>7068.92</v>
      </c>
      <c r="R84" s="29">
        <v>7133.28</v>
      </c>
      <c r="S84" s="29">
        <v>7068.92</v>
      </c>
      <c r="T84" s="31">
        <v>7124.14</v>
      </c>
      <c r="U84" s="29">
        <v>0.82</v>
      </c>
      <c r="V84" s="29">
        <v>57.95</v>
      </c>
      <c r="W84" s="29">
        <v>7066.19</v>
      </c>
    </row>
    <row r="85" spans="1:23">
      <c r="A85" s="23">
        <v>42087</v>
      </c>
      <c r="B85" s="24">
        <v>75.599997999999999</v>
      </c>
      <c r="C85" s="25">
        <v>24609</v>
      </c>
      <c r="O85" s="29" t="s">
        <v>128</v>
      </c>
      <c r="P85" s="30">
        <v>42202</v>
      </c>
      <c r="Q85" s="29">
        <v>7127.48</v>
      </c>
      <c r="R85" s="29">
        <v>7172.67</v>
      </c>
      <c r="S85" s="29">
        <v>7127.12</v>
      </c>
      <c r="T85" s="31">
        <v>7161.96</v>
      </c>
      <c r="U85" s="29">
        <v>0.53</v>
      </c>
      <c r="V85" s="29">
        <v>37.82</v>
      </c>
      <c r="W85" s="29">
        <v>7124.14</v>
      </c>
    </row>
    <row r="86" spans="1:23">
      <c r="A86" s="23">
        <v>42088</v>
      </c>
      <c r="B86" s="24">
        <v>76</v>
      </c>
      <c r="C86" s="25">
        <v>217</v>
      </c>
      <c r="O86" s="29" t="s">
        <v>128</v>
      </c>
      <c r="P86" s="30">
        <v>42205</v>
      </c>
      <c r="Q86" s="29">
        <v>7162.7</v>
      </c>
      <c r="R86" s="29">
        <v>7177.4</v>
      </c>
      <c r="S86" s="29">
        <v>7147.86</v>
      </c>
      <c r="T86" s="31">
        <v>7147.86</v>
      </c>
      <c r="U86" s="29">
        <v>-0.2</v>
      </c>
      <c r="V86" s="29">
        <v>-14.1</v>
      </c>
      <c r="W86" s="29">
        <v>7161.96</v>
      </c>
    </row>
    <row r="87" spans="1:23">
      <c r="A87" s="23">
        <v>42089</v>
      </c>
      <c r="B87" s="24">
        <v>74.199996999999996</v>
      </c>
      <c r="C87" s="25">
        <v>3834</v>
      </c>
      <c r="O87" s="29" t="s">
        <v>128</v>
      </c>
      <c r="P87" s="30">
        <v>42206</v>
      </c>
      <c r="Q87" s="29">
        <v>7148.49</v>
      </c>
      <c r="R87" s="29">
        <v>7158.46</v>
      </c>
      <c r="S87" s="29">
        <v>7144.3</v>
      </c>
      <c r="T87" s="31">
        <v>7145.59</v>
      </c>
      <c r="U87" s="29">
        <v>-0.03</v>
      </c>
      <c r="V87" s="29">
        <v>-2.27</v>
      </c>
      <c r="W87" s="29">
        <v>7147.86</v>
      </c>
    </row>
    <row r="88" spans="1:23">
      <c r="A88" s="23">
        <v>42090</v>
      </c>
      <c r="B88" s="24">
        <v>75.099997999999999</v>
      </c>
      <c r="C88" s="25">
        <v>24448</v>
      </c>
      <c r="O88" s="29" t="s">
        <v>128</v>
      </c>
      <c r="P88" s="30">
        <v>42207</v>
      </c>
      <c r="Q88" s="29">
        <v>7145.92</v>
      </c>
      <c r="R88" s="29">
        <v>7206.35</v>
      </c>
      <c r="S88" s="29">
        <v>7145.92</v>
      </c>
      <c r="T88" s="31">
        <v>7199.63</v>
      </c>
      <c r="U88" s="29">
        <v>0.76</v>
      </c>
      <c r="V88" s="29">
        <v>54.04</v>
      </c>
      <c r="W88" s="29">
        <v>7145.59</v>
      </c>
    </row>
    <row r="89" spans="1:23">
      <c r="A89" s="23">
        <v>42093</v>
      </c>
      <c r="B89" s="24">
        <v>75</v>
      </c>
      <c r="C89" s="25">
        <v>500</v>
      </c>
      <c r="O89" s="29" t="s">
        <v>128</v>
      </c>
      <c r="P89" s="30">
        <v>42208</v>
      </c>
      <c r="Q89" s="29">
        <v>7202.62</v>
      </c>
      <c r="R89" s="29">
        <v>7231.08</v>
      </c>
      <c r="S89" s="29">
        <v>7201.83</v>
      </c>
      <c r="T89" s="31">
        <v>7212.62</v>
      </c>
      <c r="U89" s="29">
        <v>0.18</v>
      </c>
      <c r="V89" s="29">
        <v>12.99</v>
      </c>
      <c r="W89" s="29">
        <v>7199.63</v>
      </c>
    </row>
    <row r="90" spans="1:23">
      <c r="A90" s="23">
        <v>42094</v>
      </c>
      <c r="B90" s="24">
        <v>76</v>
      </c>
      <c r="C90" s="25">
        <v>6060</v>
      </c>
      <c r="O90" s="29" t="s">
        <v>128</v>
      </c>
      <c r="P90" s="30">
        <v>42209</v>
      </c>
      <c r="Q90" s="29">
        <v>7214.67</v>
      </c>
      <c r="R90" s="29">
        <v>7269.62</v>
      </c>
      <c r="S90" s="29">
        <v>7214.23</v>
      </c>
      <c r="T90" s="31">
        <v>7269.05</v>
      </c>
      <c r="U90" s="29">
        <v>0.78</v>
      </c>
      <c r="V90" s="29">
        <v>56.43</v>
      </c>
      <c r="W90" s="29">
        <v>7212.62</v>
      </c>
    </row>
    <row r="91" spans="1:23">
      <c r="A91" s="23">
        <v>42095</v>
      </c>
      <c r="B91" s="24">
        <v>76.800003000000004</v>
      </c>
      <c r="C91" s="25">
        <v>1298</v>
      </c>
      <c r="O91" s="29" t="s">
        <v>128</v>
      </c>
      <c r="P91" s="30">
        <v>42212</v>
      </c>
      <c r="Q91" s="29">
        <v>7267.12</v>
      </c>
      <c r="R91" s="29">
        <v>7280.59</v>
      </c>
      <c r="S91" s="29">
        <v>7243.01</v>
      </c>
      <c r="T91" s="31">
        <v>7247.23</v>
      </c>
      <c r="U91" s="29">
        <v>-0.3</v>
      </c>
      <c r="V91" s="29">
        <v>-21.82</v>
      </c>
      <c r="W91" s="29">
        <v>7269.05</v>
      </c>
    </row>
    <row r="92" spans="1:23">
      <c r="A92" s="23">
        <v>42096</v>
      </c>
      <c r="B92" s="24">
        <v>76.800003000000004</v>
      </c>
      <c r="C92" s="25">
        <v>1500</v>
      </c>
      <c r="O92" s="29" t="s">
        <v>128</v>
      </c>
      <c r="P92" s="30">
        <v>42213</v>
      </c>
      <c r="Q92" s="29">
        <v>7247.78</v>
      </c>
      <c r="R92" s="29">
        <v>7275.45</v>
      </c>
      <c r="S92" s="29">
        <v>7245.98</v>
      </c>
      <c r="T92" s="31">
        <v>7261.07</v>
      </c>
      <c r="U92" s="29">
        <v>0.19</v>
      </c>
      <c r="V92" s="29">
        <v>13.84</v>
      </c>
      <c r="W92" s="29">
        <v>7247.23</v>
      </c>
    </row>
    <row r="93" spans="1:23">
      <c r="A93" s="23">
        <v>42100</v>
      </c>
      <c r="B93" s="24">
        <v>75.699996999999996</v>
      </c>
      <c r="C93" s="25">
        <v>15000</v>
      </c>
      <c r="O93" s="29" t="s">
        <v>128</v>
      </c>
      <c r="P93" s="30">
        <v>42214</v>
      </c>
      <c r="Q93" s="29">
        <v>7270.39</v>
      </c>
      <c r="R93" s="29">
        <v>7323.17</v>
      </c>
      <c r="S93" s="29">
        <v>7270.39</v>
      </c>
      <c r="T93" s="31">
        <v>7313.97</v>
      </c>
      <c r="U93" s="29">
        <v>0.73</v>
      </c>
      <c r="V93" s="29">
        <v>52.9</v>
      </c>
      <c r="W93" s="29">
        <v>7261.07</v>
      </c>
    </row>
    <row r="94" spans="1:23">
      <c r="A94" s="23">
        <v>42102</v>
      </c>
      <c r="B94" s="24">
        <v>78</v>
      </c>
      <c r="C94" s="25">
        <v>100</v>
      </c>
      <c r="O94" s="29" t="s">
        <v>128</v>
      </c>
      <c r="P94" s="30">
        <v>42215</v>
      </c>
      <c r="Q94" s="29">
        <v>7325.5</v>
      </c>
      <c r="R94" s="29">
        <v>7340.24</v>
      </c>
      <c r="S94" s="29">
        <v>7312.76</v>
      </c>
      <c r="T94" s="31">
        <v>7332.05</v>
      </c>
      <c r="U94" s="29">
        <v>0.25</v>
      </c>
      <c r="V94" s="29">
        <v>18.079999999999998</v>
      </c>
      <c r="W94" s="29">
        <v>7313.97</v>
      </c>
    </row>
    <row r="95" spans="1:23">
      <c r="A95" s="23">
        <v>42103</v>
      </c>
      <c r="B95" s="24">
        <v>77.900002000000001</v>
      </c>
      <c r="C95" s="25">
        <v>1900</v>
      </c>
      <c r="O95" s="29" t="s">
        <v>128</v>
      </c>
      <c r="P95" s="30">
        <v>42219</v>
      </c>
      <c r="Q95" s="29">
        <v>7334.11</v>
      </c>
      <c r="R95" s="29">
        <v>7358.09</v>
      </c>
      <c r="S95" s="29">
        <v>7327.84</v>
      </c>
      <c r="T95" s="31">
        <v>7336.59</v>
      </c>
      <c r="U95" s="29">
        <v>0.06</v>
      </c>
      <c r="V95" s="29">
        <v>4.54</v>
      </c>
      <c r="W95" s="29">
        <v>7332.05</v>
      </c>
    </row>
    <row r="96" spans="1:23">
      <c r="A96" s="23">
        <v>42104</v>
      </c>
      <c r="B96" s="24">
        <v>78</v>
      </c>
      <c r="C96" s="25">
        <v>10072</v>
      </c>
      <c r="O96" s="29" t="s">
        <v>128</v>
      </c>
      <c r="P96" s="30">
        <v>42220</v>
      </c>
      <c r="Q96" s="29">
        <v>7336.55</v>
      </c>
      <c r="R96" s="29">
        <v>7345.18</v>
      </c>
      <c r="S96" s="29">
        <v>7308.15</v>
      </c>
      <c r="T96" s="31">
        <v>7310.05</v>
      </c>
      <c r="U96" s="29">
        <v>-0.36</v>
      </c>
      <c r="V96" s="29">
        <v>-26.54</v>
      </c>
      <c r="W96" s="29">
        <v>7336.59</v>
      </c>
    </row>
    <row r="97" spans="1:23">
      <c r="A97" s="23">
        <v>42109</v>
      </c>
      <c r="B97" s="24">
        <v>78</v>
      </c>
      <c r="C97" s="25">
        <v>100</v>
      </c>
      <c r="O97" s="29" t="s">
        <v>128</v>
      </c>
      <c r="P97" s="30">
        <v>42221</v>
      </c>
      <c r="Q97" s="29">
        <v>7315.94</v>
      </c>
      <c r="R97" s="29">
        <v>7379.69</v>
      </c>
      <c r="S97" s="29">
        <v>7315.94</v>
      </c>
      <c r="T97" s="31">
        <v>7366.31</v>
      </c>
      <c r="U97" s="29">
        <v>0.77</v>
      </c>
      <c r="V97" s="29">
        <v>56.26</v>
      </c>
      <c r="W97" s="29">
        <v>7310.05</v>
      </c>
    </row>
    <row r="98" spans="1:23">
      <c r="A98" s="23">
        <v>42110</v>
      </c>
      <c r="B98" s="24">
        <v>81.5</v>
      </c>
      <c r="C98" s="25">
        <v>28000</v>
      </c>
      <c r="O98" s="29" t="s">
        <v>128</v>
      </c>
      <c r="P98" s="30">
        <v>42222</v>
      </c>
      <c r="Q98" s="29">
        <v>7368.38</v>
      </c>
      <c r="R98" s="29">
        <v>7388.02</v>
      </c>
      <c r="S98" s="29">
        <v>7368.38</v>
      </c>
      <c r="T98" s="31">
        <v>7377.24</v>
      </c>
      <c r="U98" s="29">
        <v>0.15</v>
      </c>
      <c r="V98" s="29">
        <v>10.93</v>
      </c>
      <c r="W98" s="29">
        <v>7366.31</v>
      </c>
    </row>
    <row r="99" spans="1:23">
      <c r="A99" s="23">
        <v>42111</v>
      </c>
      <c r="B99" s="24">
        <v>80.5</v>
      </c>
      <c r="C99" s="25">
        <v>212</v>
      </c>
      <c r="O99" s="29" t="s">
        <v>128</v>
      </c>
      <c r="P99" s="30">
        <v>42223</v>
      </c>
      <c r="Q99" s="29">
        <v>7380.4</v>
      </c>
      <c r="R99" s="29">
        <v>7392.59</v>
      </c>
      <c r="S99" s="29">
        <v>7368.53</v>
      </c>
      <c r="T99" s="31">
        <v>7370.6</v>
      </c>
      <c r="U99" s="29">
        <v>-0.09</v>
      </c>
      <c r="V99" s="29">
        <v>-6.64</v>
      </c>
      <c r="W99" s="29">
        <v>7377.24</v>
      </c>
    </row>
    <row r="100" spans="1:23">
      <c r="A100" s="23">
        <v>42114</v>
      </c>
      <c r="B100" s="24">
        <v>78.5</v>
      </c>
      <c r="C100" s="25">
        <v>3210</v>
      </c>
      <c r="O100" s="29" t="s">
        <v>128</v>
      </c>
      <c r="P100" s="30">
        <v>42226</v>
      </c>
      <c r="Q100" s="29">
        <v>7371.05</v>
      </c>
      <c r="R100" s="29">
        <v>7385.11</v>
      </c>
      <c r="S100" s="29">
        <v>7365.19</v>
      </c>
      <c r="T100" s="31">
        <v>7377.94</v>
      </c>
      <c r="U100" s="29">
        <v>0.1</v>
      </c>
      <c r="V100" s="29">
        <v>7.34</v>
      </c>
      <c r="W100" s="29">
        <v>7370.6</v>
      </c>
    </row>
    <row r="101" spans="1:23">
      <c r="A101" s="23">
        <v>42115</v>
      </c>
      <c r="B101" s="24">
        <v>80</v>
      </c>
      <c r="C101" s="25">
        <v>12</v>
      </c>
      <c r="O101" s="29" t="s">
        <v>128</v>
      </c>
      <c r="P101" s="30">
        <v>42227</v>
      </c>
      <c r="Q101" s="29">
        <v>7379.99</v>
      </c>
      <c r="R101" s="29">
        <v>7468.74</v>
      </c>
      <c r="S101" s="29">
        <v>7379.99</v>
      </c>
      <c r="T101" s="31">
        <v>7458.92</v>
      </c>
      <c r="U101" s="29">
        <v>1.1000000000000001</v>
      </c>
      <c r="V101" s="29">
        <v>80.98</v>
      </c>
      <c r="W101" s="29">
        <v>7377.94</v>
      </c>
    </row>
    <row r="102" spans="1:23">
      <c r="A102" s="23">
        <v>42116</v>
      </c>
      <c r="B102" s="24">
        <v>79.900002000000001</v>
      </c>
      <c r="C102" s="25">
        <v>10</v>
      </c>
      <c r="O102" s="29" t="s">
        <v>128</v>
      </c>
      <c r="P102" s="30">
        <v>42228</v>
      </c>
      <c r="Q102" s="29">
        <v>7458.65</v>
      </c>
      <c r="R102" s="29">
        <v>7490.45</v>
      </c>
      <c r="S102" s="29">
        <v>7458.65</v>
      </c>
      <c r="T102" s="31">
        <v>7471.9</v>
      </c>
      <c r="U102" s="29">
        <v>0.17</v>
      </c>
      <c r="V102" s="29">
        <v>12.98</v>
      </c>
      <c r="W102" s="29">
        <v>7458.92</v>
      </c>
    </row>
    <row r="103" spans="1:23">
      <c r="A103" s="23">
        <v>42117</v>
      </c>
      <c r="B103" s="24">
        <v>78.199996999999996</v>
      </c>
      <c r="C103" s="25">
        <v>2780</v>
      </c>
      <c r="O103" s="29" t="s">
        <v>128</v>
      </c>
      <c r="P103" s="30">
        <v>42229</v>
      </c>
      <c r="Q103" s="29">
        <v>7474.87</v>
      </c>
      <c r="R103" s="29">
        <v>7482.52</v>
      </c>
      <c r="S103" s="29">
        <v>7432.55</v>
      </c>
      <c r="T103" s="31">
        <v>7442.75</v>
      </c>
      <c r="U103" s="29">
        <v>-0.39</v>
      </c>
      <c r="V103" s="29">
        <v>-29.15</v>
      </c>
      <c r="W103" s="29">
        <v>7471.9</v>
      </c>
    </row>
    <row r="104" spans="1:23">
      <c r="A104" s="23">
        <v>42118</v>
      </c>
      <c r="B104" s="24">
        <v>80</v>
      </c>
      <c r="C104" s="25">
        <v>6124</v>
      </c>
      <c r="O104" s="29" t="s">
        <v>128</v>
      </c>
      <c r="P104" s="30">
        <v>42230</v>
      </c>
      <c r="Q104" s="29">
        <v>7438.3</v>
      </c>
      <c r="R104" s="29">
        <v>7469.57</v>
      </c>
      <c r="S104" s="29">
        <v>7437.4</v>
      </c>
      <c r="T104" s="31">
        <v>7462.34</v>
      </c>
      <c r="U104" s="29">
        <v>0.26</v>
      </c>
      <c r="V104" s="29">
        <v>19.59</v>
      </c>
      <c r="W104" s="29">
        <v>7442.75</v>
      </c>
    </row>
    <row r="105" spans="1:23">
      <c r="A105" s="23">
        <v>42121</v>
      </c>
      <c r="B105" s="24">
        <v>80.900002000000001</v>
      </c>
      <c r="C105" s="25">
        <v>1347</v>
      </c>
      <c r="O105" s="29" t="s">
        <v>128</v>
      </c>
      <c r="P105" s="30">
        <v>42233</v>
      </c>
      <c r="Q105" s="29">
        <v>7469.75</v>
      </c>
      <c r="R105" s="29">
        <v>7504.18</v>
      </c>
      <c r="S105" s="29">
        <v>7469.75</v>
      </c>
      <c r="T105" s="31">
        <v>7492.04</v>
      </c>
      <c r="U105" s="29">
        <v>0.4</v>
      </c>
      <c r="V105" s="29">
        <v>29.7</v>
      </c>
      <c r="W105" s="29">
        <v>7462.34</v>
      </c>
    </row>
    <row r="106" spans="1:23">
      <c r="A106" s="23">
        <v>42122</v>
      </c>
      <c r="B106" s="24">
        <v>80.199996999999996</v>
      </c>
      <c r="C106" s="25">
        <v>30090</v>
      </c>
      <c r="O106" s="29" t="s">
        <v>128</v>
      </c>
      <c r="P106" s="30">
        <v>42234</v>
      </c>
      <c r="Q106" s="29">
        <v>7501.1</v>
      </c>
      <c r="R106" s="29">
        <v>7526.07</v>
      </c>
      <c r="S106" s="29">
        <v>7498.7</v>
      </c>
      <c r="T106" s="31">
        <v>7498.7</v>
      </c>
      <c r="U106" s="29">
        <v>0.09</v>
      </c>
      <c r="V106" s="29">
        <v>6.66</v>
      </c>
      <c r="W106" s="29">
        <v>7492.04</v>
      </c>
    </row>
    <row r="107" spans="1:23">
      <c r="A107" s="23">
        <v>42123</v>
      </c>
      <c r="B107" s="24">
        <v>83.300003000000004</v>
      </c>
      <c r="C107" s="25">
        <v>650157</v>
      </c>
      <c r="O107" s="29" t="s">
        <v>128</v>
      </c>
      <c r="P107" s="30">
        <v>42235</v>
      </c>
      <c r="Q107" s="29">
        <v>7498.76</v>
      </c>
      <c r="R107" s="29">
        <v>7531.28</v>
      </c>
      <c r="S107" s="29">
        <v>7498.76</v>
      </c>
      <c r="T107" s="31">
        <v>7498.78</v>
      </c>
      <c r="U107" s="29">
        <v>0</v>
      </c>
      <c r="V107" s="29">
        <v>0.08</v>
      </c>
      <c r="W107" s="29">
        <v>7498.7</v>
      </c>
    </row>
    <row r="108" spans="1:23">
      <c r="A108" s="23">
        <v>42124</v>
      </c>
      <c r="B108" s="24">
        <v>86</v>
      </c>
      <c r="C108" s="25">
        <v>474005</v>
      </c>
      <c r="O108" s="29" t="s">
        <v>128</v>
      </c>
      <c r="P108" s="30">
        <v>42236</v>
      </c>
      <c r="Q108" s="29">
        <v>7498.34</v>
      </c>
      <c r="R108" s="29">
        <v>7500.14</v>
      </c>
      <c r="S108" s="29">
        <v>7445.25</v>
      </c>
      <c r="T108" s="31">
        <v>7449.82</v>
      </c>
      <c r="U108" s="29">
        <v>-0.65</v>
      </c>
      <c r="V108" s="29">
        <v>-48.96</v>
      </c>
      <c r="W108" s="29">
        <v>7498.78</v>
      </c>
    </row>
    <row r="109" spans="1:23">
      <c r="A109" s="23">
        <v>42129</v>
      </c>
      <c r="B109" s="24">
        <v>85.599997999999999</v>
      </c>
      <c r="C109" s="25">
        <v>29113</v>
      </c>
      <c r="O109" s="29" t="s">
        <v>128</v>
      </c>
      <c r="P109" s="30">
        <v>42237</v>
      </c>
      <c r="Q109" s="29">
        <v>7449.06</v>
      </c>
      <c r="R109" s="29">
        <v>7479.37</v>
      </c>
      <c r="S109" s="29">
        <v>7449.06</v>
      </c>
      <c r="T109" s="31">
        <v>7471.17</v>
      </c>
      <c r="U109" s="29">
        <v>0.28999999999999998</v>
      </c>
      <c r="V109" s="29">
        <v>21.35</v>
      </c>
      <c r="W109" s="29">
        <v>7449.82</v>
      </c>
    </row>
    <row r="110" spans="1:23">
      <c r="A110" s="23">
        <v>42130</v>
      </c>
      <c r="B110" s="24">
        <v>90.599997999999999</v>
      </c>
      <c r="C110" s="25">
        <v>705301</v>
      </c>
      <c r="O110" s="29" t="s">
        <v>128</v>
      </c>
      <c r="P110" s="30">
        <v>42240</v>
      </c>
      <c r="Q110" s="29">
        <v>7471.16</v>
      </c>
      <c r="R110" s="29">
        <v>7473.51</v>
      </c>
      <c r="S110" s="29">
        <v>7324.93</v>
      </c>
      <c r="T110" s="31">
        <v>7331.09</v>
      </c>
      <c r="U110" s="29">
        <v>-1.87</v>
      </c>
      <c r="V110" s="29">
        <v>-140.08000000000001</v>
      </c>
      <c r="W110" s="29">
        <v>7471.17</v>
      </c>
    </row>
    <row r="111" spans="1:23">
      <c r="A111" s="23">
        <v>42131</v>
      </c>
      <c r="B111" s="24">
        <v>90</v>
      </c>
      <c r="C111" s="25">
        <v>901486</v>
      </c>
      <c r="O111" s="29" t="s">
        <v>128</v>
      </c>
      <c r="P111" s="30">
        <v>42241</v>
      </c>
      <c r="Q111" s="29">
        <v>7330.62</v>
      </c>
      <c r="R111" s="29">
        <v>7343.71</v>
      </c>
      <c r="S111" s="29">
        <v>7231.58</v>
      </c>
      <c r="T111" s="31">
        <v>7231.58</v>
      </c>
      <c r="U111" s="29">
        <v>-1.36</v>
      </c>
      <c r="V111" s="29">
        <v>-99.51</v>
      </c>
      <c r="W111" s="29">
        <v>7331.09</v>
      </c>
    </row>
    <row r="112" spans="1:23">
      <c r="A112" s="23">
        <v>42132</v>
      </c>
      <c r="B112" s="24">
        <v>90</v>
      </c>
      <c r="C112" s="25">
        <v>54301</v>
      </c>
      <c r="O112" s="29" t="s">
        <v>128</v>
      </c>
      <c r="P112" s="30">
        <v>42242</v>
      </c>
      <c r="Q112" s="29">
        <v>7229.28</v>
      </c>
      <c r="R112" s="29">
        <v>7287.87</v>
      </c>
      <c r="S112" s="29">
        <v>7228.38</v>
      </c>
      <c r="T112" s="31">
        <v>7240.1</v>
      </c>
      <c r="U112" s="29">
        <v>0.12</v>
      </c>
      <c r="V112" s="29">
        <v>8.52</v>
      </c>
      <c r="W112" s="29">
        <v>7231.58</v>
      </c>
    </row>
    <row r="113" spans="1:23">
      <c r="A113" s="23">
        <v>42135</v>
      </c>
      <c r="B113" s="24">
        <v>89.699996999999996</v>
      </c>
      <c r="C113" s="25">
        <v>1000</v>
      </c>
      <c r="O113" s="29" t="s">
        <v>128</v>
      </c>
      <c r="P113" s="30">
        <v>42243</v>
      </c>
      <c r="Q113" s="29">
        <v>7241.86</v>
      </c>
      <c r="R113" s="29">
        <v>7288.77</v>
      </c>
      <c r="S113" s="29">
        <v>7241.86</v>
      </c>
      <c r="T113" s="31">
        <v>7273.14</v>
      </c>
      <c r="U113" s="29">
        <v>0.46</v>
      </c>
      <c r="V113" s="29">
        <v>33.04</v>
      </c>
      <c r="W113" s="29">
        <v>7240.1</v>
      </c>
    </row>
    <row r="114" spans="1:23">
      <c r="A114" s="23">
        <v>42136</v>
      </c>
      <c r="B114" s="24">
        <v>88.5</v>
      </c>
      <c r="C114" s="25">
        <v>28900</v>
      </c>
      <c r="O114" s="29" t="s">
        <v>128</v>
      </c>
      <c r="P114" s="30">
        <v>42244</v>
      </c>
      <c r="Q114" s="29">
        <v>7274.73</v>
      </c>
      <c r="R114" s="29">
        <v>7362.53</v>
      </c>
      <c r="S114" s="29">
        <v>7274.73</v>
      </c>
      <c r="T114" s="31">
        <v>7350.52</v>
      </c>
      <c r="U114" s="29">
        <v>1.06</v>
      </c>
      <c r="V114" s="29">
        <v>77.38</v>
      </c>
      <c r="W114" s="29">
        <v>7273.14</v>
      </c>
    </row>
    <row r="115" spans="1:23">
      <c r="A115" s="23">
        <v>42137</v>
      </c>
      <c r="B115" s="24">
        <v>89</v>
      </c>
      <c r="C115" s="25">
        <v>38611</v>
      </c>
      <c r="O115" s="29" t="s">
        <v>128</v>
      </c>
      <c r="P115" s="30">
        <v>42247</v>
      </c>
      <c r="Q115" s="29">
        <v>7354.9</v>
      </c>
      <c r="R115" s="29">
        <v>7359.09</v>
      </c>
      <c r="S115" s="29">
        <v>7304.8</v>
      </c>
      <c r="T115" s="31">
        <v>7306.94</v>
      </c>
      <c r="U115" s="29">
        <v>-0.59</v>
      </c>
      <c r="V115" s="29">
        <v>-43.58</v>
      </c>
      <c r="W115" s="29">
        <v>7350.52</v>
      </c>
    </row>
    <row r="116" spans="1:23">
      <c r="A116" s="23">
        <v>42138</v>
      </c>
      <c r="B116" s="24">
        <v>87.900002000000001</v>
      </c>
      <c r="C116" s="25">
        <v>3000</v>
      </c>
      <c r="O116" s="29" t="s">
        <v>128</v>
      </c>
      <c r="P116" s="30">
        <v>42248</v>
      </c>
      <c r="Q116" s="29">
        <v>7306.87</v>
      </c>
      <c r="R116" s="29">
        <v>7326.26</v>
      </c>
      <c r="S116" s="29">
        <v>7298.75</v>
      </c>
      <c r="T116" s="31">
        <v>7298.75</v>
      </c>
      <c r="U116" s="29">
        <v>-0.11</v>
      </c>
      <c r="V116" s="29">
        <v>-8.19</v>
      </c>
      <c r="W116" s="29">
        <v>7306.94</v>
      </c>
    </row>
    <row r="117" spans="1:23">
      <c r="A117" s="23">
        <v>42139</v>
      </c>
      <c r="B117" s="24">
        <v>88.5</v>
      </c>
      <c r="C117" s="25">
        <v>39612</v>
      </c>
      <c r="O117" s="29" t="s">
        <v>128</v>
      </c>
      <c r="P117" s="30">
        <v>42249</v>
      </c>
      <c r="Q117" s="29">
        <v>7299.15</v>
      </c>
      <c r="R117" s="29">
        <v>7299.2</v>
      </c>
      <c r="S117" s="29">
        <v>7240.39</v>
      </c>
      <c r="T117" s="31">
        <v>7240.39</v>
      </c>
      <c r="U117" s="29">
        <v>-0.8</v>
      </c>
      <c r="V117" s="29">
        <v>-58.36</v>
      </c>
      <c r="W117" s="29">
        <v>7298.75</v>
      </c>
    </row>
    <row r="118" spans="1:23">
      <c r="A118" s="23">
        <v>42142</v>
      </c>
      <c r="B118" s="24">
        <v>87</v>
      </c>
      <c r="C118" s="25">
        <v>1772</v>
      </c>
      <c r="O118" s="29" t="s">
        <v>128</v>
      </c>
      <c r="P118" s="30">
        <v>42250</v>
      </c>
      <c r="Q118" s="29">
        <v>7240.57</v>
      </c>
      <c r="R118" s="29">
        <v>7262.13</v>
      </c>
      <c r="S118" s="29">
        <v>7239.72</v>
      </c>
      <c r="T118" s="31">
        <v>7245.5</v>
      </c>
      <c r="U118" s="29">
        <v>7.0000000000000007E-2</v>
      </c>
      <c r="V118" s="29">
        <v>5.1100000000000003</v>
      </c>
      <c r="W118" s="29">
        <v>7240.39</v>
      </c>
    </row>
    <row r="119" spans="1:23">
      <c r="A119" s="23">
        <v>42143</v>
      </c>
      <c r="B119" s="24">
        <v>87</v>
      </c>
      <c r="C119" s="25">
        <v>50536</v>
      </c>
      <c r="O119" s="29" t="s">
        <v>128</v>
      </c>
      <c r="P119" s="30">
        <v>42251</v>
      </c>
      <c r="Q119" s="29">
        <v>7249.74</v>
      </c>
      <c r="R119" s="29">
        <v>7252.6</v>
      </c>
      <c r="S119" s="29">
        <v>7215.11</v>
      </c>
      <c r="T119" s="31">
        <v>7215.11</v>
      </c>
      <c r="U119" s="29">
        <v>-0.42</v>
      </c>
      <c r="V119" s="29">
        <v>-30.39</v>
      </c>
      <c r="W119" s="29">
        <v>7245.5</v>
      </c>
    </row>
    <row r="120" spans="1:23">
      <c r="A120" s="23">
        <v>42144</v>
      </c>
      <c r="B120" s="24">
        <v>87</v>
      </c>
      <c r="C120" s="25">
        <v>8200</v>
      </c>
      <c r="O120" s="29" t="s">
        <v>128</v>
      </c>
      <c r="P120" s="30">
        <v>42254</v>
      </c>
      <c r="Q120" s="29">
        <v>7211.78</v>
      </c>
      <c r="R120" s="29">
        <v>7223.32</v>
      </c>
      <c r="S120" s="29">
        <v>7149.7</v>
      </c>
      <c r="T120" s="31">
        <v>7149.7</v>
      </c>
      <c r="U120" s="29">
        <v>-0.91</v>
      </c>
      <c r="V120" s="29">
        <v>-65.41</v>
      </c>
      <c r="W120" s="29">
        <v>7215.11</v>
      </c>
    </row>
    <row r="121" spans="1:23">
      <c r="A121" s="23">
        <v>42145</v>
      </c>
      <c r="B121" s="24">
        <v>86.099997999999999</v>
      </c>
      <c r="C121" s="25">
        <v>23053</v>
      </c>
      <c r="O121" s="29" t="s">
        <v>128</v>
      </c>
      <c r="P121" s="30">
        <v>42255</v>
      </c>
      <c r="Q121" s="29">
        <v>7149.25</v>
      </c>
      <c r="R121" s="29">
        <v>7157.85</v>
      </c>
      <c r="S121" s="29">
        <v>7121.29</v>
      </c>
      <c r="T121" s="31">
        <v>7124.46</v>
      </c>
      <c r="U121" s="29">
        <v>-0.35</v>
      </c>
      <c r="V121" s="29">
        <v>-25.24</v>
      </c>
      <c r="W121" s="29">
        <v>7149.7</v>
      </c>
    </row>
    <row r="122" spans="1:23">
      <c r="A122" s="23">
        <v>42146</v>
      </c>
      <c r="B122" s="24">
        <v>88</v>
      </c>
      <c r="C122" s="25">
        <v>25300</v>
      </c>
      <c r="O122" s="29" t="s">
        <v>128</v>
      </c>
      <c r="P122" s="30">
        <v>42256</v>
      </c>
      <c r="Q122" s="29">
        <v>7126.39</v>
      </c>
      <c r="R122" s="29">
        <v>7186.38</v>
      </c>
      <c r="S122" s="29">
        <v>7124.78</v>
      </c>
      <c r="T122" s="31">
        <v>7183.25</v>
      </c>
      <c r="U122" s="29">
        <v>0.83</v>
      </c>
      <c r="V122" s="29">
        <v>58.79</v>
      </c>
      <c r="W122" s="29">
        <v>7124.46</v>
      </c>
    </row>
    <row r="123" spans="1:23">
      <c r="A123" s="23">
        <v>42149</v>
      </c>
      <c r="B123" s="24">
        <v>87</v>
      </c>
      <c r="C123" s="25">
        <v>73990</v>
      </c>
      <c r="O123" s="29" t="s">
        <v>128</v>
      </c>
      <c r="P123" s="30">
        <v>42257</v>
      </c>
      <c r="Q123" s="29">
        <v>7187.2</v>
      </c>
      <c r="R123" s="29">
        <v>7189.58</v>
      </c>
      <c r="S123" s="29">
        <v>7157.12</v>
      </c>
      <c r="T123" s="31">
        <v>7159.94</v>
      </c>
      <c r="U123" s="29">
        <v>-0.32</v>
      </c>
      <c r="V123" s="29">
        <v>-23.31</v>
      </c>
      <c r="W123" s="29">
        <v>7183.25</v>
      </c>
    </row>
    <row r="124" spans="1:23">
      <c r="A124" s="23">
        <v>42150</v>
      </c>
      <c r="B124" s="24">
        <v>89.900002000000001</v>
      </c>
      <c r="C124" s="25">
        <v>5480</v>
      </c>
      <c r="O124" s="29" t="s">
        <v>128</v>
      </c>
      <c r="P124" s="30">
        <v>42258</v>
      </c>
      <c r="Q124" s="29">
        <v>7162.86</v>
      </c>
      <c r="R124" s="29">
        <v>7167.95</v>
      </c>
      <c r="S124" s="29">
        <v>7149.55</v>
      </c>
      <c r="T124" s="31">
        <v>7153.49</v>
      </c>
      <c r="U124" s="29">
        <v>-0.09</v>
      </c>
      <c r="V124" s="29">
        <v>-6.45</v>
      </c>
      <c r="W124" s="29">
        <v>7159.94</v>
      </c>
    </row>
    <row r="125" spans="1:23">
      <c r="A125" s="23">
        <v>42151</v>
      </c>
      <c r="B125" s="24">
        <v>89.099997999999999</v>
      </c>
      <c r="C125" s="25">
        <v>38300</v>
      </c>
      <c r="O125" s="29" t="s">
        <v>128</v>
      </c>
      <c r="P125" s="30">
        <v>42261</v>
      </c>
      <c r="Q125" s="29">
        <v>7154.76</v>
      </c>
      <c r="R125" s="29">
        <v>7166.94</v>
      </c>
      <c r="S125" s="29">
        <v>7154.38</v>
      </c>
      <c r="T125" s="31">
        <v>7162.44</v>
      </c>
      <c r="U125" s="29">
        <v>0.13</v>
      </c>
      <c r="V125" s="29">
        <v>8.9499999999999993</v>
      </c>
      <c r="W125" s="29">
        <v>7153.49</v>
      </c>
    </row>
    <row r="126" spans="1:23">
      <c r="A126" s="23">
        <v>42152</v>
      </c>
      <c r="B126" s="24">
        <v>88</v>
      </c>
      <c r="C126" s="25">
        <v>11000</v>
      </c>
      <c r="O126" s="29" t="s">
        <v>128</v>
      </c>
      <c r="P126" s="30">
        <v>42262</v>
      </c>
      <c r="Q126" s="29">
        <v>7162.36</v>
      </c>
      <c r="R126" s="29">
        <v>7175.54</v>
      </c>
      <c r="S126" s="29">
        <v>7148.25</v>
      </c>
      <c r="T126" s="31">
        <v>7152.43</v>
      </c>
      <c r="U126" s="29">
        <v>-0.14000000000000001</v>
      </c>
      <c r="V126" s="29">
        <v>-10.01</v>
      </c>
      <c r="W126" s="29">
        <v>7162.44</v>
      </c>
    </row>
    <row r="127" spans="1:23">
      <c r="A127" s="23">
        <v>42153</v>
      </c>
      <c r="B127" s="24">
        <v>89</v>
      </c>
      <c r="C127" s="25">
        <v>22527</v>
      </c>
      <c r="O127" s="29" t="s">
        <v>128</v>
      </c>
      <c r="P127" s="30">
        <v>42263</v>
      </c>
      <c r="Q127" s="29">
        <v>7152.77</v>
      </c>
      <c r="R127" s="29">
        <v>7161.23</v>
      </c>
      <c r="S127" s="29">
        <v>7126.64</v>
      </c>
      <c r="T127" s="31">
        <v>7137.4</v>
      </c>
      <c r="U127" s="29">
        <v>-0.21</v>
      </c>
      <c r="V127" s="29">
        <v>-15.03</v>
      </c>
      <c r="W127" s="29">
        <v>7152.43</v>
      </c>
    </row>
    <row r="128" spans="1:23">
      <c r="A128" s="23">
        <v>42156</v>
      </c>
      <c r="B128" s="24">
        <v>89.900002000000001</v>
      </c>
      <c r="C128" s="25">
        <v>291997</v>
      </c>
      <c r="O128" s="29" t="s">
        <v>128</v>
      </c>
      <c r="P128" s="30">
        <v>42264</v>
      </c>
      <c r="Q128" s="29">
        <v>7138.67</v>
      </c>
      <c r="R128" s="29">
        <v>7147.07</v>
      </c>
      <c r="S128" s="29">
        <v>7109.31</v>
      </c>
      <c r="T128" s="31">
        <v>7113.51</v>
      </c>
      <c r="U128" s="29">
        <v>-0.33</v>
      </c>
      <c r="V128" s="29">
        <v>-23.89</v>
      </c>
      <c r="W128" s="29">
        <v>7137.4</v>
      </c>
    </row>
    <row r="129" spans="1:23">
      <c r="A129" s="23">
        <v>42158</v>
      </c>
      <c r="B129" s="24">
        <v>93.400002000000001</v>
      </c>
      <c r="C129" s="25">
        <v>727887</v>
      </c>
      <c r="O129" s="29" t="s">
        <v>128</v>
      </c>
      <c r="P129" s="30">
        <v>42265</v>
      </c>
      <c r="Q129" s="29">
        <v>7115.08</v>
      </c>
      <c r="R129" s="29">
        <v>7119.77</v>
      </c>
      <c r="S129" s="29">
        <v>7102.37</v>
      </c>
      <c r="T129" s="31">
        <v>7107.87</v>
      </c>
      <c r="U129" s="29">
        <v>-0.08</v>
      </c>
      <c r="V129" s="29">
        <v>-5.64</v>
      </c>
      <c r="W129" s="29">
        <v>7113.51</v>
      </c>
    </row>
    <row r="130" spans="1:23">
      <c r="A130" s="23">
        <v>42159</v>
      </c>
      <c r="B130" s="24">
        <v>92.5</v>
      </c>
      <c r="C130" s="25">
        <v>60695</v>
      </c>
      <c r="O130" s="29" t="s">
        <v>128</v>
      </c>
      <c r="P130" s="30">
        <v>42268</v>
      </c>
      <c r="Q130" s="29">
        <v>7110.2</v>
      </c>
      <c r="R130" s="29">
        <v>7116.85</v>
      </c>
      <c r="S130" s="29">
        <v>7101.67</v>
      </c>
      <c r="T130" s="31">
        <v>7104.37</v>
      </c>
      <c r="U130" s="29">
        <v>-0.05</v>
      </c>
      <c r="V130" s="29">
        <v>-3.5</v>
      </c>
      <c r="W130" s="29">
        <v>7107.87</v>
      </c>
    </row>
    <row r="131" spans="1:23">
      <c r="A131" s="23">
        <v>42160</v>
      </c>
      <c r="B131" s="24">
        <v>91.300003000000004</v>
      </c>
      <c r="C131" s="25">
        <v>72496</v>
      </c>
      <c r="O131" s="29" t="s">
        <v>128</v>
      </c>
      <c r="P131" s="30">
        <v>42269</v>
      </c>
      <c r="Q131" s="29">
        <v>7104.88</v>
      </c>
      <c r="R131" s="29">
        <v>7130.29</v>
      </c>
      <c r="S131" s="29">
        <v>7101.22</v>
      </c>
      <c r="T131" s="31">
        <v>7118.38</v>
      </c>
      <c r="U131" s="29">
        <v>0.2</v>
      </c>
      <c r="V131" s="29">
        <v>14.01</v>
      </c>
      <c r="W131" s="29">
        <v>7104.37</v>
      </c>
    </row>
    <row r="132" spans="1:23">
      <c r="A132" s="23">
        <v>42163</v>
      </c>
      <c r="B132" s="24">
        <v>90.099997999999999</v>
      </c>
      <c r="C132" s="25">
        <v>18832</v>
      </c>
      <c r="O132" s="29" t="s">
        <v>128</v>
      </c>
      <c r="P132" s="30">
        <v>42270</v>
      </c>
      <c r="Q132" s="29">
        <v>7119.74</v>
      </c>
      <c r="R132" s="29">
        <v>7136.11</v>
      </c>
      <c r="S132" s="29">
        <v>7107.7</v>
      </c>
      <c r="T132" s="31">
        <v>7114.83</v>
      </c>
      <c r="U132" s="29">
        <v>-0.05</v>
      </c>
      <c r="V132" s="29">
        <v>-3.55</v>
      </c>
      <c r="W132" s="29">
        <v>7118.38</v>
      </c>
    </row>
    <row r="133" spans="1:23">
      <c r="A133" s="23">
        <v>42164</v>
      </c>
      <c r="B133" s="24">
        <v>91.199996999999996</v>
      </c>
      <c r="C133" s="25">
        <v>16231</v>
      </c>
      <c r="O133" s="29" t="s">
        <v>128</v>
      </c>
      <c r="P133" s="30">
        <v>42272</v>
      </c>
      <c r="Q133" s="29">
        <v>7120.41</v>
      </c>
      <c r="R133" s="29">
        <v>7127.76</v>
      </c>
      <c r="S133" s="29">
        <v>7106.92</v>
      </c>
      <c r="T133" s="31">
        <v>7110.8</v>
      </c>
      <c r="U133" s="29">
        <v>-0.06</v>
      </c>
      <c r="V133" s="29">
        <v>-4.03</v>
      </c>
      <c r="W133" s="29">
        <v>7114.83</v>
      </c>
    </row>
    <row r="134" spans="1:23">
      <c r="A134" s="23">
        <v>42165</v>
      </c>
      <c r="B134" s="24">
        <v>91.300003000000004</v>
      </c>
      <c r="C134" s="25">
        <v>55769</v>
      </c>
      <c r="O134" s="29" t="s">
        <v>128</v>
      </c>
      <c r="P134" s="30">
        <v>42275</v>
      </c>
      <c r="Q134" s="29">
        <v>7113.15</v>
      </c>
      <c r="R134" s="29">
        <v>7113.7</v>
      </c>
      <c r="S134" s="29">
        <v>7078.64</v>
      </c>
      <c r="T134" s="31">
        <v>7078.64</v>
      </c>
      <c r="U134" s="29">
        <v>-0.45</v>
      </c>
      <c r="V134" s="29">
        <v>-32.159999999999997</v>
      </c>
      <c r="W134" s="29">
        <v>7110.8</v>
      </c>
    </row>
    <row r="135" spans="1:23">
      <c r="A135" s="23">
        <v>42166</v>
      </c>
      <c r="B135" s="24">
        <v>92.599997999999999</v>
      </c>
      <c r="C135" s="25">
        <v>33704</v>
      </c>
      <c r="O135" s="29" t="s">
        <v>128</v>
      </c>
      <c r="P135" s="30">
        <v>42276</v>
      </c>
      <c r="Q135" s="29">
        <v>7082.76</v>
      </c>
      <c r="R135" s="29">
        <v>7099.47</v>
      </c>
      <c r="S135" s="29">
        <v>7082.05</v>
      </c>
      <c r="T135" s="31">
        <v>7085.38</v>
      </c>
      <c r="U135" s="29">
        <v>0.1</v>
      </c>
      <c r="V135" s="29">
        <v>6.74</v>
      </c>
      <c r="W135" s="29">
        <v>7078.64</v>
      </c>
    </row>
    <row r="136" spans="1:23">
      <c r="A136" s="23">
        <v>42167</v>
      </c>
      <c r="B136" s="24">
        <v>92.5</v>
      </c>
      <c r="C136" s="25">
        <v>58721</v>
      </c>
      <c r="O136" s="29" t="s">
        <v>128</v>
      </c>
      <c r="P136" s="30">
        <v>42277</v>
      </c>
      <c r="Q136" s="29">
        <v>7086.66</v>
      </c>
      <c r="R136" s="29">
        <v>7095.75</v>
      </c>
      <c r="S136" s="29">
        <v>7050.87</v>
      </c>
      <c r="T136" s="31">
        <v>7050.87</v>
      </c>
      <c r="U136" s="29">
        <v>-0.49</v>
      </c>
      <c r="V136" s="29">
        <v>-34.51</v>
      </c>
      <c r="W136" s="29">
        <v>7085.38</v>
      </c>
    </row>
    <row r="137" spans="1:23">
      <c r="A137" s="23">
        <v>42170</v>
      </c>
      <c r="B137" s="24">
        <v>92</v>
      </c>
      <c r="C137" s="25">
        <v>20994</v>
      </c>
      <c r="O137" s="29" t="s">
        <v>128</v>
      </c>
      <c r="P137" s="30">
        <v>42278</v>
      </c>
      <c r="Q137" s="29">
        <v>7053.33</v>
      </c>
      <c r="R137" s="29">
        <v>7086.29</v>
      </c>
      <c r="S137" s="29">
        <v>7053.33</v>
      </c>
      <c r="T137" s="31">
        <v>7080.48</v>
      </c>
      <c r="U137" s="29">
        <v>0.42</v>
      </c>
      <c r="V137" s="29">
        <v>29.61</v>
      </c>
      <c r="W137" s="29">
        <v>7050.87</v>
      </c>
    </row>
    <row r="138" spans="1:23">
      <c r="A138" s="23">
        <v>42171</v>
      </c>
      <c r="B138" s="24">
        <v>91.400002000000001</v>
      </c>
      <c r="C138" s="25">
        <v>45744</v>
      </c>
      <c r="O138" s="29" t="s">
        <v>128</v>
      </c>
      <c r="P138" s="30">
        <v>42279</v>
      </c>
      <c r="Q138" s="29">
        <v>7081.06</v>
      </c>
      <c r="R138" s="29">
        <v>7115.44</v>
      </c>
      <c r="S138" s="29">
        <v>7076.51</v>
      </c>
      <c r="T138" s="31">
        <v>7105.54</v>
      </c>
      <c r="U138" s="29">
        <v>0.35</v>
      </c>
      <c r="V138" s="29">
        <v>25.06</v>
      </c>
      <c r="W138" s="29">
        <v>7080.48</v>
      </c>
    </row>
    <row r="139" spans="1:23">
      <c r="A139" s="23">
        <v>42172</v>
      </c>
      <c r="B139" s="24">
        <v>91.900002000000001</v>
      </c>
      <c r="C139" s="25">
        <v>17436</v>
      </c>
      <c r="O139" s="29" t="s">
        <v>128</v>
      </c>
      <c r="P139" s="30">
        <v>42282</v>
      </c>
      <c r="Q139" s="29">
        <v>7109.06</v>
      </c>
      <c r="R139" s="29">
        <v>7127.97</v>
      </c>
      <c r="S139" s="29">
        <v>7084.38</v>
      </c>
      <c r="T139" s="31">
        <v>7089.06</v>
      </c>
      <c r="U139" s="29">
        <v>-0.23</v>
      </c>
      <c r="V139" s="29">
        <v>-16.48</v>
      </c>
      <c r="W139" s="29">
        <v>7105.54</v>
      </c>
    </row>
    <row r="140" spans="1:23">
      <c r="A140" s="23">
        <v>42173</v>
      </c>
      <c r="B140" s="24">
        <v>91.5</v>
      </c>
      <c r="C140" s="25">
        <v>1200</v>
      </c>
      <c r="O140" s="29" t="s">
        <v>128</v>
      </c>
      <c r="P140" s="30">
        <v>42283</v>
      </c>
      <c r="Q140" s="29">
        <v>7089.7</v>
      </c>
      <c r="R140" s="29">
        <v>7105.08</v>
      </c>
      <c r="S140" s="29">
        <v>7079.24</v>
      </c>
      <c r="T140" s="31">
        <v>7085.93</v>
      </c>
      <c r="U140" s="29">
        <v>-0.04</v>
      </c>
      <c r="V140" s="29">
        <v>-3.13</v>
      </c>
      <c r="W140" s="29">
        <v>7089.06</v>
      </c>
    </row>
    <row r="141" spans="1:23">
      <c r="A141" s="23">
        <v>42174</v>
      </c>
      <c r="B141" s="24">
        <v>92</v>
      </c>
      <c r="C141" s="25">
        <v>19046</v>
      </c>
      <c r="O141" s="29" t="s">
        <v>128</v>
      </c>
      <c r="P141" s="30">
        <v>42284</v>
      </c>
      <c r="Q141" s="29">
        <v>7083.94</v>
      </c>
      <c r="R141" s="29">
        <v>7094.97</v>
      </c>
      <c r="S141" s="29">
        <v>7082.81</v>
      </c>
      <c r="T141" s="31">
        <v>7085.45</v>
      </c>
      <c r="U141" s="29">
        <v>-0.01</v>
      </c>
      <c r="V141" s="29">
        <v>-0.48</v>
      </c>
      <c r="W141" s="29">
        <v>7085.93</v>
      </c>
    </row>
    <row r="142" spans="1:23">
      <c r="A142" s="23">
        <v>42177</v>
      </c>
      <c r="B142" s="24">
        <v>92</v>
      </c>
      <c r="C142" s="25">
        <v>23446</v>
      </c>
      <c r="O142" s="29" t="s">
        <v>128</v>
      </c>
      <c r="P142" s="30">
        <v>42285</v>
      </c>
      <c r="Q142" s="29">
        <v>7085.88</v>
      </c>
      <c r="R142" s="29">
        <v>7097.08</v>
      </c>
      <c r="S142" s="29">
        <v>7072.59</v>
      </c>
      <c r="T142" s="31">
        <v>7085.65</v>
      </c>
      <c r="U142" s="29">
        <v>0</v>
      </c>
      <c r="V142" s="29">
        <v>0.2</v>
      </c>
      <c r="W142" s="29">
        <v>7085.45</v>
      </c>
    </row>
    <row r="143" spans="1:23">
      <c r="A143" s="23">
        <v>42178</v>
      </c>
      <c r="B143" s="24">
        <v>93</v>
      </c>
      <c r="C143" s="25">
        <v>35311</v>
      </c>
      <c r="O143" s="29" t="s">
        <v>128</v>
      </c>
      <c r="P143" s="30">
        <v>42286</v>
      </c>
      <c r="Q143" s="29">
        <v>7084.26</v>
      </c>
      <c r="R143" s="29">
        <v>7112.36</v>
      </c>
      <c r="S143" s="29">
        <v>7084.26</v>
      </c>
      <c r="T143" s="31">
        <v>7096.06</v>
      </c>
      <c r="U143" s="29">
        <v>0.15</v>
      </c>
      <c r="V143" s="29">
        <v>10.41</v>
      </c>
      <c r="W143" s="29">
        <v>7085.65</v>
      </c>
    </row>
    <row r="144" spans="1:23">
      <c r="A144" s="23">
        <v>42179</v>
      </c>
      <c r="B144" s="24">
        <v>92.699996999999996</v>
      </c>
      <c r="C144" s="25">
        <v>13958</v>
      </c>
      <c r="O144" s="29" t="s">
        <v>128</v>
      </c>
      <c r="P144" s="30">
        <v>42289</v>
      </c>
      <c r="Q144" s="29">
        <v>7103.45</v>
      </c>
      <c r="R144" s="29">
        <v>7120.34</v>
      </c>
      <c r="S144" s="29">
        <v>7093.26</v>
      </c>
      <c r="T144" s="31">
        <v>7100</v>
      </c>
      <c r="U144" s="29">
        <v>0.06</v>
      </c>
      <c r="V144" s="29">
        <v>3.94</v>
      </c>
      <c r="W144" s="29">
        <v>7096.06</v>
      </c>
    </row>
    <row r="145" spans="1:23">
      <c r="A145" s="23">
        <v>42180</v>
      </c>
      <c r="B145" s="24">
        <v>91.199996999999996</v>
      </c>
      <c r="C145" s="25">
        <v>9541</v>
      </c>
      <c r="O145" s="29" t="s">
        <v>128</v>
      </c>
      <c r="P145" s="30">
        <v>42290</v>
      </c>
      <c r="Q145" s="29">
        <v>7094.71</v>
      </c>
      <c r="R145" s="29">
        <v>7116.48</v>
      </c>
      <c r="S145" s="29">
        <v>7078.45</v>
      </c>
      <c r="T145" s="31">
        <v>7078.45</v>
      </c>
      <c r="U145" s="29">
        <v>-0.3</v>
      </c>
      <c r="V145" s="29">
        <v>-21.55</v>
      </c>
      <c r="W145" s="29">
        <v>7100</v>
      </c>
    </row>
    <row r="146" spans="1:23">
      <c r="A146" s="23">
        <v>42181</v>
      </c>
      <c r="B146" s="24">
        <v>91</v>
      </c>
      <c r="C146" s="25">
        <v>25964</v>
      </c>
      <c r="O146" s="29" t="s">
        <v>128</v>
      </c>
      <c r="P146" s="30">
        <v>42291</v>
      </c>
      <c r="Q146" s="29">
        <v>7080.31</v>
      </c>
      <c r="R146" s="29">
        <v>7088.36</v>
      </c>
      <c r="S146" s="29">
        <v>7039.69</v>
      </c>
      <c r="T146" s="31">
        <v>7040.32</v>
      </c>
      <c r="U146" s="29">
        <v>-0.54</v>
      </c>
      <c r="V146" s="29">
        <v>-38.130000000000003</v>
      </c>
      <c r="W146" s="29">
        <v>7078.45</v>
      </c>
    </row>
    <row r="147" spans="1:23">
      <c r="A147" s="23">
        <v>42184</v>
      </c>
      <c r="B147" s="24">
        <v>90.699996999999996</v>
      </c>
      <c r="C147" s="25">
        <v>214518</v>
      </c>
      <c r="O147" s="29" t="s">
        <v>128</v>
      </c>
      <c r="P147" s="30">
        <v>42292</v>
      </c>
      <c r="Q147" s="29">
        <v>7041.21</v>
      </c>
      <c r="R147" s="29">
        <v>7043.15</v>
      </c>
      <c r="S147" s="29">
        <v>7025.24</v>
      </c>
      <c r="T147" s="31">
        <v>7030.45</v>
      </c>
      <c r="U147" s="29">
        <v>-0.14000000000000001</v>
      </c>
      <c r="V147" s="29">
        <v>-9.8699999999999992</v>
      </c>
      <c r="W147" s="29">
        <v>7040.32</v>
      </c>
    </row>
    <row r="148" spans="1:23">
      <c r="A148" s="23">
        <v>42185</v>
      </c>
      <c r="B148" s="24">
        <v>91</v>
      </c>
      <c r="C148" s="25">
        <v>21047</v>
      </c>
      <c r="O148" s="29" t="s">
        <v>128</v>
      </c>
      <c r="P148" s="30">
        <v>42293</v>
      </c>
      <c r="Q148" s="29">
        <v>7032.82</v>
      </c>
      <c r="R148" s="29">
        <v>7040.24</v>
      </c>
      <c r="S148" s="29">
        <v>7020.24</v>
      </c>
      <c r="T148" s="31">
        <v>7020.74</v>
      </c>
      <c r="U148" s="29">
        <v>-0.14000000000000001</v>
      </c>
      <c r="V148" s="29">
        <v>-9.7100000000000009</v>
      </c>
      <c r="W148" s="29">
        <v>7030.45</v>
      </c>
    </row>
    <row r="149" spans="1:23">
      <c r="A149" s="23">
        <v>42187</v>
      </c>
      <c r="B149" s="24">
        <v>91</v>
      </c>
      <c r="C149" s="25">
        <v>60398</v>
      </c>
      <c r="O149" s="29" t="s">
        <v>128</v>
      </c>
      <c r="P149" s="30">
        <v>42296</v>
      </c>
      <c r="Q149" s="29">
        <v>7020.33</v>
      </c>
      <c r="R149" s="29">
        <v>7022.2</v>
      </c>
      <c r="S149" s="29">
        <v>7012.22</v>
      </c>
      <c r="T149" s="31">
        <v>7017.35</v>
      </c>
      <c r="U149" s="29">
        <v>-0.05</v>
      </c>
      <c r="V149" s="29">
        <v>-3.39</v>
      </c>
      <c r="W149" s="29">
        <v>7020.74</v>
      </c>
    </row>
    <row r="150" spans="1:23">
      <c r="A150" s="23">
        <v>42188</v>
      </c>
      <c r="B150" s="24">
        <v>91.599997999999999</v>
      </c>
      <c r="C150" s="25">
        <v>135</v>
      </c>
      <c r="O150" s="29" t="s">
        <v>128</v>
      </c>
      <c r="P150" s="30">
        <v>42297</v>
      </c>
      <c r="Q150" s="29">
        <v>7019.66</v>
      </c>
      <c r="R150" s="29">
        <v>7053.68</v>
      </c>
      <c r="S150" s="29">
        <v>7014.51</v>
      </c>
      <c r="T150" s="31">
        <v>7041.26</v>
      </c>
      <c r="U150" s="29">
        <v>0.34</v>
      </c>
      <c r="V150" s="29">
        <v>23.91</v>
      </c>
      <c r="W150" s="29">
        <v>7017.35</v>
      </c>
    </row>
    <row r="151" spans="1:23">
      <c r="A151" s="23">
        <v>42191</v>
      </c>
      <c r="B151" s="24">
        <v>91.099997999999999</v>
      </c>
      <c r="C151" s="25">
        <v>33302</v>
      </c>
      <c r="O151" s="29" t="s">
        <v>128</v>
      </c>
      <c r="P151" s="30">
        <v>42298</v>
      </c>
      <c r="Q151" s="29">
        <v>7046.85</v>
      </c>
      <c r="R151" s="29">
        <v>7064.98</v>
      </c>
      <c r="S151" s="29">
        <v>7045.98</v>
      </c>
      <c r="T151" s="31">
        <v>7055.67</v>
      </c>
      <c r="U151" s="29">
        <v>0.2</v>
      </c>
      <c r="V151" s="29">
        <v>14.41</v>
      </c>
      <c r="W151" s="29">
        <v>7041.26</v>
      </c>
    </row>
    <row r="152" spans="1:23">
      <c r="A152" s="23">
        <v>42192</v>
      </c>
      <c r="B152" s="24">
        <v>89.800003000000004</v>
      </c>
      <c r="C152" s="25">
        <v>2013</v>
      </c>
      <c r="O152" s="29" t="s">
        <v>128</v>
      </c>
      <c r="P152" s="30">
        <v>42299</v>
      </c>
      <c r="Q152" s="29">
        <v>7056.31</v>
      </c>
      <c r="R152" s="29">
        <v>7083.67</v>
      </c>
      <c r="S152" s="29">
        <v>7056.31</v>
      </c>
      <c r="T152" s="31">
        <v>7068.85</v>
      </c>
      <c r="U152" s="29">
        <v>0.19</v>
      </c>
      <c r="V152" s="29">
        <v>13.18</v>
      </c>
      <c r="W152" s="29">
        <v>7055.67</v>
      </c>
    </row>
    <row r="153" spans="1:23">
      <c r="A153" s="23">
        <v>42193</v>
      </c>
      <c r="B153" s="24">
        <v>89.800003000000004</v>
      </c>
      <c r="C153" s="25">
        <v>5</v>
      </c>
      <c r="O153" s="29" t="s">
        <v>128</v>
      </c>
      <c r="P153" s="30">
        <v>42300</v>
      </c>
      <c r="Q153" s="29">
        <v>7069.04</v>
      </c>
      <c r="R153" s="29">
        <v>7093.5</v>
      </c>
      <c r="S153" s="29">
        <v>7066.56</v>
      </c>
      <c r="T153" s="31">
        <v>7081.49</v>
      </c>
      <c r="U153" s="29">
        <v>0.18</v>
      </c>
      <c r="V153" s="29">
        <v>12.64</v>
      </c>
      <c r="W153" s="29">
        <v>7068.85</v>
      </c>
    </row>
    <row r="154" spans="1:23">
      <c r="A154" s="23">
        <v>42194</v>
      </c>
      <c r="B154" s="24">
        <v>91</v>
      </c>
      <c r="C154" s="25">
        <v>35860</v>
      </c>
      <c r="O154" s="29" t="s">
        <v>128</v>
      </c>
      <c r="P154" s="30">
        <v>42303</v>
      </c>
      <c r="Q154" s="29">
        <v>7084.2</v>
      </c>
      <c r="R154" s="29">
        <v>7090.79</v>
      </c>
      <c r="S154" s="29">
        <v>7079</v>
      </c>
      <c r="T154" s="31">
        <v>7083.48</v>
      </c>
      <c r="U154" s="29">
        <v>0.03</v>
      </c>
      <c r="V154" s="29">
        <v>1.99</v>
      </c>
      <c r="W154" s="29">
        <v>7081.49</v>
      </c>
    </row>
    <row r="155" spans="1:23">
      <c r="A155" s="23">
        <v>42195</v>
      </c>
      <c r="B155" s="24">
        <v>92</v>
      </c>
      <c r="C155" s="25">
        <v>22904</v>
      </c>
      <c r="O155" s="29" t="s">
        <v>128</v>
      </c>
      <c r="P155" s="30">
        <v>42305</v>
      </c>
      <c r="Q155" s="29">
        <v>7086.43</v>
      </c>
      <c r="R155" s="29">
        <v>7101.8</v>
      </c>
      <c r="S155" s="29">
        <v>7086.43</v>
      </c>
      <c r="T155" s="31">
        <v>7094.09</v>
      </c>
      <c r="U155" s="29">
        <v>0.15</v>
      </c>
      <c r="V155" s="29">
        <v>10.61</v>
      </c>
      <c r="W155" s="29">
        <v>7083.48</v>
      </c>
    </row>
    <row r="156" spans="1:23">
      <c r="A156" s="23">
        <v>42198</v>
      </c>
      <c r="B156" s="24">
        <v>93</v>
      </c>
      <c r="C156" s="25">
        <v>102</v>
      </c>
      <c r="O156" s="29" t="s">
        <v>128</v>
      </c>
      <c r="P156" s="30">
        <v>42306</v>
      </c>
      <c r="Q156" s="29">
        <v>7096.31</v>
      </c>
      <c r="R156" s="29">
        <v>7107.1</v>
      </c>
      <c r="S156" s="29">
        <v>7070.13</v>
      </c>
      <c r="T156" s="31">
        <v>7070.13</v>
      </c>
      <c r="U156" s="29">
        <v>-0.34</v>
      </c>
      <c r="V156" s="29">
        <v>-23.96</v>
      </c>
      <c r="W156" s="29">
        <v>7094.09</v>
      </c>
    </row>
    <row r="157" spans="1:23">
      <c r="A157" s="23">
        <v>42199</v>
      </c>
      <c r="B157" s="24">
        <v>93</v>
      </c>
      <c r="C157" s="25">
        <v>61004</v>
      </c>
      <c r="O157" s="29" t="s">
        <v>128</v>
      </c>
      <c r="P157" s="30">
        <v>42307</v>
      </c>
      <c r="Q157" s="29">
        <v>7071.12</v>
      </c>
      <c r="R157" s="29">
        <v>7071.62</v>
      </c>
      <c r="S157" s="29">
        <v>7042.06</v>
      </c>
      <c r="T157" s="31">
        <v>7042.06</v>
      </c>
      <c r="U157" s="29">
        <v>-0.4</v>
      </c>
      <c r="V157" s="29">
        <v>-28.07</v>
      </c>
      <c r="W157" s="29">
        <v>7070.13</v>
      </c>
    </row>
    <row r="158" spans="1:23">
      <c r="A158" s="23">
        <v>42200</v>
      </c>
      <c r="B158" s="24">
        <v>94.300003000000004</v>
      </c>
      <c r="C158" s="25">
        <v>231124</v>
      </c>
      <c r="O158" s="29" t="s">
        <v>128</v>
      </c>
      <c r="P158" s="30">
        <v>42310</v>
      </c>
      <c r="Q158" s="29">
        <v>7044.26</v>
      </c>
      <c r="R158" s="29">
        <v>7050.42</v>
      </c>
      <c r="S158" s="29">
        <v>7029.07</v>
      </c>
      <c r="T158" s="31">
        <v>7029.07</v>
      </c>
      <c r="U158" s="29">
        <v>-0.18</v>
      </c>
      <c r="V158" s="29">
        <v>-12.99</v>
      </c>
      <c r="W158" s="29">
        <v>7042.06</v>
      </c>
    </row>
    <row r="159" spans="1:23">
      <c r="A159" s="23">
        <v>42201</v>
      </c>
      <c r="B159" s="24">
        <v>92.800003000000004</v>
      </c>
      <c r="C159" s="25">
        <v>40799</v>
      </c>
      <c r="O159" s="29" t="s">
        <v>128</v>
      </c>
      <c r="P159" s="30">
        <v>42311</v>
      </c>
      <c r="Q159" s="29">
        <v>7029.93</v>
      </c>
      <c r="R159" s="29">
        <v>7037.15</v>
      </c>
      <c r="S159" s="29">
        <v>6998.39</v>
      </c>
      <c r="T159" s="31">
        <v>7000.41</v>
      </c>
      <c r="U159" s="29">
        <v>-0.41</v>
      </c>
      <c r="V159" s="29">
        <v>-28.66</v>
      </c>
      <c r="W159" s="29">
        <v>7029.07</v>
      </c>
    </row>
    <row r="160" spans="1:23">
      <c r="A160" s="23">
        <v>42202</v>
      </c>
      <c r="B160" s="24">
        <v>93.5</v>
      </c>
      <c r="C160" s="25">
        <v>8402</v>
      </c>
      <c r="O160" s="29" t="s">
        <v>128</v>
      </c>
      <c r="P160" s="30">
        <v>42312</v>
      </c>
      <c r="Q160" s="29">
        <v>7000.33</v>
      </c>
      <c r="R160" s="29">
        <v>7007.56</v>
      </c>
      <c r="S160" s="29">
        <v>6984.16</v>
      </c>
      <c r="T160" s="31">
        <v>7003.57</v>
      </c>
      <c r="U160" s="29">
        <v>0.05</v>
      </c>
      <c r="V160" s="29">
        <v>3.16</v>
      </c>
      <c r="W160" s="29">
        <v>7000.41</v>
      </c>
    </row>
    <row r="161" spans="1:23">
      <c r="A161" s="23">
        <v>42205</v>
      </c>
      <c r="B161" s="24">
        <v>94</v>
      </c>
      <c r="C161" s="25">
        <v>8780</v>
      </c>
      <c r="O161" s="29" t="s">
        <v>128</v>
      </c>
      <c r="P161" s="30">
        <v>42313</v>
      </c>
      <c r="Q161" s="29">
        <v>7005.12</v>
      </c>
      <c r="R161" s="29">
        <v>7025.35</v>
      </c>
      <c r="S161" s="29">
        <v>6997.51</v>
      </c>
      <c r="T161" s="31">
        <v>7017.39</v>
      </c>
      <c r="U161" s="29">
        <v>0.2</v>
      </c>
      <c r="V161" s="29">
        <v>13.82</v>
      </c>
      <c r="W161" s="29">
        <v>7003.57</v>
      </c>
    </row>
    <row r="162" spans="1:23">
      <c r="A162" s="23">
        <v>42206</v>
      </c>
      <c r="B162" s="24">
        <v>94</v>
      </c>
      <c r="C162" s="25">
        <v>15550</v>
      </c>
      <c r="O162" s="29" t="s">
        <v>128</v>
      </c>
      <c r="P162" s="30">
        <v>42314</v>
      </c>
      <c r="Q162" s="29">
        <v>7033.46</v>
      </c>
      <c r="R162" s="29">
        <v>7076.43</v>
      </c>
      <c r="S162" s="29">
        <v>7033.46</v>
      </c>
      <c r="T162" s="31">
        <v>7059.48</v>
      </c>
      <c r="U162" s="29">
        <v>0.6</v>
      </c>
      <c r="V162" s="29">
        <v>42.09</v>
      </c>
      <c r="W162" s="29">
        <v>7017.39</v>
      </c>
    </row>
    <row r="163" spans="1:23">
      <c r="A163" s="23">
        <v>42207</v>
      </c>
      <c r="B163" s="24">
        <v>94.099997999999999</v>
      </c>
      <c r="C163" s="25">
        <v>25414</v>
      </c>
      <c r="O163" s="29" t="s">
        <v>128</v>
      </c>
      <c r="P163" s="30">
        <v>42317</v>
      </c>
      <c r="Q163" s="29">
        <v>7059.68</v>
      </c>
      <c r="R163" s="29">
        <v>7064.88</v>
      </c>
      <c r="S163" s="29">
        <v>7042.89</v>
      </c>
      <c r="T163" s="31">
        <v>7050.21</v>
      </c>
      <c r="U163" s="29">
        <v>-0.13</v>
      </c>
      <c r="V163" s="29">
        <v>-9.27</v>
      </c>
      <c r="W163" s="29">
        <v>7059.48</v>
      </c>
    </row>
    <row r="164" spans="1:23">
      <c r="A164" s="23">
        <v>42208</v>
      </c>
      <c r="B164" s="24">
        <v>95</v>
      </c>
      <c r="C164" s="25">
        <v>52420</v>
      </c>
      <c r="O164" s="29" t="s">
        <v>128</v>
      </c>
      <c r="P164" s="30">
        <v>42319</v>
      </c>
      <c r="Q164" s="29">
        <v>7045.55</v>
      </c>
      <c r="R164" s="29">
        <v>7049.18</v>
      </c>
      <c r="S164" s="29">
        <v>7014.5</v>
      </c>
      <c r="T164" s="31">
        <v>7019.23</v>
      </c>
      <c r="U164" s="29">
        <v>-0.44</v>
      </c>
      <c r="V164" s="29">
        <v>-30.98</v>
      </c>
      <c r="W164" s="29">
        <v>7050.21</v>
      </c>
    </row>
    <row r="165" spans="1:23">
      <c r="A165" s="23">
        <v>42209</v>
      </c>
      <c r="B165" s="24">
        <v>96</v>
      </c>
      <c r="C165" s="25">
        <v>156650</v>
      </c>
      <c r="O165" s="29" t="s">
        <v>128</v>
      </c>
      <c r="P165" s="30">
        <v>42320</v>
      </c>
      <c r="Q165" s="29">
        <v>7014.44</v>
      </c>
      <c r="R165" s="29">
        <v>7015.21</v>
      </c>
      <c r="S165" s="29">
        <v>6997.07</v>
      </c>
      <c r="T165" s="31">
        <v>7006.35</v>
      </c>
      <c r="U165" s="29">
        <v>-0.18</v>
      </c>
      <c r="V165" s="29">
        <v>-12.88</v>
      </c>
      <c r="W165" s="29">
        <v>7019.23</v>
      </c>
    </row>
    <row r="166" spans="1:23">
      <c r="A166" s="23">
        <v>42212</v>
      </c>
      <c r="B166" s="24">
        <v>96.900002000000001</v>
      </c>
      <c r="C166" s="25">
        <v>291172</v>
      </c>
      <c r="O166" s="29" t="s">
        <v>128</v>
      </c>
      <c r="P166" s="30">
        <v>42321</v>
      </c>
      <c r="Q166" s="29">
        <v>7003.47</v>
      </c>
      <c r="R166" s="29">
        <v>7016.37</v>
      </c>
      <c r="S166" s="29">
        <v>6997.63</v>
      </c>
      <c r="T166" s="31">
        <v>7001.81</v>
      </c>
      <c r="U166" s="29">
        <v>-0.06</v>
      </c>
      <c r="V166" s="29">
        <v>-4.54</v>
      </c>
      <c r="W166" s="29">
        <v>7006.35</v>
      </c>
    </row>
    <row r="167" spans="1:23">
      <c r="A167" s="23">
        <v>42213</v>
      </c>
      <c r="B167" s="24">
        <v>97.900002000000001</v>
      </c>
      <c r="C167" s="25">
        <v>22782</v>
      </c>
      <c r="O167" s="29" t="s">
        <v>128</v>
      </c>
      <c r="P167" s="30">
        <v>42324</v>
      </c>
      <c r="Q167" s="29">
        <v>7005.67</v>
      </c>
      <c r="R167" s="29">
        <v>7015</v>
      </c>
      <c r="S167" s="29">
        <v>6965.98</v>
      </c>
      <c r="T167" s="31">
        <v>6965.98</v>
      </c>
      <c r="U167" s="29">
        <v>-0.51</v>
      </c>
      <c r="V167" s="29">
        <v>-35.83</v>
      </c>
      <c r="W167" s="29">
        <v>7001.81</v>
      </c>
    </row>
    <row r="168" spans="1:23">
      <c r="A168" s="23">
        <v>42214</v>
      </c>
      <c r="B168" s="24">
        <v>99.699996999999996</v>
      </c>
      <c r="C168" s="25">
        <v>248306</v>
      </c>
      <c r="O168" s="29" t="s">
        <v>128</v>
      </c>
      <c r="P168" s="30">
        <v>42325</v>
      </c>
      <c r="Q168" s="29">
        <v>6964.96</v>
      </c>
      <c r="R168" s="29">
        <v>6982.7</v>
      </c>
      <c r="S168" s="29">
        <v>6960.85</v>
      </c>
      <c r="T168" s="31">
        <v>6977.95</v>
      </c>
      <c r="U168" s="29">
        <v>0.17</v>
      </c>
      <c r="V168" s="29">
        <v>11.97</v>
      </c>
      <c r="W168" s="29">
        <v>6965.98</v>
      </c>
    </row>
    <row r="169" spans="1:23">
      <c r="A169" s="23">
        <v>42215</v>
      </c>
      <c r="B169" s="24">
        <v>102.099998</v>
      </c>
      <c r="C169" s="25">
        <v>166286</v>
      </c>
      <c r="O169" s="29" t="s">
        <v>128</v>
      </c>
      <c r="P169" s="30">
        <v>42326</v>
      </c>
      <c r="Q169" s="29">
        <v>6978.22</v>
      </c>
      <c r="R169" s="29">
        <v>6983.17</v>
      </c>
      <c r="S169" s="29">
        <v>6974.75</v>
      </c>
      <c r="T169" s="31">
        <v>6981.97</v>
      </c>
      <c r="U169" s="29">
        <v>0.06</v>
      </c>
      <c r="V169" s="29">
        <v>4.0199999999999996</v>
      </c>
      <c r="W169" s="29">
        <v>6977.95</v>
      </c>
    </row>
    <row r="170" spans="1:23">
      <c r="A170" s="23">
        <v>42219</v>
      </c>
      <c r="B170" s="24">
        <v>103.400002</v>
      </c>
      <c r="C170" s="25">
        <v>88504</v>
      </c>
      <c r="O170" s="29" t="s">
        <v>128</v>
      </c>
      <c r="P170" s="30">
        <v>42327</v>
      </c>
      <c r="Q170" s="29">
        <v>6988.78</v>
      </c>
      <c r="R170" s="29">
        <v>7033.11</v>
      </c>
      <c r="S170" s="29">
        <v>6982.09</v>
      </c>
      <c r="T170" s="31">
        <v>7020.18</v>
      </c>
      <c r="U170" s="29">
        <v>0.55000000000000004</v>
      </c>
      <c r="V170" s="29">
        <v>38.21</v>
      </c>
      <c r="W170" s="29">
        <v>6981.97</v>
      </c>
    </row>
    <row r="171" spans="1:23">
      <c r="A171" s="23">
        <v>42220</v>
      </c>
      <c r="B171" s="24">
        <v>105.199997</v>
      </c>
      <c r="C171" s="25">
        <v>323709</v>
      </c>
      <c r="O171" s="29" t="s">
        <v>128</v>
      </c>
      <c r="P171" s="30">
        <v>42328</v>
      </c>
      <c r="Q171" s="29">
        <v>7021.3</v>
      </c>
      <c r="R171" s="29">
        <v>7024.68</v>
      </c>
      <c r="S171" s="29">
        <v>6997.05</v>
      </c>
      <c r="T171" s="31">
        <v>7017.44</v>
      </c>
      <c r="U171" s="29">
        <v>-0.04</v>
      </c>
      <c r="V171" s="29">
        <v>-2.74</v>
      </c>
      <c r="W171" s="29">
        <v>7020.18</v>
      </c>
    </row>
    <row r="172" spans="1:23">
      <c r="A172" s="23">
        <v>42221</v>
      </c>
      <c r="B172" s="24">
        <v>110</v>
      </c>
      <c r="C172" s="25">
        <v>447126</v>
      </c>
      <c r="O172" s="29" t="s">
        <v>128</v>
      </c>
      <c r="P172" s="30">
        <v>42331</v>
      </c>
      <c r="Q172" s="29">
        <v>7025.55</v>
      </c>
      <c r="R172" s="29">
        <v>7072.67</v>
      </c>
      <c r="S172" s="29">
        <v>7025.55</v>
      </c>
      <c r="T172" s="31">
        <v>7055.84</v>
      </c>
      <c r="U172" s="29">
        <v>0.55000000000000004</v>
      </c>
      <c r="V172" s="29">
        <v>38.4</v>
      </c>
      <c r="W172" s="29">
        <v>7017.44</v>
      </c>
    </row>
    <row r="173" spans="1:23">
      <c r="A173" s="23">
        <v>42222</v>
      </c>
      <c r="B173" s="24">
        <v>112.699997</v>
      </c>
      <c r="C173" s="25">
        <v>475257</v>
      </c>
      <c r="O173" s="29" t="s">
        <v>128</v>
      </c>
      <c r="P173" s="30">
        <v>42332</v>
      </c>
      <c r="Q173" s="29">
        <v>7056.83</v>
      </c>
      <c r="R173" s="29">
        <v>7058.13</v>
      </c>
      <c r="S173" s="29">
        <v>7004.21</v>
      </c>
      <c r="T173" s="31">
        <v>7009.99</v>
      </c>
      <c r="U173" s="29">
        <v>-0.65</v>
      </c>
      <c r="V173" s="29">
        <v>-45.85</v>
      </c>
      <c r="W173" s="29">
        <v>7055.84</v>
      </c>
    </row>
    <row r="174" spans="1:23">
      <c r="A174" s="23">
        <v>42223</v>
      </c>
      <c r="B174" s="24">
        <v>111</v>
      </c>
      <c r="C174" s="25">
        <v>59750</v>
      </c>
      <c r="O174" s="29" t="s">
        <v>128</v>
      </c>
      <c r="P174" s="30">
        <v>42334</v>
      </c>
      <c r="Q174" s="29">
        <v>7002.46</v>
      </c>
      <c r="R174" s="29">
        <v>7002.46</v>
      </c>
      <c r="S174" s="29">
        <v>6961.45</v>
      </c>
      <c r="T174" s="31">
        <v>6963.37</v>
      </c>
      <c r="U174" s="29">
        <v>-0.67</v>
      </c>
      <c r="V174" s="29">
        <v>-46.62</v>
      </c>
      <c r="W174" s="29">
        <v>7009.99</v>
      </c>
    </row>
    <row r="175" spans="1:23">
      <c r="A175" s="23">
        <v>42226</v>
      </c>
      <c r="B175" s="24">
        <v>110</v>
      </c>
      <c r="C175" s="25">
        <v>126894</v>
      </c>
      <c r="O175" s="29" t="s">
        <v>128</v>
      </c>
      <c r="P175" s="30">
        <v>42335</v>
      </c>
      <c r="Q175" s="29">
        <v>6964.3</v>
      </c>
      <c r="R175" s="29">
        <v>6974.14</v>
      </c>
      <c r="S175" s="29">
        <v>6958.29</v>
      </c>
      <c r="T175" s="31">
        <v>6961.41</v>
      </c>
      <c r="U175" s="29">
        <v>-0.03</v>
      </c>
      <c r="V175" s="29">
        <v>-1.96</v>
      </c>
      <c r="W175" s="29">
        <v>6963.37</v>
      </c>
    </row>
    <row r="176" spans="1:23">
      <c r="A176" s="23">
        <v>42227</v>
      </c>
      <c r="B176" s="24">
        <v>114.900002</v>
      </c>
      <c r="C176" s="25">
        <v>194508</v>
      </c>
      <c r="O176" s="29" t="s">
        <v>128</v>
      </c>
      <c r="P176" s="30">
        <v>42338</v>
      </c>
      <c r="Q176" s="29">
        <v>6954.29</v>
      </c>
      <c r="R176" s="29">
        <v>6954.39</v>
      </c>
      <c r="S176" s="29">
        <v>6909.15</v>
      </c>
      <c r="T176" s="31">
        <v>6909.15</v>
      </c>
      <c r="U176" s="29">
        <v>-0.75</v>
      </c>
      <c r="V176" s="29">
        <v>-52.26</v>
      </c>
      <c r="W176" s="29">
        <v>6961.41</v>
      </c>
    </row>
    <row r="177" spans="1:23">
      <c r="A177" s="23">
        <v>42228</v>
      </c>
      <c r="B177" s="24">
        <v>114</v>
      </c>
      <c r="C177" s="25">
        <v>65981</v>
      </c>
      <c r="O177" s="29" t="s">
        <v>128</v>
      </c>
      <c r="P177" s="30">
        <v>42339</v>
      </c>
      <c r="Q177" s="29">
        <v>6909.32</v>
      </c>
      <c r="R177" s="29">
        <v>6920</v>
      </c>
      <c r="S177" s="29">
        <v>6895.19</v>
      </c>
      <c r="T177" s="31">
        <v>6895.19</v>
      </c>
      <c r="U177" s="29">
        <v>-0.2</v>
      </c>
      <c r="V177" s="29">
        <v>-13.96</v>
      </c>
      <c r="W177" s="29">
        <v>6909.15</v>
      </c>
    </row>
    <row r="178" spans="1:23">
      <c r="A178" s="23">
        <v>42229</v>
      </c>
      <c r="B178" s="24">
        <v>112.099998</v>
      </c>
      <c r="C178" s="25">
        <v>43827</v>
      </c>
      <c r="O178" s="29" t="s">
        <v>128</v>
      </c>
      <c r="P178" s="30">
        <v>42340</v>
      </c>
      <c r="Q178" s="29">
        <v>6891.22</v>
      </c>
      <c r="R178" s="29">
        <v>6906.3</v>
      </c>
      <c r="S178" s="29">
        <v>6862.79</v>
      </c>
      <c r="T178" s="31">
        <v>6862.79</v>
      </c>
      <c r="U178" s="29">
        <v>-0.47</v>
      </c>
      <c r="V178" s="29">
        <v>-32.4</v>
      </c>
      <c r="W178" s="29">
        <v>6895.19</v>
      </c>
    </row>
    <row r="179" spans="1:23">
      <c r="A179" s="23">
        <v>42230</v>
      </c>
      <c r="B179" s="24">
        <v>113.099998</v>
      </c>
      <c r="C179" s="25">
        <v>85990</v>
      </c>
      <c r="O179" s="29" t="s">
        <v>128</v>
      </c>
      <c r="P179" s="30">
        <v>42341</v>
      </c>
      <c r="Q179" s="29">
        <v>6863.73</v>
      </c>
      <c r="R179" s="29">
        <v>6881.99</v>
      </c>
      <c r="S179" s="29">
        <v>6863.73</v>
      </c>
      <c r="T179" s="31">
        <v>6880.66</v>
      </c>
      <c r="U179" s="29">
        <v>0.26</v>
      </c>
      <c r="V179" s="29">
        <v>17.87</v>
      </c>
      <c r="W179" s="29">
        <v>6862.79</v>
      </c>
    </row>
    <row r="180" spans="1:23">
      <c r="A180" s="23">
        <v>42233</v>
      </c>
      <c r="B180" s="24">
        <v>120.599998</v>
      </c>
      <c r="C180" s="25">
        <v>549569</v>
      </c>
      <c r="O180" s="29" t="s">
        <v>128</v>
      </c>
      <c r="P180" s="30">
        <v>42342</v>
      </c>
      <c r="Q180" s="29">
        <v>6880.79</v>
      </c>
      <c r="R180" s="29">
        <v>6881.14</v>
      </c>
      <c r="S180" s="29">
        <v>6855.96</v>
      </c>
      <c r="T180" s="31">
        <v>6869.56</v>
      </c>
      <c r="U180" s="29">
        <v>-0.16</v>
      </c>
      <c r="V180" s="29">
        <v>-11.1</v>
      </c>
      <c r="W180" s="29">
        <v>6880.66</v>
      </c>
    </row>
    <row r="181" spans="1:23">
      <c r="A181" s="23">
        <v>42234</v>
      </c>
      <c r="B181" s="24">
        <v>123.599998</v>
      </c>
      <c r="C181" s="25">
        <v>138156</v>
      </c>
      <c r="O181" s="29" t="s">
        <v>128</v>
      </c>
      <c r="P181" s="30">
        <v>42345</v>
      </c>
      <c r="Q181" s="29">
        <v>6870.79</v>
      </c>
      <c r="R181" s="29">
        <v>6873.85</v>
      </c>
      <c r="S181" s="29">
        <v>6854.79</v>
      </c>
      <c r="T181" s="31">
        <v>6858.63</v>
      </c>
      <c r="U181" s="29">
        <v>-0.16</v>
      </c>
      <c r="V181" s="29">
        <v>-10.93</v>
      </c>
      <c r="W181" s="29">
        <v>6869.56</v>
      </c>
    </row>
    <row r="182" spans="1:23">
      <c r="A182" s="23">
        <v>42235</v>
      </c>
      <c r="B182" s="24">
        <v>120.099998</v>
      </c>
      <c r="C182" s="25">
        <v>62979</v>
      </c>
      <c r="O182" s="29" t="s">
        <v>128</v>
      </c>
      <c r="P182" s="30">
        <v>42346</v>
      </c>
      <c r="Q182" s="29">
        <v>6858.66</v>
      </c>
      <c r="R182" s="29">
        <v>6867.86</v>
      </c>
      <c r="S182" s="29">
        <v>6845.66</v>
      </c>
      <c r="T182" s="31">
        <v>6849.09</v>
      </c>
      <c r="U182" s="29">
        <v>-0.14000000000000001</v>
      </c>
      <c r="V182" s="29">
        <v>-9.5399999999999991</v>
      </c>
      <c r="W182" s="29">
        <v>6858.63</v>
      </c>
    </row>
    <row r="183" spans="1:23">
      <c r="A183" s="23">
        <v>42236</v>
      </c>
      <c r="B183" s="24">
        <v>118.800003</v>
      </c>
      <c r="C183" s="25">
        <v>99805</v>
      </c>
      <c r="O183" s="29" t="s">
        <v>128</v>
      </c>
      <c r="P183" s="30">
        <v>42347</v>
      </c>
      <c r="Q183" s="29">
        <v>6849.43</v>
      </c>
      <c r="R183" s="29">
        <v>6849.45</v>
      </c>
      <c r="S183" s="29">
        <v>6840.57</v>
      </c>
      <c r="T183" s="31">
        <v>6841.55</v>
      </c>
      <c r="U183" s="29">
        <v>-0.11</v>
      </c>
      <c r="V183" s="29">
        <v>-7.54</v>
      </c>
      <c r="W183" s="29">
        <v>6849.09</v>
      </c>
    </row>
    <row r="184" spans="1:23">
      <c r="A184" s="23">
        <v>42237</v>
      </c>
      <c r="B184" s="24">
        <v>120</v>
      </c>
      <c r="C184" s="25">
        <v>50569</v>
      </c>
      <c r="O184" s="29" t="s">
        <v>128</v>
      </c>
      <c r="P184" s="30">
        <v>42348</v>
      </c>
      <c r="Q184" s="29">
        <v>6841.59</v>
      </c>
      <c r="R184" s="29">
        <v>6842.31</v>
      </c>
      <c r="S184" s="29">
        <v>6819.16</v>
      </c>
      <c r="T184" s="31">
        <v>6823.91</v>
      </c>
      <c r="U184" s="29">
        <v>-0.26</v>
      </c>
      <c r="V184" s="29">
        <v>-17.64</v>
      </c>
      <c r="W184" s="29">
        <v>6841.55</v>
      </c>
    </row>
    <row r="185" spans="1:23">
      <c r="A185" s="23">
        <v>42240</v>
      </c>
      <c r="B185" s="24">
        <v>115.199997</v>
      </c>
      <c r="C185" s="25">
        <v>60715</v>
      </c>
      <c r="O185" s="29" t="s">
        <v>128</v>
      </c>
      <c r="P185" s="30">
        <v>42349</v>
      </c>
      <c r="Q185" s="29">
        <v>6823.95</v>
      </c>
      <c r="R185" s="29">
        <v>6842.72</v>
      </c>
      <c r="S185" s="29">
        <v>6822.59</v>
      </c>
      <c r="T185" s="31">
        <v>6832.35</v>
      </c>
      <c r="U185" s="29">
        <v>0.12</v>
      </c>
      <c r="V185" s="29">
        <v>8.44</v>
      </c>
      <c r="W185" s="29">
        <v>6823.91</v>
      </c>
    </row>
    <row r="186" spans="1:23">
      <c r="A186" s="23">
        <v>42241</v>
      </c>
      <c r="B186" s="24">
        <v>110.099998</v>
      </c>
      <c r="C186" s="25">
        <v>146067</v>
      </c>
      <c r="O186" s="29" t="s">
        <v>128</v>
      </c>
      <c r="P186" s="30">
        <v>42352</v>
      </c>
      <c r="Q186" s="29">
        <v>6832.75</v>
      </c>
      <c r="R186" s="29">
        <v>6839.36</v>
      </c>
      <c r="S186" s="29">
        <v>6802.38</v>
      </c>
      <c r="T186" s="31">
        <v>6803.08</v>
      </c>
      <c r="U186" s="29">
        <v>-0.43</v>
      </c>
      <c r="V186" s="29">
        <v>-29.27</v>
      </c>
      <c r="W186" s="29">
        <v>6832.35</v>
      </c>
    </row>
    <row r="187" spans="1:23">
      <c r="A187" s="23">
        <v>42242</v>
      </c>
      <c r="B187" s="24">
        <v>111.5</v>
      </c>
      <c r="C187" s="25">
        <v>19117</v>
      </c>
      <c r="O187" s="29" t="s">
        <v>128</v>
      </c>
      <c r="P187" s="30">
        <v>42353</v>
      </c>
      <c r="Q187" s="29">
        <v>6803.17</v>
      </c>
      <c r="R187" s="29">
        <v>6827.12</v>
      </c>
      <c r="S187" s="29">
        <v>6803.16</v>
      </c>
      <c r="T187" s="31">
        <v>6820.77</v>
      </c>
      <c r="U187" s="29">
        <v>0.26</v>
      </c>
      <c r="V187" s="29">
        <v>17.690000000000001</v>
      </c>
      <c r="W187" s="29">
        <v>6803.08</v>
      </c>
    </row>
    <row r="188" spans="1:23">
      <c r="A188" s="23">
        <v>42243</v>
      </c>
      <c r="B188" s="24">
        <v>114</v>
      </c>
      <c r="C188" s="25">
        <v>100303</v>
      </c>
      <c r="O188" s="29" t="s">
        <v>128</v>
      </c>
      <c r="P188" s="30">
        <v>42354</v>
      </c>
      <c r="Q188" s="29">
        <v>6822.52</v>
      </c>
      <c r="R188" s="29">
        <v>6844.4</v>
      </c>
      <c r="S188" s="29">
        <v>6820.51</v>
      </c>
      <c r="T188" s="31">
        <v>6833.51</v>
      </c>
      <c r="U188" s="29">
        <v>0.19</v>
      </c>
      <c r="V188" s="29">
        <v>12.74</v>
      </c>
      <c r="W188" s="29">
        <v>6820.77</v>
      </c>
    </row>
    <row r="189" spans="1:23">
      <c r="A189" s="23">
        <v>42244</v>
      </c>
      <c r="B189" s="24">
        <v>116.199997</v>
      </c>
      <c r="C189" s="25">
        <v>167886</v>
      </c>
      <c r="O189" s="29" t="s">
        <v>128</v>
      </c>
      <c r="P189" s="30">
        <v>42355</v>
      </c>
      <c r="Q189" s="29">
        <v>6834</v>
      </c>
      <c r="R189" s="29">
        <v>6859.99</v>
      </c>
      <c r="S189" s="29">
        <v>6833.96</v>
      </c>
      <c r="T189" s="31">
        <v>6859.99</v>
      </c>
      <c r="U189" s="29">
        <v>0.39</v>
      </c>
      <c r="V189" s="29">
        <v>26.48</v>
      </c>
      <c r="W189" s="29">
        <v>6833.51</v>
      </c>
    </row>
    <row r="190" spans="1:23">
      <c r="A190" s="23">
        <v>42247</v>
      </c>
      <c r="B190" s="24">
        <v>114</v>
      </c>
      <c r="C190" s="25">
        <v>65240</v>
      </c>
      <c r="O190" s="29" t="s">
        <v>128</v>
      </c>
      <c r="P190" s="30">
        <v>42356</v>
      </c>
      <c r="Q190" s="29">
        <v>6859.14</v>
      </c>
      <c r="R190" s="29">
        <v>6887.3</v>
      </c>
      <c r="S190" s="29">
        <v>6858.92</v>
      </c>
      <c r="T190" s="31">
        <v>6884.69</v>
      </c>
      <c r="U190" s="29">
        <v>0.36</v>
      </c>
      <c r="V190" s="29">
        <v>24.7</v>
      </c>
      <c r="W190" s="29">
        <v>6859.99</v>
      </c>
    </row>
    <row r="191" spans="1:23">
      <c r="A191" s="23">
        <v>42248</v>
      </c>
      <c r="B191" s="24">
        <v>114.800003</v>
      </c>
      <c r="C191" s="25">
        <v>177979</v>
      </c>
      <c r="O191" s="29" t="s">
        <v>128</v>
      </c>
      <c r="P191" s="30">
        <v>42359</v>
      </c>
      <c r="Q191" s="29">
        <v>6885.12</v>
      </c>
      <c r="R191" s="29">
        <v>6891.73</v>
      </c>
      <c r="S191" s="29">
        <v>6875.49</v>
      </c>
      <c r="T191" s="31">
        <v>6881.75</v>
      </c>
      <c r="U191" s="29">
        <v>-0.04</v>
      </c>
      <c r="V191" s="29">
        <v>-2.94</v>
      </c>
      <c r="W191" s="29">
        <v>6884.69</v>
      </c>
    </row>
    <row r="192" spans="1:23">
      <c r="A192" s="23">
        <v>42249</v>
      </c>
      <c r="B192" s="24">
        <v>112.5</v>
      </c>
      <c r="C192" s="25">
        <v>66204</v>
      </c>
      <c r="O192" s="29" t="s">
        <v>128</v>
      </c>
      <c r="P192" s="30">
        <v>42360</v>
      </c>
      <c r="Q192" s="29">
        <v>6882.31</v>
      </c>
      <c r="R192" s="29">
        <v>6883.7</v>
      </c>
      <c r="S192" s="29">
        <v>6854.57</v>
      </c>
      <c r="T192" s="31">
        <v>6854.57</v>
      </c>
      <c r="U192" s="29">
        <v>-0.39</v>
      </c>
      <c r="V192" s="29">
        <v>-27.18</v>
      </c>
      <c r="W192" s="29">
        <v>6881.75</v>
      </c>
    </row>
    <row r="193" spans="1:23">
      <c r="A193" s="23">
        <v>42250</v>
      </c>
      <c r="B193" s="24">
        <v>114</v>
      </c>
      <c r="C193" s="25">
        <v>14550</v>
      </c>
      <c r="O193" s="29" t="s">
        <v>128</v>
      </c>
      <c r="P193" s="30">
        <v>42361</v>
      </c>
      <c r="Q193" s="29">
        <v>6854.33</v>
      </c>
      <c r="R193" s="29">
        <v>6861.93</v>
      </c>
      <c r="S193" s="29">
        <v>6846.27</v>
      </c>
      <c r="T193" s="31">
        <v>6858.64</v>
      </c>
      <c r="U193" s="29">
        <v>0.06</v>
      </c>
      <c r="V193" s="29">
        <v>4.07</v>
      </c>
      <c r="W193" s="29">
        <v>6854.57</v>
      </c>
    </row>
    <row r="194" spans="1:23">
      <c r="A194" s="23">
        <v>42251</v>
      </c>
      <c r="B194" s="24">
        <v>112.199997</v>
      </c>
      <c r="C194" s="25">
        <v>8508</v>
      </c>
      <c r="O194" s="29" t="s">
        <v>128</v>
      </c>
      <c r="P194" s="30">
        <v>42366</v>
      </c>
      <c r="Q194" s="29">
        <v>6854.78</v>
      </c>
      <c r="R194" s="29">
        <v>6859.09</v>
      </c>
      <c r="S194" s="29">
        <v>6828.51</v>
      </c>
      <c r="T194" s="31">
        <v>6828.51</v>
      </c>
      <c r="U194" s="29">
        <v>-0.44</v>
      </c>
      <c r="V194" s="29">
        <v>-30.13</v>
      </c>
      <c r="W194" s="29">
        <v>6858.64</v>
      </c>
    </row>
    <row r="195" spans="1:23">
      <c r="A195" s="23">
        <v>42254</v>
      </c>
      <c r="B195" s="24">
        <v>107.5</v>
      </c>
      <c r="C195" s="25">
        <v>35628</v>
      </c>
      <c r="O195" s="29" t="s">
        <v>128</v>
      </c>
      <c r="P195" s="30">
        <v>42367</v>
      </c>
      <c r="Q195" s="29">
        <v>6829.27</v>
      </c>
      <c r="R195" s="29">
        <v>6847.74</v>
      </c>
      <c r="S195" s="29">
        <v>6829.01</v>
      </c>
      <c r="T195" s="31">
        <v>6847.74</v>
      </c>
      <c r="U195" s="29">
        <v>0.28000000000000003</v>
      </c>
      <c r="V195" s="29">
        <v>19.23</v>
      </c>
      <c r="W195" s="29">
        <v>6828.51</v>
      </c>
    </row>
    <row r="196" spans="1:23">
      <c r="A196" s="23">
        <v>42255</v>
      </c>
      <c r="B196" s="24">
        <v>107.199997</v>
      </c>
      <c r="C196" s="25">
        <v>35531</v>
      </c>
      <c r="O196" s="29" t="s">
        <v>128</v>
      </c>
      <c r="P196" s="30">
        <v>42368</v>
      </c>
      <c r="Q196" s="29">
        <v>6847.95</v>
      </c>
      <c r="R196" s="29">
        <v>6870.63</v>
      </c>
      <c r="S196" s="29">
        <v>6839.95</v>
      </c>
      <c r="T196" s="31">
        <v>6870.63</v>
      </c>
      <c r="U196" s="29">
        <v>0.33</v>
      </c>
      <c r="V196" s="29">
        <v>22.89</v>
      </c>
      <c r="W196" s="29">
        <v>6847.74</v>
      </c>
    </row>
    <row r="197" spans="1:23">
      <c r="A197" s="23">
        <v>42256</v>
      </c>
      <c r="B197" s="24">
        <v>110.900002</v>
      </c>
      <c r="C197" s="25">
        <v>17016</v>
      </c>
      <c r="O197" s="29" t="s">
        <v>128</v>
      </c>
      <c r="P197" s="30">
        <v>42369</v>
      </c>
      <c r="Q197" s="29">
        <v>6872.9</v>
      </c>
      <c r="R197" s="29">
        <v>6894.5</v>
      </c>
      <c r="S197" s="29">
        <v>6843</v>
      </c>
      <c r="T197" s="31">
        <v>6894.5</v>
      </c>
      <c r="U197" s="29">
        <v>0.35</v>
      </c>
      <c r="V197" s="29">
        <v>23.87</v>
      </c>
      <c r="W197" s="29">
        <v>6870.63</v>
      </c>
    </row>
    <row r="198" spans="1:23">
      <c r="A198" s="23">
        <v>42257</v>
      </c>
      <c r="B198" s="24">
        <v>108</v>
      </c>
      <c r="C198" s="25">
        <v>54009</v>
      </c>
      <c r="O198" s="29" t="s">
        <v>128</v>
      </c>
      <c r="P198" s="30">
        <v>42373</v>
      </c>
      <c r="Q198" s="29">
        <v>6894.81</v>
      </c>
      <c r="R198" s="29">
        <v>6912.11</v>
      </c>
      <c r="S198" s="29">
        <v>6862.16</v>
      </c>
      <c r="T198" s="31">
        <v>6867.62</v>
      </c>
      <c r="U198" s="29">
        <v>-0.39</v>
      </c>
      <c r="V198" s="29">
        <v>-26.88</v>
      </c>
      <c r="W198" s="29">
        <v>6894.5</v>
      </c>
    </row>
    <row r="199" spans="1:23">
      <c r="A199" s="23">
        <v>42258</v>
      </c>
      <c r="B199" s="24">
        <v>108</v>
      </c>
      <c r="C199" s="25">
        <v>59943</v>
      </c>
      <c r="O199" s="29" t="s">
        <v>128</v>
      </c>
      <c r="P199" s="30">
        <v>42374</v>
      </c>
      <c r="Q199" s="29">
        <v>6869.05</v>
      </c>
      <c r="R199" s="29">
        <v>6870.74</v>
      </c>
      <c r="S199" s="29">
        <v>6842.77</v>
      </c>
      <c r="T199" s="31">
        <v>6845.3</v>
      </c>
      <c r="U199" s="29">
        <v>-0.33</v>
      </c>
      <c r="V199" s="29">
        <v>-22.32</v>
      </c>
      <c r="W199" s="29">
        <v>6867.62</v>
      </c>
    </row>
    <row r="200" spans="1:23">
      <c r="A200" s="23">
        <v>42261</v>
      </c>
      <c r="B200" s="24">
        <v>108</v>
      </c>
      <c r="C200" s="25">
        <v>68420</v>
      </c>
      <c r="O200" s="29" t="s">
        <v>128</v>
      </c>
      <c r="P200" s="30">
        <v>42375</v>
      </c>
      <c r="Q200" s="29">
        <v>6846</v>
      </c>
      <c r="R200" s="29">
        <v>6848.06</v>
      </c>
      <c r="S200" s="29">
        <v>6817.36</v>
      </c>
      <c r="T200" s="31">
        <v>6817.65</v>
      </c>
      <c r="U200" s="29">
        <v>-0.4</v>
      </c>
      <c r="V200" s="29">
        <v>-27.65</v>
      </c>
      <c r="W200" s="29">
        <v>6845.3</v>
      </c>
    </row>
    <row r="201" spans="1:23">
      <c r="A201" s="23">
        <v>42262</v>
      </c>
      <c r="B201" s="24">
        <v>109</v>
      </c>
      <c r="C201" s="25">
        <v>77888</v>
      </c>
      <c r="O201" s="29" t="s">
        <v>128</v>
      </c>
      <c r="P201" s="30">
        <v>42376</v>
      </c>
      <c r="Q201" s="29">
        <v>6818.2</v>
      </c>
      <c r="R201" s="29">
        <v>6820.79</v>
      </c>
      <c r="S201" s="29">
        <v>6774.82</v>
      </c>
      <c r="T201" s="31">
        <v>6775.27</v>
      </c>
      <c r="U201" s="29">
        <v>-0.62</v>
      </c>
      <c r="V201" s="29">
        <v>-42.38</v>
      </c>
      <c r="W201" s="29">
        <v>6817.65</v>
      </c>
    </row>
    <row r="202" spans="1:23">
      <c r="A202" s="23">
        <v>42263</v>
      </c>
      <c r="B202" s="24">
        <v>107.699997</v>
      </c>
      <c r="C202" s="25">
        <v>58797</v>
      </c>
      <c r="O202" s="29" t="s">
        <v>128</v>
      </c>
      <c r="P202" s="30">
        <v>42377</v>
      </c>
      <c r="Q202" s="29">
        <v>6775.28</v>
      </c>
      <c r="R202" s="29">
        <v>6775.28</v>
      </c>
      <c r="S202" s="29">
        <v>6719.8</v>
      </c>
      <c r="T202" s="31">
        <v>6726.28</v>
      </c>
      <c r="U202" s="29">
        <v>-0.72</v>
      </c>
      <c r="V202" s="29">
        <v>-48.99</v>
      </c>
      <c r="W202" s="29">
        <v>6775.27</v>
      </c>
    </row>
    <row r="203" spans="1:23">
      <c r="A203" s="23">
        <v>42264</v>
      </c>
      <c r="B203" s="24">
        <v>108.099998</v>
      </c>
      <c r="C203" s="25">
        <v>419891</v>
      </c>
      <c r="O203" s="29" t="s">
        <v>128</v>
      </c>
      <c r="P203" s="30">
        <v>42380</v>
      </c>
      <c r="Q203" s="29">
        <v>6726.71</v>
      </c>
      <c r="R203" s="29">
        <v>6726.71</v>
      </c>
      <c r="S203" s="29">
        <v>6649.07</v>
      </c>
      <c r="T203" s="31">
        <v>6650.32</v>
      </c>
      <c r="U203" s="29">
        <v>-1.1299999999999999</v>
      </c>
      <c r="V203" s="29">
        <v>-75.959999999999994</v>
      </c>
      <c r="W203" s="29">
        <v>6726.28</v>
      </c>
    </row>
    <row r="204" spans="1:23">
      <c r="A204" s="23">
        <v>42265</v>
      </c>
      <c r="B204" s="24">
        <v>108.800003</v>
      </c>
      <c r="C204" s="25">
        <v>8292</v>
      </c>
      <c r="O204" s="29" t="s">
        <v>128</v>
      </c>
      <c r="P204" s="30">
        <v>42381</v>
      </c>
      <c r="Q204" s="29">
        <v>6649.95</v>
      </c>
      <c r="R204" s="29">
        <v>6650.64</v>
      </c>
      <c r="S204" s="29">
        <v>6527.39</v>
      </c>
      <c r="T204" s="31">
        <v>6534.35</v>
      </c>
      <c r="U204" s="29">
        <v>-1.74</v>
      </c>
      <c r="V204" s="29">
        <v>-115.97</v>
      </c>
      <c r="W204" s="29">
        <v>6650.32</v>
      </c>
    </row>
    <row r="205" spans="1:23">
      <c r="A205" s="23">
        <v>42268</v>
      </c>
      <c r="B205" s="24">
        <v>109.900002</v>
      </c>
      <c r="C205" s="25">
        <v>25625</v>
      </c>
      <c r="O205" s="29" t="s">
        <v>128</v>
      </c>
      <c r="P205" s="30">
        <v>42382</v>
      </c>
      <c r="Q205" s="29">
        <v>6534.13</v>
      </c>
      <c r="R205" s="29">
        <v>6587.24</v>
      </c>
      <c r="S205" s="29">
        <v>6532.26</v>
      </c>
      <c r="T205" s="31">
        <v>6554.37</v>
      </c>
      <c r="U205" s="29">
        <v>0.31</v>
      </c>
      <c r="V205" s="29">
        <v>20.02</v>
      </c>
      <c r="W205" s="29">
        <v>6534.35</v>
      </c>
    </row>
    <row r="206" spans="1:23">
      <c r="A206" s="23">
        <v>42269</v>
      </c>
      <c r="B206" s="24">
        <v>109.099998</v>
      </c>
      <c r="C206" s="25">
        <v>18730</v>
      </c>
      <c r="O206" s="29" t="s">
        <v>128</v>
      </c>
      <c r="P206" s="30">
        <v>42383</v>
      </c>
      <c r="Q206" s="29">
        <v>6556.17</v>
      </c>
      <c r="R206" s="29">
        <v>6563.16</v>
      </c>
      <c r="S206" s="29">
        <v>6446.2</v>
      </c>
      <c r="T206" s="31">
        <v>6446.2</v>
      </c>
      <c r="U206" s="29">
        <v>-1.65</v>
      </c>
      <c r="V206" s="29">
        <v>-108.17</v>
      </c>
      <c r="W206" s="29">
        <v>6554.37</v>
      </c>
    </row>
    <row r="207" spans="1:23">
      <c r="A207" s="23">
        <v>42270</v>
      </c>
      <c r="B207" s="24">
        <v>108.900002</v>
      </c>
      <c r="C207" s="25">
        <v>7366</v>
      </c>
      <c r="O207" s="29" t="s">
        <v>128</v>
      </c>
      <c r="P207" s="30">
        <v>42387</v>
      </c>
      <c r="Q207" s="29">
        <v>6449.43</v>
      </c>
      <c r="R207" s="29">
        <v>6466.47</v>
      </c>
      <c r="S207" s="29">
        <v>6321.89</v>
      </c>
      <c r="T207" s="31">
        <v>6324.61</v>
      </c>
      <c r="U207" s="29">
        <v>-1.89</v>
      </c>
      <c r="V207" s="29">
        <v>-121.59</v>
      </c>
      <c r="W207" s="29">
        <v>6446.2</v>
      </c>
    </row>
    <row r="208" spans="1:23">
      <c r="A208" s="23">
        <v>42272</v>
      </c>
      <c r="B208" s="24">
        <v>108.400002</v>
      </c>
      <c r="C208" s="25">
        <v>26580</v>
      </c>
      <c r="O208" s="29" t="s">
        <v>128</v>
      </c>
      <c r="P208" s="30">
        <v>42388</v>
      </c>
      <c r="Q208" s="29">
        <v>6324.19</v>
      </c>
      <c r="R208" s="29">
        <v>6349.83</v>
      </c>
      <c r="S208" s="29">
        <v>6235.13</v>
      </c>
      <c r="T208" s="31">
        <v>6283.24</v>
      </c>
      <c r="U208" s="29">
        <v>-0.65</v>
      </c>
      <c r="V208" s="29">
        <v>-41.37</v>
      </c>
      <c r="W208" s="29">
        <v>6324.61</v>
      </c>
    </row>
    <row r="209" spans="1:23">
      <c r="A209" s="23">
        <v>42275</v>
      </c>
      <c r="B209" s="24">
        <v>108</v>
      </c>
      <c r="C209" s="25">
        <v>22100</v>
      </c>
      <c r="O209" s="29" t="s">
        <v>128</v>
      </c>
      <c r="P209" s="30">
        <v>42389</v>
      </c>
      <c r="Q209" s="29">
        <v>6286.8</v>
      </c>
      <c r="R209" s="29">
        <v>6319.71</v>
      </c>
      <c r="S209" s="29">
        <v>6261.18</v>
      </c>
      <c r="T209" s="31">
        <v>6261.18</v>
      </c>
      <c r="U209" s="29">
        <v>-0.35</v>
      </c>
      <c r="V209" s="29">
        <v>-22.06</v>
      </c>
      <c r="W209" s="29">
        <v>6283.24</v>
      </c>
    </row>
    <row r="210" spans="1:23">
      <c r="A210" s="23">
        <v>42276</v>
      </c>
      <c r="B210" s="24">
        <v>109</v>
      </c>
      <c r="C210" s="25">
        <v>10007</v>
      </c>
      <c r="O210" s="29" t="s">
        <v>128</v>
      </c>
      <c r="P210" s="30">
        <v>42390</v>
      </c>
      <c r="Q210" s="29">
        <v>6263.82</v>
      </c>
      <c r="R210" s="29">
        <v>6373.02</v>
      </c>
      <c r="S210" s="29">
        <v>6263.82</v>
      </c>
      <c r="T210" s="31">
        <v>6349.71</v>
      </c>
      <c r="U210" s="29">
        <v>1.41</v>
      </c>
      <c r="V210" s="29">
        <v>88.53</v>
      </c>
      <c r="W210" s="29">
        <v>6261.18</v>
      </c>
    </row>
    <row r="211" spans="1:23">
      <c r="A211" s="23">
        <v>42277</v>
      </c>
      <c r="B211" s="24">
        <v>108.400002</v>
      </c>
      <c r="C211" s="25">
        <v>16955</v>
      </c>
      <c r="O211" s="29" t="s">
        <v>128</v>
      </c>
      <c r="P211" s="30">
        <v>42391</v>
      </c>
      <c r="Q211" s="29">
        <v>6354.81</v>
      </c>
      <c r="R211" s="29">
        <v>6409.43</v>
      </c>
      <c r="S211" s="29">
        <v>6354.81</v>
      </c>
      <c r="T211" s="31">
        <v>6382.24</v>
      </c>
      <c r="U211" s="29">
        <v>0.51</v>
      </c>
      <c r="V211" s="29">
        <v>32.53</v>
      </c>
      <c r="W211" s="29">
        <v>6349.71</v>
      </c>
    </row>
    <row r="212" spans="1:23">
      <c r="A212" s="23">
        <v>42278</v>
      </c>
      <c r="B212" s="24">
        <v>108.900002</v>
      </c>
      <c r="C212" s="25">
        <v>4500</v>
      </c>
      <c r="O212" s="29" t="s">
        <v>128</v>
      </c>
      <c r="P212" s="30">
        <v>42394</v>
      </c>
      <c r="Q212" s="29">
        <v>6393.6</v>
      </c>
      <c r="R212" s="29">
        <v>6394.63</v>
      </c>
      <c r="S212" s="29">
        <v>6342.09</v>
      </c>
      <c r="T212" s="31">
        <v>6354.83</v>
      </c>
      <c r="U212" s="29">
        <v>-0.43</v>
      </c>
      <c r="V212" s="29">
        <v>-27.41</v>
      </c>
      <c r="W212" s="29">
        <v>6382.24</v>
      </c>
    </row>
    <row r="213" spans="1:23">
      <c r="A213" s="23">
        <v>42279</v>
      </c>
      <c r="B213" s="24">
        <v>114.099998</v>
      </c>
      <c r="C213" s="25">
        <v>216003</v>
      </c>
      <c r="O213" s="29" t="s">
        <v>128</v>
      </c>
      <c r="P213" s="30">
        <v>42395</v>
      </c>
      <c r="Q213" s="29">
        <v>6357.28</v>
      </c>
      <c r="R213" s="29">
        <v>6372.23</v>
      </c>
      <c r="S213" s="29">
        <v>6322.87</v>
      </c>
      <c r="T213" s="31">
        <v>6322.87</v>
      </c>
      <c r="U213" s="29">
        <v>-0.5</v>
      </c>
      <c r="V213" s="29">
        <v>-31.96</v>
      </c>
      <c r="W213" s="29">
        <v>6354.83</v>
      </c>
    </row>
    <row r="214" spans="1:23">
      <c r="A214" s="23">
        <v>42282</v>
      </c>
      <c r="B214" s="24">
        <v>119.800003</v>
      </c>
      <c r="C214" s="25">
        <v>330564</v>
      </c>
      <c r="O214" s="29" t="s">
        <v>128</v>
      </c>
      <c r="P214" s="30">
        <v>42396</v>
      </c>
      <c r="Q214" s="29">
        <v>6329.11</v>
      </c>
      <c r="R214" s="29">
        <v>6331.28</v>
      </c>
      <c r="S214" s="29">
        <v>6311.39</v>
      </c>
      <c r="T214" s="31">
        <v>6316.46</v>
      </c>
      <c r="U214" s="29">
        <v>-0.1</v>
      </c>
      <c r="V214" s="29">
        <v>-6.41</v>
      </c>
      <c r="W214" s="29">
        <v>6322.87</v>
      </c>
    </row>
    <row r="215" spans="1:23">
      <c r="A215" s="23">
        <v>42283</v>
      </c>
      <c r="B215" s="24">
        <v>123.099998</v>
      </c>
      <c r="C215" s="25">
        <v>276998</v>
      </c>
      <c r="O215" s="29" t="s">
        <v>128</v>
      </c>
      <c r="P215" s="30">
        <v>42397</v>
      </c>
      <c r="Q215" s="29">
        <v>6316.79</v>
      </c>
      <c r="R215" s="29">
        <v>6333.41</v>
      </c>
      <c r="S215" s="29">
        <v>6314.91</v>
      </c>
      <c r="T215" s="31">
        <v>6319.89</v>
      </c>
      <c r="U215" s="29">
        <v>0.05</v>
      </c>
      <c r="V215" s="29">
        <v>3.43</v>
      </c>
      <c r="W215" s="29">
        <v>6316.46</v>
      </c>
    </row>
    <row r="216" spans="1:23">
      <c r="A216" s="23">
        <v>42284</v>
      </c>
      <c r="B216" s="24">
        <v>121.099998</v>
      </c>
      <c r="C216" s="25">
        <v>43917</v>
      </c>
      <c r="O216" s="29" t="s">
        <v>128</v>
      </c>
      <c r="P216" s="30">
        <v>42398</v>
      </c>
      <c r="Q216" s="29">
        <v>6319.86</v>
      </c>
      <c r="R216" s="29">
        <v>6361.37</v>
      </c>
      <c r="S216" s="29">
        <v>6319.86</v>
      </c>
      <c r="T216" s="31">
        <v>6340.05</v>
      </c>
      <c r="U216" s="29">
        <v>0.32</v>
      </c>
      <c r="V216" s="29">
        <v>20.16</v>
      </c>
      <c r="W216" s="29">
        <v>6319.89</v>
      </c>
    </row>
    <row r="217" spans="1:23">
      <c r="A217" s="23">
        <v>42285</v>
      </c>
      <c r="B217" s="24">
        <v>121.599998</v>
      </c>
      <c r="C217" s="25">
        <v>37279</v>
      </c>
      <c r="O217" s="29" t="s">
        <v>128</v>
      </c>
      <c r="P217" s="30">
        <v>42401</v>
      </c>
      <c r="Q217" s="29">
        <v>6343.14</v>
      </c>
      <c r="R217" s="29">
        <v>6378.22</v>
      </c>
      <c r="S217" s="29">
        <v>6343.14</v>
      </c>
      <c r="T217" s="31">
        <v>6363.18</v>
      </c>
      <c r="U217" s="29">
        <v>0.36</v>
      </c>
      <c r="V217" s="29">
        <v>23.13</v>
      </c>
      <c r="W217" s="29">
        <v>6340.05</v>
      </c>
    </row>
    <row r="218" spans="1:23">
      <c r="A218" s="23">
        <v>42286</v>
      </c>
      <c r="B218" s="24">
        <v>126.800003</v>
      </c>
      <c r="C218" s="25">
        <v>501869</v>
      </c>
      <c r="O218" s="29" t="s">
        <v>128</v>
      </c>
      <c r="P218" s="30">
        <v>42402</v>
      </c>
      <c r="Q218" s="29">
        <v>6363.75</v>
      </c>
      <c r="R218" s="29">
        <v>6434.11</v>
      </c>
      <c r="S218" s="29">
        <v>6363.75</v>
      </c>
      <c r="T218" s="31">
        <v>6425.96</v>
      </c>
      <c r="U218" s="29">
        <v>0.99</v>
      </c>
      <c r="V218" s="29">
        <v>62.78</v>
      </c>
      <c r="W218" s="29">
        <v>6363.18</v>
      </c>
    </row>
    <row r="219" spans="1:23">
      <c r="A219" s="23">
        <v>42289</v>
      </c>
      <c r="B219" s="24">
        <v>126.699997</v>
      </c>
      <c r="C219" s="25">
        <v>56729</v>
      </c>
      <c r="O219" s="29" t="s">
        <v>128</v>
      </c>
      <c r="P219" s="30">
        <v>42403</v>
      </c>
      <c r="Q219" s="29">
        <v>6430.01</v>
      </c>
      <c r="R219" s="29">
        <v>6438.62</v>
      </c>
      <c r="S219" s="29">
        <v>6398.97</v>
      </c>
      <c r="T219" s="31">
        <v>6402.8</v>
      </c>
      <c r="U219" s="29">
        <v>-0.36</v>
      </c>
      <c r="V219" s="29">
        <v>-23.16</v>
      </c>
      <c r="W219" s="29">
        <v>6425.96</v>
      </c>
    </row>
    <row r="220" spans="1:23">
      <c r="A220" s="23">
        <v>42290</v>
      </c>
      <c r="B220" s="24">
        <v>124.199997</v>
      </c>
      <c r="C220" s="25">
        <v>274108</v>
      </c>
      <c r="O220" s="29" t="s">
        <v>128</v>
      </c>
      <c r="P220" s="30">
        <v>42405</v>
      </c>
      <c r="Q220" s="29">
        <v>6396.35</v>
      </c>
      <c r="R220" s="29">
        <v>6417.85</v>
      </c>
      <c r="S220" s="29">
        <v>6396.27</v>
      </c>
      <c r="T220" s="31">
        <v>6404.64</v>
      </c>
      <c r="U220" s="29">
        <v>0.03</v>
      </c>
      <c r="V220" s="29">
        <v>1.84</v>
      </c>
      <c r="W220" s="29">
        <v>6402.8</v>
      </c>
    </row>
    <row r="221" spans="1:23">
      <c r="A221" s="23">
        <v>42291</v>
      </c>
      <c r="B221" s="24">
        <v>122.099998</v>
      </c>
      <c r="C221" s="25">
        <v>41915</v>
      </c>
      <c r="O221" s="29" t="s">
        <v>128</v>
      </c>
      <c r="P221" s="30">
        <v>42408</v>
      </c>
      <c r="Q221" s="29">
        <v>6405.36</v>
      </c>
      <c r="R221" s="29">
        <v>6418.91</v>
      </c>
      <c r="S221" s="29">
        <v>6394.07</v>
      </c>
      <c r="T221" s="31">
        <v>6401.66</v>
      </c>
      <c r="U221" s="29">
        <v>-0.05</v>
      </c>
      <c r="V221" s="29">
        <v>-2.98</v>
      </c>
      <c r="W221" s="29">
        <v>6404.64</v>
      </c>
    </row>
    <row r="222" spans="1:23">
      <c r="A222" s="23">
        <v>42292</v>
      </c>
      <c r="B222" s="24">
        <v>119.599998</v>
      </c>
      <c r="C222" s="25">
        <v>43376</v>
      </c>
      <c r="O222" s="29" t="s">
        <v>128</v>
      </c>
      <c r="P222" s="30">
        <v>42409</v>
      </c>
      <c r="Q222" s="29">
        <v>6401.32</v>
      </c>
      <c r="R222" s="29">
        <v>6401.32</v>
      </c>
      <c r="S222" s="29">
        <v>6372.71</v>
      </c>
      <c r="T222" s="31">
        <v>6372.71</v>
      </c>
      <c r="U222" s="29">
        <v>-0.45</v>
      </c>
      <c r="V222" s="29">
        <v>-28.95</v>
      </c>
      <c r="W222" s="29">
        <v>6401.66</v>
      </c>
    </row>
    <row r="223" spans="1:23">
      <c r="A223" s="23">
        <v>42293</v>
      </c>
      <c r="B223" s="24">
        <v>119.5</v>
      </c>
      <c r="C223" s="25">
        <v>82355</v>
      </c>
      <c r="O223" s="29" t="s">
        <v>128</v>
      </c>
      <c r="P223" s="30">
        <v>42410</v>
      </c>
      <c r="Q223" s="29">
        <v>6374.14</v>
      </c>
      <c r="R223" s="29">
        <v>6380.1</v>
      </c>
      <c r="S223" s="29">
        <v>6364.4</v>
      </c>
      <c r="T223" s="31">
        <v>6364.4</v>
      </c>
      <c r="U223" s="29">
        <v>-0.13</v>
      </c>
      <c r="V223" s="29">
        <v>-8.31</v>
      </c>
      <c r="W223" s="29">
        <v>6372.71</v>
      </c>
    </row>
    <row r="224" spans="1:23">
      <c r="A224" s="23">
        <v>42296</v>
      </c>
      <c r="B224" s="24">
        <v>119.599998</v>
      </c>
      <c r="C224" s="25">
        <v>42129</v>
      </c>
      <c r="O224" s="29" t="s">
        <v>128</v>
      </c>
      <c r="P224" s="30">
        <v>42411</v>
      </c>
      <c r="Q224" s="29">
        <v>6369.55</v>
      </c>
      <c r="R224" s="29">
        <v>6370.85</v>
      </c>
      <c r="S224" s="29">
        <v>6313.59</v>
      </c>
      <c r="T224" s="31">
        <v>6314.82</v>
      </c>
      <c r="U224" s="29">
        <v>-0.78</v>
      </c>
      <c r="V224" s="29">
        <v>-49.58</v>
      </c>
      <c r="W224" s="29">
        <v>6364.4</v>
      </c>
    </row>
    <row r="225" spans="1:23">
      <c r="A225" s="23">
        <v>42297</v>
      </c>
      <c r="B225" s="24">
        <v>120.5</v>
      </c>
      <c r="C225" s="25">
        <v>29095</v>
      </c>
      <c r="O225" s="29" t="s">
        <v>128</v>
      </c>
      <c r="P225" s="30">
        <v>42412</v>
      </c>
      <c r="Q225" s="29">
        <v>6315.1</v>
      </c>
      <c r="R225" s="29">
        <v>6322.65</v>
      </c>
      <c r="S225" s="29">
        <v>6280.14</v>
      </c>
      <c r="T225" s="31">
        <v>6283</v>
      </c>
      <c r="U225" s="29">
        <v>-0.5</v>
      </c>
      <c r="V225" s="29">
        <v>-31.82</v>
      </c>
      <c r="W225" s="29">
        <v>6314.82</v>
      </c>
    </row>
    <row r="226" spans="1:23">
      <c r="A226" s="23">
        <v>42298</v>
      </c>
      <c r="B226" s="24">
        <v>122</v>
      </c>
      <c r="C226" s="25">
        <v>29376</v>
      </c>
      <c r="O226" s="29" t="s">
        <v>128</v>
      </c>
      <c r="P226" s="30">
        <v>42415</v>
      </c>
      <c r="Q226" s="29">
        <v>6297.61</v>
      </c>
      <c r="R226" s="29">
        <v>6302.63</v>
      </c>
      <c r="S226" s="29">
        <v>6265.71</v>
      </c>
      <c r="T226" s="31">
        <v>6266.17</v>
      </c>
      <c r="U226" s="29">
        <v>-0.27</v>
      </c>
      <c r="V226" s="29">
        <v>-16.829999999999998</v>
      </c>
      <c r="W226" s="29">
        <v>6283</v>
      </c>
    </row>
    <row r="227" spans="1:23">
      <c r="A227" s="23">
        <v>42299</v>
      </c>
      <c r="B227" s="24">
        <v>119.800003</v>
      </c>
      <c r="C227" s="25">
        <v>35813</v>
      </c>
      <c r="O227" s="29" t="s">
        <v>128</v>
      </c>
      <c r="P227" s="30">
        <v>42416</v>
      </c>
      <c r="Q227" s="29">
        <v>6270.15</v>
      </c>
      <c r="R227" s="29">
        <v>6282.35</v>
      </c>
      <c r="S227" s="29">
        <v>6252.62</v>
      </c>
      <c r="T227" s="31">
        <v>6254.16</v>
      </c>
      <c r="U227" s="29">
        <v>-0.19</v>
      </c>
      <c r="V227" s="29">
        <v>-12.01</v>
      </c>
      <c r="W227" s="29">
        <v>6266.17</v>
      </c>
    </row>
    <row r="228" spans="1:23">
      <c r="A228" s="23">
        <v>42300</v>
      </c>
      <c r="B228" s="24">
        <v>120.599998</v>
      </c>
      <c r="C228" s="25">
        <v>75982</v>
      </c>
      <c r="O228" s="29" t="s">
        <v>128</v>
      </c>
      <c r="P228" s="30">
        <v>42417</v>
      </c>
      <c r="Q228" s="29">
        <v>6254.15</v>
      </c>
      <c r="R228" s="29">
        <v>6258.85</v>
      </c>
      <c r="S228" s="29">
        <v>6220.82</v>
      </c>
      <c r="T228" s="31">
        <v>6220.82</v>
      </c>
      <c r="U228" s="29">
        <v>-0.53</v>
      </c>
      <c r="V228" s="29">
        <v>-33.340000000000003</v>
      </c>
      <c r="W228" s="29">
        <v>6254.16</v>
      </c>
    </row>
    <row r="229" spans="1:23">
      <c r="A229" s="23">
        <v>42303</v>
      </c>
      <c r="B229" s="24">
        <v>120.599998</v>
      </c>
      <c r="C229" s="25">
        <v>42080</v>
      </c>
      <c r="O229" s="29" t="s">
        <v>128</v>
      </c>
      <c r="P229" s="30">
        <v>42418</v>
      </c>
      <c r="Q229" s="29">
        <v>6226.84</v>
      </c>
      <c r="R229" s="29">
        <v>6239.98</v>
      </c>
      <c r="S229" s="29">
        <v>6205.71</v>
      </c>
      <c r="T229" s="31">
        <v>6208.89</v>
      </c>
      <c r="U229" s="29">
        <v>-0.19</v>
      </c>
      <c r="V229" s="29">
        <v>-11.93</v>
      </c>
      <c r="W229" s="29">
        <v>6220.82</v>
      </c>
    </row>
    <row r="230" spans="1:23">
      <c r="A230" s="23">
        <v>42305</v>
      </c>
      <c r="B230" s="24">
        <v>120</v>
      </c>
      <c r="C230" s="25">
        <v>48540</v>
      </c>
      <c r="O230" s="29" t="s">
        <v>128</v>
      </c>
      <c r="P230" s="30">
        <v>42419</v>
      </c>
      <c r="Q230" s="29">
        <v>6209.99</v>
      </c>
      <c r="R230" s="29">
        <v>6250.78</v>
      </c>
      <c r="S230" s="29">
        <v>6209.28</v>
      </c>
      <c r="T230" s="31">
        <v>6250.78</v>
      </c>
      <c r="U230" s="29">
        <v>0.67</v>
      </c>
      <c r="V230" s="29">
        <v>41.89</v>
      </c>
      <c r="W230" s="29">
        <v>6208.89</v>
      </c>
    </row>
    <row r="231" spans="1:23">
      <c r="A231" s="23">
        <v>42306</v>
      </c>
      <c r="B231" s="24">
        <v>119.599998</v>
      </c>
      <c r="C231" s="25">
        <v>22245</v>
      </c>
      <c r="O231" s="29" t="s">
        <v>128</v>
      </c>
      <c r="P231" s="30">
        <v>42423</v>
      </c>
      <c r="Q231" s="29">
        <v>6253.88</v>
      </c>
      <c r="R231" s="29">
        <v>6259.29</v>
      </c>
      <c r="S231" s="29">
        <v>6228.32</v>
      </c>
      <c r="T231" s="31">
        <v>6228.99</v>
      </c>
      <c r="U231" s="29">
        <v>-0.35</v>
      </c>
      <c r="V231" s="29">
        <v>-21.79</v>
      </c>
      <c r="W231" s="29">
        <v>6250.78</v>
      </c>
    </row>
    <row r="232" spans="1:23">
      <c r="A232" s="23">
        <v>42307</v>
      </c>
      <c r="B232" s="24">
        <v>119</v>
      </c>
      <c r="C232" s="25">
        <v>16210</v>
      </c>
      <c r="O232" s="29" t="s">
        <v>128</v>
      </c>
      <c r="P232" s="30">
        <v>42424</v>
      </c>
      <c r="Q232" s="29">
        <v>6227.87</v>
      </c>
      <c r="R232" s="29">
        <v>6230.98</v>
      </c>
      <c r="S232" s="29">
        <v>6208.2</v>
      </c>
      <c r="T232" s="31">
        <v>6217.64</v>
      </c>
      <c r="U232" s="29">
        <v>-0.18</v>
      </c>
      <c r="V232" s="29">
        <v>-11.35</v>
      </c>
      <c r="W232" s="29">
        <v>6228.99</v>
      </c>
    </row>
    <row r="233" spans="1:23">
      <c r="A233" s="23">
        <v>42310</v>
      </c>
      <c r="B233" s="24">
        <v>119</v>
      </c>
      <c r="C233" s="25">
        <v>9220</v>
      </c>
      <c r="O233" s="29" t="s">
        <v>128</v>
      </c>
      <c r="P233" s="30">
        <v>42425</v>
      </c>
      <c r="Q233" s="29">
        <v>6217.29</v>
      </c>
      <c r="R233" s="29">
        <v>6229.83</v>
      </c>
      <c r="S233" s="29">
        <v>6201.42</v>
      </c>
      <c r="T233" s="31">
        <v>6202.64</v>
      </c>
      <c r="U233" s="29">
        <v>-0.24</v>
      </c>
      <c r="V233" s="29">
        <v>-15</v>
      </c>
      <c r="W233" s="29">
        <v>6217.64</v>
      </c>
    </row>
    <row r="234" spans="1:23">
      <c r="A234" s="23">
        <v>42311</v>
      </c>
      <c r="B234" s="24">
        <v>118.699997</v>
      </c>
      <c r="C234" s="25">
        <v>105647</v>
      </c>
      <c r="O234" s="29" t="s">
        <v>128</v>
      </c>
      <c r="P234" s="30">
        <v>42426</v>
      </c>
      <c r="Q234" s="29">
        <v>6203.65</v>
      </c>
      <c r="R234" s="29">
        <v>6209.13</v>
      </c>
      <c r="S234" s="29">
        <v>6200.21</v>
      </c>
      <c r="T234" s="31">
        <v>6203.98</v>
      </c>
      <c r="U234" s="29">
        <v>0.02</v>
      </c>
      <c r="V234" s="29">
        <v>1.34</v>
      </c>
      <c r="W234" s="29">
        <v>6202.64</v>
      </c>
    </row>
    <row r="235" spans="1:23">
      <c r="A235" s="23">
        <v>42312</v>
      </c>
      <c r="B235" s="24">
        <v>115</v>
      </c>
      <c r="C235" s="25">
        <v>53033</v>
      </c>
      <c r="O235" s="29" t="s">
        <v>128</v>
      </c>
      <c r="P235" s="30">
        <v>42429</v>
      </c>
      <c r="Q235" s="29">
        <v>6205.34</v>
      </c>
      <c r="R235" s="29">
        <v>6215.14</v>
      </c>
      <c r="S235" s="29">
        <v>6191.81</v>
      </c>
      <c r="T235" s="31">
        <v>6191.81</v>
      </c>
      <c r="U235" s="29">
        <v>-0.2</v>
      </c>
      <c r="V235" s="29">
        <v>-12.17</v>
      </c>
      <c r="W235" s="29">
        <v>6203.98</v>
      </c>
    </row>
    <row r="236" spans="1:23">
      <c r="A236" s="23">
        <v>42313</v>
      </c>
      <c r="B236" s="24">
        <v>116.900002</v>
      </c>
      <c r="C236" s="25">
        <v>8192</v>
      </c>
      <c r="O236" s="29" t="s">
        <v>128</v>
      </c>
      <c r="P236" s="30">
        <v>42430</v>
      </c>
      <c r="Q236" s="29">
        <v>6190.07</v>
      </c>
      <c r="R236" s="29">
        <v>6197.73</v>
      </c>
      <c r="S236" s="29">
        <v>6113.4</v>
      </c>
      <c r="T236" s="31">
        <v>6113.4</v>
      </c>
      <c r="U236" s="29">
        <v>-1.27</v>
      </c>
      <c r="V236" s="29">
        <v>-78.41</v>
      </c>
      <c r="W236" s="29">
        <v>6191.81</v>
      </c>
    </row>
    <row r="237" spans="1:23">
      <c r="A237" s="23">
        <v>42314</v>
      </c>
      <c r="B237" s="24">
        <v>120</v>
      </c>
      <c r="C237" s="25">
        <v>9968</v>
      </c>
      <c r="O237" s="29" t="s">
        <v>128</v>
      </c>
      <c r="P237" s="30">
        <v>42431</v>
      </c>
      <c r="Q237" s="29">
        <v>6113.35</v>
      </c>
      <c r="R237" s="29">
        <v>6115.17</v>
      </c>
      <c r="S237" s="29">
        <v>6075.59</v>
      </c>
      <c r="T237" s="31">
        <v>6078.41</v>
      </c>
      <c r="U237" s="29">
        <v>-0.56999999999999995</v>
      </c>
      <c r="V237" s="29">
        <v>-34.99</v>
      </c>
      <c r="W237" s="29">
        <v>6113.4</v>
      </c>
    </row>
    <row r="238" spans="1:23">
      <c r="O238" s="29" t="s">
        <v>128</v>
      </c>
      <c r="P238" s="30">
        <v>42432</v>
      </c>
      <c r="Q238" s="29">
        <v>6078.13</v>
      </c>
      <c r="R238" s="29">
        <v>6083.39</v>
      </c>
      <c r="S238" s="29">
        <v>6049.91</v>
      </c>
      <c r="T238" s="31">
        <v>6060.91</v>
      </c>
      <c r="U238" s="29">
        <v>-0.28999999999999998</v>
      </c>
      <c r="V238" s="29">
        <v>-17.5</v>
      </c>
      <c r="W238" s="29">
        <v>6078.41</v>
      </c>
    </row>
    <row r="239" spans="1:23">
      <c r="O239" s="29" t="s">
        <v>128</v>
      </c>
      <c r="P239" s="30">
        <v>42433</v>
      </c>
      <c r="Q239" s="29">
        <v>6053.71</v>
      </c>
      <c r="R239" s="29">
        <v>6065.35</v>
      </c>
      <c r="S239" s="29">
        <v>6050.42</v>
      </c>
      <c r="T239" s="31">
        <v>6057.22</v>
      </c>
      <c r="U239" s="29">
        <v>-0.06</v>
      </c>
      <c r="V239" s="29">
        <v>-3.69</v>
      </c>
      <c r="W239" s="29">
        <v>6060.91</v>
      </c>
    </row>
    <row r="240" spans="1:23">
      <c r="O240" s="29" t="s">
        <v>128</v>
      </c>
      <c r="P240" s="30">
        <v>42437</v>
      </c>
      <c r="Q240" s="29">
        <v>6058.52</v>
      </c>
      <c r="R240" s="29">
        <v>6058.52</v>
      </c>
      <c r="S240" s="29">
        <v>5932.54</v>
      </c>
      <c r="T240" s="31">
        <v>5934.72</v>
      </c>
      <c r="U240" s="29">
        <v>-2.02</v>
      </c>
      <c r="V240" s="29">
        <v>-122.5</v>
      </c>
      <c r="W240" s="29">
        <v>6057.22</v>
      </c>
    </row>
    <row r="241" spans="15:23">
      <c r="O241" s="29" t="s">
        <v>128</v>
      </c>
      <c r="P241" s="30">
        <v>42438</v>
      </c>
      <c r="Q241" s="29">
        <v>5933.22</v>
      </c>
      <c r="R241" s="29">
        <v>5933.22</v>
      </c>
      <c r="S241" s="29">
        <v>5802.02</v>
      </c>
      <c r="T241" s="31">
        <v>5862.35</v>
      </c>
      <c r="U241" s="29">
        <v>-1.22</v>
      </c>
      <c r="V241" s="29">
        <v>-72.37</v>
      </c>
      <c r="W241" s="29">
        <v>5934.72</v>
      </c>
    </row>
    <row r="242" spans="15:23">
      <c r="O242" s="29" t="s">
        <v>128</v>
      </c>
      <c r="P242" s="30">
        <v>42439</v>
      </c>
      <c r="Q242" s="29">
        <v>5862.51</v>
      </c>
      <c r="R242" s="29">
        <v>5956.47</v>
      </c>
      <c r="S242" s="29">
        <v>5858.04</v>
      </c>
      <c r="T242" s="31">
        <v>5948.23</v>
      </c>
      <c r="U242" s="29">
        <v>1.46</v>
      </c>
      <c r="V242" s="29">
        <v>85.88</v>
      </c>
      <c r="W242" s="29">
        <v>5862.35</v>
      </c>
    </row>
    <row r="243" spans="15:23">
      <c r="O243" s="29" t="s">
        <v>128</v>
      </c>
      <c r="P243" s="30">
        <v>42440</v>
      </c>
      <c r="Q243" s="29">
        <v>5952.36</v>
      </c>
      <c r="R243" s="29">
        <v>6028.24</v>
      </c>
      <c r="S243" s="29">
        <v>5952.33</v>
      </c>
      <c r="T243" s="31">
        <v>6019.95</v>
      </c>
      <c r="U243" s="29">
        <v>1.21</v>
      </c>
      <c r="V243" s="29">
        <v>71.72</v>
      </c>
      <c r="W243" s="29">
        <v>5948.23</v>
      </c>
    </row>
    <row r="244" spans="15:23">
      <c r="O244" s="29" t="s">
        <v>128</v>
      </c>
      <c r="P244" s="30">
        <v>42443</v>
      </c>
      <c r="Q244" s="29">
        <v>6020.39</v>
      </c>
      <c r="R244" s="29">
        <v>6029.24</v>
      </c>
      <c r="S244" s="29">
        <v>5975.16</v>
      </c>
      <c r="T244" s="31">
        <v>5979.43</v>
      </c>
      <c r="U244" s="29">
        <v>-0.67</v>
      </c>
      <c r="V244" s="29">
        <v>-40.520000000000003</v>
      </c>
      <c r="W244" s="29">
        <v>6019.95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B1:L14"/>
  <sheetViews>
    <sheetView zoomScaleNormal="100" workbookViewId="0"/>
  </sheetViews>
  <sheetFormatPr defaultColWidth="9.109375" defaultRowHeight="14.4"/>
  <sheetData>
    <row r="1" spans="2:12">
      <c r="B1" t="s">
        <v>109</v>
      </c>
      <c r="I1" t="s">
        <v>122</v>
      </c>
    </row>
    <row r="2" spans="2:12">
      <c r="B2" s="20" t="s">
        <v>107</v>
      </c>
      <c r="C2" s="20">
        <v>2014</v>
      </c>
      <c r="D2" s="20">
        <v>2015</v>
      </c>
      <c r="E2" s="20">
        <v>2016</v>
      </c>
      <c r="I2" s="20" t="s">
        <v>107</v>
      </c>
      <c r="J2" s="20">
        <v>2014</v>
      </c>
      <c r="K2" s="20">
        <v>2015</v>
      </c>
      <c r="L2" s="20">
        <v>2016</v>
      </c>
    </row>
    <row r="3" spans="2:12">
      <c r="B3" s="18" t="s">
        <v>110</v>
      </c>
      <c r="C3" s="21">
        <v>1727.41</v>
      </c>
      <c r="D3" s="21">
        <v>1814.72</v>
      </c>
      <c r="E3" s="21">
        <v>1481.1</v>
      </c>
      <c r="I3" s="18" t="s">
        <v>110</v>
      </c>
      <c r="J3" s="21">
        <v>7291.47</v>
      </c>
      <c r="K3" s="21">
        <v>5830.54</v>
      </c>
      <c r="L3" s="21">
        <v>4471.79</v>
      </c>
    </row>
    <row r="4" spans="2:12">
      <c r="B4" s="19" t="s">
        <v>111</v>
      </c>
      <c r="C4" s="22">
        <v>1695.17</v>
      </c>
      <c r="D4" s="22">
        <v>1817.82</v>
      </c>
      <c r="E4" s="22">
        <v>1531.26</v>
      </c>
      <c r="I4" s="19" t="s">
        <v>111</v>
      </c>
      <c r="J4" s="22">
        <v>7149.21</v>
      </c>
      <c r="K4" s="22">
        <v>5729.28</v>
      </c>
      <c r="L4" s="22">
        <v>4598.62</v>
      </c>
    </row>
    <row r="5" spans="2:12">
      <c r="B5" s="18" t="s">
        <v>112</v>
      </c>
      <c r="C5" s="21">
        <v>1705.37</v>
      </c>
      <c r="D5" s="21">
        <v>1773.86</v>
      </c>
      <c r="E5" s="21"/>
      <c r="I5" s="18" t="s">
        <v>112</v>
      </c>
      <c r="J5" s="21">
        <v>6650.04</v>
      </c>
      <c r="K5" s="21">
        <v>5939.67</v>
      </c>
      <c r="L5" s="21"/>
    </row>
    <row r="6" spans="2:12">
      <c r="B6" s="19" t="s">
        <v>113</v>
      </c>
      <c r="C6" s="22">
        <v>1810.68</v>
      </c>
      <c r="D6" s="22">
        <v>1819.19</v>
      </c>
      <c r="E6" s="22"/>
      <c r="I6" s="19" t="s">
        <v>113</v>
      </c>
      <c r="J6" s="22">
        <v>6673.56</v>
      </c>
      <c r="K6" s="22">
        <v>6042.09</v>
      </c>
      <c r="L6" s="22"/>
    </row>
    <row r="7" spans="2:12">
      <c r="B7" s="18" t="s">
        <v>114</v>
      </c>
      <c r="C7" s="21">
        <v>1751.05</v>
      </c>
      <c r="D7" s="21">
        <v>1804.04</v>
      </c>
      <c r="E7" s="21"/>
      <c r="I7" s="18" t="s">
        <v>114</v>
      </c>
      <c r="J7" s="21">
        <v>6891.13</v>
      </c>
      <c r="K7" s="21">
        <v>6294.78</v>
      </c>
      <c r="L7" s="21"/>
    </row>
    <row r="8" spans="2:12">
      <c r="B8" s="19" t="s">
        <v>115</v>
      </c>
      <c r="C8" s="22">
        <v>1838.95</v>
      </c>
      <c r="D8" s="22">
        <v>1687.73</v>
      </c>
      <c r="E8" s="22"/>
      <c r="I8" s="19" t="s">
        <v>115</v>
      </c>
      <c r="J8" s="22">
        <v>6821.14</v>
      </c>
      <c r="K8" s="22">
        <v>5833.01</v>
      </c>
      <c r="L8" s="22"/>
    </row>
    <row r="9" spans="2:12">
      <c r="B9" s="18" t="s">
        <v>116</v>
      </c>
      <c r="C9" s="21">
        <v>1948.3</v>
      </c>
      <c r="D9" s="21">
        <v>1639.5</v>
      </c>
      <c r="E9" s="21"/>
      <c r="I9" s="18" t="s">
        <v>116</v>
      </c>
      <c r="J9" s="21">
        <v>7113.38</v>
      </c>
      <c r="K9" s="21">
        <v>5456.75</v>
      </c>
      <c r="L9" s="21"/>
    </row>
    <row r="10" spans="2:12">
      <c r="B10" s="19" t="s">
        <v>117</v>
      </c>
      <c r="C10" s="22">
        <v>2030.49</v>
      </c>
      <c r="D10" s="22">
        <v>1548.13</v>
      </c>
      <c r="E10" s="22"/>
      <c r="I10" s="19" t="s">
        <v>117</v>
      </c>
      <c r="J10" s="22">
        <v>7001.84</v>
      </c>
      <c r="K10" s="22">
        <v>5127.3</v>
      </c>
      <c r="L10" s="22"/>
    </row>
    <row r="11" spans="2:12">
      <c r="B11" s="18" t="s">
        <v>118</v>
      </c>
      <c r="C11" s="21">
        <v>1990.43</v>
      </c>
      <c r="D11" s="21">
        <v>1589.6</v>
      </c>
      <c r="E11" s="21"/>
      <c r="I11" s="18" t="s">
        <v>118</v>
      </c>
      <c r="J11" s="21">
        <v>6872.22</v>
      </c>
      <c r="K11" s="21">
        <v>5217.25</v>
      </c>
      <c r="L11" s="21"/>
    </row>
    <row r="12" spans="2:12">
      <c r="B12" s="19" t="s">
        <v>119</v>
      </c>
      <c r="C12" s="22">
        <v>1946.19</v>
      </c>
      <c r="D12" s="22">
        <v>1516.49</v>
      </c>
      <c r="E12" s="22"/>
      <c r="I12" s="19" t="s">
        <v>119</v>
      </c>
      <c r="J12" s="22">
        <v>6737.48</v>
      </c>
      <c r="K12" s="22">
        <v>5216.09</v>
      </c>
      <c r="L12" s="22"/>
    </row>
    <row r="13" spans="2:12">
      <c r="B13" s="18" t="s">
        <v>120</v>
      </c>
      <c r="C13" s="21">
        <v>2055.56</v>
      </c>
      <c r="D13" s="21">
        <v>1467.89</v>
      </c>
      <c r="E13" s="21"/>
      <c r="I13" s="18" t="s">
        <v>120</v>
      </c>
      <c r="J13" s="21">
        <v>6712.85</v>
      </c>
      <c r="K13" s="21">
        <v>4799.8999999999996</v>
      </c>
      <c r="L13" s="21"/>
    </row>
    <row r="14" spans="2:12">
      <c r="B14" s="19" t="s">
        <v>121</v>
      </c>
      <c r="C14" s="22">
        <v>1909.46</v>
      </c>
      <c r="D14" s="22">
        <v>1497.2</v>
      </c>
      <c r="E14" s="22"/>
      <c r="I14" s="19" t="s">
        <v>121</v>
      </c>
      <c r="J14" s="22">
        <v>6446.45</v>
      </c>
      <c r="K14" s="22">
        <v>4638.83</v>
      </c>
      <c r="L14" s="22"/>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U2973"/>
  <sheetViews>
    <sheetView workbookViewId="0">
      <pane ySplit="2677" topLeftCell="A2678" activePane="bottomLeft" state="frozen"/>
      <selection pane="bottomLeft" activeCell="A2678" sqref="A2678"/>
    </sheetView>
  </sheetViews>
  <sheetFormatPr defaultColWidth="9.109375" defaultRowHeight="11.4"/>
  <cols>
    <col min="1" max="1" width="11.88671875" style="29" bestFit="1" customWidth="1"/>
    <col min="2" max="2" width="8.109375" style="29" bestFit="1" customWidth="1"/>
    <col min="3" max="3" width="6" style="29" bestFit="1" customWidth="1"/>
    <col min="4" max="5" width="7.5546875" style="35" bestFit="1" customWidth="1"/>
    <col min="6" max="6" width="8.33203125" style="33" bestFit="1" customWidth="1"/>
    <col min="7" max="7" width="7.109375" style="29" bestFit="1" customWidth="1"/>
    <col min="8" max="8" width="8" style="29" bestFit="1" customWidth="1"/>
    <col min="9" max="9" width="13.6640625" style="35" bestFit="1" customWidth="1"/>
    <col min="10" max="10" width="10" style="34" bestFit="1" customWidth="1"/>
    <col min="11" max="11" width="12" style="34" bestFit="1" customWidth="1"/>
    <col min="12" max="12" width="9.109375" style="29"/>
    <col min="13" max="13" width="7.88671875" style="29" bestFit="1" customWidth="1"/>
    <col min="14" max="14" width="9.33203125" style="29" bestFit="1" customWidth="1"/>
    <col min="15" max="17" width="9" style="35" bestFit="1" customWidth="1"/>
    <col min="18" max="18" width="8.33203125" style="29" bestFit="1" customWidth="1"/>
    <col min="19" max="19" width="7.109375" style="29" bestFit="1" customWidth="1"/>
    <col min="20" max="20" width="8" style="29" bestFit="1" customWidth="1"/>
    <col min="21" max="21" width="13.6640625" style="35" bestFit="1" customWidth="1"/>
    <col min="22" max="16384" width="9.109375" style="29"/>
  </cols>
  <sheetData>
    <row r="1" spans="1:21" s="36" customFormat="1" ht="13.2">
      <c r="A1" s="36" t="s">
        <v>129</v>
      </c>
      <c r="B1" s="36" t="s">
        <v>124</v>
      </c>
      <c r="C1" s="36" t="s">
        <v>130</v>
      </c>
      <c r="D1" s="38" t="s">
        <v>131</v>
      </c>
      <c r="E1" s="38" t="s">
        <v>132</v>
      </c>
      <c r="F1" s="37" t="s">
        <v>133</v>
      </c>
      <c r="G1" s="36" t="s">
        <v>134</v>
      </c>
      <c r="H1" s="36" t="s">
        <v>135</v>
      </c>
      <c r="I1" s="38" t="s">
        <v>136</v>
      </c>
      <c r="J1" s="39" t="s">
        <v>125</v>
      </c>
      <c r="K1" s="39" t="s">
        <v>137</v>
      </c>
      <c r="M1" s="36" t="s">
        <v>129</v>
      </c>
      <c r="N1" s="36" t="s">
        <v>124</v>
      </c>
      <c r="O1" s="38" t="s">
        <v>130</v>
      </c>
      <c r="P1" s="38" t="s">
        <v>131</v>
      </c>
      <c r="Q1" s="38" t="s">
        <v>132</v>
      </c>
      <c r="R1" s="40" t="s">
        <v>133</v>
      </c>
      <c r="S1" s="36" t="s">
        <v>134</v>
      </c>
      <c r="T1" s="36" t="s">
        <v>135</v>
      </c>
      <c r="U1" s="38" t="s">
        <v>136</v>
      </c>
    </row>
    <row r="2" spans="1:21" hidden="1">
      <c r="A2" s="29" t="s">
        <v>138</v>
      </c>
      <c r="B2" s="32">
        <v>37623</v>
      </c>
      <c r="C2" s="29">
        <v>7.75</v>
      </c>
      <c r="D2" s="35">
        <v>7.75</v>
      </c>
      <c r="E2" s="35">
        <v>7.75</v>
      </c>
      <c r="F2" s="33">
        <v>7.75</v>
      </c>
      <c r="G2" s="29">
        <v>0</v>
      </c>
      <c r="H2" s="29">
        <v>0</v>
      </c>
      <c r="I2" s="35">
        <v>7.75</v>
      </c>
      <c r="J2" s="34">
        <v>22488</v>
      </c>
      <c r="K2" s="34">
        <v>176475</v>
      </c>
    </row>
    <row r="3" spans="1:21" hidden="1">
      <c r="A3" s="29" t="s">
        <v>138</v>
      </c>
      <c r="B3" s="32">
        <v>37629</v>
      </c>
      <c r="C3" s="29">
        <v>7.75</v>
      </c>
      <c r="D3" s="35">
        <v>8</v>
      </c>
      <c r="E3" s="35">
        <v>7.75</v>
      </c>
      <c r="F3" s="33">
        <v>8</v>
      </c>
      <c r="G3" s="29">
        <v>0</v>
      </c>
      <c r="H3" s="29">
        <v>0.25</v>
      </c>
      <c r="I3" s="35">
        <v>7.75</v>
      </c>
      <c r="J3" s="34">
        <v>130532</v>
      </c>
      <c r="K3" s="34">
        <v>1063900</v>
      </c>
    </row>
    <row r="4" spans="1:21" hidden="1">
      <c r="A4" s="29" t="s">
        <v>138</v>
      </c>
      <c r="B4" s="32">
        <v>37630</v>
      </c>
      <c r="C4" s="29">
        <v>8</v>
      </c>
      <c r="D4" s="35">
        <v>8.5</v>
      </c>
      <c r="E4" s="35">
        <v>8</v>
      </c>
      <c r="F4" s="33">
        <v>8.5</v>
      </c>
      <c r="G4" s="29">
        <v>0</v>
      </c>
      <c r="H4" s="29">
        <v>0.5</v>
      </c>
      <c r="I4" s="35">
        <v>8</v>
      </c>
      <c r="J4" s="34">
        <v>39108</v>
      </c>
      <c r="K4" s="34">
        <v>332000</v>
      </c>
    </row>
    <row r="5" spans="1:21" hidden="1">
      <c r="A5" s="29" t="s">
        <v>138</v>
      </c>
      <c r="B5" s="32">
        <v>37631</v>
      </c>
      <c r="C5" s="29">
        <v>8.5</v>
      </c>
      <c r="D5" s="35">
        <v>8.5</v>
      </c>
      <c r="E5" s="35">
        <v>8.5</v>
      </c>
      <c r="F5" s="33">
        <v>8.5</v>
      </c>
      <c r="G5" s="29">
        <v>0</v>
      </c>
      <c r="H5" s="29">
        <v>0</v>
      </c>
      <c r="I5" s="35">
        <v>8.5</v>
      </c>
      <c r="J5" s="34">
        <v>1464</v>
      </c>
      <c r="K5" s="34">
        <v>12750</v>
      </c>
    </row>
    <row r="6" spans="1:21" hidden="1">
      <c r="A6" s="29" t="s">
        <v>138</v>
      </c>
      <c r="B6" s="32">
        <v>37634</v>
      </c>
      <c r="C6" s="29">
        <v>8.5</v>
      </c>
      <c r="D6" s="35">
        <v>9.25</v>
      </c>
      <c r="E6" s="35">
        <v>8.5</v>
      </c>
      <c r="F6" s="33">
        <v>9</v>
      </c>
      <c r="G6" s="29">
        <v>0</v>
      </c>
      <c r="H6" s="29">
        <v>0.5</v>
      </c>
      <c r="I6" s="35">
        <v>8.5</v>
      </c>
      <c r="J6" s="34">
        <v>571996</v>
      </c>
      <c r="K6" s="34">
        <v>5280450</v>
      </c>
    </row>
    <row r="7" spans="1:21" hidden="1">
      <c r="A7" s="29" t="s">
        <v>138</v>
      </c>
      <c r="B7" s="32">
        <v>37635</v>
      </c>
      <c r="C7" s="29">
        <v>9</v>
      </c>
      <c r="D7" s="35">
        <v>9</v>
      </c>
      <c r="E7" s="35">
        <v>9</v>
      </c>
      <c r="F7" s="33">
        <v>9</v>
      </c>
      <c r="G7" s="29">
        <v>0</v>
      </c>
      <c r="H7" s="29">
        <v>0</v>
      </c>
      <c r="I7" s="35">
        <v>9</v>
      </c>
      <c r="J7" s="34">
        <v>33732</v>
      </c>
      <c r="K7" s="34">
        <v>310500</v>
      </c>
    </row>
    <row r="8" spans="1:21" hidden="1">
      <c r="A8" s="29" t="s">
        <v>138</v>
      </c>
      <c r="B8" s="32">
        <v>37637</v>
      </c>
      <c r="C8" s="29">
        <v>9</v>
      </c>
      <c r="D8" s="35">
        <v>9</v>
      </c>
      <c r="E8" s="35">
        <v>8.75</v>
      </c>
      <c r="F8" s="33">
        <v>8.75</v>
      </c>
      <c r="G8" s="29">
        <v>0</v>
      </c>
      <c r="H8" s="29">
        <v>-0.25</v>
      </c>
      <c r="I8" s="35">
        <v>9</v>
      </c>
      <c r="J8" s="34">
        <v>25420</v>
      </c>
      <c r="K8" s="34">
        <v>224000</v>
      </c>
    </row>
    <row r="9" spans="1:21" hidden="1">
      <c r="A9" s="29" t="s">
        <v>138</v>
      </c>
      <c r="B9" s="32">
        <v>37641</v>
      </c>
      <c r="C9" s="29">
        <v>8.5</v>
      </c>
      <c r="D9" s="35">
        <v>8.5</v>
      </c>
      <c r="E9" s="35">
        <v>8.5</v>
      </c>
      <c r="F9" s="33">
        <v>8.5</v>
      </c>
      <c r="G9" s="29">
        <v>0</v>
      </c>
      <c r="H9" s="29">
        <v>-0.25</v>
      </c>
      <c r="I9" s="35">
        <v>8.75</v>
      </c>
      <c r="J9" s="34">
        <v>8308</v>
      </c>
      <c r="K9" s="34">
        <v>71800</v>
      </c>
    </row>
    <row r="10" spans="1:21" hidden="1">
      <c r="A10" s="29" t="s">
        <v>138</v>
      </c>
      <c r="B10" s="32">
        <v>37642</v>
      </c>
      <c r="C10" s="29">
        <v>8.5</v>
      </c>
      <c r="D10" s="35">
        <v>8.5</v>
      </c>
      <c r="E10" s="35">
        <v>8.5</v>
      </c>
      <c r="F10" s="33">
        <v>8.5</v>
      </c>
      <c r="G10" s="29">
        <v>0</v>
      </c>
      <c r="H10" s="29">
        <v>0</v>
      </c>
      <c r="I10" s="35">
        <v>8.5</v>
      </c>
      <c r="J10" s="34">
        <v>4888</v>
      </c>
      <c r="K10" s="34">
        <v>42000</v>
      </c>
    </row>
    <row r="11" spans="1:21" hidden="1">
      <c r="A11" s="29" t="s">
        <v>138</v>
      </c>
      <c r="B11" s="32">
        <v>37643</v>
      </c>
      <c r="C11" s="29">
        <v>8.5</v>
      </c>
      <c r="D11" s="35">
        <v>8.5</v>
      </c>
      <c r="E11" s="35">
        <v>8.25</v>
      </c>
      <c r="F11" s="33">
        <v>8.25</v>
      </c>
      <c r="G11" s="29">
        <v>0</v>
      </c>
      <c r="H11" s="29">
        <v>-0.25</v>
      </c>
      <c r="I11" s="35">
        <v>8.5</v>
      </c>
      <c r="J11" s="34">
        <v>17108</v>
      </c>
      <c r="K11" s="34">
        <v>144900</v>
      </c>
    </row>
    <row r="12" spans="1:21" hidden="1">
      <c r="A12" s="29" t="s">
        <v>138</v>
      </c>
      <c r="B12" s="32">
        <v>37644</v>
      </c>
      <c r="C12" s="29">
        <v>8.25</v>
      </c>
      <c r="D12" s="35">
        <v>8.5</v>
      </c>
      <c r="E12" s="35">
        <v>8.25</v>
      </c>
      <c r="F12" s="33">
        <v>8.5</v>
      </c>
      <c r="G12" s="29">
        <v>0</v>
      </c>
      <c r="H12" s="29">
        <v>0.25</v>
      </c>
      <c r="I12" s="35">
        <v>8.25</v>
      </c>
      <c r="J12" s="34">
        <v>3908</v>
      </c>
      <c r="K12" s="34">
        <v>33525</v>
      </c>
    </row>
    <row r="13" spans="1:21" hidden="1">
      <c r="A13" s="29" t="s">
        <v>138</v>
      </c>
      <c r="B13" s="32">
        <v>37648</v>
      </c>
      <c r="C13" s="29">
        <v>8.75</v>
      </c>
      <c r="D13" s="35">
        <v>8.75</v>
      </c>
      <c r="E13" s="35">
        <v>8.25</v>
      </c>
      <c r="F13" s="33">
        <v>8.25</v>
      </c>
      <c r="G13" s="29">
        <v>0</v>
      </c>
      <c r="H13" s="29">
        <v>-0.25</v>
      </c>
      <c r="I13" s="35">
        <v>8.5</v>
      </c>
      <c r="J13" s="34">
        <v>2932</v>
      </c>
      <c r="K13" s="34">
        <v>25475</v>
      </c>
    </row>
    <row r="14" spans="1:21" hidden="1">
      <c r="A14" s="29" t="s">
        <v>138</v>
      </c>
      <c r="B14" s="32">
        <v>37649</v>
      </c>
      <c r="C14" s="29">
        <v>8.25</v>
      </c>
      <c r="D14" s="35">
        <v>8.25</v>
      </c>
      <c r="E14" s="35">
        <v>8.25</v>
      </c>
      <c r="F14" s="33">
        <v>8.25</v>
      </c>
      <c r="G14" s="29">
        <v>0</v>
      </c>
      <c r="H14" s="29">
        <v>0</v>
      </c>
      <c r="I14" s="35">
        <v>8.25</v>
      </c>
      <c r="J14" s="34">
        <v>488</v>
      </c>
      <c r="K14" s="34">
        <v>4100</v>
      </c>
    </row>
    <row r="15" spans="1:21" hidden="1">
      <c r="A15" s="29" t="s">
        <v>138</v>
      </c>
      <c r="B15" s="32">
        <v>37651</v>
      </c>
      <c r="C15" s="29">
        <v>8.25</v>
      </c>
      <c r="D15" s="35">
        <v>8.25</v>
      </c>
      <c r="E15" s="35">
        <v>8</v>
      </c>
      <c r="F15" s="33">
        <v>8</v>
      </c>
      <c r="G15" s="29">
        <v>0</v>
      </c>
      <c r="H15" s="29">
        <v>-0.25</v>
      </c>
      <c r="I15" s="35">
        <v>8.25</v>
      </c>
      <c r="J15" s="34">
        <v>92396</v>
      </c>
      <c r="K15" s="34">
        <v>753375</v>
      </c>
    </row>
    <row r="16" spans="1:21" hidden="1">
      <c r="A16" s="29" t="s">
        <v>138</v>
      </c>
      <c r="B16" s="32">
        <v>37652</v>
      </c>
      <c r="C16" s="29">
        <v>8.25</v>
      </c>
      <c r="D16" s="35">
        <v>8.25</v>
      </c>
      <c r="E16" s="35">
        <v>8.25</v>
      </c>
      <c r="F16" s="33">
        <v>8.25</v>
      </c>
      <c r="G16" s="29">
        <v>0</v>
      </c>
      <c r="H16" s="29">
        <v>0.25</v>
      </c>
      <c r="I16" s="35">
        <v>8</v>
      </c>
      <c r="J16" s="34">
        <v>11732</v>
      </c>
      <c r="K16" s="34">
        <v>98250</v>
      </c>
    </row>
    <row r="17" spans="1:11" hidden="1">
      <c r="A17" s="29" t="s">
        <v>138</v>
      </c>
      <c r="B17" s="32">
        <v>37655</v>
      </c>
      <c r="C17" s="29">
        <v>8.25</v>
      </c>
      <c r="D17" s="35">
        <v>8.25</v>
      </c>
      <c r="E17" s="35">
        <v>8.25</v>
      </c>
      <c r="F17" s="33">
        <v>8.25</v>
      </c>
      <c r="G17" s="29">
        <v>0</v>
      </c>
      <c r="H17" s="29">
        <v>0</v>
      </c>
      <c r="I17" s="35">
        <v>8.25</v>
      </c>
      <c r="J17" s="34">
        <v>9776</v>
      </c>
      <c r="K17" s="34">
        <v>80500</v>
      </c>
    </row>
    <row r="18" spans="1:11" hidden="1">
      <c r="A18" s="29" t="s">
        <v>138</v>
      </c>
      <c r="B18" s="32">
        <v>37657</v>
      </c>
      <c r="C18" s="29">
        <v>8.5</v>
      </c>
      <c r="D18" s="35">
        <v>8.5</v>
      </c>
      <c r="E18" s="35">
        <v>8.25</v>
      </c>
      <c r="F18" s="33">
        <v>8.25</v>
      </c>
      <c r="G18" s="29">
        <v>0</v>
      </c>
      <c r="H18" s="29">
        <v>0</v>
      </c>
      <c r="I18" s="35">
        <v>8.25</v>
      </c>
      <c r="J18" s="34">
        <v>7332</v>
      </c>
      <c r="K18" s="34">
        <v>60950</v>
      </c>
    </row>
    <row r="19" spans="1:11" hidden="1">
      <c r="A19" s="29" t="s">
        <v>138</v>
      </c>
      <c r="B19" s="32">
        <v>37658</v>
      </c>
      <c r="C19" s="29">
        <v>8.25</v>
      </c>
      <c r="D19" s="35">
        <v>8.25</v>
      </c>
      <c r="E19" s="35">
        <v>8.25</v>
      </c>
      <c r="F19" s="33">
        <v>8.25</v>
      </c>
      <c r="G19" s="29">
        <v>0</v>
      </c>
      <c r="H19" s="29">
        <v>0</v>
      </c>
      <c r="I19" s="35">
        <v>8.25</v>
      </c>
      <c r="J19" s="34">
        <v>30308</v>
      </c>
      <c r="K19" s="34">
        <v>251050</v>
      </c>
    </row>
    <row r="20" spans="1:11" hidden="1">
      <c r="A20" s="29" t="s">
        <v>138</v>
      </c>
      <c r="B20" s="32">
        <v>37662</v>
      </c>
      <c r="C20" s="29">
        <v>8.25</v>
      </c>
      <c r="D20" s="35">
        <v>8.25</v>
      </c>
      <c r="E20" s="35">
        <v>8</v>
      </c>
      <c r="F20" s="33">
        <v>8.25</v>
      </c>
      <c r="G20" s="29">
        <v>0</v>
      </c>
      <c r="H20" s="29">
        <v>0</v>
      </c>
      <c r="I20" s="35">
        <v>8.25</v>
      </c>
      <c r="J20" s="34">
        <v>13688</v>
      </c>
      <c r="K20" s="34">
        <v>113100</v>
      </c>
    </row>
    <row r="21" spans="1:11" hidden="1">
      <c r="A21" s="29" t="s">
        <v>138</v>
      </c>
      <c r="B21" s="32">
        <v>37666</v>
      </c>
      <c r="C21" s="29">
        <v>8</v>
      </c>
      <c r="D21" s="35">
        <v>8</v>
      </c>
      <c r="E21" s="35">
        <v>8</v>
      </c>
      <c r="F21" s="33">
        <v>8</v>
      </c>
      <c r="G21" s="29">
        <v>0</v>
      </c>
      <c r="H21" s="29">
        <v>-0.25</v>
      </c>
      <c r="I21" s="35">
        <v>8.25</v>
      </c>
      <c r="J21" s="34">
        <v>66488</v>
      </c>
      <c r="K21" s="34">
        <v>544000</v>
      </c>
    </row>
    <row r="22" spans="1:11" hidden="1">
      <c r="A22" s="29" t="s">
        <v>138</v>
      </c>
      <c r="B22" s="32">
        <v>37670</v>
      </c>
      <c r="C22" s="29">
        <v>7.75</v>
      </c>
      <c r="D22" s="35">
        <v>7.75</v>
      </c>
      <c r="E22" s="35">
        <v>7.75</v>
      </c>
      <c r="F22" s="33">
        <v>7.75</v>
      </c>
      <c r="G22" s="29">
        <v>0</v>
      </c>
      <c r="H22" s="29">
        <v>-0.25</v>
      </c>
      <c r="I22" s="35">
        <v>8</v>
      </c>
      <c r="J22" s="34">
        <v>2444</v>
      </c>
      <c r="K22" s="34">
        <v>19250</v>
      </c>
    </row>
    <row r="23" spans="1:11" hidden="1">
      <c r="A23" s="29" t="s">
        <v>138</v>
      </c>
      <c r="B23" s="32">
        <v>37673</v>
      </c>
      <c r="C23" s="29">
        <v>8</v>
      </c>
      <c r="D23" s="35">
        <v>8</v>
      </c>
      <c r="E23" s="35">
        <v>8</v>
      </c>
      <c r="F23" s="33">
        <v>8</v>
      </c>
      <c r="G23" s="29">
        <v>0</v>
      </c>
      <c r="H23" s="29">
        <v>0.25</v>
      </c>
      <c r="I23" s="35">
        <v>7.75</v>
      </c>
      <c r="J23" s="34">
        <v>3420</v>
      </c>
      <c r="K23" s="34">
        <v>27625</v>
      </c>
    </row>
    <row r="24" spans="1:11" hidden="1">
      <c r="A24" s="29" t="s">
        <v>138</v>
      </c>
      <c r="B24" s="32">
        <v>37677</v>
      </c>
      <c r="C24" s="29">
        <v>8</v>
      </c>
      <c r="D24" s="35">
        <v>8</v>
      </c>
      <c r="E24" s="35">
        <v>8</v>
      </c>
      <c r="F24" s="33">
        <v>8</v>
      </c>
      <c r="G24" s="29">
        <v>0</v>
      </c>
      <c r="H24" s="29">
        <v>0</v>
      </c>
      <c r="I24" s="35">
        <v>8</v>
      </c>
      <c r="J24" s="34">
        <v>10752</v>
      </c>
      <c r="K24" s="34">
        <v>85875</v>
      </c>
    </row>
    <row r="25" spans="1:11" hidden="1">
      <c r="A25" s="29" t="s">
        <v>138</v>
      </c>
      <c r="B25" s="32">
        <v>37678</v>
      </c>
      <c r="C25" s="29">
        <v>7.75</v>
      </c>
      <c r="D25" s="35">
        <v>7.75</v>
      </c>
      <c r="E25" s="35">
        <v>7.5</v>
      </c>
      <c r="F25" s="33">
        <v>7.5</v>
      </c>
      <c r="G25" s="29">
        <v>0</v>
      </c>
      <c r="H25" s="29">
        <v>-0.5</v>
      </c>
      <c r="I25" s="35">
        <v>8</v>
      </c>
      <c r="J25" s="34">
        <v>53776</v>
      </c>
      <c r="K25" s="34">
        <v>410125</v>
      </c>
    </row>
    <row r="26" spans="1:11" hidden="1">
      <c r="A26" s="29" t="s">
        <v>138</v>
      </c>
      <c r="B26" s="32">
        <v>37679</v>
      </c>
      <c r="C26" s="29">
        <v>7.75</v>
      </c>
      <c r="D26" s="35">
        <v>7.75</v>
      </c>
      <c r="E26" s="35">
        <v>7.75</v>
      </c>
      <c r="F26" s="33">
        <v>7.75</v>
      </c>
      <c r="G26" s="29">
        <v>0</v>
      </c>
      <c r="H26" s="29">
        <v>0.25</v>
      </c>
      <c r="I26" s="35">
        <v>7.5</v>
      </c>
      <c r="J26" s="34">
        <v>11732</v>
      </c>
      <c r="K26" s="34">
        <v>91200</v>
      </c>
    </row>
    <row r="27" spans="1:11" hidden="1">
      <c r="A27" s="29" t="s">
        <v>138</v>
      </c>
      <c r="B27" s="32">
        <v>37680</v>
      </c>
      <c r="C27" s="29">
        <v>7.75</v>
      </c>
      <c r="D27" s="35">
        <v>7.75</v>
      </c>
      <c r="E27" s="35">
        <v>7.75</v>
      </c>
      <c r="F27" s="33">
        <v>7.75</v>
      </c>
      <c r="G27" s="29">
        <v>0</v>
      </c>
      <c r="H27" s="29">
        <v>0</v>
      </c>
      <c r="I27" s="35">
        <v>7.75</v>
      </c>
      <c r="J27" s="34">
        <v>488</v>
      </c>
      <c r="K27" s="34">
        <v>3800</v>
      </c>
    </row>
    <row r="28" spans="1:11" hidden="1">
      <c r="A28" s="29" t="s">
        <v>138</v>
      </c>
      <c r="B28" s="32">
        <v>37683</v>
      </c>
      <c r="C28" s="29">
        <v>7.5</v>
      </c>
      <c r="D28" s="35">
        <v>7.5</v>
      </c>
      <c r="E28" s="35">
        <v>7.5</v>
      </c>
      <c r="F28" s="33">
        <v>7.5</v>
      </c>
      <c r="G28" s="29">
        <v>0</v>
      </c>
      <c r="H28" s="29">
        <v>-0.25</v>
      </c>
      <c r="I28" s="35">
        <v>7.75</v>
      </c>
      <c r="J28" s="34">
        <v>1464</v>
      </c>
      <c r="K28" s="34">
        <v>11250</v>
      </c>
    </row>
    <row r="29" spans="1:11" hidden="1">
      <c r="A29" s="29" t="s">
        <v>138</v>
      </c>
      <c r="B29" s="32">
        <v>37684</v>
      </c>
      <c r="C29" s="29">
        <v>7.5</v>
      </c>
      <c r="D29" s="35">
        <v>7.5</v>
      </c>
      <c r="E29" s="35">
        <v>7.5</v>
      </c>
      <c r="F29" s="33">
        <v>7.5</v>
      </c>
      <c r="G29" s="29">
        <v>0</v>
      </c>
      <c r="H29" s="29">
        <v>0</v>
      </c>
      <c r="I29" s="35">
        <v>7.5</v>
      </c>
      <c r="J29" s="34">
        <v>976</v>
      </c>
      <c r="K29" s="34">
        <v>7500</v>
      </c>
    </row>
    <row r="30" spans="1:11" hidden="1">
      <c r="A30" s="29" t="s">
        <v>138</v>
      </c>
      <c r="B30" s="32">
        <v>37690</v>
      </c>
      <c r="C30" s="29">
        <v>7.5</v>
      </c>
      <c r="D30" s="35">
        <v>7.5</v>
      </c>
      <c r="E30" s="35">
        <v>7</v>
      </c>
      <c r="F30" s="33">
        <v>7.25</v>
      </c>
      <c r="G30" s="29">
        <v>0</v>
      </c>
      <c r="H30" s="29">
        <v>-0.25</v>
      </c>
      <c r="I30" s="35">
        <v>7.5</v>
      </c>
      <c r="J30" s="34">
        <v>13688</v>
      </c>
      <c r="K30" s="34">
        <v>99400</v>
      </c>
    </row>
    <row r="31" spans="1:11" hidden="1">
      <c r="A31" s="29" t="s">
        <v>138</v>
      </c>
      <c r="B31" s="32">
        <v>37691</v>
      </c>
      <c r="C31" s="29">
        <v>7</v>
      </c>
      <c r="D31" s="35">
        <v>7</v>
      </c>
      <c r="E31" s="35">
        <v>7</v>
      </c>
      <c r="F31" s="33">
        <v>7</v>
      </c>
      <c r="G31" s="29">
        <v>0</v>
      </c>
      <c r="H31" s="29">
        <v>-0.25</v>
      </c>
      <c r="I31" s="35">
        <v>7.25</v>
      </c>
      <c r="J31" s="34">
        <v>9288</v>
      </c>
      <c r="K31" s="34">
        <v>66500</v>
      </c>
    </row>
    <row r="32" spans="1:11" hidden="1">
      <c r="A32" s="29" t="s">
        <v>138</v>
      </c>
      <c r="B32" s="32">
        <v>37693</v>
      </c>
      <c r="C32" s="29">
        <v>7.5</v>
      </c>
      <c r="D32" s="35">
        <v>7.5</v>
      </c>
      <c r="E32" s="35">
        <v>7.5</v>
      </c>
      <c r="F32" s="33">
        <v>7.5</v>
      </c>
      <c r="G32" s="29">
        <v>0</v>
      </c>
      <c r="H32" s="29">
        <v>0.5</v>
      </c>
      <c r="I32" s="35">
        <v>7</v>
      </c>
      <c r="J32" s="34">
        <v>976</v>
      </c>
      <c r="K32" s="34">
        <v>7400</v>
      </c>
    </row>
    <row r="33" spans="1:11" hidden="1">
      <c r="A33" s="29" t="s">
        <v>138</v>
      </c>
      <c r="B33" s="32">
        <v>37694</v>
      </c>
      <c r="C33" s="29">
        <v>7.25</v>
      </c>
      <c r="D33" s="35">
        <v>7.25</v>
      </c>
      <c r="E33" s="35">
        <v>7</v>
      </c>
      <c r="F33" s="33">
        <v>7.25</v>
      </c>
      <c r="G33" s="29">
        <v>0</v>
      </c>
      <c r="H33" s="29">
        <v>-0.25</v>
      </c>
      <c r="I33" s="35">
        <v>7.5</v>
      </c>
      <c r="J33" s="34">
        <v>18576</v>
      </c>
      <c r="K33" s="34">
        <v>136300</v>
      </c>
    </row>
    <row r="34" spans="1:11" hidden="1">
      <c r="A34" s="29" t="s">
        <v>138</v>
      </c>
      <c r="B34" s="32">
        <v>37699</v>
      </c>
      <c r="C34" s="29">
        <v>7.25</v>
      </c>
      <c r="D34" s="35">
        <v>7.25</v>
      </c>
      <c r="E34" s="35">
        <v>7.25</v>
      </c>
      <c r="F34" s="33">
        <v>7.25</v>
      </c>
      <c r="G34" s="29">
        <v>0</v>
      </c>
      <c r="H34" s="29">
        <v>0</v>
      </c>
      <c r="I34" s="35">
        <v>7.25</v>
      </c>
      <c r="J34" s="34">
        <v>976</v>
      </c>
      <c r="K34" s="34">
        <v>7200</v>
      </c>
    </row>
    <row r="35" spans="1:11" hidden="1">
      <c r="A35" s="29" t="s">
        <v>138</v>
      </c>
      <c r="B35" s="32">
        <v>37700</v>
      </c>
      <c r="C35" s="29">
        <v>7</v>
      </c>
      <c r="D35" s="35">
        <v>7.25</v>
      </c>
      <c r="E35" s="35">
        <v>7</v>
      </c>
      <c r="F35" s="33">
        <v>7.25</v>
      </c>
      <c r="G35" s="29">
        <v>0</v>
      </c>
      <c r="H35" s="29">
        <v>0</v>
      </c>
      <c r="I35" s="35">
        <v>7.25</v>
      </c>
      <c r="J35" s="34">
        <v>9776</v>
      </c>
      <c r="K35" s="34">
        <v>71800</v>
      </c>
    </row>
    <row r="36" spans="1:11" hidden="1">
      <c r="A36" s="29" t="s">
        <v>138</v>
      </c>
      <c r="B36" s="32">
        <v>37706</v>
      </c>
      <c r="C36" s="29">
        <v>7.25</v>
      </c>
      <c r="D36" s="35">
        <v>7.25</v>
      </c>
      <c r="E36" s="35">
        <v>7.25</v>
      </c>
      <c r="F36" s="33">
        <v>7.25</v>
      </c>
      <c r="G36" s="29">
        <v>0</v>
      </c>
      <c r="H36" s="29">
        <v>0</v>
      </c>
      <c r="I36" s="35">
        <v>7.25</v>
      </c>
      <c r="J36" s="34">
        <v>4888</v>
      </c>
      <c r="K36" s="34">
        <v>36000</v>
      </c>
    </row>
    <row r="37" spans="1:11" hidden="1">
      <c r="A37" s="29" t="s">
        <v>138</v>
      </c>
      <c r="B37" s="32">
        <v>37707</v>
      </c>
      <c r="C37" s="29">
        <v>7.5</v>
      </c>
      <c r="D37" s="35">
        <v>7.5</v>
      </c>
      <c r="E37" s="35">
        <v>7.5</v>
      </c>
      <c r="F37" s="33">
        <v>7.5</v>
      </c>
      <c r="G37" s="29">
        <v>0</v>
      </c>
      <c r="H37" s="29">
        <v>0.25</v>
      </c>
      <c r="I37" s="35">
        <v>7.25</v>
      </c>
      <c r="J37" s="34">
        <v>5864</v>
      </c>
      <c r="K37" s="34">
        <v>44500</v>
      </c>
    </row>
    <row r="38" spans="1:11" hidden="1">
      <c r="A38" s="29" t="s">
        <v>138</v>
      </c>
      <c r="B38" s="32">
        <v>37708</v>
      </c>
      <c r="C38" s="29">
        <v>7.5</v>
      </c>
      <c r="D38" s="35">
        <v>7.5</v>
      </c>
      <c r="E38" s="35">
        <v>7.5</v>
      </c>
      <c r="F38" s="33">
        <v>7.5</v>
      </c>
      <c r="G38" s="29">
        <v>0</v>
      </c>
      <c r="H38" s="29">
        <v>0</v>
      </c>
      <c r="I38" s="35">
        <v>7.5</v>
      </c>
      <c r="J38" s="34">
        <v>4396</v>
      </c>
      <c r="K38" s="34">
        <v>33300</v>
      </c>
    </row>
    <row r="39" spans="1:11" hidden="1">
      <c r="A39" s="29" t="s">
        <v>138</v>
      </c>
      <c r="B39" s="32">
        <v>37711</v>
      </c>
      <c r="C39" s="29">
        <v>7.25</v>
      </c>
      <c r="D39" s="35">
        <v>7.25</v>
      </c>
      <c r="E39" s="35">
        <v>7.25</v>
      </c>
      <c r="F39" s="33">
        <v>7.25</v>
      </c>
      <c r="G39" s="29">
        <v>0</v>
      </c>
      <c r="H39" s="29">
        <v>-0.25</v>
      </c>
      <c r="I39" s="35">
        <v>7.5</v>
      </c>
      <c r="J39" s="34">
        <v>976</v>
      </c>
      <c r="K39" s="34">
        <v>7200</v>
      </c>
    </row>
    <row r="40" spans="1:11" hidden="1">
      <c r="A40" s="29" t="s">
        <v>138</v>
      </c>
      <c r="B40" s="32">
        <v>37712</v>
      </c>
      <c r="C40" s="29">
        <v>7.25</v>
      </c>
      <c r="D40" s="35">
        <v>7.25</v>
      </c>
      <c r="E40" s="35">
        <v>7.25</v>
      </c>
      <c r="F40" s="33">
        <v>7.25</v>
      </c>
      <c r="G40" s="29">
        <v>0</v>
      </c>
      <c r="H40" s="29">
        <v>0</v>
      </c>
      <c r="I40" s="35">
        <v>7.25</v>
      </c>
      <c r="J40" s="34">
        <v>2444</v>
      </c>
      <c r="K40" s="34">
        <v>18000</v>
      </c>
    </row>
    <row r="41" spans="1:11" hidden="1">
      <c r="A41" s="29" t="s">
        <v>138</v>
      </c>
      <c r="B41" s="32">
        <v>37714</v>
      </c>
      <c r="C41" s="29">
        <v>7.5</v>
      </c>
      <c r="D41" s="35">
        <v>8.25</v>
      </c>
      <c r="E41" s="35">
        <v>7.5</v>
      </c>
      <c r="F41" s="33">
        <v>8.25</v>
      </c>
      <c r="G41" s="29">
        <v>0</v>
      </c>
      <c r="H41" s="29">
        <v>1</v>
      </c>
      <c r="I41" s="35">
        <v>7.25</v>
      </c>
      <c r="J41" s="34">
        <v>2932</v>
      </c>
      <c r="K41" s="34">
        <v>22675</v>
      </c>
    </row>
    <row r="42" spans="1:11" hidden="1">
      <c r="A42" s="29" t="s">
        <v>138</v>
      </c>
      <c r="B42" s="32">
        <v>37715</v>
      </c>
      <c r="C42" s="29">
        <v>8.25</v>
      </c>
      <c r="D42" s="35">
        <v>8.25</v>
      </c>
      <c r="E42" s="35">
        <v>8.25</v>
      </c>
      <c r="F42" s="33">
        <v>8.25</v>
      </c>
      <c r="G42" s="29">
        <v>0</v>
      </c>
      <c r="H42" s="29">
        <v>0</v>
      </c>
      <c r="I42" s="35">
        <v>8.25</v>
      </c>
      <c r="J42" s="34">
        <v>5864</v>
      </c>
      <c r="K42" s="34">
        <v>48900</v>
      </c>
    </row>
    <row r="43" spans="1:11" hidden="1">
      <c r="A43" s="29" t="s">
        <v>138</v>
      </c>
      <c r="B43" s="32">
        <v>37718</v>
      </c>
      <c r="C43" s="29">
        <v>8</v>
      </c>
      <c r="D43" s="35">
        <v>8</v>
      </c>
      <c r="E43" s="35">
        <v>8</v>
      </c>
      <c r="F43" s="33">
        <v>8</v>
      </c>
      <c r="G43" s="29">
        <v>0</v>
      </c>
      <c r="H43" s="29">
        <v>-0.25</v>
      </c>
      <c r="I43" s="35">
        <v>8.25</v>
      </c>
      <c r="J43" s="34">
        <v>37644</v>
      </c>
      <c r="K43" s="34">
        <v>304500</v>
      </c>
    </row>
    <row r="44" spans="1:11" hidden="1">
      <c r="A44" s="29" t="s">
        <v>138</v>
      </c>
      <c r="B44" s="32">
        <v>37719</v>
      </c>
      <c r="C44" s="29">
        <v>8</v>
      </c>
      <c r="D44" s="35">
        <v>8</v>
      </c>
      <c r="E44" s="35">
        <v>8</v>
      </c>
      <c r="F44" s="33">
        <v>8</v>
      </c>
      <c r="G44" s="29">
        <v>0</v>
      </c>
      <c r="H44" s="29">
        <v>0</v>
      </c>
      <c r="I44" s="35">
        <v>8</v>
      </c>
      <c r="J44" s="34">
        <v>308976</v>
      </c>
      <c r="K44" s="34">
        <v>2526500</v>
      </c>
    </row>
    <row r="45" spans="1:11" hidden="1">
      <c r="A45" s="29" t="s">
        <v>138</v>
      </c>
      <c r="B45" s="32">
        <v>37720</v>
      </c>
      <c r="C45" s="29">
        <v>8</v>
      </c>
      <c r="D45" s="35">
        <v>8</v>
      </c>
      <c r="E45" s="35">
        <v>8</v>
      </c>
      <c r="F45" s="33">
        <v>8</v>
      </c>
      <c r="G45" s="29">
        <v>0</v>
      </c>
      <c r="H45" s="29">
        <v>0</v>
      </c>
      <c r="I45" s="35">
        <v>8</v>
      </c>
      <c r="J45" s="34">
        <v>14664</v>
      </c>
      <c r="K45" s="34">
        <v>120000</v>
      </c>
    </row>
    <row r="46" spans="1:11" hidden="1">
      <c r="A46" s="29" t="s">
        <v>138</v>
      </c>
      <c r="B46" s="32">
        <v>37721</v>
      </c>
      <c r="C46" s="29">
        <v>8.25</v>
      </c>
      <c r="D46" s="35">
        <v>8.25</v>
      </c>
      <c r="E46" s="35">
        <v>8.25</v>
      </c>
      <c r="F46" s="33">
        <v>8.25</v>
      </c>
      <c r="G46" s="29">
        <v>0</v>
      </c>
      <c r="H46" s="29">
        <v>0.25</v>
      </c>
      <c r="I46" s="35">
        <v>8</v>
      </c>
      <c r="J46" s="34">
        <v>7332</v>
      </c>
      <c r="K46" s="34">
        <v>61500</v>
      </c>
    </row>
    <row r="47" spans="1:11" hidden="1">
      <c r="A47" s="29" t="s">
        <v>138</v>
      </c>
      <c r="B47" s="32">
        <v>37722</v>
      </c>
      <c r="C47" s="29">
        <v>8</v>
      </c>
      <c r="D47" s="35">
        <v>8</v>
      </c>
      <c r="E47" s="35">
        <v>8</v>
      </c>
      <c r="F47" s="33">
        <v>8</v>
      </c>
      <c r="G47" s="29">
        <v>0</v>
      </c>
      <c r="H47" s="29">
        <v>-0.25</v>
      </c>
      <c r="I47" s="35">
        <v>8.25</v>
      </c>
      <c r="J47" s="34">
        <v>8796</v>
      </c>
      <c r="K47" s="34">
        <v>72000</v>
      </c>
    </row>
    <row r="48" spans="1:11" hidden="1">
      <c r="A48" s="29" t="s">
        <v>138</v>
      </c>
      <c r="B48" s="32">
        <v>37728</v>
      </c>
      <c r="C48" s="29">
        <v>8.25</v>
      </c>
      <c r="D48" s="35">
        <v>8.5</v>
      </c>
      <c r="E48" s="35">
        <v>8.25</v>
      </c>
      <c r="F48" s="33">
        <v>8.5</v>
      </c>
      <c r="G48" s="29">
        <v>0</v>
      </c>
      <c r="H48" s="29">
        <v>0.5</v>
      </c>
      <c r="I48" s="35">
        <v>8</v>
      </c>
      <c r="J48" s="34">
        <v>35688</v>
      </c>
      <c r="K48" s="34">
        <v>302700</v>
      </c>
    </row>
    <row r="49" spans="1:11" hidden="1">
      <c r="A49" s="29" t="s">
        <v>138</v>
      </c>
      <c r="B49" s="32">
        <v>37733</v>
      </c>
      <c r="C49" s="29">
        <v>8</v>
      </c>
      <c r="D49" s="35">
        <v>8.25</v>
      </c>
      <c r="E49" s="35">
        <v>8</v>
      </c>
      <c r="F49" s="33">
        <v>8.25</v>
      </c>
      <c r="G49" s="29">
        <v>0</v>
      </c>
      <c r="H49" s="29">
        <v>-0.25</v>
      </c>
      <c r="I49" s="35">
        <v>8.5</v>
      </c>
      <c r="J49" s="34">
        <v>14176</v>
      </c>
      <c r="K49" s="34">
        <v>116900</v>
      </c>
    </row>
    <row r="50" spans="1:11" hidden="1">
      <c r="A50" s="29" t="s">
        <v>138</v>
      </c>
      <c r="B50" s="32">
        <v>37734</v>
      </c>
      <c r="C50" s="29">
        <v>8.25</v>
      </c>
      <c r="D50" s="35">
        <v>8.25</v>
      </c>
      <c r="E50" s="35">
        <v>8.25</v>
      </c>
      <c r="F50" s="33">
        <v>8.25</v>
      </c>
      <c r="G50" s="29">
        <v>0</v>
      </c>
      <c r="H50" s="29">
        <v>0</v>
      </c>
      <c r="I50" s="35">
        <v>8.25</v>
      </c>
      <c r="J50" s="34">
        <v>1952</v>
      </c>
      <c r="K50" s="34">
        <v>16400</v>
      </c>
    </row>
    <row r="51" spans="1:11" hidden="1">
      <c r="A51" s="29" t="s">
        <v>138</v>
      </c>
      <c r="B51" s="32">
        <v>37735</v>
      </c>
      <c r="C51" s="29">
        <v>8.25</v>
      </c>
      <c r="D51" s="35">
        <v>8.5</v>
      </c>
      <c r="E51" s="35">
        <v>8.25</v>
      </c>
      <c r="F51" s="33">
        <v>8.25</v>
      </c>
      <c r="G51" s="29">
        <v>0</v>
      </c>
      <c r="H51" s="29">
        <v>0</v>
      </c>
      <c r="I51" s="35">
        <v>8.25</v>
      </c>
      <c r="J51" s="34">
        <v>117820</v>
      </c>
      <c r="K51" s="34">
        <v>985175</v>
      </c>
    </row>
    <row r="52" spans="1:11" hidden="1">
      <c r="A52" s="29" t="s">
        <v>138</v>
      </c>
      <c r="B52" s="32">
        <v>37736</v>
      </c>
      <c r="C52" s="29">
        <v>8.25</v>
      </c>
      <c r="D52" s="35">
        <v>8.5</v>
      </c>
      <c r="E52" s="35">
        <v>8.25</v>
      </c>
      <c r="F52" s="33">
        <v>8.25</v>
      </c>
      <c r="G52" s="29">
        <v>0</v>
      </c>
      <c r="H52" s="29">
        <v>0</v>
      </c>
      <c r="I52" s="35">
        <v>8.25</v>
      </c>
      <c r="J52" s="34">
        <v>27864</v>
      </c>
      <c r="K52" s="34">
        <v>235275</v>
      </c>
    </row>
    <row r="53" spans="1:11" hidden="1">
      <c r="A53" s="29" t="s">
        <v>138</v>
      </c>
      <c r="B53" s="32">
        <v>37740</v>
      </c>
      <c r="C53" s="29">
        <v>8.5</v>
      </c>
      <c r="D53" s="35">
        <v>8.5</v>
      </c>
      <c r="E53" s="35">
        <v>8.5</v>
      </c>
      <c r="F53" s="33">
        <v>8.5</v>
      </c>
      <c r="G53" s="29">
        <v>0</v>
      </c>
      <c r="H53" s="29">
        <v>0.25</v>
      </c>
      <c r="I53" s="35">
        <v>8.25</v>
      </c>
      <c r="J53" s="34">
        <v>16132</v>
      </c>
      <c r="K53" s="34">
        <v>136950</v>
      </c>
    </row>
    <row r="54" spans="1:11" hidden="1">
      <c r="A54" s="29" t="s">
        <v>138</v>
      </c>
      <c r="B54" s="32">
        <v>37741</v>
      </c>
      <c r="C54" s="29">
        <v>8.5</v>
      </c>
      <c r="D54" s="35">
        <v>8.5</v>
      </c>
      <c r="E54" s="35">
        <v>8.5</v>
      </c>
      <c r="F54" s="33">
        <v>8.5</v>
      </c>
      <c r="G54" s="29">
        <v>0</v>
      </c>
      <c r="H54" s="29">
        <v>0</v>
      </c>
      <c r="I54" s="35">
        <v>8.5</v>
      </c>
      <c r="J54" s="34">
        <v>75288</v>
      </c>
      <c r="K54" s="34">
        <v>646625</v>
      </c>
    </row>
    <row r="55" spans="1:11" hidden="1">
      <c r="A55" s="29" t="s">
        <v>138</v>
      </c>
      <c r="B55" s="32">
        <v>37746</v>
      </c>
      <c r="C55" s="29">
        <v>8.5</v>
      </c>
      <c r="D55" s="35">
        <v>8.75</v>
      </c>
      <c r="E55" s="35">
        <v>8.5</v>
      </c>
      <c r="F55" s="33">
        <v>8.5</v>
      </c>
      <c r="G55" s="29">
        <v>0</v>
      </c>
      <c r="H55" s="29">
        <v>0</v>
      </c>
      <c r="I55" s="35">
        <v>8.5</v>
      </c>
      <c r="J55" s="34">
        <v>3908</v>
      </c>
      <c r="K55" s="34">
        <v>34050</v>
      </c>
    </row>
    <row r="56" spans="1:11" hidden="1">
      <c r="A56" s="29" t="s">
        <v>138</v>
      </c>
      <c r="B56" s="32">
        <v>37747</v>
      </c>
      <c r="C56" s="29">
        <v>8.75</v>
      </c>
      <c r="D56" s="35">
        <v>9</v>
      </c>
      <c r="E56" s="35">
        <v>8.75</v>
      </c>
      <c r="F56" s="33">
        <v>8.75</v>
      </c>
      <c r="G56" s="29">
        <v>0</v>
      </c>
      <c r="H56" s="29">
        <v>0.25</v>
      </c>
      <c r="I56" s="35">
        <v>8.5</v>
      </c>
      <c r="J56" s="34">
        <v>23952</v>
      </c>
      <c r="K56" s="34">
        <v>210500</v>
      </c>
    </row>
    <row r="57" spans="1:11" hidden="1">
      <c r="A57" s="29" t="s">
        <v>138</v>
      </c>
      <c r="B57" s="32">
        <v>37749</v>
      </c>
      <c r="C57" s="29">
        <v>9</v>
      </c>
      <c r="D57" s="35">
        <v>9</v>
      </c>
      <c r="E57" s="35">
        <v>9</v>
      </c>
      <c r="F57" s="33">
        <v>9</v>
      </c>
      <c r="G57" s="29">
        <v>0</v>
      </c>
      <c r="H57" s="29">
        <v>0.25</v>
      </c>
      <c r="I57" s="35">
        <v>8.75</v>
      </c>
      <c r="J57" s="34">
        <v>24444</v>
      </c>
      <c r="K57" s="34">
        <v>220000</v>
      </c>
    </row>
    <row r="58" spans="1:11" hidden="1">
      <c r="A58" s="29" t="s">
        <v>138</v>
      </c>
      <c r="B58" s="32">
        <v>37750</v>
      </c>
      <c r="C58" s="29">
        <v>9</v>
      </c>
      <c r="D58" s="35">
        <v>9</v>
      </c>
      <c r="E58" s="35">
        <v>9</v>
      </c>
      <c r="F58" s="33">
        <v>9</v>
      </c>
      <c r="G58" s="29">
        <v>0</v>
      </c>
      <c r="H58" s="29">
        <v>0</v>
      </c>
      <c r="I58" s="35">
        <v>9</v>
      </c>
      <c r="J58" s="34">
        <v>105108</v>
      </c>
      <c r="K58" s="34">
        <v>946000</v>
      </c>
    </row>
    <row r="59" spans="1:11" hidden="1">
      <c r="A59" s="29" t="s">
        <v>138</v>
      </c>
      <c r="B59" s="32">
        <v>37753</v>
      </c>
      <c r="C59" s="29">
        <v>8.5</v>
      </c>
      <c r="D59" s="35">
        <v>9</v>
      </c>
      <c r="E59" s="35">
        <v>8.5</v>
      </c>
      <c r="F59" s="33">
        <v>8.75</v>
      </c>
      <c r="G59" s="29">
        <v>0</v>
      </c>
      <c r="H59" s="29">
        <v>-0.25</v>
      </c>
      <c r="I59" s="35">
        <v>9</v>
      </c>
      <c r="J59" s="34">
        <v>100708</v>
      </c>
      <c r="K59" s="34">
        <v>893500</v>
      </c>
    </row>
    <row r="60" spans="1:11" hidden="1">
      <c r="A60" s="29" t="s">
        <v>138</v>
      </c>
      <c r="B60" s="32">
        <v>37754</v>
      </c>
      <c r="C60" s="29">
        <v>8.75</v>
      </c>
      <c r="D60" s="35">
        <v>8.75</v>
      </c>
      <c r="E60" s="35">
        <v>8.75</v>
      </c>
      <c r="F60" s="33">
        <v>8.75</v>
      </c>
      <c r="G60" s="29">
        <v>0</v>
      </c>
      <c r="H60" s="29">
        <v>0</v>
      </c>
      <c r="I60" s="35">
        <v>8.75</v>
      </c>
      <c r="J60" s="34">
        <v>14176</v>
      </c>
      <c r="K60" s="34">
        <v>126000</v>
      </c>
    </row>
    <row r="61" spans="1:11" hidden="1">
      <c r="A61" s="29" t="s">
        <v>138</v>
      </c>
      <c r="B61" s="32">
        <v>37761</v>
      </c>
      <c r="C61" s="29">
        <v>8.75</v>
      </c>
      <c r="D61" s="35">
        <v>9</v>
      </c>
      <c r="E61" s="35">
        <v>8.75</v>
      </c>
      <c r="F61" s="33">
        <v>9</v>
      </c>
      <c r="G61" s="29">
        <v>0</v>
      </c>
      <c r="H61" s="29">
        <v>0.25</v>
      </c>
      <c r="I61" s="35">
        <v>8.75</v>
      </c>
      <c r="J61" s="34">
        <v>9776</v>
      </c>
      <c r="K61" s="34">
        <v>87750</v>
      </c>
    </row>
    <row r="62" spans="1:11" hidden="1">
      <c r="A62" s="29" t="s">
        <v>138</v>
      </c>
      <c r="B62" s="32">
        <v>37763</v>
      </c>
      <c r="C62" s="29">
        <v>9</v>
      </c>
      <c r="D62" s="35">
        <v>9</v>
      </c>
      <c r="E62" s="35">
        <v>8.75</v>
      </c>
      <c r="F62" s="33">
        <v>9</v>
      </c>
      <c r="G62" s="29">
        <v>0</v>
      </c>
      <c r="H62" s="29">
        <v>0</v>
      </c>
      <c r="I62" s="35">
        <v>9</v>
      </c>
      <c r="J62" s="34">
        <v>15152</v>
      </c>
      <c r="K62" s="34">
        <v>136275</v>
      </c>
    </row>
    <row r="63" spans="1:11" hidden="1">
      <c r="A63" s="29" t="s">
        <v>138</v>
      </c>
      <c r="B63" s="32">
        <v>37764</v>
      </c>
      <c r="C63" s="29">
        <v>8.75</v>
      </c>
      <c r="D63" s="35">
        <v>8.75</v>
      </c>
      <c r="E63" s="35">
        <v>8.75</v>
      </c>
      <c r="F63" s="33">
        <v>8.75</v>
      </c>
      <c r="G63" s="29">
        <v>0</v>
      </c>
      <c r="H63" s="29">
        <v>-0.25</v>
      </c>
      <c r="I63" s="35">
        <v>9</v>
      </c>
      <c r="J63" s="34">
        <v>15644</v>
      </c>
      <c r="K63" s="34">
        <v>137250</v>
      </c>
    </row>
    <row r="64" spans="1:11" hidden="1">
      <c r="A64" s="29" t="s">
        <v>138</v>
      </c>
      <c r="B64" s="32">
        <v>37768</v>
      </c>
      <c r="C64" s="29">
        <v>8.75</v>
      </c>
      <c r="D64" s="35">
        <v>8.75</v>
      </c>
      <c r="E64" s="35">
        <v>8.75</v>
      </c>
      <c r="F64" s="33">
        <v>8.75</v>
      </c>
      <c r="G64" s="29">
        <v>0</v>
      </c>
      <c r="H64" s="29">
        <v>0</v>
      </c>
      <c r="I64" s="35">
        <v>8.75</v>
      </c>
      <c r="J64" s="34">
        <v>19064</v>
      </c>
      <c r="K64" s="34">
        <v>168200</v>
      </c>
    </row>
    <row r="65" spans="1:11" hidden="1">
      <c r="A65" s="29" t="s">
        <v>138</v>
      </c>
      <c r="B65" s="32">
        <v>37769</v>
      </c>
      <c r="C65" s="29">
        <v>9</v>
      </c>
      <c r="D65" s="35">
        <v>9</v>
      </c>
      <c r="E65" s="35">
        <v>9</v>
      </c>
      <c r="F65" s="33">
        <v>9</v>
      </c>
      <c r="G65" s="29">
        <v>0</v>
      </c>
      <c r="H65" s="29">
        <v>0.25</v>
      </c>
      <c r="I65" s="35">
        <v>8.75</v>
      </c>
      <c r="J65" s="34">
        <v>3908</v>
      </c>
      <c r="K65" s="34">
        <v>35200</v>
      </c>
    </row>
    <row r="66" spans="1:11" hidden="1">
      <c r="A66" s="29" t="s">
        <v>138</v>
      </c>
      <c r="B66" s="32">
        <v>37771</v>
      </c>
      <c r="C66" s="29">
        <v>9</v>
      </c>
      <c r="D66" s="35">
        <v>10.25</v>
      </c>
      <c r="E66" s="35">
        <v>9</v>
      </c>
      <c r="F66" s="33">
        <v>9.25</v>
      </c>
      <c r="G66" s="29">
        <v>0</v>
      </c>
      <c r="H66" s="29">
        <v>0.25</v>
      </c>
      <c r="I66" s="35">
        <v>9</v>
      </c>
      <c r="J66" s="34">
        <v>111464</v>
      </c>
      <c r="K66" s="34">
        <v>1033400</v>
      </c>
    </row>
    <row r="67" spans="1:11" hidden="1">
      <c r="A67" s="29" t="s">
        <v>138</v>
      </c>
      <c r="B67" s="32">
        <v>37774</v>
      </c>
      <c r="C67" s="29">
        <v>9.75</v>
      </c>
      <c r="D67" s="35">
        <v>9.75</v>
      </c>
      <c r="E67" s="35">
        <v>9.75</v>
      </c>
      <c r="F67" s="33">
        <v>9.75</v>
      </c>
      <c r="G67" s="29">
        <v>0</v>
      </c>
      <c r="H67" s="29">
        <v>0.5</v>
      </c>
      <c r="I67" s="35">
        <v>9.25</v>
      </c>
      <c r="J67" s="34">
        <v>976</v>
      </c>
      <c r="K67" s="34">
        <v>9600</v>
      </c>
    </row>
    <row r="68" spans="1:11" hidden="1">
      <c r="A68" s="29" t="s">
        <v>138</v>
      </c>
      <c r="B68" s="32">
        <v>37775</v>
      </c>
      <c r="C68" s="29">
        <v>9.75</v>
      </c>
      <c r="D68" s="35">
        <v>10.5</v>
      </c>
      <c r="E68" s="35">
        <v>9.75</v>
      </c>
      <c r="F68" s="33">
        <v>10.25</v>
      </c>
      <c r="G68" s="29">
        <v>0</v>
      </c>
      <c r="H68" s="29">
        <v>0.5</v>
      </c>
      <c r="I68" s="35">
        <v>9.75</v>
      </c>
      <c r="J68" s="34">
        <v>45464</v>
      </c>
      <c r="K68" s="34">
        <v>460825</v>
      </c>
    </row>
    <row r="69" spans="1:11" hidden="1">
      <c r="A69" s="29" t="s">
        <v>138</v>
      </c>
      <c r="B69" s="32">
        <v>37776</v>
      </c>
      <c r="C69" s="29">
        <v>10.75</v>
      </c>
      <c r="D69" s="35">
        <v>11</v>
      </c>
      <c r="E69" s="35">
        <v>10.5</v>
      </c>
      <c r="F69" s="33">
        <v>10.75</v>
      </c>
      <c r="G69" s="29">
        <v>0</v>
      </c>
      <c r="H69" s="29">
        <v>0.5</v>
      </c>
      <c r="I69" s="35">
        <v>10.25</v>
      </c>
      <c r="J69" s="34">
        <v>22488</v>
      </c>
      <c r="K69" s="34">
        <v>242600</v>
      </c>
    </row>
    <row r="70" spans="1:11" hidden="1">
      <c r="A70" s="29" t="s">
        <v>138</v>
      </c>
      <c r="B70" s="32">
        <v>37777</v>
      </c>
      <c r="C70" s="29">
        <v>11</v>
      </c>
      <c r="D70" s="35">
        <v>11</v>
      </c>
      <c r="E70" s="35">
        <v>11</v>
      </c>
      <c r="F70" s="33">
        <v>11</v>
      </c>
      <c r="G70" s="29">
        <v>0</v>
      </c>
      <c r="H70" s="29">
        <v>0.25</v>
      </c>
      <c r="I70" s="35">
        <v>10.75</v>
      </c>
      <c r="J70" s="34">
        <v>559776</v>
      </c>
      <c r="K70" s="34">
        <v>6183000</v>
      </c>
    </row>
    <row r="71" spans="1:11" hidden="1">
      <c r="A71" s="29" t="s">
        <v>138</v>
      </c>
      <c r="B71" s="32">
        <v>37778</v>
      </c>
      <c r="C71" s="29">
        <v>11</v>
      </c>
      <c r="D71" s="35">
        <v>11.25</v>
      </c>
      <c r="E71" s="35">
        <v>11</v>
      </c>
      <c r="F71" s="33">
        <v>11</v>
      </c>
      <c r="G71" s="29">
        <v>0</v>
      </c>
      <c r="H71" s="29">
        <v>0</v>
      </c>
      <c r="I71" s="35">
        <v>11</v>
      </c>
      <c r="J71" s="34">
        <v>334888</v>
      </c>
      <c r="K71" s="34">
        <v>3738250</v>
      </c>
    </row>
    <row r="72" spans="1:11" hidden="1">
      <c r="A72" s="29" t="s">
        <v>138</v>
      </c>
      <c r="B72" s="32">
        <v>37781</v>
      </c>
      <c r="C72" s="29">
        <v>11</v>
      </c>
      <c r="D72" s="35">
        <v>11</v>
      </c>
      <c r="E72" s="35">
        <v>11</v>
      </c>
      <c r="F72" s="33">
        <v>11</v>
      </c>
      <c r="G72" s="29">
        <v>0</v>
      </c>
      <c r="H72" s="29">
        <v>0</v>
      </c>
      <c r="I72" s="35">
        <v>11</v>
      </c>
      <c r="J72" s="34">
        <v>54752</v>
      </c>
      <c r="K72" s="34">
        <v>604800</v>
      </c>
    </row>
    <row r="73" spans="1:11" hidden="1">
      <c r="A73" s="29" t="s">
        <v>138</v>
      </c>
      <c r="B73" s="32">
        <v>37782</v>
      </c>
      <c r="C73" s="29">
        <v>11</v>
      </c>
      <c r="D73" s="35">
        <v>11.25</v>
      </c>
      <c r="E73" s="35">
        <v>10.75</v>
      </c>
      <c r="F73" s="33">
        <v>10.75</v>
      </c>
      <c r="G73" s="29">
        <v>0</v>
      </c>
      <c r="H73" s="29">
        <v>-0.25</v>
      </c>
      <c r="I73" s="35">
        <v>11</v>
      </c>
      <c r="J73" s="34">
        <v>1042796</v>
      </c>
      <c r="K73" s="34">
        <v>11717700</v>
      </c>
    </row>
    <row r="74" spans="1:11" hidden="1">
      <c r="A74" s="29" t="s">
        <v>138</v>
      </c>
      <c r="B74" s="32">
        <v>37783</v>
      </c>
      <c r="C74" s="29">
        <v>10.5</v>
      </c>
      <c r="D74" s="35">
        <v>10.5</v>
      </c>
      <c r="E74" s="35">
        <v>10.5</v>
      </c>
      <c r="F74" s="33">
        <v>10.5</v>
      </c>
      <c r="G74" s="29">
        <v>0</v>
      </c>
      <c r="H74" s="29">
        <v>-0.25</v>
      </c>
      <c r="I74" s="35">
        <v>10.75</v>
      </c>
      <c r="J74" s="34">
        <v>8796</v>
      </c>
      <c r="K74" s="34">
        <v>93600</v>
      </c>
    </row>
    <row r="75" spans="1:11" hidden="1">
      <c r="A75" s="29" t="s">
        <v>138</v>
      </c>
      <c r="B75" s="32">
        <v>37784</v>
      </c>
      <c r="C75" s="29">
        <v>10.5</v>
      </c>
      <c r="D75" s="35">
        <v>10.75</v>
      </c>
      <c r="E75" s="35">
        <v>10.5</v>
      </c>
      <c r="F75" s="33">
        <v>10.75</v>
      </c>
      <c r="G75" s="29">
        <v>0</v>
      </c>
      <c r="H75" s="29">
        <v>0.25</v>
      </c>
      <c r="I75" s="35">
        <v>10.5</v>
      </c>
      <c r="J75" s="34">
        <v>32264</v>
      </c>
      <c r="K75" s="34">
        <v>349125</v>
      </c>
    </row>
    <row r="76" spans="1:11" hidden="1">
      <c r="A76" s="29" t="s">
        <v>138</v>
      </c>
      <c r="B76" s="32">
        <v>37785</v>
      </c>
      <c r="C76" s="29">
        <v>11</v>
      </c>
      <c r="D76" s="35">
        <v>11.25</v>
      </c>
      <c r="E76" s="35">
        <v>11</v>
      </c>
      <c r="F76" s="33">
        <v>11</v>
      </c>
      <c r="G76" s="29">
        <v>0</v>
      </c>
      <c r="H76" s="29">
        <v>0.25</v>
      </c>
      <c r="I76" s="35">
        <v>10.75</v>
      </c>
      <c r="J76" s="34">
        <v>43020</v>
      </c>
      <c r="K76" s="34">
        <v>476800</v>
      </c>
    </row>
    <row r="77" spans="1:11" hidden="1">
      <c r="A77" s="29" t="s">
        <v>138</v>
      </c>
      <c r="B77" s="32">
        <v>37788</v>
      </c>
      <c r="C77" s="29">
        <v>11.25</v>
      </c>
      <c r="D77" s="35">
        <v>11.25</v>
      </c>
      <c r="E77" s="35">
        <v>11.25</v>
      </c>
      <c r="F77" s="33">
        <v>11.25</v>
      </c>
      <c r="G77" s="29">
        <v>0</v>
      </c>
      <c r="H77" s="29">
        <v>0.25</v>
      </c>
      <c r="I77" s="35">
        <v>11</v>
      </c>
      <c r="J77" s="34">
        <v>18088</v>
      </c>
      <c r="K77" s="34">
        <v>203500</v>
      </c>
    </row>
    <row r="78" spans="1:11" hidden="1">
      <c r="A78" s="29" t="s">
        <v>138</v>
      </c>
      <c r="B78" s="32">
        <v>37789</v>
      </c>
      <c r="C78" s="29">
        <v>11.25</v>
      </c>
      <c r="D78" s="35">
        <v>11.5</v>
      </c>
      <c r="E78" s="35">
        <v>11.25</v>
      </c>
      <c r="F78" s="33">
        <v>11.25</v>
      </c>
      <c r="G78" s="29">
        <v>0</v>
      </c>
      <c r="H78" s="29">
        <v>0</v>
      </c>
      <c r="I78" s="35">
        <v>11.25</v>
      </c>
      <c r="J78" s="34">
        <v>75776</v>
      </c>
      <c r="K78" s="34">
        <v>866750</v>
      </c>
    </row>
    <row r="79" spans="1:11" hidden="1">
      <c r="A79" s="29" t="s">
        <v>138</v>
      </c>
      <c r="B79" s="32">
        <v>37790</v>
      </c>
      <c r="C79" s="29">
        <v>11.25</v>
      </c>
      <c r="D79" s="35">
        <v>11.75</v>
      </c>
      <c r="E79" s="35">
        <v>11.25</v>
      </c>
      <c r="F79" s="33">
        <v>11.5</v>
      </c>
      <c r="G79" s="29">
        <v>0</v>
      </c>
      <c r="H79" s="29">
        <v>0.25</v>
      </c>
      <c r="I79" s="35">
        <v>11.25</v>
      </c>
      <c r="J79" s="34">
        <v>102176</v>
      </c>
      <c r="K79" s="34">
        <v>1191200</v>
      </c>
    </row>
    <row r="80" spans="1:11" hidden="1">
      <c r="A80" s="29" t="s">
        <v>138</v>
      </c>
      <c r="B80" s="32">
        <v>37791</v>
      </c>
      <c r="C80" s="29">
        <v>11.5</v>
      </c>
      <c r="D80" s="35">
        <v>11.5</v>
      </c>
      <c r="E80" s="35">
        <v>11.5</v>
      </c>
      <c r="F80" s="33">
        <v>11.5</v>
      </c>
      <c r="G80" s="29">
        <v>0</v>
      </c>
      <c r="H80" s="29">
        <v>0</v>
      </c>
      <c r="I80" s="35">
        <v>11.5</v>
      </c>
      <c r="J80" s="34">
        <v>2444</v>
      </c>
      <c r="K80" s="34">
        <v>28600</v>
      </c>
    </row>
    <row r="81" spans="1:11" hidden="1">
      <c r="A81" s="29" t="s">
        <v>138</v>
      </c>
      <c r="B81" s="32">
        <v>37792</v>
      </c>
      <c r="C81" s="29">
        <v>11.5</v>
      </c>
      <c r="D81" s="35">
        <v>11.75</v>
      </c>
      <c r="E81" s="35">
        <v>11.5</v>
      </c>
      <c r="F81" s="33">
        <v>11.75</v>
      </c>
      <c r="G81" s="29">
        <v>0</v>
      </c>
      <c r="H81" s="29">
        <v>0.25</v>
      </c>
      <c r="I81" s="35">
        <v>11.5</v>
      </c>
      <c r="J81" s="34">
        <v>126620</v>
      </c>
      <c r="K81" s="34">
        <v>1480300</v>
      </c>
    </row>
    <row r="82" spans="1:11" hidden="1">
      <c r="A82" s="29" t="s">
        <v>138</v>
      </c>
      <c r="B82" s="32">
        <v>37795</v>
      </c>
      <c r="C82" s="29">
        <v>11.75</v>
      </c>
      <c r="D82" s="35">
        <v>11.75</v>
      </c>
      <c r="E82" s="35">
        <v>11.5</v>
      </c>
      <c r="F82" s="33">
        <v>11.75</v>
      </c>
      <c r="G82" s="29">
        <v>0</v>
      </c>
      <c r="H82" s="29">
        <v>0</v>
      </c>
      <c r="I82" s="35">
        <v>11.75</v>
      </c>
      <c r="J82" s="34">
        <v>66488</v>
      </c>
      <c r="K82" s="34">
        <v>780150</v>
      </c>
    </row>
    <row r="83" spans="1:11" hidden="1">
      <c r="A83" s="29" t="s">
        <v>138</v>
      </c>
      <c r="B83" s="32">
        <v>37796</v>
      </c>
      <c r="C83" s="29">
        <v>13.75</v>
      </c>
      <c r="D83" s="35">
        <v>13.75</v>
      </c>
      <c r="E83" s="35">
        <v>11.5</v>
      </c>
      <c r="F83" s="33">
        <v>12.25</v>
      </c>
      <c r="G83" s="29">
        <v>0</v>
      </c>
      <c r="H83" s="29">
        <v>0.5</v>
      </c>
      <c r="I83" s="35">
        <v>11.75</v>
      </c>
      <c r="J83" s="34">
        <v>185776</v>
      </c>
      <c r="K83" s="34">
        <v>2276150</v>
      </c>
    </row>
    <row r="84" spans="1:11" hidden="1">
      <c r="A84" s="29" t="s">
        <v>138</v>
      </c>
      <c r="B84" s="32">
        <v>37797</v>
      </c>
      <c r="C84" s="29">
        <v>12.5</v>
      </c>
      <c r="D84" s="35">
        <v>13.75</v>
      </c>
      <c r="E84" s="35">
        <v>11.75</v>
      </c>
      <c r="F84" s="33">
        <v>12.75</v>
      </c>
      <c r="G84" s="29">
        <v>0</v>
      </c>
      <c r="H84" s="29">
        <v>0.5</v>
      </c>
      <c r="I84" s="35">
        <v>12.25</v>
      </c>
      <c r="J84" s="34">
        <v>449776</v>
      </c>
      <c r="K84" s="34">
        <v>5691675</v>
      </c>
    </row>
    <row r="85" spans="1:11" hidden="1">
      <c r="A85" s="29" t="s">
        <v>138</v>
      </c>
      <c r="B85" s="32">
        <v>37798</v>
      </c>
      <c r="C85" s="29">
        <v>12.75</v>
      </c>
      <c r="D85" s="35">
        <v>12.75</v>
      </c>
      <c r="E85" s="35">
        <v>12.25</v>
      </c>
      <c r="F85" s="33">
        <v>12.5</v>
      </c>
      <c r="G85" s="29">
        <v>0</v>
      </c>
      <c r="H85" s="29">
        <v>-0.25</v>
      </c>
      <c r="I85" s="35">
        <v>12.75</v>
      </c>
      <c r="J85" s="34">
        <v>308976</v>
      </c>
      <c r="K85" s="34">
        <v>3897075</v>
      </c>
    </row>
    <row r="86" spans="1:11" hidden="1">
      <c r="A86" s="29" t="s">
        <v>138</v>
      </c>
      <c r="B86" s="32">
        <v>37799</v>
      </c>
      <c r="C86" s="29">
        <v>12.25</v>
      </c>
      <c r="D86" s="35">
        <v>12.25</v>
      </c>
      <c r="E86" s="35">
        <v>11.75</v>
      </c>
      <c r="F86" s="33">
        <v>12.25</v>
      </c>
      <c r="G86" s="29">
        <v>0</v>
      </c>
      <c r="H86" s="29">
        <v>-0.25</v>
      </c>
      <c r="I86" s="35">
        <v>12.5</v>
      </c>
      <c r="J86" s="34">
        <v>183332</v>
      </c>
      <c r="K86" s="34">
        <v>2247500</v>
      </c>
    </row>
    <row r="87" spans="1:11" hidden="1">
      <c r="A87" s="29" t="s">
        <v>138</v>
      </c>
      <c r="B87" s="32">
        <v>37802</v>
      </c>
      <c r="C87" s="29">
        <v>11.75</v>
      </c>
      <c r="D87" s="35">
        <v>11.75</v>
      </c>
      <c r="E87" s="35">
        <v>11.75</v>
      </c>
      <c r="F87" s="33">
        <v>11.75</v>
      </c>
      <c r="G87" s="29">
        <v>0</v>
      </c>
      <c r="H87" s="29">
        <v>-0.5</v>
      </c>
      <c r="I87" s="35">
        <v>12.25</v>
      </c>
      <c r="J87" s="34">
        <v>108044</v>
      </c>
      <c r="K87" s="34">
        <v>1282675</v>
      </c>
    </row>
    <row r="88" spans="1:11" hidden="1">
      <c r="A88" s="29" t="s">
        <v>138</v>
      </c>
      <c r="B88" s="32">
        <v>37803</v>
      </c>
      <c r="C88" s="29">
        <v>12.25</v>
      </c>
      <c r="D88" s="35">
        <v>12.25</v>
      </c>
      <c r="E88" s="35">
        <v>11.5</v>
      </c>
      <c r="F88" s="33">
        <v>11.75</v>
      </c>
      <c r="G88" s="29">
        <v>0</v>
      </c>
      <c r="H88" s="29">
        <v>0</v>
      </c>
      <c r="I88" s="35">
        <v>11.75</v>
      </c>
      <c r="J88" s="34">
        <v>136396</v>
      </c>
      <c r="K88" s="34">
        <v>1603500</v>
      </c>
    </row>
    <row r="89" spans="1:11" hidden="1">
      <c r="A89" s="29" t="s">
        <v>138</v>
      </c>
      <c r="B89" s="32">
        <v>37804</v>
      </c>
      <c r="C89" s="29">
        <v>11.75</v>
      </c>
      <c r="D89" s="35">
        <v>11.75</v>
      </c>
      <c r="E89" s="35">
        <v>11.25</v>
      </c>
      <c r="F89" s="33">
        <v>11.75</v>
      </c>
      <c r="G89" s="29">
        <v>0</v>
      </c>
      <c r="H89" s="29">
        <v>0</v>
      </c>
      <c r="I89" s="35">
        <v>11.75</v>
      </c>
      <c r="J89" s="34">
        <v>124176</v>
      </c>
      <c r="K89" s="34">
        <v>1458125</v>
      </c>
    </row>
    <row r="90" spans="1:11" hidden="1">
      <c r="A90" s="29" t="s">
        <v>138</v>
      </c>
      <c r="B90" s="32">
        <v>37805</v>
      </c>
      <c r="C90" s="29">
        <v>11.25</v>
      </c>
      <c r="D90" s="35">
        <v>11.75</v>
      </c>
      <c r="E90" s="35">
        <v>11.25</v>
      </c>
      <c r="F90" s="33">
        <v>11.5</v>
      </c>
      <c r="G90" s="29">
        <v>0</v>
      </c>
      <c r="H90" s="29">
        <v>-0.25</v>
      </c>
      <c r="I90" s="35">
        <v>11.75</v>
      </c>
      <c r="J90" s="34">
        <v>7332</v>
      </c>
      <c r="K90" s="34">
        <v>84250</v>
      </c>
    </row>
    <row r="91" spans="1:11" hidden="1">
      <c r="A91" s="29" t="s">
        <v>138</v>
      </c>
      <c r="B91" s="32">
        <v>37806</v>
      </c>
      <c r="C91" s="29">
        <v>11.25</v>
      </c>
      <c r="D91" s="35">
        <v>12</v>
      </c>
      <c r="E91" s="35">
        <v>11</v>
      </c>
      <c r="F91" s="33">
        <v>11.25</v>
      </c>
      <c r="G91" s="29">
        <v>0</v>
      </c>
      <c r="H91" s="29">
        <v>-0.25</v>
      </c>
      <c r="I91" s="35">
        <v>11.5</v>
      </c>
      <c r="J91" s="34">
        <v>153508</v>
      </c>
      <c r="K91" s="34">
        <v>1730875</v>
      </c>
    </row>
    <row r="92" spans="1:11" hidden="1">
      <c r="A92" s="29" t="s">
        <v>138</v>
      </c>
      <c r="B92" s="32">
        <v>37809</v>
      </c>
      <c r="C92" s="29">
        <v>11.25</v>
      </c>
      <c r="D92" s="35">
        <v>11.25</v>
      </c>
      <c r="E92" s="35">
        <v>11.25</v>
      </c>
      <c r="F92" s="33">
        <v>11.25</v>
      </c>
      <c r="G92" s="29">
        <v>0</v>
      </c>
      <c r="H92" s="29">
        <v>0</v>
      </c>
      <c r="I92" s="35">
        <v>11.25</v>
      </c>
      <c r="J92" s="34">
        <v>5376</v>
      </c>
      <c r="K92" s="34">
        <v>60500</v>
      </c>
    </row>
    <row r="93" spans="1:11" hidden="1">
      <c r="A93" s="29" t="s">
        <v>138</v>
      </c>
      <c r="B93" s="32">
        <v>37810</v>
      </c>
      <c r="C93" s="29">
        <v>10.75</v>
      </c>
      <c r="D93" s="35">
        <v>10.75</v>
      </c>
      <c r="E93" s="35">
        <v>10.75</v>
      </c>
      <c r="F93" s="33">
        <v>10.75</v>
      </c>
      <c r="G93" s="29">
        <v>0</v>
      </c>
      <c r="H93" s="29">
        <v>-0.5</v>
      </c>
      <c r="I93" s="35">
        <v>11.25</v>
      </c>
      <c r="J93" s="34">
        <v>40576</v>
      </c>
      <c r="K93" s="34">
        <v>439900</v>
      </c>
    </row>
    <row r="94" spans="1:11" hidden="1">
      <c r="A94" s="29" t="s">
        <v>138</v>
      </c>
      <c r="B94" s="32">
        <v>37811</v>
      </c>
      <c r="C94" s="29">
        <v>10.25</v>
      </c>
      <c r="D94" s="35">
        <v>10.5</v>
      </c>
      <c r="E94" s="35">
        <v>10.25</v>
      </c>
      <c r="F94" s="33">
        <v>10.25</v>
      </c>
      <c r="G94" s="29">
        <v>0</v>
      </c>
      <c r="H94" s="29">
        <v>-0.5</v>
      </c>
      <c r="I94" s="35">
        <v>10.75</v>
      </c>
      <c r="J94" s="34">
        <v>11244</v>
      </c>
      <c r="K94" s="34">
        <v>117425</v>
      </c>
    </row>
    <row r="95" spans="1:11" hidden="1">
      <c r="A95" s="29" t="s">
        <v>138</v>
      </c>
      <c r="B95" s="32">
        <v>37812</v>
      </c>
      <c r="C95" s="29">
        <v>10.5</v>
      </c>
      <c r="D95" s="35">
        <v>10.75</v>
      </c>
      <c r="E95" s="35">
        <v>10.25</v>
      </c>
      <c r="F95" s="33">
        <v>10.75</v>
      </c>
      <c r="G95" s="29">
        <v>0</v>
      </c>
      <c r="H95" s="29">
        <v>0.5</v>
      </c>
      <c r="I95" s="35">
        <v>10.25</v>
      </c>
      <c r="J95" s="34">
        <v>4396</v>
      </c>
      <c r="K95" s="34">
        <v>47250</v>
      </c>
    </row>
    <row r="96" spans="1:11" hidden="1">
      <c r="A96" s="29" t="s">
        <v>138</v>
      </c>
      <c r="B96" s="32">
        <v>37813</v>
      </c>
      <c r="C96" s="29">
        <v>10.75</v>
      </c>
      <c r="D96" s="35">
        <v>10.75</v>
      </c>
      <c r="E96" s="35">
        <v>10.5</v>
      </c>
      <c r="F96" s="33">
        <v>10.75</v>
      </c>
      <c r="G96" s="29">
        <v>0</v>
      </c>
      <c r="H96" s="29">
        <v>0</v>
      </c>
      <c r="I96" s="35">
        <v>10.75</v>
      </c>
      <c r="J96" s="34">
        <v>189688</v>
      </c>
      <c r="K96" s="34">
        <v>2056025</v>
      </c>
    </row>
    <row r="97" spans="1:11" hidden="1">
      <c r="A97" s="29" t="s">
        <v>138</v>
      </c>
      <c r="B97" s="32">
        <v>37816</v>
      </c>
      <c r="C97" s="29">
        <v>11</v>
      </c>
      <c r="D97" s="35">
        <v>11</v>
      </c>
      <c r="E97" s="35">
        <v>10.75</v>
      </c>
      <c r="F97" s="33">
        <v>11</v>
      </c>
      <c r="G97" s="29">
        <v>0</v>
      </c>
      <c r="H97" s="29">
        <v>0.25</v>
      </c>
      <c r="I97" s="35">
        <v>10.75</v>
      </c>
      <c r="J97" s="34">
        <v>51332</v>
      </c>
      <c r="K97" s="34">
        <v>568400</v>
      </c>
    </row>
    <row r="98" spans="1:11" hidden="1">
      <c r="A98" s="29" t="s">
        <v>138</v>
      </c>
      <c r="B98" s="32">
        <v>37817</v>
      </c>
      <c r="C98" s="29">
        <v>10.75</v>
      </c>
      <c r="D98" s="35">
        <v>10.75</v>
      </c>
      <c r="E98" s="35">
        <v>10.5</v>
      </c>
      <c r="F98" s="33">
        <v>10.75</v>
      </c>
      <c r="G98" s="29">
        <v>0</v>
      </c>
      <c r="H98" s="29">
        <v>-0.25</v>
      </c>
      <c r="I98" s="35">
        <v>11</v>
      </c>
      <c r="J98" s="34">
        <v>7332</v>
      </c>
      <c r="K98" s="34">
        <v>78675</v>
      </c>
    </row>
    <row r="99" spans="1:11" hidden="1">
      <c r="A99" s="29" t="s">
        <v>138</v>
      </c>
      <c r="B99" s="32">
        <v>37818</v>
      </c>
      <c r="C99" s="29">
        <v>11</v>
      </c>
      <c r="D99" s="35">
        <v>11.25</v>
      </c>
      <c r="E99" s="35">
        <v>10.75</v>
      </c>
      <c r="F99" s="33">
        <v>11</v>
      </c>
      <c r="G99" s="29">
        <v>0</v>
      </c>
      <c r="H99" s="29">
        <v>0.25</v>
      </c>
      <c r="I99" s="35">
        <v>10.75</v>
      </c>
      <c r="J99" s="34">
        <v>302132</v>
      </c>
      <c r="K99" s="34">
        <v>3336550</v>
      </c>
    </row>
    <row r="100" spans="1:11" hidden="1">
      <c r="A100" s="29" t="s">
        <v>138</v>
      </c>
      <c r="B100" s="32">
        <v>37819</v>
      </c>
      <c r="C100" s="29">
        <v>11.25</v>
      </c>
      <c r="D100" s="35">
        <v>11.25</v>
      </c>
      <c r="E100" s="35">
        <v>11</v>
      </c>
      <c r="F100" s="33">
        <v>11</v>
      </c>
      <c r="G100" s="29">
        <v>0</v>
      </c>
      <c r="H100" s="29">
        <v>0</v>
      </c>
      <c r="I100" s="35">
        <v>11</v>
      </c>
      <c r="J100" s="34">
        <v>100220</v>
      </c>
      <c r="K100" s="34">
        <v>1107200</v>
      </c>
    </row>
    <row r="101" spans="1:11" hidden="1">
      <c r="A101" s="29" t="s">
        <v>138</v>
      </c>
      <c r="B101" s="32">
        <v>37820</v>
      </c>
      <c r="C101" s="29">
        <v>10.5</v>
      </c>
      <c r="D101" s="35">
        <v>10.75</v>
      </c>
      <c r="E101" s="35">
        <v>10.5</v>
      </c>
      <c r="F101" s="33">
        <v>10.75</v>
      </c>
      <c r="G101" s="29">
        <v>0</v>
      </c>
      <c r="H101" s="29">
        <v>-0.25</v>
      </c>
      <c r="I101" s="35">
        <v>11</v>
      </c>
      <c r="J101" s="34">
        <v>31288</v>
      </c>
      <c r="K101" s="34">
        <v>337800</v>
      </c>
    </row>
    <row r="102" spans="1:11" hidden="1">
      <c r="A102" s="29" t="s">
        <v>138</v>
      </c>
      <c r="B102" s="32">
        <v>37823</v>
      </c>
      <c r="C102" s="29">
        <v>10.5</v>
      </c>
      <c r="D102" s="35">
        <v>11</v>
      </c>
      <c r="E102" s="35">
        <v>10.5</v>
      </c>
      <c r="F102" s="33">
        <v>10.75</v>
      </c>
      <c r="G102" s="29">
        <v>0</v>
      </c>
      <c r="H102" s="29">
        <v>0</v>
      </c>
      <c r="I102" s="35">
        <v>10.75</v>
      </c>
      <c r="J102" s="34">
        <v>10264</v>
      </c>
      <c r="K102" s="34">
        <v>112150</v>
      </c>
    </row>
    <row r="103" spans="1:11" hidden="1">
      <c r="A103" s="29" t="s">
        <v>138</v>
      </c>
      <c r="B103" s="32">
        <v>37825</v>
      </c>
      <c r="C103" s="29">
        <v>10.75</v>
      </c>
      <c r="D103" s="35">
        <v>10.75</v>
      </c>
      <c r="E103" s="35">
        <v>10.5</v>
      </c>
      <c r="F103" s="33">
        <v>10.5</v>
      </c>
      <c r="G103" s="29">
        <v>0</v>
      </c>
      <c r="H103" s="29">
        <v>-0.25</v>
      </c>
      <c r="I103" s="35">
        <v>10.75</v>
      </c>
      <c r="J103" s="34">
        <v>17596</v>
      </c>
      <c r="K103" s="34">
        <v>187150</v>
      </c>
    </row>
    <row r="104" spans="1:11" hidden="1">
      <c r="A104" s="29" t="s">
        <v>138</v>
      </c>
      <c r="B104" s="32">
        <v>37826</v>
      </c>
      <c r="C104" s="29">
        <v>10.5</v>
      </c>
      <c r="D104" s="35">
        <v>11</v>
      </c>
      <c r="E104" s="35">
        <v>10.5</v>
      </c>
      <c r="F104" s="33">
        <v>11</v>
      </c>
      <c r="G104" s="29">
        <v>0</v>
      </c>
      <c r="H104" s="29">
        <v>0.5</v>
      </c>
      <c r="I104" s="35">
        <v>10.5</v>
      </c>
      <c r="J104" s="34">
        <v>11244</v>
      </c>
      <c r="K104" s="34">
        <v>119275</v>
      </c>
    </row>
    <row r="105" spans="1:11" hidden="1">
      <c r="A105" s="29" t="s">
        <v>138</v>
      </c>
      <c r="B105" s="32">
        <v>37830</v>
      </c>
      <c r="C105" s="29">
        <v>11</v>
      </c>
      <c r="D105" s="35">
        <v>11</v>
      </c>
      <c r="E105" s="35">
        <v>11</v>
      </c>
      <c r="F105" s="33">
        <v>11</v>
      </c>
      <c r="G105" s="29">
        <v>0</v>
      </c>
      <c r="H105" s="29">
        <v>0</v>
      </c>
      <c r="I105" s="35">
        <v>11</v>
      </c>
      <c r="J105" s="34">
        <v>1464</v>
      </c>
      <c r="K105" s="34">
        <v>16200</v>
      </c>
    </row>
    <row r="106" spans="1:11" hidden="1">
      <c r="A106" s="29" t="s">
        <v>138</v>
      </c>
      <c r="B106" s="32">
        <v>37831</v>
      </c>
      <c r="C106" s="29">
        <v>11</v>
      </c>
      <c r="D106" s="35">
        <v>11</v>
      </c>
      <c r="E106" s="35">
        <v>11</v>
      </c>
      <c r="F106" s="33">
        <v>11</v>
      </c>
      <c r="G106" s="29">
        <v>0</v>
      </c>
      <c r="H106" s="29">
        <v>0</v>
      </c>
      <c r="I106" s="35">
        <v>11</v>
      </c>
      <c r="J106" s="34">
        <v>1464</v>
      </c>
      <c r="K106" s="34">
        <v>16200</v>
      </c>
    </row>
    <row r="107" spans="1:11" hidden="1">
      <c r="A107" s="29" t="s">
        <v>138</v>
      </c>
      <c r="B107" s="32">
        <v>37832</v>
      </c>
      <c r="C107" s="29">
        <v>11</v>
      </c>
      <c r="D107" s="35">
        <v>11</v>
      </c>
      <c r="E107" s="35">
        <v>10.75</v>
      </c>
      <c r="F107" s="33">
        <v>10.75</v>
      </c>
      <c r="G107" s="29">
        <v>0</v>
      </c>
      <c r="H107" s="29">
        <v>-0.25</v>
      </c>
      <c r="I107" s="35">
        <v>11</v>
      </c>
      <c r="J107" s="34">
        <v>23952</v>
      </c>
      <c r="K107" s="34">
        <v>262450</v>
      </c>
    </row>
    <row r="108" spans="1:11" hidden="1">
      <c r="A108" s="29" t="s">
        <v>138</v>
      </c>
      <c r="B108" s="32">
        <v>37833</v>
      </c>
      <c r="C108" s="29">
        <v>10.75</v>
      </c>
      <c r="D108" s="35">
        <v>10.75</v>
      </c>
      <c r="E108" s="35">
        <v>10.75</v>
      </c>
      <c r="F108" s="33">
        <v>10.75</v>
      </c>
      <c r="G108" s="29">
        <v>0</v>
      </c>
      <c r="H108" s="29">
        <v>0</v>
      </c>
      <c r="I108" s="35">
        <v>10.75</v>
      </c>
      <c r="J108" s="34">
        <v>15644</v>
      </c>
      <c r="K108" s="34">
        <v>169600</v>
      </c>
    </row>
    <row r="109" spans="1:11" hidden="1">
      <c r="A109" s="29" t="s">
        <v>138</v>
      </c>
      <c r="B109" s="32">
        <v>37834</v>
      </c>
      <c r="C109" s="29">
        <v>10.75</v>
      </c>
      <c r="D109" s="35">
        <v>11</v>
      </c>
      <c r="E109" s="35">
        <v>10.75</v>
      </c>
      <c r="F109" s="33">
        <v>10.75</v>
      </c>
      <c r="G109" s="29">
        <v>0</v>
      </c>
      <c r="H109" s="29">
        <v>0</v>
      </c>
      <c r="I109" s="35">
        <v>10.75</v>
      </c>
      <c r="J109" s="34">
        <v>9776</v>
      </c>
      <c r="K109" s="34">
        <v>107200</v>
      </c>
    </row>
    <row r="110" spans="1:11" hidden="1">
      <c r="A110" s="29" t="s">
        <v>138</v>
      </c>
      <c r="B110" s="32">
        <v>37837</v>
      </c>
      <c r="C110" s="29">
        <v>11</v>
      </c>
      <c r="D110" s="35">
        <v>11</v>
      </c>
      <c r="E110" s="35">
        <v>11</v>
      </c>
      <c r="F110" s="33">
        <v>11</v>
      </c>
      <c r="G110" s="29">
        <v>0</v>
      </c>
      <c r="H110" s="29">
        <v>0.25</v>
      </c>
      <c r="I110" s="35">
        <v>10.75</v>
      </c>
      <c r="J110" s="34">
        <v>9288</v>
      </c>
      <c r="K110" s="34">
        <v>102550</v>
      </c>
    </row>
    <row r="111" spans="1:11" hidden="1">
      <c r="A111" s="29" t="s">
        <v>138</v>
      </c>
      <c r="B111" s="32">
        <v>37838</v>
      </c>
      <c r="C111" s="29">
        <v>11</v>
      </c>
      <c r="D111" s="35">
        <v>11</v>
      </c>
      <c r="E111" s="35">
        <v>10.75</v>
      </c>
      <c r="F111" s="33">
        <v>11</v>
      </c>
      <c r="G111" s="29">
        <v>0</v>
      </c>
      <c r="H111" s="29">
        <v>0</v>
      </c>
      <c r="I111" s="35">
        <v>11</v>
      </c>
      <c r="J111" s="34">
        <v>132488</v>
      </c>
      <c r="K111" s="34">
        <v>1463750</v>
      </c>
    </row>
    <row r="112" spans="1:11" hidden="1">
      <c r="A112" s="29" t="s">
        <v>138</v>
      </c>
      <c r="B112" s="32">
        <v>37839</v>
      </c>
      <c r="C112" s="29">
        <v>11</v>
      </c>
      <c r="D112" s="35">
        <v>11</v>
      </c>
      <c r="E112" s="35">
        <v>11</v>
      </c>
      <c r="F112" s="33">
        <v>11</v>
      </c>
      <c r="G112" s="29">
        <v>0</v>
      </c>
      <c r="H112" s="29">
        <v>0</v>
      </c>
      <c r="I112" s="35">
        <v>11</v>
      </c>
      <c r="J112" s="34">
        <v>82132</v>
      </c>
      <c r="K112" s="34">
        <v>907250</v>
      </c>
    </row>
    <row r="113" spans="1:11" hidden="1">
      <c r="A113" s="29" t="s">
        <v>138</v>
      </c>
      <c r="B113" s="32">
        <v>37840</v>
      </c>
      <c r="C113" s="29">
        <v>11</v>
      </c>
      <c r="D113" s="35">
        <v>11</v>
      </c>
      <c r="E113" s="35">
        <v>10.5</v>
      </c>
      <c r="F113" s="33">
        <v>10.75</v>
      </c>
      <c r="G113" s="29">
        <v>0</v>
      </c>
      <c r="H113" s="29">
        <v>-0.25</v>
      </c>
      <c r="I113" s="35">
        <v>11</v>
      </c>
      <c r="J113" s="34">
        <v>32264</v>
      </c>
      <c r="K113" s="34">
        <v>350300</v>
      </c>
    </row>
    <row r="114" spans="1:11" hidden="1">
      <c r="A114" s="29" t="s">
        <v>138</v>
      </c>
      <c r="B114" s="32">
        <v>37845</v>
      </c>
      <c r="C114" s="29">
        <v>10.5</v>
      </c>
      <c r="D114" s="35">
        <v>10.5</v>
      </c>
      <c r="E114" s="35">
        <v>10.5</v>
      </c>
      <c r="F114" s="33">
        <v>10.5</v>
      </c>
      <c r="G114" s="29">
        <v>0</v>
      </c>
      <c r="H114" s="29">
        <v>-0.25</v>
      </c>
      <c r="I114" s="35">
        <v>10.75</v>
      </c>
      <c r="J114" s="34">
        <v>3908</v>
      </c>
      <c r="K114" s="34">
        <v>41800</v>
      </c>
    </row>
    <row r="115" spans="1:11" hidden="1">
      <c r="A115" s="29" t="s">
        <v>138</v>
      </c>
      <c r="B115" s="32">
        <v>37846</v>
      </c>
      <c r="C115" s="29">
        <v>10.5</v>
      </c>
      <c r="D115" s="35">
        <v>10.5</v>
      </c>
      <c r="E115" s="35">
        <v>10.5</v>
      </c>
      <c r="F115" s="33">
        <v>10.5</v>
      </c>
      <c r="G115" s="29">
        <v>0</v>
      </c>
      <c r="H115" s="29">
        <v>0</v>
      </c>
      <c r="I115" s="35">
        <v>10.5</v>
      </c>
      <c r="J115" s="34">
        <v>6352</v>
      </c>
      <c r="K115" s="34">
        <v>67925</v>
      </c>
    </row>
    <row r="116" spans="1:11" hidden="1">
      <c r="A116" s="29" t="s">
        <v>138</v>
      </c>
      <c r="B116" s="32">
        <v>37847</v>
      </c>
      <c r="C116" s="29">
        <v>10.75</v>
      </c>
      <c r="D116" s="35">
        <v>11</v>
      </c>
      <c r="E116" s="35">
        <v>10.75</v>
      </c>
      <c r="F116" s="33">
        <v>11</v>
      </c>
      <c r="G116" s="29">
        <v>0</v>
      </c>
      <c r="H116" s="29">
        <v>0.5</v>
      </c>
      <c r="I116" s="35">
        <v>10.5</v>
      </c>
      <c r="J116" s="34">
        <v>78220</v>
      </c>
      <c r="K116" s="34">
        <v>862150</v>
      </c>
    </row>
    <row r="117" spans="1:11" hidden="1">
      <c r="A117" s="29" t="s">
        <v>138</v>
      </c>
      <c r="B117" s="32">
        <v>37848</v>
      </c>
      <c r="C117" s="29">
        <v>11.25</v>
      </c>
      <c r="D117" s="35">
        <v>11.25</v>
      </c>
      <c r="E117" s="35">
        <v>11.25</v>
      </c>
      <c r="F117" s="33">
        <v>11.25</v>
      </c>
      <c r="G117" s="29">
        <v>0</v>
      </c>
      <c r="H117" s="29">
        <v>0.25</v>
      </c>
      <c r="I117" s="35">
        <v>11</v>
      </c>
      <c r="J117" s="34">
        <v>9288</v>
      </c>
      <c r="K117" s="34">
        <v>106400</v>
      </c>
    </row>
    <row r="118" spans="1:11" hidden="1">
      <c r="A118" s="29" t="s">
        <v>138</v>
      </c>
      <c r="B118" s="32">
        <v>37851</v>
      </c>
      <c r="C118" s="29">
        <v>11.25</v>
      </c>
      <c r="D118" s="35">
        <v>11.5</v>
      </c>
      <c r="E118" s="35">
        <v>11.25</v>
      </c>
      <c r="F118" s="33">
        <v>11.25</v>
      </c>
      <c r="G118" s="29">
        <v>0</v>
      </c>
      <c r="H118" s="29">
        <v>0</v>
      </c>
      <c r="I118" s="35">
        <v>11.25</v>
      </c>
      <c r="J118" s="34">
        <v>10264</v>
      </c>
      <c r="K118" s="34">
        <v>117250</v>
      </c>
    </row>
    <row r="119" spans="1:11" hidden="1">
      <c r="A119" s="29" t="s">
        <v>138</v>
      </c>
      <c r="B119" s="32">
        <v>37852</v>
      </c>
      <c r="C119" s="29">
        <v>11.25</v>
      </c>
      <c r="D119" s="35">
        <v>11.25</v>
      </c>
      <c r="E119" s="35">
        <v>11.25</v>
      </c>
      <c r="F119" s="33">
        <v>11.25</v>
      </c>
      <c r="G119" s="29">
        <v>0</v>
      </c>
      <c r="H119" s="29">
        <v>0</v>
      </c>
      <c r="I119" s="35">
        <v>11.25</v>
      </c>
      <c r="J119" s="34">
        <v>976</v>
      </c>
      <c r="K119" s="34">
        <v>11100</v>
      </c>
    </row>
    <row r="120" spans="1:11" hidden="1">
      <c r="A120" s="29" t="s">
        <v>138</v>
      </c>
      <c r="B120" s="32">
        <v>37853</v>
      </c>
      <c r="C120" s="29">
        <v>11.25</v>
      </c>
      <c r="D120" s="35">
        <v>11.25</v>
      </c>
      <c r="E120" s="35">
        <v>11.25</v>
      </c>
      <c r="F120" s="33">
        <v>11.25</v>
      </c>
      <c r="G120" s="29">
        <v>0</v>
      </c>
      <c r="H120" s="29">
        <v>0</v>
      </c>
      <c r="I120" s="35">
        <v>11.25</v>
      </c>
      <c r="J120" s="34">
        <v>89464</v>
      </c>
      <c r="K120" s="34">
        <v>1006800</v>
      </c>
    </row>
    <row r="121" spans="1:11" hidden="1">
      <c r="A121" s="29" t="s">
        <v>138</v>
      </c>
      <c r="B121" s="32">
        <v>37854</v>
      </c>
      <c r="C121" s="29">
        <v>11</v>
      </c>
      <c r="D121" s="35">
        <v>11.25</v>
      </c>
      <c r="E121" s="35">
        <v>11</v>
      </c>
      <c r="F121" s="33">
        <v>11</v>
      </c>
      <c r="G121" s="29">
        <v>0</v>
      </c>
      <c r="H121" s="29">
        <v>-0.25</v>
      </c>
      <c r="I121" s="35">
        <v>11.25</v>
      </c>
      <c r="J121" s="34">
        <v>1464</v>
      </c>
      <c r="K121" s="34">
        <v>16400</v>
      </c>
    </row>
    <row r="122" spans="1:11" hidden="1">
      <c r="A122" s="29" t="s">
        <v>138</v>
      </c>
      <c r="B122" s="32">
        <v>37858</v>
      </c>
      <c r="C122" s="29">
        <v>11</v>
      </c>
      <c r="D122" s="35">
        <v>11</v>
      </c>
      <c r="E122" s="35">
        <v>11</v>
      </c>
      <c r="F122" s="33">
        <v>11</v>
      </c>
      <c r="G122" s="29">
        <v>0</v>
      </c>
      <c r="H122" s="29">
        <v>0</v>
      </c>
      <c r="I122" s="35">
        <v>11</v>
      </c>
      <c r="J122" s="34">
        <v>48888</v>
      </c>
      <c r="K122" s="34">
        <v>540000</v>
      </c>
    </row>
    <row r="123" spans="1:11" hidden="1">
      <c r="A123" s="29" t="s">
        <v>138</v>
      </c>
      <c r="B123" s="32">
        <v>37861</v>
      </c>
      <c r="C123" s="29">
        <v>11</v>
      </c>
      <c r="D123" s="35">
        <v>11</v>
      </c>
      <c r="E123" s="35">
        <v>11</v>
      </c>
      <c r="F123" s="33">
        <v>11</v>
      </c>
      <c r="G123" s="29">
        <v>0</v>
      </c>
      <c r="H123" s="29">
        <v>0</v>
      </c>
      <c r="I123" s="35">
        <v>11</v>
      </c>
      <c r="J123" s="34">
        <v>488</v>
      </c>
      <c r="K123" s="34">
        <v>5400</v>
      </c>
    </row>
    <row r="124" spans="1:11" hidden="1">
      <c r="A124" s="29" t="s">
        <v>138</v>
      </c>
      <c r="B124" s="32">
        <v>37865</v>
      </c>
      <c r="C124" s="29">
        <v>11</v>
      </c>
      <c r="D124" s="35">
        <v>11</v>
      </c>
      <c r="E124" s="35">
        <v>11</v>
      </c>
      <c r="F124" s="33">
        <v>11</v>
      </c>
      <c r="G124" s="29">
        <v>0</v>
      </c>
      <c r="H124" s="29">
        <v>0</v>
      </c>
      <c r="I124" s="35">
        <v>11</v>
      </c>
      <c r="J124" s="34">
        <v>2444</v>
      </c>
      <c r="K124" s="34">
        <v>27000</v>
      </c>
    </row>
    <row r="125" spans="1:11" hidden="1">
      <c r="A125" s="29" t="s">
        <v>138</v>
      </c>
      <c r="B125" s="32">
        <v>37866</v>
      </c>
      <c r="C125" s="29">
        <v>10.5</v>
      </c>
      <c r="D125" s="35">
        <v>10.5</v>
      </c>
      <c r="E125" s="35">
        <v>10.25</v>
      </c>
      <c r="F125" s="33">
        <v>10.25</v>
      </c>
      <c r="G125" s="29">
        <v>0</v>
      </c>
      <c r="H125" s="29">
        <v>-0.75</v>
      </c>
      <c r="I125" s="35">
        <v>11</v>
      </c>
      <c r="J125" s="34">
        <v>113908</v>
      </c>
      <c r="K125" s="34">
        <v>1172050</v>
      </c>
    </row>
    <row r="126" spans="1:11" hidden="1">
      <c r="A126" s="29" t="s">
        <v>138</v>
      </c>
      <c r="B126" s="32">
        <v>37867</v>
      </c>
      <c r="C126" s="29">
        <v>10.75</v>
      </c>
      <c r="D126" s="35">
        <v>11</v>
      </c>
      <c r="E126" s="35">
        <v>10.75</v>
      </c>
      <c r="F126" s="33">
        <v>11</v>
      </c>
      <c r="G126" s="29">
        <v>0</v>
      </c>
      <c r="H126" s="29">
        <v>0.75</v>
      </c>
      <c r="I126" s="35">
        <v>10.25</v>
      </c>
      <c r="J126" s="34">
        <v>58664</v>
      </c>
      <c r="K126" s="34">
        <v>647950</v>
      </c>
    </row>
    <row r="127" spans="1:11" hidden="1">
      <c r="A127" s="29" t="s">
        <v>138</v>
      </c>
      <c r="B127" s="32">
        <v>37868</v>
      </c>
      <c r="C127" s="29">
        <v>10.25</v>
      </c>
      <c r="D127" s="35">
        <v>10.25</v>
      </c>
      <c r="E127" s="35">
        <v>10.25</v>
      </c>
      <c r="F127" s="33">
        <v>10.25</v>
      </c>
      <c r="G127" s="29">
        <v>0</v>
      </c>
      <c r="H127" s="29">
        <v>-0.75</v>
      </c>
      <c r="I127" s="35">
        <v>11</v>
      </c>
      <c r="J127" s="34">
        <v>6352</v>
      </c>
      <c r="K127" s="34">
        <v>66300</v>
      </c>
    </row>
    <row r="128" spans="1:11" hidden="1">
      <c r="A128" s="29" t="s">
        <v>138</v>
      </c>
      <c r="B128" s="32">
        <v>37869</v>
      </c>
      <c r="C128" s="29">
        <v>10.25</v>
      </c>
      <c r="D128" s="35">
        <v>10.25</v>
      </c>
      <c r="E128" s="35">
        <v>10.25</v>
      </c>
      <c r="F128" s="33">
        <v>10.25</v>
      </c>
      <c r="G128" s="29">
        <v>0</v>
      </c>
      <c r="H128" s="29">
        <v>0</v>
      </c>
      <c r="I128" s="35">
        <v>10.25</v>
      </c>
      <c r="J128" s="34">
        <v>56708</v>
      </c>
      <c r="K128" s="34">
        <v>583125</v>
      </c>
    </row>
    <row r="129" spans="1:11" hidden="1">
      <c r="A129" s="29" t="s">
        <v>138</v>
      </c>
      <c r="B129" s="32">
        <v>37872</v>
      </c>
      <c r="C129" s="29">
        <v>10.25</v>
      </c>
      <c r="D129" s="35">
        <v>10.25</v>
      </c>
      <c r="E129" s="35">
        <v>10</v>
      </c>
      <c r="F129" s="33">
        <v>10.25</v>
      </c>
      <c r="G129" s="29">
        <v>0</v>
      </c>
      <c r="H129" s="29">
        <v>0</v>
      </c>
      <c r="I129" s="35">
        <v>10.25</v>
      </c>
      <c r="J129" s="34">
        <v>151552</v>
      </c>
      <c r="K129" s="34">
        <v>1549500</v>
      </c>
    </row>
    <row r="130" spans="1:11" hidden="1">
      <c r="A130" s="29" t="s">
        <v>138</v>
      </c>
      <c r="B130" s="32">
        <v>37875</v>
      </c>
      <c r="C130" s="29">
        <v>10.25</v>
      </c>
      <c r="D130" s="35">
        <v>10.25</v>
      </c>
      <c r="E130" s="35">
        <v>10</v>
      </c>
      <c r="F130" s="33">
        <v>10</v>
      </c>
      <c r="G130" s="29">
        <v>0</v>
      </c>
      <c r="H130" s="29">
        <v>-0.25</v>
      </c>
      <c r="I130" s="35">
        <v>10.25</v>
      </c>
      <c r="J130" s="34">
        <v>3420</v>
      </c>
      <c r="K130" s="34">
        <v>34500</v>
      </c>
    </row>
    <row r="131" spans="1:11" hidden="1">
      <c r="A131" s="29" t="s">
        <v>138</v>
      </c>
      <c r="B131" s="32">
        <v>37876</v>
      </c>
      <c r="C131" s="29">
        <v>10</v>
      </c>
      <c r="D131" s="35">
        <v>10</v>
      </c>
      <c r="E131" s="35">
        <v>10</v>
      </c>
      <c r="F131" s="33">
        <v>10</v>
      </c>
      <c r="G131" s="29">
        <v>0</v>
      </c>
      <c r="H131" s="29">
        <v>0</v>
      </c>
      <c r="I131" s="35">
        <v>10</v>
      </c>
      <c r="J131" s="34">
        <v>10264</v>
      </c>
      <c r="K131" s="34">
        <v>102900</v>
      </c>
    </row>
    <row r="132" spans="1:11" hidden="1">
      <c r="A132" s="29" t="s">
        <v>138</v>
      </c>
      <c r="B132" s="32">
        <v>37881</v>
      </c>
      <c r="C132" s="29">
        <v>9.75</v>
      </c>
      <c r="D132" s="35">
        <v>10</v>
      </c>
      <c r="E132" s="35">
        <v>9.75</v>
      </c>
      <c r="F132" s="33">
        <v>9.75</v>
      </c>
      <c r="G132" s="29">
        <v>0</v>
      </c>
      <c r="H132" s="29">
        <v>-0.25</v>
      </c>
      <c r="I132" s="35">
        <v>10</v>
      </c>
      <c r="J132" s="34">
        <v>78220</v>
      </c>
      <c r="K132" s="34">
        <v>768300</v>
      </c>
    </row>
    <row r="133" spans="1:11" hidden="1">
      <c r="A133" s="29" t="s">
        <v>138</v>
      </c>
      <c r="B133" s="32">
        <v>37882</v>
      </c>
      <c r="C133" s="29">
        <v>10.25</v>
      </c>
      <c r="D133" s="35">
        <v>10.25</v>
      </c>
      <c r="E133" s="35">
        <v>10.25</v>
      </c>
      <c r="F133" s="33">
        <v>10.25</v>
      </c>
      <c r="G133" s="29">
        <v>0</v>
      </c>
      <c r="H133" s="29">
        <v>0.5</v>
      </c>
      <c r="I133" s="35">
        <v>9.75</v>
      </c>
      <c r="J133" s="34">
        <v>488</v>
      </c>
      <c r="K133" s="34">
        <v>5000</v>
      </c>
    </row>
    <row r="134" spans="1:11" hidden="1">
      <c r="A134" s="29" t="s">
        <v>138</v>
      </c>
      <c r="B134" s="32">
        <v>37886</v>
      </c>
      <c r="C134" s="29">
        <v>10.25</v>
      </c>
      <c r="D134" s="35">
        <v>10.25</v>
      </c>
      <c r="E134" s="35">
        <v>10.25</v>
      </c>
      <c r="F134" s="33">
        <v>10.25</v>
      </c>
      <c r="G134" s="29">
        <v>0</v>
      </c>
      <c r="H134" s="29">
        <v>0</v>
      </c>
      <c r="I134" s="35">
        <v>10.25</v>
      </c>
      <c r="J134" s="34">
        <v>488</v>
      </c>
      <c r="K134" s="34">
        <v>5000</v>
      </c>
    </row>
    <row r="135" spans="1:11" hidden="1">
      <c r="A135" s="29" t="s">
        <v>138</v>
      </c>
      <c r="B135" s="32">
        <v>37887</v>
      </c>
      <c r="C135" s="29">
        <v>10.25</v>
      </c>
      <c r="D135" s="35">
        <v>10.25</v>
      </c>
      <c r="E135" s="35">
        <v>10.25</v>
      </c>
      <c r="F135" s="33">
        <v>10.25</v>
      </c>
      <c r="G135" s="29">
        <v>0</v>
      </c>
      <c r="H135" s="29">
        <v>0</v>
      </c>
      <c r="I135" s="35">
        <v>10.25</v>
      </c>
      <c r="J135" s="34">
        <v>3420</v>
      </c>
      <c r="K135" s="34">
        <v>35000</v>
      </c>
    </row>
    <row r="136" spans="1:11" hidden="1">
      <c r="A136" s="29" t="s">
        <v>138</v>
      </c>
      <c r="B136" s="32">
        <v>37889</v>
      </c>
      <c r="C136" s="29">
        <v>9.5</v>
      </c>
      <c r="D136" s="35">
        <v>9.5</v>
      </c>
      <c r="E136" s="35">
        <v>9.5</v>
      </c>
      <c r="F136" s="33">
        <v>9.5</v>
      </c>
      <c r="G136" s="29">
        <v>0</v>
      </c>
      <c r="H136" s="29">
        <v>-0.75</v>
      </c>
      <c r="I136" s="35">
        <v>10.25</v>
      </c>
      <c r="J136" s="34">
        <v>3908</v>
      </c>
      <c r="K136" s="34">
        <v>38000</v>
      </c>
    </row>
    <row r="137" spans="1:11" hidden="1">
      <c r="A137" s="29" t="s">
        <v>138</v>
      </c>
      <c r="B137" s="32">
        <v>37890</v>
      </c>
      <c r="C137" s="29">
        <v>9.75</v>
      </c>
      <c r="D137" s="35">
        <v>9.75</v>
      </c>
      <c r="E137" s="35">
        <v>9.5</v>
      </c>
      <c r="F137" s="33">
        <v>9.75</v>
      </c>
      <c r="G137" s="29">
        <v>0</v>
      </c>
      <c r="H137" s="29">
        <v>0.25</v>
      </c>
      <c r="I137" s="35">
        <v>9.5</v>
      </c>
      <c r="J137" s="34">
        <v>54752</v>
      </c>
      <c r="K137" s="34">
        <v>533500</v>
      </c>
    </row>
    <row r="138" spans="1:11" hidden="1">
      <c r="A138" s="29" t="s">
        <v>138</v>
      </c>
      <c r="B138" s="32">
        <v>37893</v>
      </c>
      <c r="C138" s="29">
        <v>10.25</v>
      </c>
      <c r="D138" s="35">
        <v>10.25</v>
      </c>
      <c r="E138" s="35">
        <v>10.25</v>
      </c>
      <c r="F138" s="33">
        <v>10.25</v>
      </c>
      <c r="G138" s="29">
        <v>0</v>
      </c>
      <c r="H138" s="29">
        <v>0.5</v>
      </c>
      <c r="I138" s="35">
        <v>9.75</v>
      </c>
      <c r="J138" s="34">
        <v>3908</v>
      </c>
      <c r="K138" s="34">
        <v>40000</v>
      </c>
    </row>
    <row r="139" spans="1:11" hidden="1">
      <c r="A139" s="29" t="s">
        <v>138</v>
      </c>
      <c r="B139" s="32">
        <v>37894</v>
      </c>
      <c r="C139" s="29">
        <v>9.25</v>
      </c>
      <c r="D139" s="35">
        <v>10.25</v>
      </c>
      <c r="E139" s="35">
        <v>9</v>
      </c>
      <c r="F139" s="33">
        <v>9.5</v>
      </c>
      <c r="G139" s="29">
        <v>0</v>
      </c>
      <c r="H139" s="29">
        <v>-0.75</v>
      </c>
      <c r="I139" s="35">
        <v>10.25</v>
      </c>
      <c r="J139" s="34">
        <v>18088</v>
      </c>
      <c r="K139" s="34">
        <v>176050</v>
      </c>
    </row>
    <row r="140" spans="1:11" hidden="1">
      <c r="A140" s="29" t="s">
        <v>138</v>
      </c>
      <c r="B140" s="32">
        <v>37895</v>
      </c>
      <c r="C140" s="29">
        <v>9.75</v>
      </c>
      <c r="D140" s="35">
        <v>9.75</v>
      </c>
      <c r="E140" s="35">
        <v>9.75</v>
      </c>
      <c r="F140" s="33">
        <v>9.75</v>
      </c>
      <c r="G140" s="29">
        <v>0</v>
      </c>
      <c r="H140" s="29">
        <v>0.25</v>
      </c>
      <c r="I140" s="35">
        <v>9.5</v>
      </c>
      <c r="J140" s="34">
        <v>1952</v>
      </c>
      <c r="K140" s="34">
        <v>19200</v>
      </c>
    </row>
    <row r="141" spans="1:11" hidden="1">
      <c r="A141" s="29" t="s">
        <v>138</v>
      </c>
      <c r="B141" s="32">
        <v>37896</v>
      </c>
      <c r="C141" s="29">
        <v>9.75</v>
      </c>
      <c r="D141" s="35">
        <v>9.75</v>
      </c>
      <c r="E141" s="35">
        <v>9.75</v>
      </c>
      <c r="F141" s="33">
        <v>9.75</v>
      </c>
      <c r="G141" s="29">
        <v>0</v>
      </c>
      <c r="H141" s="29">
        <v>0</v>
      </c>
      <c r="I141" s="35">
        <v>9.75</v>
      </c>
      <c r="J141" s="34">
        <v>9776</v>
      </c>
      <c r="K141" s="34">
        <v>96000</v>
      </c>
    </row>
    <row r="142" spans="1:11" hidden="1">
      <c r="A142" s="29" t="s">
        <v>138</v>
      </c>
      <c r="B142" s="32">
        <v>37897</v>
      </c>
      <c r="C142" s="29">
        <v>9.75</v>
      </c>
      <c r="D142" s="35">
        <v>9.75</v>
      </c>
      <c r="E142" s="35">
        <v>9.25</v>
      </c>
      <c r="F142" s="33">
        <v>9.25</v>
      </c>
      <c r="G142" s="29">
        <v>0</v>
      </c>
      <c r="H142" s="29">
        <v>-0.5</v>
      </c>
      <c r="I142" s="35">
        <v>9.75</v>
      </c>
      <c r="J142" s="34">
        <v>7820</v>
      </c>
      <c r="K142" s="34">
        <v>74800</v>
      </c>
    </row>
    <row r="143" spans="1:11" hidden="1">
      <c r="A143" s="29" t="s">
        <v>138</v>
      </c>
      <c r="B143" s="32">
        <v>37902</v>
      </c>
      <c r="C143" s="29">
        <v>9.25</v>
      </c>
      <c r="D143" s="35">
        <v>9.25</v>
      </c>
      <c r="E143" s="35">
        <v>9.25</v>
      </c>
      <c r="F143" s="33">
        <v>9.25</v>
      </c>
      <c r="G143" s="29">
        <v>0</v>
      </c>
      <c r="H143" s="29">
        <v>0</v>
      </c>
      <c r="I143" s="35">
        <v>9.25</v>
      </c>
      <c r="J143" s="34">
        <v>58664</v>
      </c>
      <c r="K143" s="34">
        <v>552000</v>
      </c>
    </row>
    <row r="144" spans="1:11" hidden="1">
      <c r="A144" s="29" t="s">
        <v>138</v>
      </c>
      <c r="B144" s="32">
        <v>37904</v>
      </c>
      <c r="C144" s="29">
        <v>11</v>
      </c>
      <c r="D144" s="35">
        <v>11</v>
      </c>
      <c r="E144" s="35">
        <v>11</v>
      </c>
      <c r="F144" s="33">
        <v>11</v>
      </c>
      <c r="G144" s="29">
        <v>0</v>
      </c>
      <c r="H144" s="29">
        <v>1.75</v>
      </c>
      <c r="I144" s="35">
        <v>9.25</v>
      </c>
      <c r="J144" s="34">
        <v>1464</v>
      </c>
      <c r="K144" s="34">
        <v>16200</v>
      </c>
    </row>
    <row r="145" spans="1:11" hidden="1">
      <c r="A145" s="29" t="s">
        <v>138</v>
      </c>
      <c r="B145" s="32">
        <v>37907</v>
      </c>
      <c r="C145" s="29">
        <v>9.75</v>
      </c>
      <c r="D145" s="35">
        <v>9.75</v>
      </c>
      <c r="E145" s="35">
        <v>9.5</v>
      </c>
      <c r="F145" s="33">
        <v>9.5</v>
      </c>
      <c r="G145" s="29">
        <v>0</v>
      </c>
      <c r="H145" s="29">
        <v>-1.5</v>
      </c>
      <c r="I145" s="35">
        <v>11</v>
      </c>
      <c r="J145" s="34">
        <v>16620</v>
      </c>
      <c r="K145" s="34">
        <v>162950</v>
      </c>
    </row>
    <row r="146" spans="1:11" hidden="1">
      <c r="A146" s="29" t="s">
        <v>138</v>
      </c>
      <c r="B146" s="32">
        <v>37908</v>
      </c>
      <c r="C146" s="29">
        <v>9.75</v>
      </c>
      <c r="D146" s="35">
        <v>9.75</v>
      </c>
      <c r="E146" s="35">
        <v>9.5</v>
      </c>
      <c r="F146" s="33">
        <v>9.5</v>
      </c>
      <c r="G146" s="29">
        <v>0</v>
      </c>
      <c r="H146" s="29">
        <v>0</v>
      </c>
      <c r="I146" s="35">
        <v>9.5</v>
      </c>
      <c r="J146" s="34">
        <v>12220</v>
      </c>
      <c r="K146" s="34">
        <v>119250</v>
      </c>
    </row>
    <row r="147" spans="1:11" hidden="1">
      <c r="A147" s="29" t="s">
        <v>138</v>
      </c>
      <c r="B147" s="32">
        <v>37909</v>
      </c>
      <c r="C147" s="29">
        <v>9.5</v>
      </c>
      <c r="D147" s="35">
        <v>9.5</v>
      </c>
      <c r="E147" s="35">
        <v>9.5</v>
      </c>
      <c r="F147" s="33">
        <v>9.5</v>
      </c>
      <c r="G147" s="29">
        <v>0</v>
      </c>
      <c r="H147" s="29">
        <v>0</v>
      </c>
      <c r="I147" s="35">
        <v>9.5</v>
      </c>
      <c r="J147" s="34">
        <v>45464</v>
      </c>
      <c r="K147" s="34">
        <v>441425</v>
      </c>
    </row>
    <row r="148" spans="1:11" hidden="1">
      <c r="A148" s="29" t="s">
        <v>138</v>
      </c>
      <c r="B148" s="32">
        <v>37910</v>
      </c>
      <c r="C148" s="29">
        <v>9.5</v>
      </c>
      <c r="D148" s="35">
        <v>9.5</v>
      </c>
      <c r="E148" s="35">
        <v>9.5</v>
      </c>
      <c r="F148" s="33">
        <v>9.5</v>
      </c>
      <c r="G148" s="29">
        <v>0</v>
      </c>
      <c r="H148" s="29">
        <v>0</v>
      </c>
      <c r="I148" s="35">
        <v>9.5</v>
      </c>
      <c r="J148" s="34">
        <v>9288</v>
      </c>
      <c r="K148" s="34">
        <v>90250</v>
      </c>
    </row>
    <row r="149" spans="1:11" hidden="1">
      <c r="A149" s="29" t="s">
        <v>138</v>
      </c>
      <c r="B149" s="32">
        <v>37911</v>
      </c>
      <c r="C149" s="29">
        <v>9.5</v>
      </c>
      <c r="D149" s="35">
        <v>10.5</v>
      </c>
      <c r="E149" s="35">
        <v>9.5</v>
      </c>
      <c r="F149" s="33">
        <v>9.75</v>
      </c>
      <c r="G149" s="29">
        <v>0</v>
      </c>
      <c r="H149" s="29">
        <v>0.25</v>
      </c>
      <c r="I149" s="35">
        <v>9.5</v>
      </c>
      <c r="J149" s="34">
        <v>9776</v>
      </c>
      <c r="K149" s="34">
        <v>95700</v>
      </c>
    </row>
    <row r="150" spans="1:11" hidden="1">
      <c r="A150" s="29" t="s">
        <v>138</v>
      </c>
      <c r="B150" s="32">
        <v>37914</v>
      </c>
      <c r="C150" s="29">
        <v>9.75</v>
      </c>
      <c r="D150" s="35">
        <v>9.75</v>
      </c>
      <c r="E150" s="35">
        <v>9.5</v>
      </c>
      <c r="F150" s="33">
        <v>9.5</v>
      </c>
      <c r="G150" s="29">
        <v>0</v>
      </c>
      <c r="H150" s="29">
        <v>-0.25</v>
      </c>
      <c r="I150" s="35">
        <v>9.75</v>
      </c>
      <c r="J150" s="34">
        <v>24444</v>
      </c>
      <c r="K150" s="34">
        <v>237500</v>
      </c>
    </row>
    <row r="151" spans="1:11" hidden="1">
      <c r="A151" s="29" t="s">
        <v>138</v>
      </c>
      <c r="B151" s="32">
        <v>37915</v>
      </c>
      <c r="C151" s="29">
        <v>9.25</v>
      </c>
      <c r="D151" s="35">
        <v>9.5</v>
      </c>
      <c r="E151" s="35">
        <v>9.25</v>
      </c>
      <c r="F151" s="33">
        <v>9.25</v>
      </c>
      <c r="G151" s="29">
        <v>0</v>
      </c>
      <c r="H151" s="29">
        <v>-0.25</v>
      </c>
      <c r="I151" s="35">
        <v>9.5</v>
      </c>
      <c r="J151" s="34">
        <v>19552</v>
      </c>
      <c r="K151" s="34">
        <v>184250</v>
      </c>
    </row>
    <row r="152" spans="1:11" hidden="1">
      <c r="A152" s="29" t="s">
        <v>138</v>
      </c>
      <c r="B152" s="32">
        <v>37916</v>
      </c>
      <c r="C152" s="29">
        <v>9.5</v>
      </c>
      <c r="D152" s="35">
        <v>9.5</v>
      </c>
      <c r="E152" s="35">
        <v>9.25</v>
      </c>
      <c r="F152" s="33">
        <v>9.25</v>
      </c>
      <c r="G152" s="29">
        <v>0</v>
      </c>
      <c r="H152" s="29">
        <v>0</v>
      </c>
      <c r="I152" s="35">
        <v>9.25</v>
      </c>
      <c r="J152" s="34">
        <v>63552</v>
      </c>
      <c r="K152" s="34">
        <v>600500</v>
      </c>
    </row>
    <row r="153" spans="1:11" hidden="1">
      <c r="A153" s="29" t="s">
        <v>138</v>
      </c>
      <c r="B153" s="32">
        <v>37917</v>
      </c>
      <c r="C153" s="29">
        <v>9.5</v>
      </c>
      <c r="D153" s="35">
        <v>9.5</v>
      </c>
      <c r="E153" s="35">
        <v>9.5</v>
      </c>
      <c r="F153" s="33">
        <v>9.5</v>
      </c>
      <c r="G153" s="29">
        <v>0</v>
      </c>
      <c r="H153" s="29">
        <v>0.25</v>
      </c>
      <c r="I153" s="35">
        <v>9.25</v>
      </c>
      <c r="J153" s="34">
        <v>488</v>
      </c>
      <c r="K153" s="34">
        <v>4650</v>
      </c>
    </row>
    <row r="154" spans="1:11" hidden="1">
      <c r="A154" s="29" t="s">
        <v>138</v>
      </c>
      <c r="B154" s="32">
        <v>37922</v>
      </c>
      <c r="C154" s="29">
        <v>10.5</v>
      </c>
      <c r="D154" s="35">
        <v>10.5</v>
      </c>
      <c r="E154" s="35">
        <v>9.75</v>
      </c>
      <c r="F154" s="33">
        <v>9.75</v>
      </c>
      <c r="G154" s="29">
        <v>0</v>
      </c>
      <c r="H154" s="29">
        <v>0.25</v>
      </c>
      <c r="I154" s="35">
        <v>9.5</v>
      </c>
      <c r="J154" s="34">
        <v>34220</v>
      </c>
      <c r="K154" s="34">
        <v>338000</v>
      </c>
    </row>
    <row r="155" spans="1:11" hidden="1">
      <c r="A155" s="29" t="s">
        <v>138</v>
      </c>
      <c r="B155" s="32">
        <v>37923</v>
      </c>
      <c r="C155" s="29">
        <v>9.75</v>
      </c>
      <c r="D155" s="35">
        <v>9.75</v>
      </c>
      <c r="E155" s="35">
        <v>9.75</v>
      </c>
      <c r="F155" s="33">
        <v>9.75</v>
      </c>
      <c r="G155" s="29">
        <v>0</v>
      </c>
      <c r="H155" s="29">
        <v>0</v>
      </c>
      <c r="I155" s="35">
        <v>9.75</v>
      </c>
      <c r="J155" s="34">
        <v>10264</v>
      </c>
      <c r="K155" s="34">
        <v>100800</v>
      </c>
    </row>
    <row r="156" spans="1:11" hidden="1">
      <c r="A156" s="29" t="s">
        <v>138</v>
      </c>
      <c r="B156" s="32">
        <v>37924</v>
      </c>
      <c r="C156" s="29">
        <v>9.75</v>
      </c>
      <c r="D156" s="35">
        <v>9.75</v>
      </c>
      <c r="E156" s="35">
        <v>9.75</v>
      </c>
      <c r="F156" s="33">
        <v>9.75</v>
      </c>
      <c r="G156" s="29">
        <v>0</v>
      </c>
      <c r="H156" s="29">
        <v>0</v>
      </c>
      <c r="I156" s="35">
        <v>9.75</v>
      </c>
      <c r="J156" s="34">
        <v>3420</v>
      </c>
      <c r="K156" s="34">
        <v>33600</v>
      </c>
    </row>
    <row r="157" spans="1:11" hidden="1">
      <c r="A157" s="29" t="s">
        <v>138</v>
      </c>
      <c r="B157" s="32">
        <v>37925</v>
      </c>
      <c r="C157" s="29">
        <v>9.75</v>
      </c>
      <c r="D157" s="35">
        <v>9.75</v>
      </c>
      <c r="E157" s="35">
        <v>8.75</v>
      </c>
      <c r="F157" s="33">
        <v>9</v>
      </c>
      <c r="G157" s="29">
        <v>0</v>
      </c>
      <c r="H157" s="29">
        <v>-0.75</v>
      </c>
      <c r="I157" s="35">
        <v>9.75</v>
      </c>
      <c r="J157" s="34">
        <v>607688</v>
      </c>
      <c r="K157" s="34">
        <v>5612425</v>
      </c>
    </row>
    <row r="158" spans="1:11" hidden="1">
      <c r="A158" s="29" t="s">
        <v>138</v>
      </c>
      <c r="B158" s="32">
        <v>37928</v>
      </c>
      <c r="C158" s="29">
        <v>9.5</v>
      </c>
      <c r="D158" s="35">
        <v>9.5</v>
      </c>
      <c r="E158" s="35">
        <v>9.5</v>
      </c>
      <c r="F158" s="33">
        <v>9.5</v>
      </c>
      <c r="G158" s="29">
        <v>0</v>
      </c>
      <c r="H158" s="29">
        <v>0.5</v>
      </c>
      <c r="I158" s="35">
        <v>9</v>
      </c>
      <c r="J158" s="34">
        <v>1464</v>
      </c>
      <c r="K158" s="34">
        <v>14100</v>
      </c>
    </row>
    <row r="159" spans="1:11" hidden="1">
      <c r="A159" s="29" t="s">
        <v>138</v>
      </c>
      <c r="B159" s="32">
        <v>37929</v>
      </c>
      <c r="C159" s="29">
        <v>9.5</v>
      </c>
      <c r="D159" s="35">
        <v>9.5</v>
      </c>
      <c r="E159" s="35">
        <v>8.75</v>
      </c>
      <c r="F159" s="33">
        <v>8.75</v>
      </c>
      <c r="G159" s="29">
        <v>0</v>
      </c>
      <c r="H159" s="29">
        <v>-0.75</v>
      </c>
      <c r="I159" s="35">
        <v>9.5</v>
      </c>
      <c r="J159" s="34">
        <v>28352</v>
      </c>
      <c r="K159" s="34">
        <v>251750</v>
      </c>
    </row>
    <row r="160" spans="1:11" hidden="1">
      <c r="A160" s="29" t="s">
        <v>138</v>
      </c>
      <c r="B160" s="32">
        <v>37930</v>
      </c>
      <c r="C160" s="29">
        <v>8</v>
      </c>
      <c r="D160" s="35">
        <v>8.75</v>
      </c>
      <c r="E160" s="35">
        <v>8</v>
      </c>
      <c r="F160" s="33">
        <v>8.25</v>
      </c>
      <c r="G160" s="29">
        <v>0</v>
      </c>
      <c r="H160" s="29">
        <v>-0.5</v>
      </c>
      <c r="I160" s="35">
        <v>8.75</v>
      </c>
      <c r="J160" s="34">
        <v>61108</v>
      </c>
      <c r="K160" s="34">
        <v>503550</v>
      </c>
    </row>
    <row r="161" spans="1:11" hidden="1">
      <c r="A161" s="29" t="s">
        <v>138</v>
      </c>
      <c r="B161" s="32">
        <v>37931</v>
      </c>
      <c r="C161" s="29">
        <v>8.25</v>
      </c>
      <c r="D161" s="35">
        <v>8.25</v>
      </c>
      <c r="E161" s="35">
        <v>7.75</v>
      </c>
      <c r="F161" s="33">
        <v>7.75</v>
      </c>
      <c r="G161" s="29">
        <v>0</v>
      </c>
      <c r="H161" s="29">
        <v>-0.5</v>
      </c>
      <c r="I161" s="35">
        <v>8.25</v>
      </c>
      <c r="J161" s="34">
        <v>35688</v>
      </c>
      <c r="K161" s="34">
        <v>293000</v>
      </c>
    </row>
    <row r="162" spans="1:11" hidden="1">
      <c r="A162" s="29" t="s">
        <v>138</v>
      </c>
      <c r="B162" s="32">
        <v>37932</v>
      </c>
      <c r="C162" s="29">
        <v>7.75</v>
      </c>
      <c r="D162" s="35">
        <v>9</v>
      </c>
      <c r="E162" s="35">
        <v>7.75</v>
      </c>
      <c r="F162" s="33">
        <v>8.75</v>
      </c>
      <c r="G162" s="29">
        <v>0</v>
      </c>
      <c r="H162" s="29">
        <v>1</v>
      </c>
      <c r="I162" s="35">
        <v>7.75</v>
      </c>
      <c r="J162" s="34">
        <v>130044</v>
      </c>
      <c r="K162" s="34">
        <v>1107925</v>
      </c>
    </row>
    <row r="163" spans="1:11" hidden="1">
      <c r="A163" s="29" t="s">
        <v>138</v>
      </c>
      <c r="B163" s="32">
        <v>37935</v>
      </c>
      <c r="C163" s="29">
        <v>8</v>
      </c>
      <c r="D163" s="35">
        <v>8.25</v>
      </c>
      <c r="E163" s="35">
        <v>8</v>
      </c>
      <c r="F163" s="33">
        <v>8</v>
      </c>
      <c r="G163" s="29">
        <v>0</v>
      </c>
      <c r="H163" s="29">
        <v>-0.75</v>
      </c>
      <c r="I163" s="35">
        <v>8.75</v>
      </c>
      <c r="J163" s="34">
        <v>205820</v>
      </c>
      <c r="K163" s="34">
        <v>1684600</v>
      </c>
    </row>
    <row r="164" spans="1:11" hidden="1">
      <c r="A164" s="29" t="s">
        <v>138</v>
      </c>
      <c r="B164" s="32">
        <v>37936</v>
      </c>
      <c r="C164" s="29">
        <v>8</v>
      </c>
      <c r="D164" s="35">
        <v>8</v>
      </c>
      <c r="E164" s="35">
        <v>7.75</v>
      </c>
      <c r="F164" s="33">
        <v>7.75</v>
      </c>
      <c r="G164" s="29">
        <v>0</v>
      </c>
      <c r="H164" s="29">
        <v>-0.25</v>
      </c>
      <c r="I164" s="35">
        <v>8</v>
      </c>
      <c r="J164" s="34">
        <v>100220</v>
      </c>
      <c r="K164" s="34">
        <v>780300</v>
      </c>
    </row>
    <row r="165" spans="1:11" hidden="1">
      <c r="A165" s="29" t="s">
        <v>138</v>
      </c>
      <c r="B165" s="32">
        <v>37937</v>
      </c>
      <c r="C165" s="29">
        <v>8</v>
      </c>
      <c r="D165" s="35">
        <v>8</v>
      </c>
      <c r="E165" s="35">
        <v>7.75</v>
      </c>
      <c r="F165" s="33">
        <v>8</v>
      </c>
      <c r="G165" s="29">
        <v>0</v>
      </c>
      <c r="H165" s="29">
        <v>0.25</v>
      </c>
      <c r="I165" s="35">
        <v>7.75</v>
      </c>
      <c r="J165" s="34">
        <v>6352</v>
      </c>
      <c r="K165" s="34">
        <v>51550</v>
      </c>
    </row>
    <row r="166" spans="1:11" hidden="1">
      <c r="A166" s="29" t="s">
        <v>138</v>
      </c>
      <c r="B166" s="32">
        <v>37938</v>
      </c>
      <c r="C166" s="29">
        <v>8.5</v>
      </c>
      <c r="D166" s="35">
        <v>8.5</v>
      </c>
      <c r="E166" s="35">
        <v>8</v>
      </c>
      <c r="F166" s="33">
        <v>8</v>
      </c>
      <c r="G166" s="29">
        <v>0</v>
      </c>
      <c r="H166" s="29">
        <v>0</v>
      </c>
      <c r="I166" s="35">
        <v>8</v>
      </c>
      <c r="J166" s="34">
        <v>54264</v>
      </c>
      <c r="K166" s="34">
        <v>446500</v>
      </c>
    </row>
    <row r="167" spans="1:11" hidden="1">
      <c r="A167" s="29" t="s">
        <v>138</v>
      </c>
      <c r="B167" s="32">
        <v>37939</v>
      </c>
      <c r="C167" s="29">
        <v>8</v>
      </c>
      <c r="D167" s="35">
        <v>8</v>
      </c>
      <c r="E167" s="35">
        <v>7.75</v>
      </c>
      <c r="F167" s="33">
        <v>7.75</v>
      </c>
      <c r="G167" s="29">
        <v>0</v>
      </c>
      <c r="H167" s="29">
        <v>-0.25</v>
      </c>
      <c r="I167" s="35">
        <v>8</v>
      </c>
      <c r="J167" s="34">
        <v>9288</v>
      </c>
      <c r="K167" s="34">
        <v>74625</v>
      </c>
    </row>
    <row r="168" spans="1:11" hidden="1">
      <c r="A168" s="29" t="s">
        <v>138</v>
      </c>
      <c r="B168" s="32">
        <v>37942</v>
      </c>
      <c r="C168" s="29">
        <v>7.75</v>
      </c>
      <c r="D168" s="35">
        <v>8</v>
      </c>
      <c r="E168" s="35">
        <v>7.75</v>
      </c>
      <c r="F168" s="33">
        <v>8</v>
      </c>
      <c r="G168" s="29">
        <v>0</v>
      </c>
      <c r="H168" s="29">
        <v>0.25</v>
      </c>
      <c r="I168" s="35">
        <v>7.75</v>
      </c>
      <c r="J168" s="34">
        <v>7332</v>
      </c>
      <c r="K168" s="34">
        <v>57850</v>
      </c>
    </row>
    <row r="169" spans="1:11" hidden="1">
      <c r="A169" s="29" t="s">
        <v>138</v>
      </c>
      <c r="B169" s="32">
        <v>37943</v>
      </c>
      <c r="C169" s="29">
        <v>8</v>
      </c>
      <c r="D169" s="35">
        <v>8</v>
      </c>
      <c r="E169" s="35">
        <v>8</v>
      </c>
      <c r="F169" s="33">
        <v>8</v>
      </c>
      <c r="G169" s="29">
        <v>0</v>
      </c>
      <c r="H169" s="29">
        <v>0</v>
      </c>
      <c r="I169" s="35">
        <v>8</v>
      </c>
      <c r="J169" s="34">
        <v>11732</v>
      </c>
      <c r="K169" s="34">
        <v>93600</v>
      </c>
    </row>
    <row r="170" spans="1:11" hidden="1">
      <c r="A170" s="29" t="s">
        <v>138</v>
      </c>
      <c r="B170" s="32">
        <v>37944</v>
      </c>
      <c r="C170" s="29">
        <v>8</v>
      </c>
      <c r="D170" s="35">
        <v>8</v>
      </c>
      <c r="E170" s="35">
        <v>8</v>
      </c>
      <c r="F170" s="33">
        <v>8</v>
      </c>
      <c r="G170" s="29">
        <v>0</v>
      </c>
      <c r="H170" s="29">
        <v>0</v>
      </c>
      <c r="I170" s="35">
        <v>8</v>
      </c>
      <c r="J170" s="34">
        <v>31288</v>
      </c>
      <c r="K170" s="34">
        <v>252150</v>
      </c>
    </row>
    <row r="171" spans="1:11" hidden="1">
      <c r="A171" s="29" t="s">
        <v>138</v>
      </c>
      <c r="B171" s="32">
        <v>37959</v>
      </c>
      <c r="C171" s="29">
        <v>7.25</v>
      </c>
      <c r="D171" s="35">
        <v>7.25</v>
      </c>
      <c r="E171" s="35">
        <v>7.25</v>
      </c>
      <c r="F171" s="33">
        <v>7.25</v>
      </c>
      <c r="G171" s="29">
        <v>0</v>
      </c>
      <c r="H171" s="29">
        <v>-0.75</v>
      </c>
      <c r="I171" s="35">
        <v>8</v>
      </c>
      <c r="J171" s="34">
        <v>24932</v>
      </c>
      <c r="K171" s="34">
        <v>186150</v>
      </c>
    </row>
    <row r="172" spans="1:11" hidden="1">
      <c r="A172" s="29" t="s">
        <v>138</v>
      </c>
      <c r="B172" s="32">
        <v>37964</v>
      </c>
      <c r="C172" s="29">
        <v>6.75</v>
      </c>
      <c r="D172" s="35">
        <v>6.75</v>
      </c>
      <c r="E172" s="35">
        <v>6.75</v>
      </c>
      <c r="F172" s="33">
        <v>6.75</v>
      </c>
      <c r="G172" s="29">
        <v>0</v>
      </c>
      <c r="H172" s="29">
        <v>-0.5</v>
      </c>
      <c r="I172" s="35">
        <v>7.25</v>
      </c>
      <c r="J172" s="34">
        <v>488</v>
      </c>
      <c r="K172" s="34">
        <v>3350</v>
      </c>
    </row>
    <row r="173" spans="1:11" hidden="1">
      <c r="A173" s="29" t="s">
        <v>138</v>
      </c>
      <c r="B173" s="32">
        <v>37966</v>
      </c>
      <c r="C173" s="29">
        <v>6.75</v>
      </c>
      <c r="D173" s="35">
        <v>7</v>
      </c>
      <c r="E173" s="35">
        <v>6.75</v>
      </c>
      <c r="F173" s="33">
        <v>6.75</v>
      </c>
      <c r="G173" s="29">
        <v>0</v>
      </c>
      <c r="H173" s="29">
        <v>0</v>
      </c>
      <c r="I173" s="35">
        <v>6.75</v>
      </c>
      <c r="J173" s="34">
        <v>25908</v>
      </c>
      <c r="K173" s="34">
        <v>180200</v>
      </c>
    </row>
    <row r="174" spans="1:11" hidden="1">
      <c r="A174" s="29" t="s">
        <v>138</v>
      </c>
      <c r="B174" s="32">
        <v>37970</v>
      </c>
      <c r="C174" s="29">
        <v>6.5</v>
      </c>
      <c r="D174" s="35">
        <v>6.75</v>
      </c>
      <c r="E174" s="35">
        <v>6.5</v>
      </c>
      <c r="F174" s="33">
        <v>6.5</v>
      </c>
      <c r="G174" s="29">
        <v>0</v>
      </c>
      <c r="H174" s="29">
        <v>-0.25</v>
      </c>
      <c r="I174" s="35">
        <v>6.75</v>
      </c>
      <c r="J174" s="34">
        <v>1952</v>
      </c>
      <c r="K174" s="34">
        <v>13000</v>
      </c>
    </row>
    <row r="175" spans="1:11" hidden="1">
      <c r="A175" s="29" t="s">
        <v>138</v>
      </c>
      <c r="B175" s="32">
        <v>37971</v>
      </c>
      <c r="C175" s="29">
        <v>6.75</v>
      </c>
      <c r="D175" s="35">
        <v>6.75</v>
      </c>
      <c r="E175" s="35">
        <v>6.5</v>
      </c>
      <c r="F175" s="33">
        <v>6.5</v>
      </c>
      <c r="G175" s="29">
        <v>0</v>
      </c>
      <c r="H175" s="29">
        <v>0</v>
      </c>
      <c r="I175" s="35">
        <v>6.5</v>
      </c>
      <c r="J175" s="34">
        <v>34708</v>
      </c>
      <c r="K175" s="34">
        <v>229600</v>
      </c>
    </row>
    <row r="176" spans="1:11" hidden="1">
      <c r="A176" s="29" t="s">
        <v>138</v>
      </c>
      <c r="B176" s="32">
        <v>37972</v>
      </c>
      <c r="C176" s="29">
        <v>6.5</v>
      </c>
      <c r="D176" s="35">
        <v>6.5</v>
      </c>
      <c r="E176" s="35">
        <v>6.25</v>
      </c>
      <c r="F176" s="33">
        <v>6.25</v>
      </c>
      <c r="G176" s="29">
        <v>0</v>
      </c>
      <c r="H176" s="29">
        <v>-0.25</v>
      </c>
      <c r="I176" s="35">
        <v>6.5</v>
      </c>
      <c r="J176" s="34">
        <v>51820</v>
      </c>
      <c r="K176" s="34">
        <v>326600</v>
      </c>
    </row>
    <row r="177" spans="1:11" hidden="1">
      <c r="A177" s="29" t="s">
        <v>138</v>
      </c>
      <c r="B177" s="32">
        <v>37973</v>
      </c>
      <c r="C177" s="29">
        <v>6</v>
      </c>
      <c r="D177" s="35">
        <v>6</v>
      </c>
      <c r="E177" s="35">
        <v>5.75</v>
      </c>
      <c r="F177" s="33">
        <v>5.75</v>
      </c>
      <c r="G177" s="29">
        <v>0</v>
      </c>
      <c r="H177" s="29">
        <v>-0.5</v>
      </c>
      <c r="I177" s="35">
        <v>6.25</v>
      </c>
      <c r="J177" s="34">
        <v>65996</v>
      </c>
      <c r="K177" s="34">
        <v>392850</v>
      </c>
    </row>
    <row r="178" spans="1:11" hidden="1">
      <c r="A178" s="29" t="s">
        <v>138</v>
      </c>
      <c r="B178" s="32">
        <v>37974</v>
      </c>
      <c r="C178" s="29">
        <v>5.75</v>
      </c>
      <c r="D178" s="35">
        <v>5.75</v>
      </c>
      <c r="E178" s="35">
        <v>5.5</v>
      </c>
      <c r="F178" s="33">
        <v>5.5</v>
      </c>
      <c r="G178" s="29">
        <v>0</v>
      </c>
      <c r="H178" s="29">
        <v>-0.25</v>
      </c>
      <c r="I178" s="35">
        <v>5.75</v>
      </c>
      <c r="J178" s="34">
        <v>78220</v>
      </c>
      <c r="K178" s="34">
        <v>437375</v>
      </c>
    </row>
    <row r="179" spans="1:11" hidden="1">
      <c r="A179" s="29" t="s">
        <v>138</v>
      </c>
      <c r="B179" s="32">
        <v>37978</v>
      </c>
      <c r="C179" s="29">
        <v>5.75</v>
      </c>
      <c r="D179" s="35">
        <v>6</v>
      </c>
      <c r="E179" s="35">
        <v>5.75</v>
      </c>
      <c r="F179" s="33">
        <v>6</v>
      </c>
      <c r="G179" s="29">
        <v>0</v>
      </c>
      <c r="H179" s="29">
        <v>0.5</v>
      </c>
      <c r="I179" s="35">
        <v>5.5</v>
      </c>
      <c r="J179" s="34">
        <v>58664</v>
      </c>
      <c r="K179" s="34">
        <v>359950</v>
      </c>
    </row>
    <row r="180" spans="1:11" hidden="1">
      <c r="A180" s="29" t="s">
        <v>138</v>
      </c>
      <c r="B180" s="32">
        <v>37979</v>
      </c>
      <c r="C180" s="29">
        <v>6</v>
      </c>
      <c r="D180" s="35">
        <v>6.5</v>
      </c>
      <c r="E180" s="35">
        <v>6</v>
      </c>
      <c r="F180" s="33">
        <v>6.5</v>
      </c>
      <c r="G180" s="29">
        <v>0</v>
      </c>
      <c r="H180" s="29">
        <v>0.5</v>
      </c>
      <c r="I180" s="35">
        <v>6</v>
      </c>
      <c r="J180" s="34">
        <v>29332</v>
      </c>
      <c r="K180" s="34">
        <v>181625</v>
      </c>
    </row>
    <row r="181" spans="1:11" hidden="1">
      <c r="A181" s="29" t="s">
        <v>138</v>
      </c>
      <c r="B181" s="32">
        <v>37981</v>
      </c>
      <c r="C181" s="29">
        <v>6.5</v>
      </c>
      <c r="D181" s="35">
        <v>6.5</v>
      </c>
      <c r="E181" s="35">
        <v>6.5</v>
      </c>
      <c r="F181" s="33">
        <v>6.5</v>
      </c>
      <c r="G181" s="29">
        <v>0</v>
      </c>
      <c r="H181" s="29">
        <v>0</v>
      </c>
      <c r="I181" s="35">
        <v>6.5</v>
      </c>
      <c r="J181" s="34">
        <v>24444</v>
      </c>
      <c r="K181" s="34">
        <v>160000</v>
      </c>
    </row>
    <row r="182" spans="1:11" hidden="1">
      <c r="A182" s="29" t="s">
        <v>138</v>
      </c>
      <c r="B182" s="32">
        <v>37985</v>
      </c>
      <c r="C182" s="29">
        <v>6.75</v>
      </c>
      <c r="D182" s="35">
        <v>6.75</v>
      </c>
      <c r="E182" s="35">
        <v>6.75</v>
      </c>
      <c r="F182" s="33">
        <v>6.75</v>
      </c>
      <c r="G182" s="29">
        <v>0</v>
      </c>
      <c r="H182" s="29">
        <v>0.25</v>
      </c>
      <c r="I182" s="35">
        <v>6.5</v>
      </c>
      <c r="J182" s="34">
        <v>976</v>
      </c>
      <c r="K182" s="34">
        <v>6600</v>
      </c>
    </row>
    <row r="183" spans="1:11" hidden="1">
      <c r="A183" s="29" t="s">
        <v>138</v>
      </c>
      <c r="B183" s="32">
        <v>37986</v>
      </c>
      <c r="C183" s="29">
        <v>6.25</v>
      </c>
      <c r="D183" s="35">
        <v>6.75</v>
      </c>
      <c r="E183" s="35">
        <v>6.25</v>
      </c>
      <c r="F183" s="33">
        <v>6.75</v>
      </c>
      <c r="G183" s="29">
        <v>0</v>
      </c>
      <c r="H183" s="29">
        <v>0</v>
      </c>
      <c r="I183" s="35">
        <v>6.75</v>
      </c>
      <c r="J183" s="34">
        <v>6352</v>
      </c>
      <c r="K183" s="34">
        <v>40900</v>
      </c>
    </row>
    <row r="184" spans="1:11" hidden="1">
      <c r="A184" s="29" t="s">
        <v>138</v>
      </c>
      <c r="B184" s="32">
        <v>37991</v>
      </c>
      <c r="C184" s="29">
        <v>6.75</v>
      </c>
      <c r="D184" s="35">
        <v>6.75</v>
      </c>
      <c r="E184" s="35">
        <v>6.75</v>
      </c>
      <c r="F184" s="33">
        <v>6.75</v>
      </c>
      <c r="G184" s="29">
        <v>0</v>
      </c>
      <c r="H184" s="29">
        <v>0</v>
      </c>
      <c r="I184" s="35">
        <v>6.75</v>
      </c>
      <c r="J184" s="34">
        <v>32752</v>
      </c>
      <c r="K184" s="34">
        <v>221100</v>
      </c>
    </row>
    <row r="185" spans="1:11" hidden="1">
      <c r="A185" s="29" t="s">
        <v>138</v>
      </c>
      <c r="B185" s="32">
        <v>37992</v>
      </c>
      <c r="C185" s="29">
        <v>6.75</v>
      </c>
      <c r="D185" s="35">
        <v>6.75</v>
      </c>
      <c r="E185" s="35">
        <v>6.75</v>
      </c>
      <c r="F185" s="33">
        <v>6.75</v>
      </c>
      <c r="G185" s="29">
        <v>0</v>
      </c>
      <c r="H185" s="29">
        <v>0</v>
      </c>
      <c r="I185" s="35">
        <v>6.75</v>
      </c>
      <c r="J185" s="34">
        <v>17108</v>
      </c>
      <c r="K185" s="34">
        <v>118750</v>
      </c>
    </row>
    <row r="186" spans="1:11" hidden="1">
      <c r="A186" s="29" t="s">
        <v>138</v>
      </c>
      <c r="B186" s="32">
        <v>37994</v>
      </c>
      <c r="C186" s="29">
        <v>6.75</v>
      </c>
      <c r="D186" s="35">
        <v>6.75</v>
      </c>
      <c r="E186" s="35">
        <v>6.75</v>
      </c>
      <c r="F186" s="33">
        <v>6.75</v>
      </c>
      <c r="G186" s="29">
        <v>0</v>
      </c>
      <c r="H186" s="29">
        <v>0</v>
      </c>
      <c r="I186" s="35">
        <v>6.75</v>
      </c>
      <c r="J186" s="34">
        <v>5864</v>
      </c>
      <c r="K186" s="34">
        <v>39600</v>
      </c>
    </row>
    <row r="187" spans="1:11" hidden="1">
      <c r="A187" s="29" t="s">
        <v>138</v>
      </c>
      <c r="B187" s="32">
        <v>37995</v>
      </c>
      <c r="C187" s="29">
        <v>6.75</v>
      </c>
      <c r="D187" s="35">
        <v>7</v>
      </c>
      <c r="E187" s="35">
        <v>6.75</v>
      </c>
      <c r="F187" s="33">
        <v>7</v>
      </c>
      <c r="G187" s="29">
        <v>0</v>
      </c>
      <c r="H187" s="29">
        <v>0.25</v>
      </c>
      <c r="I187" s="35">
        <v>6.75</v>
      </c>
      <c r="J187" s="34">
        <v>48888</v>
      </c>
      <c r="K187" s="34">
        <v>345000</v>
      </c>
    </row>
    <row r="188" spans="1:11" hidden="1">
      <c r="A188" s="29" t="s">
        <v>138</v>
      </c>
      <c r="B188" s="32">
        <v>37998</v>
      </c>
      <c r="C188" s="29">
        <v>6.75</v>
      </c>
      <c r="D188" s="35">
        <v>6.75</v>
      </c>
      <c r="E188" s="35">
        <v>6.75</v>
      </c>
      <c r="F188" s="33">
        <v>6.75</v>
      </c>
      <c r="G188" s="29">
        <v>0</v>
      </c>
      <c r="H188" s="29">
        <v>-0.25</v>
      </c>
      <c r="I188" s="35">
        <v>7</v>
      </c>
      <c r="J188" s="34">
        <v>10752</v>
      </c>
      <c r="K188" s="34">
        <v>74800</v>
      </c>
    </row>
    <row r="189" spans="1:11" hidden="1">
      <c r="A189" s="29" t="s">
        <v>138</v>
      </c>
      <c r="B189" s="32">
        <v>37999</v>
      </c>
      <c r="C189" s="29">
        <v>6.75</v>
      </c>
      <c r="D189" s="35">
        <v>6.75</v>
      </c>
      <c r="E189" s="35">
        <v>6.75</v>
      </c>
      <c r="F189" s="33">
        <v>6.75</v>
      </c>
      <c r="G189" s="29">
        <v>0</v>
      </c>
      <c r="H189" s="29">
        <v>0</v>
      </c>
      <c r="I189" s="35">
        <v>6.75</v>
      </c>
      <c r="J189" s="34">
        <v>3420</v>
      </c>
      <c r="K189" s="34">
        <v>23650</v>
      </c>
    </row>
    <row r="190" spans="1:11" hidden="1">
      <c r="A190" s="29" t="s">
        <v>138</v>
      </c>
      <c r="B190" s="32">
        <v>38000</v>
      </c>
      <c r="C190" s="29">
        <v>6.75</v>
      </c>
      <c r="D190" s="35">
        <v>6.75</v>
      </c>
      <c r="E190" s="35">
        <v>6.75</v>
      </c>
      <c r="F190" s="33">
        <v>6.75</v>
      </c>
      <c r="G190" s="29">
        <v>0</v>
      </c>
      <c r="H190" s="29">
        <v>0</v>
      </c>
      <c r="I190" s="35">
        <v>6.75</v>
      </c>
      <c r="J190" s="34">
        <v>2444</v>
      </c>
      <c r="K190" s="34">
        <v>16625</v>
      </c>
    </row>
    <row r="191" spans="1:11" hidden="1">
      <c r="A191" s="29" t="s">
        <v>138</v>
      </c>
      <c r="B191" s="32">
        <v>38002</v>
      </c>
      <c r="C191" s="29">
        <v>6.75</v>
      </c>
      <c r="D191" s="35">
        <v>6.75</v>
      </c>
      <c r="E191" s="35">
        <v>6</v>
      </c>
      <c r="F191" s="33">
        <v>6</v>
      </c>
      <c r="G191" s="29">
        <v>0</v>
      </c>
      <c r="H191" s="29">
        <v>-0.75</v>
      </c>
      <c r="I191" s="35">
        <v>6.75</v>
      </c>
      <c r="J191" s="34">
        <v>54264</v>
      </c>
      <c r="K191" s="34">
        <v>338975</v>
      </c>
    </row>
    <row r="192" spans="1:11" hidden="1">
      <c r="A192" s="29" t="s">
        <v>138</v>
      </c>
      <c r="B192" s="32">
        <v>38005</v>
      </c>
      <c r="C192" s="29">
        <v>6</v>
      </c>
      <c r="D192" s="35">
        <v>6</v>
      </c>
      <c r="E192" s="35">
        <v>5.75</v>
      </c>
      <c r="F192" s="33">
        <v>5.75</v>
      </c>
      <c r="G192" s="29">
        <v>0</v>
      </c>
      <c r="H192" s="29">
        <v>-0.25</v>
      </c>
      <c r="I192" s="35">
        <v>6</v>
      </c>
      <c r="J192" s="34">
        <v>60620</v>
      </c>
      <c r="K192" s="34">
        <v>353700</v>
      </c>
    </row>
    <row r="193" spans="1:11" hidden="1">
      <c r="A193" s="29" t="s">
        <v>138</v>
      </c>
      <c r="B193" s="32">
        <v>38006</v>
      </c>
      <c r="C193" s="29">
        <v>6</v>
      </c>
      <c r="D193" s="35">
        <v>6.75</v>
      </c>
      <c r="E193" s="35">
        <v>6</v>
      </c>
      <c r="F193" s="33">
        <v>6</v>
      </c>
      <c r="G193" s="29">
        <v>0</v>
      </c>
      <c r="H193" s="29">
        <v>0.25</v>
      </c>
      <c r="I193" s="35">
        <v>5.75</v>
      </c>
      <c r="J193" s="34">
        <v>29332</v>
      </c>
      <c r="K193" s="34">
        <v>180800</v>
      </c>
    </row>
    <row r="194" spans="1:11" hidden="1">
      <c r="A194" s="29" t="s">
        <v>138</v>
      </c>
      <c r="B194" s="32">
        <v>38007</v>
      </c>
      <c r="C194" s="29">
        <v>6</v>
      </c>
      <c r="D194" s="35">
        <v>6.25</v>
      </c>
      <c r="E194" s="35">
        <v>6</v>
      </c>
      <c r="F194" s="33">
        <v>6.25</v>
      </c>
      <c r="G194" s="29">
        <v>0</v>
      </c>
      <c r="H194" s="29">
        <v>0.25</v>
      </c>
      <c r="I194" s="35">
        <v>6</v>
      </c>
      <c r="J194" s="34">
        <v>3420</v>
      </c>
      <c r="K194" s="34">
        <v>21500</v>
      </c>
    </row>
    <row r="195" spans="1:11" hidden="1">
      <c r="A195" s="29" t="s">
        <v>138</v>
      </c>
      <c r="B195" s="32">
        <v>38008</v>
      </c>
      <c r="C195" s="29">
        <v>6.25</v>
      </c>
      <c r="D195" s="35">
        <v>6.25</v>
      </c>
      <c r="E195" s="35">
        <v>6</v>
      </c>
      <c r="F195" s="33">
        <v>6</v>
      </c>
      <c r="G195" s="29">
        <v>0</v>
      </c>
      <c r="H195" s="29">
        <v>-0.25</v>
      </c>
      <c r="I195" s="35">
        <v>6.25</v>
      </c>
      <c r="J195" s="34">
        <v>4396</v>
      </c>
      <c r="K195" s="34">
        <v>27200</v>
      </c>
    </row>
    <row r="196" spans="1:11" hidden="1">
      <c r="A196" s="29" t="s">
        <v>138</v>
      </c>
      <c r="B196" s="32">
        <v>38009</v>
      </c>
      <c r="C196" s="29">
        <v>6</v>
      </c>
      <c r="D196" s="35">
        <v>6</v>
      </c>
      <c r="E196" s="35">
        <v>5.75</v>
      </c>
      <c r="F196" s="33">
        <v>5.75</v>
      </c>
      <c r="G196" s="29">
        <v>0</v>
      </c>
      <c r="H196" s="29">
        <v>-0.25</v>
      </c>
      <c r="I196" s="35">
        <v>6</v>
      </c>
      <c r="J196" s="34">
        <v>6844</v>
      </c>
      <c r="K196" s="34">
        <v>40900</v>
      </c>
    </row>
    <row r="197" spans="1:11" hidden="1">
      <c r="A197" s="29" t="s">
        <v>138</v>
      </c>
      <c r="B197" s="32">
        <v>38012</v>
      </c>
      <c r="C197" s="29">
        <v>6.75</v>
      </c>
      <c r="D197" s="35">
        <v>6.75</v>
      </c>
      <c r="E197" s="35">
        <v>6.75</v>
      </c>
      <c r="F197" s="33">
        <v>6.75</v>
      </c>
      <c r="G197" s="29">
        <v>0</v>
      </c>
      <c r="H197" s="29">
        <v>1</v>
      </c>
      <c r="I197" s="35">
        <v>5.75</v>
      </c>
      <c r="J197" s="34">
        <v>488</v>
      </c>
      <c r="K197" s="34">
        <v>3300</v>
      </c>
    </row>
    <row r="198" spans="1:11" hidden="1">
      <c r="A198" s="29" t="s">
        <v>138</v>
      </c>
      <c r="B198" s="32">
        <v>38013</v>
      </c>
      <c r="C198" s="29">
        <v>6.75</v>
      </c>
      <c r="D198" s="35">
        <v>6.75</v>
      </c>
      <c r="E198" s="35">
        <v>6.5</v>
      </c>
      <c r="F198" s="33">
        <v>6.75</v>
      </c>
      <c r="G198" s="29">
        <v>0</v>
      </c>
      <c r="H198" s="29">
        <v>0</v>
      </c>
      <c r="I198" s="35">
        <v>6.75</v>
      </c>
      <c r="J198" s="34">
        <v>64532</v>
      </c>
      <c r="K198" s="34">
        <v>436025</v>
      </c>
    </row>
    <row r="199" spans="1:11" hidden="1">
      <c r="A199" s="29" t="s">
        <v>138</v>
      </c>
      <c r="B199" s="32">
        <v>38014</v>
      </c>
      <c r="C199" s="29">
        <v>6.75</v>
      </c>
      <c r="D199" s="35">
        <v>6.75</v>
      </c>
      <c r="E199" s="35">
        <v>6.5</v>
      </c>
      <c r="F199" s="33">
        <v>6.5</v>
      </c>
      <c r="G199" s="29">
        <v>0</v>
      </c>
      <c r="H199" s="29">
        <v>-0.25</v>
      </c>
      <c r="I199" s="35">
        <v>6.75</v>
      </c>
      <c r="J199" s="34">
        <v>77244</v>
      </c>
      <c r="K199" s="34">
        <v>511400</v>
      </c>
    </row>
    <row r="200" spans="1:11" hidden="1">
      <c r="A200" s="29" t="s">
        <v>138</v>
      </c>
      <c r="B200" s="32">
        <v>38020</v>
      </c>
      <c r="C200" s="29">
        <v>6.25</v>
      </c>
      <c r="D200" s="35">
        <v>6.5</v>
      </c>
      <c r="E200" s="35">
        <v>6.25</v>
      </c>
      <c r="F200" s="33">
        <v>6.5</v>
      </c>
      <c r="G200" s="29">
        <v>0</v>
      </c>
      <c r="H200" s="29">
        <v>0</v>
      </c>
      <c r="I200" s="35">
        <v>6.5</v>
      </c>
      <c r="J200" s="34">
        <v>3908</v>
      </c>
      <c r="K200" s="34">
        <v>25100</v>
      </c>
    </row>
    <row r="201" spans="1:11" hidden="1">
      <c r="A201" s="29" t="s">
        <v>138</v>
      </c>
      <c r="B201" s="32">
        <v>38027</v>
      </c>
      <c r="C201" s="29">
        <v>4.9000000000000004</v>
      </c>
      <c r="D201" s="35">
        <v>5.25</v>
      </c>
      <c r="E201" s="35">
        <v>4.9000000000000004</v>
      </c>
      <c r="F201" s="33">
        <v>5.25</v>
      </c>
      <c r="G201" s="29">
        <v>0</v>
      </c>
      <c r="H201" s="29">
        <v>-1.25</v>
      </c>
      <c r="I201" s="35">
        <v>6.5</v>
      </c>
      <c r="J201" s="34">
        <v>2444</v>
      </c>
      <c r="K201" s="34">
        <v>12500</v>
      </c>
    </row>
    <row r="202" spans="1:11" hidden="1">
      <c r="A202" s="29" t="s">
        <v>138</v>
      </c>
      <c r="B202" s="32">
        <v>38028</v>
      </c>
      <c r="C202" s="29">
        <v>5.75</v>
      </c>
      <c r="D202" s="35">
        <v>5.75</v>
      </c>
      <c r="E202" s="35">
        <v>5.75</v>
      </c>
      <c r="F202" s="33">
        <v>5.75</v>
      </c>
      <c r="G202" s="29">
        <v>0</v>
      </c>
      <c r="H202" s="29">
        <v>0.5</v>
      </c>
      <c r="I202" s="35">
        <v>5.25</v>
      </c>
      <c r="J202" s="34">
        <v>25420</v>
      </c>
      <c r="K202" s="34">
        <v>145600</v>
      </c>
    </row>
    <row r="203" spans="1:11" hidden="1">
      <c r="A203" s="29" t="s">
        <v>138</v>
      </c>
      <c r="B203" s="32">
        <v>38030</v>
      </c>
      <c r="C203" s="29">
        <v>6</v>
      </c>
      <c r="D203" s="35">
        <v>6</v>
      </c>
      <c r="E203" s="35">
        <v>6</v>
      </c>
      <c r="F203" s="33">
        <v>6</v>
      </c>
      <c r="G203" s="29">
        <v>0</v>
      </c>
      <c r="H203" s="29">
        <v>0.25</v>
      </c>
      <c r="I203" s="35">
        <v>5.75</v>
      </c>
      <c r="J203" s="34">
        <v>976</v>
      </c>
      <c r="K203" s="34">
        <v>6000</v>
      </c>
    </row>
    <row r="204" spans="1:11" hidden="1">
      <c r="A204" s="29" t="s">
        <v>138</v>
      </c>
      <c r="B204" s="32">
        <v>38034</v>
      </c>
      <c r="C204" s="29">
        <v>6</v>
      </c>
      <c r="D204" s="35">
        <v>6</v>
      </c>
      <c r="E204" s="35">
        <v>6</v>
      </c>
      <c r="F204" s="33">
        <v>6</v>
      </c>
      <c r="G204" s="29">
        <v>0</v>
      </c>
      <c r="H204" s="29">
        <v>0</v>
      </c>
      <c r="I204" s="35">
        <v>6</v>
      </c>
      <c r="J204" s="34">
        <v>9288</v>
      </c>
      <c r="K204" s="34">
        <v>57000</v>
      </c>
    </row>
    <row r="205" spans="1:11" hidden="1">
      <c r="A205" s="29" t="s">
        <v>138</v>
      </c>
      <c r="B205" s="32">
        <v>38037</v>
      </c>
      <c r="C205" s="29">
        <v>6.5</v>
      </c>
      <c r="D205" s="35">
        <v>6.5</v>
      </c>
      <c r="E205" s="35">
        <v>6.5</v>
      </c>
      <c r="F205" s="33">
        <v>6.5</v>
      </c>
      <c r="G205" s="29">
        <v>0</v>
      </c>
      <c r="H205" s="29">
        <v>0.5</v>
      </c>
      <c r="I205" s="35">
        <v>6</v>
      </c>
      <c r="J205" s="34">
        <v>62088</v>
      </c>
      <c r="K205" s="34">
        <v>406400</v>
      </c>
    </row>
    <row r="206" spans="1:11" hidden="1">
      <c r="A206" s="29" t="s">
        <v>138</v>
      </c>
      <c r="B206" s="32">
        <v>38040</v>
      </c>
      <c r="C206" s="29">
        <v>6.75</v>
      </c>
      <c r="D206" s="35">
        <v>6.75</v>
      </c>
      <c r="E206" s="35">
        <v>6.75</v>
      </c>
      <c r="F206" s="33">
        <v>6.75</v>
      </c>
      <c r="G206" s="29">
        <v>0</v>
      </c>
      <c r="H206" s="29">
        <v>0.25</v>
      </c>
      <c r="I206" s="35">
        <v>6.5</v>
      </c>
      <c r="J206" s="34">
        <v>8796</v>
      </c>
      <c r="K206" s="34">
        <v>59400</v>
      </c>
    </row>
    <row r="207" spans="1:11" hidden="1">
      <c r="A207" s="29" t="s">
        <v>138</v>
      </c>
      <c r="B207" s="32">
        <v>38041</v>
      </c>
      <c r="C207" s="29">
        <v>6.75</v>
      </c>
      <c r="D207" s="35">
        <v>6.75</v>
      </c>
      <c r="E207" s="35">
        <v>6.5</v>
      </c>
      <c r="F207" s="33">
        <v>6.5</v>
      </c>
      <c r="G207" s="29">
        <v>0</v>
      </c>
      <c r="H207" s="29">
        <v>-0.25</v>
      </c>
      <c r="I207" s="35">
        <v>6.75</v>
      </c>
      <c r="J207" s="34">
        <v>9776</v>
      </c>
      <c r="K207" s="34">
        <v>64500</v>
      </c>
    </row>
    <row r="208" spans="1:11" hidden="1">
      <c r="A208" s="29" t="s">
        <v>138</v>
      </c>
      <c r="B208" s="32">
        <v>38044</v>
      </c>
      <c r="C208" s="29">
        <v>6.5</v>
      </c>
      <c r="D208" s="35">
        <v>6.75</v>
      </c>
      <c r="E208" s="35">
        <v>6.5</v>
      </c>
      <c r="F208" s="33">
        <v>6.5</v>
      </c>
      <c r="G208" s="29">
        <v>0</v>
      </c>
      <c r="H208" s="29">
        <v>0</v>
      </c>
      <c r="I208" s="35">
        <v>6.5</v>
      </c>
      <c r="J208" s="34">
        <v>7820</v>
      </c>
      <c r="K208" s="34">
        <v>51700</v>
      </c>
    </row>
    <row r="209" spans="1:11" hidden="1">
      <c r="A209" s="29" t="s">
        <v>138</v>
      </c>
      <c r="B209" s="32">
        <v>38048</v>
      </c>
      <c r="C209" s="29">
        <v>6.5</v>
      </c>
      <c r="D209" s="35">
        <v>6.5</v>
      </c>
      <c r="E209" s="35">
        <v>6.5</v>
      </c>
      <c r="F209" s="33">
        <v>6.5</v>
      </c>
      <c r="G209" s="29">
        <v>0</v>
      </c>
      <c r="H209" s="29">
        <v>0</v>
      </c>
      <c r="I209" s="35">
        <v>6.5</v>
      </c>
      <c r="J209" s="34">
        <v>488</v>
      </c>
      <c r="K209" s="34">
        <v>3200</v>
      </c>
    </row>
    <row r="210" spans="1:11" hidden="1">
      <c r="A210" s="29" t="s">
        <v>138</v>
      </c>
      <c r="B210" s="32">
        <v>38049</v>
      </c>
      <c r="C210" s="29">
        <v>6</v>
      </c>
      <c r="D210" s="35">
        <v>6</v>
      </c>
      <c r="E210" s="35">
        <v>6</v>
      </c>
      <c r="F210" s="33">
        <v>6</v>
      </c>
      <c r="G210" s="29">
        <v>0</v>
      </c>
      <c r="H210" s="29">
        <v>-0.5</v>
      </c>
      <c r="I210" s="35">
        <v>6.5</v>
      </c>
      <c r="J210" s="34">
        <v>8796</v>
      </c>
      <c r="K210" s="34">
        <v>54000</v>
      </c>
    </row>
    <row r="211" spans="1:11" hidden="1">
      <c r="A211" s="29" t="s">
        <v>138</v>
      </c>
      <c r="B211" s="32">
        <v>38050</v>
      </c>
      <c r="C211" s="29">
        <v>6</v>
      </c>
      <c r="D211" s="35">
        <v>6</v>
      </c>
      <c r="E211" s="35">
        <v>6</v>
      </c>
      <c r="F211" s="33">
        <v>6</v>
      </c>
      <c r="G211" s="29">
        <v>0</v>
      </c>
      <c r="H211" s="29">
        <v>0</v>
      </c>
      <c r="I211" s="35">
        <v>6</v>
      </c>
      <c r="J211" s="34">
        <v>4888</v>
      </c>
      <c r="K211" s="34">
        <v>30250</v>
      </c>
    </row>
    <row r="212" spans="1:11" hidden="1">
      <c r="A212" s="29" t="s">
        <v>138</v>
      </c>
      <c r="B212" s="32">
        <v>38051</v>
      </c>
      <c r="C212" s="29">
        <v>6</v>
      </c>
      <c r="D212" s="35">
        <v>6</v>
      </c>
      <c r="E212" s="35">
        <v>6</v>
      </c>
      <c r="F212" s="33">
        <v>6</v>
      </c>
      <c r="G212" s="29">
        <v>0</v>
      </c>
      <c r="H212" s="29">
        <v>0</v>
      </c>
      <c r="I212" s="35">
        <v>6</v>
      </c>
      <c r="J212" s="34">
        <v>116352</v>
      </c>
      <c r="K212" s="34">
        <v>714100</v>
      </c>
    </row>
    <row r="213" spans="1:11" hidden="1">
      <c r="A213" s="29" t="s">
        <v>138</v>
      </c>
      <c r="B213" s="32">
        <v>38054</v>
      </c>
      <c r="C213" s="29">
        <v>6</v>
      </c>
      <c r="D213" s="35">
        <v>6</v>
      </c>
      <c r="E213" s="35">
        <v>6</v>
      </c>
      <c r="F213" s="33">
        <v>6</v>
      </c>
      <c r="G213" s="29">
        <v>0</v>
      </c>
      <c r="H213" s="29">
        <v>0</v>
      </c>
      <c r="I213" s="35">
        <v>6</v>
      </c>
      <c r="J213" s="34">
        <v>38132</v>
      </c>
      <c r="K213" s="34">
        <v>234000</v>
      </c>
    </row>
    <row r="214" spans="1:11" hidden="1">
      <c r="A214" s="29" t="s">
        <v>138</v>
      </c>
      <c r="B214" s="32">
        <v>38055</v>
      </c>
      <c r="C214" s="29">
        <v>5.75</v>
      </c>
      <c r="D214" s="35">
        <v>6</v>
      </c>
      <c r="E214" s="35">
        <v>5.75</v>
      </c>
      <c r="F214" s="33">
        <v>6</v>
      </c>
      <c r="G214" s="29">
        <v>0</v>
      </c>
      <c r="H214" s="29">
        <v>0</v>
      </c>
      <c r="I214" s="35">
        <v>6</v>
      </c>
      <c r="J214" s="34">
        <v>18088</v>
      </c>
      <c r="K214" s="34">
        <v>110900</v>
      </c>
    </row>
    <row r="215" spans="1:11" hidden="1">
      <c r="A215" s="29" t="s">
        <v>138</v>
      </c>
      <c r="B215" s="32">
        <v>38056</v>
      </c>
      <c r="C215" s="29">
        <v>6</v>
      </c>
      <c r="D215" s="35">
        <v>6</v>
      </c>
      <c r="E215" s="35">
        <v>6</v>
      </c>
      <c r="F215" s="33">
        <v>6</v>
      </c>
      <c r="G215" s="29">
        <v>0</v>
      </c>
      <c r="H215" s="29">
        <v>0</v>
      </c>
      <c r="I215" s="35">
        <v>6</v>
      </c>
      <c r="J215" s="34">
        <v>5376</v>
      </c>
      <c r="K215" s="34">
        <v>33000</v>
      </c>
    </row>
    <row r="216" spans="1:11" hidden="1">
      <c r="A216" s="29" t="s">
        <v>138</v>
      </c>
      <c r="B216" s="32">
        <v>38058</v>
      </c>
      <c r="C216" s="29">
        <v>7</v>
      </c>
      <c r="D216" s="35">
        <v>7</v>
      </c>
      <c r="E216" s="35">
        <v>7</v>
      </c>
      <c r="F216" s="33">
        <v>7</v>
      </c>
      <c r="G216" s="29">
        <v>0</v>
      </c>
      <c r="H216" s="29">
        <v>1</v>
      </c>
      <c r="I216" s="35">
        <v>6</v>
      </c>
      <c r="J216" s="34">
        <v>4888</v>
      </c>
      <c r="K216" s="34">
        <v>34750</v>
      </c>
    </row>
    <row r="217" spans="1:11" hidden="1">
      <c r="A217" s="29" t="s">
        <v>138</v>
      </c>
      <c r="B217" s="32">
        <v>38061</v>
      </c>
      <c r="C217" s="29">
        <v>6.75</v>
      </c>
      <c r="D217" s="35">
        <v>6.75</v>
      </c>
      <c r="E217" s="35">
        <v>6.75</v>
      </c>
      <c r="F217" s="33">
        <v>6.75</v>
      </c>
      <c r="G217" s="29">
        <v>0</v>
      </c>
      <c r="H217" s="29">
        <v>-0.25</v>
      </c>
      <c r="I217" s="35">
        <v>7</v>
      </c>
      <c r="J217" s="34">
        <v>2444</v>
      </c>
      <c r="K217" s="34">
        <v>16875</v>
      </c>
    </row>
    <row r="218" spans="1:11" hidden="1">
      <c r="A218" s="29" t="s">
        <v>138</v>
      </c>
      <c r="B218" s="32">
        <v>38063</v>
      </c>
      <c r="C218" s="29">
        <v>6.25</v>
      </c>
      <c r="D218" s="35">
        <v>6.25</v>
      </c>
      <c r="E218" s="35">
        <v>6.25</v>
      </c>
      <c r="F218" s="33">
        <v>6.25</v>
      </c>
      <c r="G218" s="29">
        <v>0</v>
      </c>
      <c r="H218" s="29">
        <v>-0.5</v>
      </c>
      <c r="I218" s="35">
        <v>6.75</v>
      </c>
      <c r="J218" s="34">
        <v>9776</v>
      </c>
      <c r="K218" s="34">
        <v>62500</v>
      </c>
    </row>
    <row r="219" spans="1:11" hidden="1">
      <c r="A219" s="29" t="s">
        <v>138</v>
      </c>
      <c r="B219" s="32">
        <v>38064</v>
      </c>
      <c r="C219" s="29">
        <v>6.5</v>
      </c>
      <c r="D219" s="35">
        <v>6.5</v>
      </c>
      <c r="E219" s="35">
        <v>6.5</v>
      </c>
      <c r="F219" s="33">
        <v>6.5</v>
      </c>
      <c r="G219" s="29">
        <v>0</v>
      </c>
      <c r="H219" s="29">
        <v>0.25</v>
      </c>
      <c r="I219" s="35">
        <v>6.25</v>
      </c>
      <c r="J219" s="34">
        <v>48888</v>
      </c>
      <c r="K219" s="34">
        <v>320000</v>
      </c>
    </row>
    <row r="220" spans="1:11" hidden="1">
      <c r="A220" s="29" t="s">
        <v>138</v>
      </c>
      <c r="B220" s="32">
        <v>38065</v>
      </c>
      <c r="C220" s="29">
        <v>6.25</v>
      </c>
      <c r="D220" s="35">
        <v>6.25</v>
      </c>
      <c r="E220" s="35">
        <v>6.25</v>
      </c>
      <c r="F220" s="33">
        <v>6.25</v>
      </c>
      <c r="G220" s="29">
        <v>0</v>
      </c>
      <c r="H220" s="29">
        <v>-0.25</v>
      </c>
      <c r="I220" s="35">
        <v>6.5</v>
      </c>
      <c r="J220" s="34">
        <v>5376</v>
      </c>
      <c r="K220" s="34">
        <v>34650</v>
      </c>
    </row>
    <row r="221" spans="1:11" hidden="1">
      <c r="A221" s="29" t="s">
        <v>138</v>
      </c>
      <c r="B221" s="32">
        <v>38068</v>
      </c>
      <c r="C221" s="29">
        <v>6.25</v>
      </c>
      <c r="D221" s="35">
        <v>6.25</v>
      </c>
      <c r="E221" s="35">
        <v>6.25</v>
      </c>
      <c r="F221" s="33">
        <v>6.25</v>
      </c>
      <c r="G221" s="29">
        <v>0</v>
      </c>
      <c r="H221" s="29">
        <v>0</v>
      </c>
      <c r="I221" s="35">
        <v>6.25</v>
      </c>
      <c r="J221" s="34">
        <v>7332</v>
      </c>
      <c r="K221" s="34">
        <v>47250</v>
      </c>
    </row>
    <row r="222" spans="1:11" hidden="1">
      <c r="A222" s="29" t="s">
        <v>138</v>
      </c>
      <c r="B222" s="32">
        <v>38072</v>
      </c>
      <c r="C222" s="29">
        <v>6.5</v>
      </c>
      <c r="D222" s="35">
        <v>6.5</v>
      </c>
      <c r="E222" s="35">
        <v>6.5</v>
      </c>
      <c r="F222" s="33">
        <v>6.5</v>
      </c>
      <c r="G222" s="29">
        <v>0</v>
      </c>
      <c r="H222" s="29">
        <v>0.25</v>
      </c>
      <c r="I222" s="35">
        <v>6.25</v>
      </c>
      <c r="J222" s="34">
        <v>1952</v>
      </c>
      <c r="K222" s="34">
        <v>12800</v>
      </c>
    </row>
    <row r="223" spans="1:11" hidden="1">
      <c r="A223" s="29" t="s">
        <v>138</v>
      </c>
      <c r="B223" s="32">
        <v>38075</v>
      </c>
      <c r="C223" s="29">
        <v>6.5</v>
      </c>
      <c r="D223" s="35">
        <v>6.5</v>
      </c>
      <c r="E223" s="35">
        <v>6.5</v>
      </c>
      <c r="F223" s="33">
        <v>6.5</v>
      </c>
      <c r="G223" s="29">
        <v>0</v>
      </c>
      <c r="H223" s="29">
        <v>0</v>
      </c>
      <c r="I223" s="35">
        <v>6.5</v>
      </c>
      <c r="J223" s="34">
        <v>12220</v>
      </c>
      <c r="K223" s="34">
        <v>80000</v>
      </c>
    </row>
    <row r="224" spans="1:11" hidden="1">
      <c r="A224" s="29" t="s">
        <v>138</v>
      </c>
      <c r="B224" s="32">
        <v>38076</v>
      </c>
      <c r="C224" s="29">
        <v>6.5</v>
      </c>
      <c r="D224" s="35">
        <v>6.5</v>
      </c>
      <c r="E224" s="35">
        <v>6.5</v>
      </c>
      <c r="F224" s="33">
        <v>6.5</v>
      </c>
      <c r="G224" s="29">
        <v>0</v>
      </c>
      <c r="H224" s="29">
        <v>0</v>
      </c>
      <c r="I224" s="35">
        <v>6.5</v>
      </c>
      <c r="J224" s="34">
        <v>34708</v>
      </c>
      <c r="K224" s="34">
        <v>227200</v>
      </c>
    </row>
    <row r="225" spans="1:11" hidden="1">
      <c r="A225" s="29" t="s">
        <v>138</v>
      </c>
      <c r="B225" s="32">
        <v>38077</v>
      </c>
      <c r="C225" s="29">
        <v>6.5</v>
      </c>
      <c r="D225" s="35">
        <v>6.5</v>
      </c>
      <c r="E225" s="35">
        <v>6.5</v>
      </c>
      <c r="F225" s="33">
        <v>6.5</v>
      </c>
      <c r="G225" s="29">
        <v>0</v>
      </c>
      <c r="H225" s="29">
        <v>0</v>
      </c>
      <c r="I225" s="35">
        <v>6.5</v>
      </c>
      <c r="J225" s="34">
        <v>2444</v>
      </c>
      <c r="K225" s="34">
        <v>16375</v>
      </c>
    </row>
    <row r="226" spans="1:11" hidden="1">
      <c r="A226" s="29" t="s">
        <v>138</v>
      </c>
      <c r="B226" s="32">
        <v>38078</v>
      </c>
      <c r="C226" s="29">
        <v>6.5</v>
      </c>
      <c r="D226" s="35">
        <v>6.5</v>
      </c>
      <c r="E226" s="35">
        <v>6.5</v>
      </c>
      <c r="F226" s="33">
        <v>6.5</v>
      </c>
      <c r="G226" s="29">
        <v>0</v>
      </c>
      <c r="H226" s="29">
        <v>0</v>
      </c>
      <c r="I226" s="35">
        <v>6.5</v>
      </c>
      <c r="J226" s="34">
        <v>24932</v>
      </c>
      <c r="K226" s="34">
        <v>163275</v>
      </c>
    </row>
    <row r="227" spans="1:11" hidden="1">
      <c r="A227" s="29" t="s">
        <v>138</v>
      </c>
      <c r="B227" s="32">
        <v>38079</v>
      </c>
      <c r="C227" s="29">
        <v>6.5</v>
      </c>
      <c r="D227" s="35">
        <v>6.5</v>
      </c>
      <c r="E227" s="35">
        <v>6.5</v>
      </c>
      <c r="F227" s="33">
        <v>6.5</v>
      </c>
      <c r="G227" s="29">
        <v>0</v>
      </c>
      <c r="H227" s="29">
        <v>0</v>
      </c>
      <c r="I227" s="35">
        <v>6.5</v>
      </c>
      <c r="J227" s="34">
        <v>20044</v>
      </c>
      <c r="K227" s="34">
        <v>133600</v>
      </c>
    </row>
    <row r="228" spans="1:11" hidden="1">
      <c r="A228" s="29" t="s">
        <v>138</v>
      </c>
      <c r="B228" s="32">
        <v>38083</v>
      </c>
      <c r="C228" s="29">
        <v>5.75</v>
      </c>
      <c r="D228" s="35">
        <v>5.75</v>
      </c>
      <c r="E228" s="35">
        <v>5.75</v>
      </c>
      <c r="F228" s="33">
        <v>5.75</v>
      </c>
      <c r="G228" s="29">
        <v>0</v>
      </c>
      <c r="H228" s="29">
        <v>-0.75</v>
      </c>
      <c r="I228" s="35">
        <v>6.5</v>
      </c>
      <c r="J228" s="34">
        <v>45464</v>
      </c>
      <c r="K228" s="34">
        <v>261400</v>
      </c>
    </row>
    <row r="229" spans="1:11" hidden="1">
      <c r="A229" s="29" t="s">
        <v>138</v>
      </c>
      <c r="B229" s="32">
        <v>38085</v>
      </c>
      <c r="C229" s="29">
        <v>5.75</v>
      </c>
      <c r="D229" s="35">
        <v>6</v>
      </c>
      <c r="E229" s="35">
        <v>5.75</v>
      </c>
      <c r="F229" s="33">
        <v>6</v>
      </c>
      <c r="G229" s="29">
        <v>0</v>
      </c>
      <c r="H229" s="29">
        <v>0.25</v>
      </c>
      <c r="I229" s="35">
        <v>5.75</v>
      </c>
      <c r="J229" s="34">
        <v>17108</v>
      </c>
      <c r="K229" s="34">
        <v>104000</v>
      </c>
    </row>
    <row r="230" spans="1:11" hidden="1">
      <c r="A230" s="29" t="s">
        <v>138</v>
      </c>
      <c r="B230" s="32">
        <v>38092</v>
      </c>
      <c r="C230" s="29">
        <v>6.25</v>
      </c>
      <c r="D230" s="35">
        <v>6.25</v>
      </c>
      <c r="E230" s="35">
        <v>6.25</v>
      </c>
      <c r="F230" s="33">
        <v>6.25</v>
      </c>
      <c r="G230" s="29">
        <v>0</v>
      </c>
      <c r="H230" s="29">
        <v>0.25</v>
      </c>
      <c r="I230" s="35">
        <v>6</v>
      </c>
      <c r="J230" s="34">
        <v>4888</v>
      </c>
      <c r="K230" s="34">
        <v>31000</v>
      </c>
    </row>
    <row r="231" spans="1:11" hidden="1">
      <c r="A231" s="29" t="s">
        <v>138</v>
      </c>
      <c r="B231" s="32">
        <v>38093</v>
      </c>
      <c r="C231" s="29">
        <v>6.25</v>
      </c>
      <c r="D231" s="35">
        <v>6.25</v>
      </c>
      <c r="E231" s="35">
        <v>6.25</v>
      </c>
      <c r="F231" s="33">
        <v>6.25</v>
      </c>
      <c r="G231" s="29">
        <v>0</v>
      </c>
      <c r="H231" s="29">
        <v>0</v>
      </c>
      <c r="I231" s="35">
        <v>6.25</v>
      </c>
      <c r="J231" s="34">
        <v>7332</v>
      </c>
      <c r="K231" s="34">
        <v>46250</v>
      </c>
    </row>
    <row r="232" spans="1:11" hidden="1">
      <c r="A232" s="29" t="s">
        <v>138</v>
      </c>
      <c r="B232" s="32">
        <v>38096</v>
      </c>
      <c r="C232" s="29">
        <v>6.5</v>
      </c>
      <c r="D232" s="35">
        <v>6.5</v>
      </c>
      <c r="E232" s="35">
        <v>6.25</v>
      </c>
      <c r="F232" s="33">
        <v>6.25</v>
      </c>
      <c r="G232" s="29">
        <v>0</v>
      </c>
      <c r="H232" s="29">
        <v>0</v>
      </c>
      <c r="I232" s="35">
        <v>6.25</v>
      </c>
      <c r="J232" s="34">
        <v>5376</v>
      </c>
      <c r="K232" s="34">
        <v>34400</v>
      </c>
    </row>
    <row r="233" spans="1:11" hidden="1">
      <c r="A233" s="29" t="s">
        <v>138</v>
      </c>
      <c r="B233" s="32">
        <v>38097</v>
      </c>
      <c r="C233" s="29">
        <v>6.25</v>
      </c>
      <c r="D233" s="35">
        <v>6.25</v>
      </c>
      <c r="E233" s="35">
        <v>6.25</v>
      </c>
      <c r="F233" s="33">
        <v>6.25</v>
      </c>
      <c r="G233" s="29">
        <v>0</v>
      </c>
      <c r="H233" s="29">
        <v>0</v>
      </c>
      <c r="I233" s="35">
        <v>6.25</v>
      </c>
      <c r="J233" s="34">
        <v>5864</v>
      </c>
      <c r="K233" s="34">
        <v>37200</v>
      </c>
    </row>
    <row r="234" spans="1:11" hidden="1">
      <c r="A234" s="29" t="s">
        <v>138</v>
      </c>
      <c r="B234" s="32">
        <v>38098</v>
      </c>
      <c r="C234" s="29">
        <v>6.25</v>
      </c>
      <c r="D234" s="35">
        <v>6.25</v>
      </c>
      <c r="E234" s="35">
        <v>6.25</v>
      </c>
      <c r="F234" s="33">
        <v>6.25</v>
      </c>
      <c r="G234" s="29">
        <v>0</v>
      </c>
      <c r="H234" s="29">
        <v>0</v>
      </c>
      <c r="I234" s="35">
        <v>6.25</v>
      </c>
      <c r="J234" s="34">
        <v>3908</v>
      </c>
      <c r="K234" s="34">
        <v>24800</v>
      </c>
    </row>
    <row r="235" spans="1:11" hidden="1">
      <c r="A235" s="29" t="s">
        <v>138</v>
      </c>
      <c r="B235" s="32">
        <v>38100</v>
      </c>
      <c r="C235" s="29">
        <v>6.75</v>
      </c>
      <c r="D235" s="35">
        <v>6.75</v>
      </c>
      <c r="E235" s="35">
        <v>6.75</v>
      </c>
      <c r="F235" s="33">
        <v>6.75</v>
      </c>
      <c r="G235" s="29">
        <v>0</v>
      </c>
      <c r="H235" s="29">
        <v>0.5</v>
      </c>
      <c r="I235" s="35">
        <v>6.25</v>
      </c>
      <c r="J235" s="34">
        <v>2444</v>
      </c>
      <c r="K235" s="34">
        <v>16875</v>
      </c>
    </row>
    <row r="236" spans="1:11" hidden="1">
      <c r="A236" s="29" t="s">
        <v>138</v>
      </c>
      <c r="B236" s="32">
        <v>38103</v>
      </c>
      <c r="C236" s="29">
        <v>6.25</v>
      </c>
      <c r="D236" s="35">
        <v>6.75</v>
      </c>
      <c r="E236" s="35">
        <v>6.25</v>
      </c>
      <c r="F236" s="33">
        <v>6.75</v>
      </c>
      <c r="G236" s="29">
        <v>0</v>
      </c>
      <c r="H236" s="29">
        <v>0</v>
      </c>
      <c r="I236" s="35">
        <v>6.75</v>
      </c>
      <c r="J236" s="34">
        <v>8308</v>
      </c>
      <c r="K236" s="34">
        <v>57150</v>
      </c>
    </row>
    <row r="237" spans="1:11" hidden="1">
      <c r="A237" s="29" t="s">
        <v>138</v>
      </c>
      <c r="B237" s="32">
        <v>38104</v>
      </c>
      <c r="C237" s="29">
        <v>6.5</v>
      </c>
      <c r="D237" s="35">
        <v>6.5</v>
      </c>
      <c r="E237" s="35">
        <v>6.5</v>
      </c>
      <c r="F237" s="33">
        <v>6.5</v>
      </c>
      <c r="G237" s="29">
        <v>0</v>
      </c>
      <c r="H237" s="29">
        <v>-0.25</v>
      </c>
      <c r="I237" s="35">
        <v>6.75</v>
      </c>
      <c r="J237" s="34">
        <v>976</v>
      </c>
      <c r="K237" s="34">
        <v>6550</v>
      </c>
    </row>
    <row r="238" spans="1:11" hidden="1">
      <c r="A238" s="29" t="s">
        <v>138</v>
      </c>
      <c r="B238" s="32">
        <v>38105</v>
      </c>
      <c r="C238" s="29">
        <v>6.5</v>
      </c>
      <c r="D238" s="35">
        <v>6.5</v>
      </c>
      <c r="E238" s="35">
        <v>6.25</v>
      </c>
      <c r="F238" s="33">
        <v>6.25</v>
      </c>
      <c r="G238" s="29">
        <v>0</v>
      </c>
      <c r="H238" s="29">
        <v>-0.25</v>
      </c>
      <c r="I238" s="35">
        <v>6.5</v>
      </c>
      <c r="J238" s="34">
        <v>14664</v>
      </c>
      <c r="K238" s="34">
        <v>95625</v>
      </c>
    </row>
    <row r="239" spans="1:11" hidden="1">
      <c r="A239" s="29" t="s">
        <v>138</v>
      </c>
      <c r="B239" s="32">
        <v>38106</v>
      </c>
      <c r="C239" s="29">
        <v>6.25</v>
      </c>
      <c r="D239" s="35">
        <v>6.5</v>
      </c>
      <c r="E239" s="35">
        <v>6.25</v>
      </c>
      <c r="F239" s="33">
        <v>6.5</v>
      </c>
      <c r="G239" s="29">
        <v>0</v>
      </c>
      <c r="H239" s="29">
        <v>0.25</v>
      </c>
      <c r="I239" s="35">
        <v>6.25</v>
      </c>
      <c r="J239" s="34">
        <v>3908</v>
      </c>
      <c r="K239" s="34">
        <v>25325</v>
      </c>
    </row>
    <row r="240" spans="1:11" hidden="1">
      <c r="A240" s="29" t="s">
        <v>138</v>
      </c>
      <c r="B240" s="32">
        <v>38110</v>
      </c>
      <c r="C240" s="29">
        <v>6.5</v>
      </c>
      <c r="D240" s="35">
        <v>6.5</v>
      </c>
      <c r="E240" s="35">
        <v>6.5</v>
      </c>
      <c r="F240" s="33">
        <v>6.5</v>
      </c>
      <c r="G240" s="29">
        <v>0</v>
      </c>
      <c r="H240" s="29">
        <v>0</v>
      </c>
      <c r="I240" s="35">
        <v>6.5</v>
      </c>
      <c r="J240" s="34">
        <v>4888</v>
      </c>
      <c r="K240" s="34">
        <v>32000</v>
      </c>
    </row>
    <row r="241" spans="1:11" hidden="1">
      <c r="A241" s="29" t="s">
        <v>138</v>
      </c>
      <c r="B241" s="32">
        <v>38113</v>
      </c>
      <c r="C241" s="29">
        <v>6.5</v>
      </c>
      <c r="D241" s="35">
        <v>6.5</v>
      </c>
      <c r="E241" s="35">
        <v>6.5</v>
      </c>
      <c r="F241" s="33">
        <v>6.5</v>
      </c>
      <c r="G241" s="29">
        <v>0</v>
      </c>
      <c r="H241" s="29">
        <v>0</v>
      </c>
      <c r="I241" s="35">
        <v>6.5</v>
      </c>
      <c r="J241" s="34">
        <v>4396</v>
      </c>
      <c r="K241" s="34">
        <v>28900</v>
      </c>
    </row>
    <row r="242" spans="1:11" hidden="1">
      <c r="A242" s="29" t="s">
        <v>138</v>
      </c>
      <c r="B242" s="32">
        <v>38117</v>
      </c>
      <c r="C242" s="29">
        <v>6.5</v>
      </c>
      <c r="D242" s="35">
        <v>6.5</v>
      </c>
      <c r="E242" s="35">
        <v>6.5</v>
      </c>
      <c r="F242" s="33">
        <v>6.5</v>
      </c>
      <c r="G242" s="29">
        <v>0</v>
      </c>
      <c r="H242" s="29">
        <v>0</v>
      </c>
      <c r="I242" s="35">
        <v>6.5</v>
      </c>
      <c r="J242" s="34">
        <v>3420</v>
      </c>
      <c r="K242" s="34">
        <v>22400</v>
      </c>
    </row>
    <row r="243" spans="1:11" hidden="1">
      <c r="A243" s="29" t="s">
        <v>138</v>
      </c>
      <c r="B243" s="32">
        <v>38119</v>
      </c>
      <c r="C243" s="29">
        <v>6.75</v>
      </c>
      <c r="D243" s="35">
        <v>7</v>
      </c>
      <c r="E243" s="35">
        <v>6.75</v>
      </c>
      <c r="F243" s="33">
        <v>7</v>
      </c>
      <c r="G243" s="29">
        <v>0</v>
      </c>
      <c r="H243" s="29">
        <v>0.5</v>
      </c>
      <c r="I243" s="35">
        <v>6.5</v>
      </c>
      <c r="J243" s="34">
        <v>5376</v>
      </c>
      <c r="K243" s="34">
        <v>37175</v>
      </c>
    </row>
    <row r="244" spans="1:11" hidden="1">
      <c r="A244" s="29" t="s">
        <v>138</v>
      </c>
      <c r="B244" s="32">
        <v>38120</v>
      </c>
      <c r="C244" s="29">
        <v>7</v>
      </c>
      <c r="D244" s="35">
        <v>7</v>
      </c>
      <c r="E244" s="35">
        <v>7</v>
      </c>
      <c r="F244" s="33">
        <v>7</v>
      </c>
      <c r="G244" s="29">
        <v>0</v>
      </c>
      <c r="H244" s="29">
        <v>0</v>
      </c>
      <c r="I244" s="35">
        <v>7</v>
      </c>
      <c r="J244" s="34">
        <v>17596</v>
      </c>
      <c r="K244" s="34">
        <v>125525</v>
      </c>
    </row>
    <row r="245" spans="1:11" hidden="1">
      <c r="A245" s="29" t="s">
        <v>138</v>
      </c>
      <c r="B245" s="32">
        <v>38121</v>
      </c>
      <c r="C245" s="29">
        <v>7.25</v>
      </c>
      <c r="D245" s="35">
        <v>8</v>
      </c>
      <c r="E245" s="35">
        <v>7.25</v>
      </c>
      <c r="F245" s="33">
        <v>7.5</v>
      </c>
      <c r="G245" s="29">
        <v>0</v>
      </c>
      <c r="H245" s="29">
        <v>0.5</v>
      </c>
      <c r="I245" s="35">
        <v>7</v>
      </c>
      <c r="J245" s="34">
        <v>57688</v>
      </c>
      <c r="K245" s="34">
        <v>432525</v>
      </c>
    </row>
    <row r="246" spans="1:11" hidden="1">
      <c r="A246" s="29" t="s">
        <v>138</v>
      </c>
      <c r="B246" s="32">
        <v>38125</v>
      </c>
      <c r="C246" s="29">
        <v>6.75</v>
      </c>
      <c r="D246" s="35">
        <v>6.75</v>
      </c>
      <c r="E246" s="35">
        <v>6.75</v>
      </c>
      <c r="F246" s="33">
        <v>6.75</v>
      </c>
      <c r="G246" s="29">
        <v>0</v>
      </c>
      <c r="H246" s="29">
        <v>-0.75</v>
      </c>
      <c r="I246" s="35">
        <v>7.5</v>
      </c>
      <c r="J246" s="34">
        <v>6352</v>
      </c>
      <c r="K246" s="34">
        <v>44200</v>
      </c>
    </row>
    <row r="247" spans="1:11" hidden="1">
      <c r="A247" s="29" t="s">
        <v>138</v>
      </c>
      <c r="B247" s="32">
        <v>38126</v>
      </c>
      <c r="C247" s="29">
        <v>7</v>
      </c>
      <c r="D247" s="35">
        <v>8.5</v>
      </c>
      <c r="E247" s="35">
        <v>7</v>
      </c>
      <c r="F247" s="33">
        <v>8</v>
      </c>
      <c r="G247" s="29">
        <v>0</v>
      </c>
      <c r="H247" s="29">
        <v>1.25</v>
      </c>
      <c r="I247" s="35">
        <v>6.75</v>
      </c>
      <c r="J247" s="34">
        <v>318752</v>
      </c>
      <c r="K247" s="34">
        <v>2496300</v>
      </c>
    </row>
    <row r="248" spans="1:11" hidden="1">
      <c r="A248" s="29" t="s">
        <v>138</v>
      </c>
      <c r="B248" s="32">
        <v>38127</v>
      </c>
      <c r="C248" s="29">
        <v>8.5</v>
      </c>
      <c r="D248" s="35">
        <v>9.5</v>
      </c>
      <c r="E248" s="35">
        <v>8.5</v>
      </c>
      <c r="F248" s="33">
        <v>8.75</v>
      </c>
      <c r="G248" s="29">
        <v>0</v>
      </c>
      <c r="H248" s="29">
        <v>0.75</v>
      </c>
      <c r="I248" s="35">
        <v>8</v>
      </c>
      <c r="J248" s="34">
        <v>838932</v>
      </c>
      <c r="K248" s="34">
        <v>7498450</v>
      </c>
    </row>
    <row r="249" spans="1:11" hidden="1">
      <c r="A249" s="29" t="s">
        <v>138</v>
      </c>
      <c r="B249" s="32">
        <v>38128</v>
      </c>
      <c r="C249" s="29">
        <v>8.5</v>
      </c>
      <c r="D249" s="35">
        <v>8.75</v>
      </c>
      <c r="E249" s="35">
        <v>8.5</v>
      </c>
      <c r="F249" s="33">
        <v>8.75</v>
      </c>
      <c r="G249" s="29">
        <v>0</v>
      </c>
      <c r="H249" s="29">
        <v>0</v>
      </c>
      <c r="I249" s="35">
        <v>8.75</v>
      </c>
      <c r="J249" s="34">
        <v>17108</v>
      </c>
      <c r="K249" s="34">
        <v>149250</v>
      </c>
    </row>
    <row r="250" spans="1:11" hidden="1">
      <c r="A250" s="29" t="s">
        <v>138</v>
      </c>
      <c r="B250" s="32">
        <v>38131</v>
      </c>
      <c r="C250" s="29">
        <v>8.25</v>
      </c>
      <c r="D250" s="35">
        <v>9</v>
      </c>
      <c r="E250" s="35">
        <v>8.25</v>
      </c>
      <c r="F250" s="33">
        <v>8.5</v>
      </c>
      <c r="G250" s="29">
        <v>0</v>
      </c>
      <c r="H250" s="29">
        <v>-0.25</v>
      </c>
      <c r="I250" s="35">
        <v>8.75</v>
      </c>
      <c r="J250" s="34">
        <v>60620</v>
      </c>
      <c r="K250" s="34">
        <v>531775</v>
      </c>
    </row>
    <row r="251" spans="1:11" hidden="1">
      <c r="A251" s="29" t="s">
        <v>138</v>
      </c>
      <c r="B251" s="32">
        <v>38132</v>
      </c>
      <c r="C251" s="29">
        <v>8.5</v>
      </c>
      <c r="D251" s="35">
        <v>8.5</v>
      </c>
      <c r="E251" s="35">
        <v>8</v>
      </c>
      <c r="F251" s="33">
        <v>8</v>
      </c>
      <c r="G251" s="29">
        <v>0</v>
      </c>
      <c r="H251" s="29">
        <v>-0.5</v>
      </c>
      <c r="I251" s="35">
        <v>8.5</v>
      </c>
      <c r="J251" s="34">
        <v>12708</v>
      </c>
      <c r="K251" s="34">
        <v>108000</v>
      </c>
    </row>
    <row r="252" spans="1:11" hidden="1">
      <c r="A252" s="29" t="s">
        <v>138</v>
      </c>
      <c r="B252" s="32">
        <v>38133</v>
      </c>
      <c r="C252" s="29">
        <v>8</v>
      </c>
      <c r="D252" s="35">
        <v>8</v>
      </c>
      <c r="E252" s="35">
        <v>8</v>
      </c>
      <c r="F252" s="33">
        <v>8</v>
      </c>
      <c r="G252" s="29">
        <v>0</v>
      </c>
      <c r="H252" s="29">
        <v>0</v>
      </c>
      <c r="I252" s="35">
        <v>8</v>
      </c>
      <c r="J252" s="34">
        <v>976</v>
      </c>
      <c r="K252" s="34">
        <v>8000</v>
      </c>
    </row>
    <row r="253" spans="1:11" hidden="1">
      <c r="A253" s="29" t="s">
        <v>138</v>
      </c>
      <c r="B253" s="32">
        <v>38134</v>
      </c>
      <c r="C253" s="29">
        <v>8</v>
      </c>
      <c r="D253" s="35">
        <v>8.5</v>
      </c>
      <c r="E253" s="35">
        <v>7.5</v>
      </c>
      <c r="F253" s="33">
        <v>8.25</v>
      </c>
      <c r="G253" s="29">
        <v>0</v>
      </c>
      <c r="H253" s="29">
        <v>0.25</v>
      </c>
      <c r="I253" s="35">
        <v>8</v>
      </c>
      <c r="J253" s="34">
        <v>43020</v>
      </c>
      <c r="K253" s="34">
        <v>355000</v>
      </c>
    </row>
    <row r="254" spans="1:11" hidden="1">
      <c r="A254" s="29" t="s">
        <v>138</v>
      </c>
      <c r="B254" s="32">
        <v>38135</v>
      </c>
      <c r="C254" s="29">
        <v>8</v>
      </c>
      <c r="D254" s="35">
        <v>8</v>
      </c>
      <c r="E254" s="35">
        <v>8</v>
      </c>
      <c r="F254" s="33">
        <v>8</v>
      </c>
      <c r="G254" s="29">
        <v>0</v>
      </c>
      <c r="H254" s="29">
        <v>-0.25</v>
      </c>
      <c r="I254" s="35">
        <v>8.25</v>
      </c>
      <c r="J254" s="34">
        <v>24932</v>
      </c>
      <c r="K254" s="34">
        <v>204000</v>
      </c>
    </row>
    <row r="255" spans="1:11" hidden="1">
      <c r="A255" s="29" t="s">
        <v>138</v>
      </c>
      <c r="B255" s="32">
        <v>38141</v>
      </c>
      <c r="C255" s="29">
        <v>7.5</v>
      </c>
      <c r="D255" s="35">
        <v>7.5</v>
      </c>
      <c r="E255" s="35">
        <v>7.5</v>
      </c>
      <c r="F255" s="33">
        <v>7.5</v>
      </c>
      <c r="G255" s="29">
        <v>0</v>
      </c>
      <c r="H255" s="29">
        <v>-0.5</v>
      </c>
      <c r="I255" s="35">
        <v>8</v>
      </c>
      <c r="J255" s="34">
        <v>4888</v>
      </c>
      <c r="K255" s="34">
        <v>37500</v>
      </c>
    </row>
    <row r="256" spans="1:11" hidden="1">
      <c r="A256" s="29" t="s">
        <v>138</v>
      </c>
      <c r="B256" s="32">
        <v>38142</v>
      </c>
      <c r="C256" s="29">
        <v>7.5</v>
      </c>
      <c r="D256" s="35">
        <v>7.5</v>
      </c>
      <c r="E256" s="35">
        <v>7.5</v>
      </c>
      <c r="F256" s="33">
        <v>7.5</v>
      </c>
      <c r="G256" s="29">
        <v>0</v>
      </c>
      <c r="H256" s="29">
        <v>0</v>
      </c>
      <c r="I256" s="35">
        <v>7.5</v>
      </c>
      <c r="J256" s="34">
        <v>7332</v>
      </c>
      <c r="K256" s="34">
        <v>56250</v>
      </c>
    </row>
    <row r="257" spans="1:11" hidden="1">
      <c r="A257" s="29" t="s">
        <v>138</v>
      </c>
      <c r="B257" s="32">
        <v>38145</v>
      </c>
      <c r="C257" s="29">
        <v>7.5</v>
      </c>
      <c r="D257" s="35">
        <v>7.5</v>
      </c>
      <c r="E257" s="35">
        <v>7.5</v>
      </c>
      <c r="F257" s="33">
        <v>7.5</v>
      </c>
      <c r="G257" s="29">
        <v>0</v>
      </c>
      <c r="H257" s="29">
        <v>0</v>
      </c>
      <c r="I257" s="35">
        <v>7.5</v>
      </c>
      <c r="J257" s="34">
        <v>14664</v>
      </c>
      <c r="K257" s="34">
        <v>112025</v>
      </c>
    </row>
    <row r="258" spans="1:11" hidden="1">
      <c r="A258" s="29" t="s">
        <v>138</v>
      </c>
      <c r="B258" s="32">
        <v>38146</v>
      </c>
      <c r="C258" s="29">
        <v>7.75</v>
      </c>
      <c r="D258" s="35">
        <v>7.75</v>
      </c>
      <c r="E258" s="35">
        <v>7.75</v>
      </c>
      <c r="F258" s="33">
        <v>7.75</v>
      </c>
      <c r="G258" s="29">
        <v>0</v>
      </c>
      <c r="H258" s="29">
        <v>0.25</v>
      </c>
      <c r="I258" s="35">
        <v>7.5</v>
      </c>
      <c r="J258" s="34">
        <v>39108</v>
      </c>
      <c r="K258" s="34">
        <v>304700</v>
      </c>
    </row>
    <row r="259" spans="1:11" hidden="1">
      <c r="A259" s="29" t="s">
        <v>138</v>
      </c>
      <c r="B259" s="32">
        <v>38147</v>
      </c>
      <c r="C259" s="29">
        <v>7.75</v>
      </c>
      <c r="D259" s="35">
        <v>7.75</v>
      </c>
      <c r="E259" s="35">
        <v>7.5</v>
      </c>
      <c r="F259" s="33">
        <v>7.75</v>
      </c>
      <c r="G259" s="29">
        <v>0</v>
      </c>
      <c r="H259" s="29">
        <v>0</v>
      </c>
      <c r="I259" s="35">
        <v>7.75</v>
      </c>
      <c r="J259" s="34">
        <v>54264</v>
      </c>
      <c r="K259" s="34">
        <v>420950</v>
      </c>
    </row>
    <row r="260" spans="1:11" hidden="1">
      <c r="A260" s="29" t="s">
        <v>138</v>
      </c>
      <c r="B260" s="32">
        <v>38148</v>
      </c>
      <c r="C260" s="29">
        <v>8</v>
      </c>
      <c r="D260" s="35">
        <v>9</v>
      </c>
      <c r="E260" s="35">
        <v>8</v>
      </c>
      <c r="F260" s="33">
        <v>8.5</v>
      </c>
      <c r="G260" s="29">
        <v>0</v>
      </c>
      <c r="H260" s="29">
        <v>0.75</v>
      </c>
      <c r="I260" s="35">
        <v>7.75</v>
      </c>
      <c r="J260" s="34">
        <v>174532</v>
      </c>
      <c r="K260" s="34">
        <v>1514775</v>
      </c>
    </row>
    <row r="261" spans="1:11" hidden="1">
      <c r="A261" s="29" t="s">
        <v>138</v>
      </c>
      <c r="B261" s="32">
        <v>38149</v>
      </c>
      <c r="C261" s="29">
        <v>8.5</v>
      </c>
      <c r="D261" s="35">
        <v>9</v>
      </c>
      <c r="E261" s="35">
        <v>8.5</v>
      </c>
      <c r="F261" s="33">
        <v>8.75</v>
      </c>
      <c r="G261" s="29">
        <v>0</v>
      </c>
      <c r="H261" s="29">
        <v>0.25</v>
      </c>
      <c r="I261" s="35">
        <v>8.5</v>
      </c>
      <c r="J261" s="34">
        <v>447820</v>
      </c>
      <c r="K261" s="34">
        <v>3989075</v>
      </c>
    </row>
    <row r="262" spans="1:11" hidden="1">
      <c r="A262" s="29" t="s">
        <v>138</v>
      </c>
      <c r="B262" s="32">
        <v>38152</v>
      </c>
      <c r="C262" s="29">
        <v>9</v>
      </c>
      <c r="D262" s="35">
        <v>9</v>
      </c>
      <c r="E262" s="35">
        <v>8.5</v>
      </c>
      <c r="F262" s="33">
        <v>8.5</v>
      </c>
      <c r="G262" s="29">
        <v>0</v>
      </c>
      <c r="H262" s="29">
        <v>-0.25</v>
      </c>
      <c r="I262" s="35">
        <v>8.75</v>
      </c>
      <c r="J262" s="34">
        <v>199464</v>
      </c>
      <c r="K262" s="34">
        <v>1764225</v>
      </c>
    </row>
    <row r="263" spans="1:11" hidden="1">
      <c r="A263" s="29" t="s">
        <v>138</v>
      </c>
      <c r="B263" s="32">
        <v>38153</v>
      </c>
      <c r="C263" s="29">
        <v>8.5</v>
      </c>
      <c r="D263" s="35">
        <v>8.5</v>
      </c>
      <c r="E263" s="35">
        <v>8.5</v>
      </c>
      <c r="F263" s="33">
        <v>8.5</v>
      </c>
      <c r="G263" s="29">
        <v>0</v>
      </c>
      <c r="H263" s="29">
        <v>0</v>
      </c>
      <c r="I263" s="35">
        <v>8.5</v>
      </c>
      <c r="J263" s="34">
        <v>7332</v>
      </c>
      <c r="K263" s="34">
        <v>62250</v>
      </c>
    </row>
    <row r="264" spans="1:11" hidden="1">
      <c r="A264" s="29" t="s">
        <v>138</v>
      </c>
      <c r="B264" s="32">
        <v>38154</v>
      </c>
      <c r="C264" s="29">
        <v>8.5</v>
      </c>
      <c r="D264" s="35">
        <v>8.5</v>
      </c>
      <c r="E264" s="35">
        <v>8.5</v>
      </c>
      <c r="F264" s="33">
        <v>8.5</v>
      </c>
      <c r="G264" s="29">
        <v>0</v>
      </c>
      <c r="H264" s="29">
        <v>0</v>
      </c>
      <c r="I264" s="35">
        <v>8.5</v>
      </c>
      <c r="J264" s="34">
        <v>56220</v>
      </c>
      <c r="K264" s="34">
        <v>482500</v>
      </c>
    </row>
    <row r="265" spans="1:11" hidden="1">
      <c r="A265" s="29" t="s">
        <v>138</v>
      </c>
      <c r="B265" s="32">
        <v>38155</v>
      </c>
      <c r="C265" s="29">
        <v>8.5</v>
      </c>
      <c r="D265" s="35">
        <v>8.5</v>
      </c>
      <c r="E265" s="35">
        <v>8.5</v>
      </c>
      <c r="F265" s="33">
        <v>8.5</v>
      </c>
      <c r="G265" s="29">
        <v>0</v>
      </c>
      <c r="H265" s="29">
        <v>0</v>
      </c>
      <c r="I265" s="35">
        <v>8.5</v>
      </c>
      <c r="J265" s="34">
        <v>39108</v>
      </c>
      <c r="K265" s="34">
        <v>334750</v>
      </c>
    </row>
    <row r="266" spans="1:11" hidden="1">
      <c r="A266" s="29" t="s">
        <v>138</v>
      </c>
      <c r="B266" s="32">
        <v>38156</v>
      </c>
      <c r="C266" s="29">
        <v>8.5</v>
      </c>
      <c r="D266" s="35">
        <v>8.5</v>
      </c>
      <c r="E266" s="35">
        <v>8.5</v>
      </c>
      <c r="F266" s="33">
        <v>8.5</v>
      </c>
      <c r="G266" s="29">
        <v>0</v>
      </c>
      <c r="H266" s="29">
        <v>0</v>
      </c>
      <c r="I266" s="35">
        <v>8.5</v>
      </c>
      <c r="J266" s="34">
        <v>31288</v>
      </c>
      <c r="K266" s="34">
        <v>268550</v>
      </c>
    </row>
    <row r="267" spans="1:11" hidden="1">
      <c r="A267" s="29" t="s">
        <v>138</v>
      </c>
      <c r="B267" s="32">
        <v>38159</v>
      </c>
      <c r="C267" s="29">
        <v>8.5</v>
      </c>
      <c r="D267" s="35">
        <v>8.5</v>
      </c>
      <c r="E267" s="35">
        <v>8.5</v>
      </c>
      <c r="F267" s="33">
        <v>8.5</v>
      </c>
      <c r="G267" s="29">
        <v>0</v>
      </c>
      <c r="H267" s="29">
        <v>0</v>
      </c>
      <c r="I267" s="35">
        <v>8.5</v>
      </c>
      <c r="J267" s="34">
        <v>2444</v>
      </c>
      <c r="K267" s="34">
        <v>20875</v>
      </c>
    </row>
    <row r="268" spans="1:11" hidden="1">
      <c r="A268" s="29" t="s">
        <v>138</v>
      </c>
      <c r="B268" s="32">
        <v>38160</v>
      </c>
      <c r="C268" s="29">
        <v>8.25</v>
      </c>
      <c r="D268" s="35">
        <v>8.75</v>
      </c>
      <c r="E268" s="35">
        <v>8.25</v>
      </c>
      <c r="F268" s="33">
        <v>8.5</v>
      </c>
      <c r="G268" s="29">
        <v>0</v>
      </c>
      <c r="H268" s="29">
        <v>0</v>
      </c>
      <c r="I268" s="35">
        <v>8.5</v>
      </c>
      <c r="J268" s="34">
        <v>12708</v>
      </c>
      <c r="K268" s="34">
        <v>108650</v>
      </c>
    </row>
    <row r="269" spans="1:11" hidden="1">
      <c r="A269" s="29" t="s">
        <v>138</v>
      </c>
      <c r="B269" s="32">
        <v>38161</v>
      </c>
      <c r="C269" s="29">
        <v>8.5</v>
      </c>
      <c r="D269" s="35">
        <v>8.5</v>
      </c>
      <c r="E269" s="35">
        <v>8.5</v>
      </c>
      <c r="F269" s="33">
        <v>8.5</v>
      </c>
      <c r="G269" s="29">
        <v>0</v>
      </c>
      <c r="H269" s="29">
        <v>0</v>
      </c>
      <c r="I269" s="35">
        <v>8.5</v>
      </c>
      <c r="J269" s="34">
        <v>21996</v>
      </c>
      <c r="K269" s="34">
        <v>189000</v>
      </c>
    </row>
    <row r="270" spans="1:11" hidden="1">
      <c r="A270" s="29" t="s">
        <v>138</v>
      </c>
      <c r="B270" s="32">
        <v>38162</v>
      </c>
      <c r="C270" s="29">
        <v>8.5</v>
      </c>
      <c r="D270" s="35">
        <v>8.5</v>
      </c>
      <c r="E270" s="35">
        <v>8.5</v>
      </c>
      <c r="F270" s="33">
        <v>8.5</v>
      </c>
      <c r="G270" s="29">
        <v>0</v>
      </c>
      <c r="H270" s="29">
        <v>0</v>
      </c>
      <c r="I270" s="35">
        <v>8.5</v>
      </c>
      <c r="J270" s="34">
        <v>11244</v>
      </c>
      <c r="K270" s="34">
        <v>96650</v>
      </c>
    </row>
    <row r="271" spans="1:11" hidden="1">
      <c r="A271" s="29" t="s">
        <v>138</v>
      </c>
      <c r="B271" s="32">
        <v>38163</v>
      </c>
      <c r="C271" s="29">
        <v>8.5</v>
      </c>
      <c r="D271" s="35">
        <v>8.5</v>
      </c>
      <c r="E271" s="35">
        <v>8.5</v>
      </c>
      <c r="F271" s="33">
        <v>8.5</v>
      </c>
      <c r="G271" s="29">
        <v>0</v>
      </c>
      <c r="H271" s="29">
        <v>0</v>
      </c>
      <c r="I271" s="35">
        <v>8.5</v>
      </c>
      <c r="J271" s="34">
        <v>3908</v>
      </c>
      <c r="K271" s="34">
        <v>33600</v>
      </c>
    </row>
    <row r="272" spans="1:11" hidden="1">
      <c r="A272" s="29" t="s">
        <v>138</v>
      </c>
      <c r="B272" s="32">
        <v>38166</v>
      </c>
      <c r="C272" s="29">
        <v>8.5</v>
      </c>
      <c r="D272" s="35">
        <v>8.5</v>
      </c>
      <c r="E272" s="35">
        <v>8.5</v>
      </c>
      <c r="F272" s="33">
        <v>8.5</v>
      </c>
      <c r="G272" s="29">
        <v>0</v>
      </c>
      <c r="H272" s="29">
        <v>0</v>
      </c>
      <c r="I272" s="35">
        <v>8.5</v>
      </c>
      <c r="J272" s="34">
        <v>7332</v>
      </c>
      <c r="K272" s="34">
        <v>62625</v>
      </c>
    </row>
    <row r="273" spans="1:11" hidden="1">
      <c r="A273" s="29" t="s">
        <v>138</v>
      </c>
      <c r="B273" s="32">
        <v>38167</v>
      </c>
      <c r="C273" s="29">
        <v>8.5</v>
      </c>
      <c r="D273" s="35">
        <v>8.5</v>
      </c>
      <c r="E273" s="35">
        <v>8.5</v>
      </c>
      <c r="F273" s="33">
        <v>8.5</v>
      </c>
      <c r="G273" s="29">
        <v>0</v>
      </c>
      <c r="H273" s="29">
        <v>0</v>
      </c>
      <c r="I273" s="35">
        <v>8.5</v>
      </c>
      <c r="J273" s="34">
        <v>14176</v>
      </c>
      <c r="K273" s="34">
        <v>121300</v>
      </c>
    </row>
    <row r="274" spans="1:11" hidden="1">
      <c r="A274" s="29" t="s">
        <v>138</v>
      </c>
      <c r="B274" s="32">
        <v>38168</v>
      </c>
      <c r="C274" s="29">
        <v>8.5</v>
      </c>
      <c r="D274" s="35">
        <v>9</v>
      </c>
      <c r="E274" s="35">
        <v>8.5</v>
      </c>
      <c r="F274" s="33">
        <v>8.75</v>
      </c>
      <c r="G274" s="29">
        <v>0</v>
      </c>
      <c r="H274" s="29">
        <v>0.25</v>
      </c>
      <c r="I274" s="35">
        <v>8.5</v>
      </c>
      <c r="J274" s="34">
        <v>16620</v>
      </c>
      <c r="K274" s="34">
        <v>147300</v>
      </c>
    </row>
    <row r="275" spans="1:11" hidden="1">
      <c r="A275" s="29" t="s">
        <v>138</v>
      </c>
      <c r="B275" s="32">
        <v>38169</v>
      </c>
      <c r="C275" s="29">
        <v>8.5</v>
      </c>
      <c r="D275" s="35">
        <v>8.5</v>
      </c>
      <c r="E275" s="35">
        <v>8.5</v>
      </c>
      <c r="F275" s="33">
        <v>8.5</v>
      </c>
      <c r="G275" s="29">
        <v>0</v>
      </c>
      <c r="H275" s="29">
        <v>-0.25</v>
      </c>
      <c r="I275" s="35">
        <v>8.75</v>
      </c>
      <c r="J275" s="34">
        <v>5864</v>
      </c>
      <c r="K275" s="34">
        <v>50500</v>
      </c>
    </row>
    <row r="276" spans="1:11" hidden="1">
      <c r="A276" s="29" t="s">
        <v>138</v>
      </c>
      <c r="B276" s="32">
        <v>38173</v>
      </c>
      <c r="C276" s="29">
        <v>8.75</v>
      </c>
      <c r="D276" s="35">
        <v>11</v>
      </c>
      <c r="E276" s="35">
        <v>8.75</v>
      </c>
      <c r="F276" s="33">
        <v>10.75</v>
      </c>
      <c r="G276" s="29">
        <v>0</v>
      </c>
      <c r="H276" s="29">
        <v>2.25</v>
      </c>
      <c r="I276" s="35">
        <v>8.5</v>
      </c>
      <c r="J276" s="34">
        <v>2346664</v>
      </c>
      <c r="K276" s="34">
        <v>24011625</v>
      </c>
    </row>
    <row r="277" spans="1:11" hidden="1">
      <c r="A277" s="29" t="s">
        <v>138</v>
      </c>
      <c r="B277" s="32">
        <v>38174</v>
      </c>
      <c r="C277" s="29">
        <v>11</v>
      </c>
      <c r="D277" s="35">
        <v>11.5</v>
      </c>
      <c r="E277" s="35">
        <v>10.75</v>
      </c>
      <c r="F277" s="33">
        <v>10.75</v>
      </c>
      <c r="G277" s="29">
        <v>0</v>
      </c>
      <c r="H277" s="29">
        <v>0</v>
      </c>
      <c r="I277" s="35">
        <v>10.75</v>
      </c>
      <c r="J277" s="34">
        <v>2250844</v>
      </c>
      <c r="K277" s="34">
        <v>25534650</v>
      </c>
    </row>
    <row r="278" spans="1:11" hidden="1">
      <c r="A278" s="29" t="s">
        <v>138</v>
      </c>
      <c r="B278" s="32">
        <v>38175</v>
      </c>
      <c r="C278" s="29">
        <v>11.25</v>
      </c>
      <c r="D278" s="35">
        <v>11.25</v>
      </c>
      <c r="E278" s="35">
        <v>10.25</v>
      </c>
      <c r="F278" s="33">
        <v>10.75</v>
      </c>
      <c r="G278" s="29">
        <v>0</v>
      </c>
      <c r="H278" s="29">
        <v>0</v>
      </c>
      <c r="I278" s="35">
        <v>10.75</v>
      </c>
      <c r="J278" s="34">
        <v>1037420</v>
      </c>
      <c r="K278" s="34">
        <v>11382125</v>
      </c>
    </row>
    <row r="279" spans="1:11" hidden="1">
      <c r="A279" s="29" t="s">
        <v>138</v>
      </c>
      <c r="B279" s="32">
        <v>38176</v>
      </c>
      <c r="C279" s="29">
        <v>11.25</v>
      </c>
      <c r="D279" s="35">
        <v>11.25</v>
      </c>
      <c r="E279" s="35">
        <v>10.75</v>
      </c>
      <c r="F279" s="33">
        <v>10.75</v>
      </c>
      <c r="G279" s="29">
        <v>0</v>
      </c>
      <c r="H279" s="29">
        <v>0</v>
      </c>
      <c r="I279" s="35">
        <v>10.75</v>
      </c>
      <c r="J279" s="34">
        <v>192132</v>
      </c>
      <c r="K279" s="34">
        <v>2120850</v>
      </c>
    </row>
    <row r="280" spans="1:11" hidden="1">
      <c r="A280" s="29" t="s">
        <v>138</v>
      </c>
      <c r="B280" s="32">
        <v>38177</v>
      </c>
      <c r="C280" s="29">
        <v>11</v>
      </c>
      <c r="D280" s="35">
        <v>11</v>
      </c>
      <c r="E280" s="35">
        <v>10.75</v>
      </c>
      <c r="F280" s="33">
        <v>10.75</v>
      </c>
      <c r="G280" s="29">
        <v>0</v>
      </c>
      <c r="H280" s="29">
        <v>0</v>
      </c>
      <c r="I280" s="35">
        <v>10.75</v>
      </c>
      <c r="J280" s="34">
        <v>29332</v>
      </c>
      <c r="K280" s="34">
        <v>318100</v>
      </c>
    </row>
    <row r="281" spans="1:11" hidden="1">
      <c r="A281" s="29" t="s">
        <v>138</v>
      </c>
      <c r="B281" s="32">
        <v>38180</v>
      </c>
      <c r="C281" s="29">
        <v>11</v>
      </c>
      <c r="D281" s="35">
        <v>11</v>
      </c>
      <c r="E281" s="35">
        <v>10.75</v>
      </c>
      <c r="F281" s="33">
        <v>10.75</v>
      </c>
      <c r="G281" s="29">
        <v>0</v>
      </c>
      <c r="H281" s="29">
        <v>0</v>
      </c>
      <c r="I281" s="35">
        <v>10.75</v>
      </c>
      <c r="J281" s="34">
        <v>199952</v>
      </c>
      <c r="K281" s="34">
        <v>2189075</v>
      </c>
    </row>
    <row r="282" spans="1:11" hidden="1">
      <c r="A282" s="29" t="s">
        <v>138</v>
      </c>
      <c r="B282" s="32">
        <v>38181</v>
      </c>
      <c r="C282" s="29">
        <v>11</v>
      </c>
      <c r="D282" s="35">
        <v>11</v>
      </c>
      <c r="E282" s="35">
        <v>11</v>
      </c>
      <c r="F282" s="33">
        <v>11</v>
      </c>
      <c r="G282" s="29">
        <v>0</v>
      </c>
      <c r="H282" s="29">
        <v>0.25</v>
      </c>
      <c r="I282" s="35">
        <v>10.75</v>
      </c>
      <c r="J282" s="34">
        <v>29332</v>
      </c>
      <c r="K282" s="34">
        <v>323550</v>
      </c>
    </row>
    <row r="283" spans="1:11" hidden="1">
      <c r="A283" s="29" t="s">
        <v>138</v>
      </c>
      <c r="B283" s="32">
        <v>38182</v>
      </c>
      <c r="C283" s="29">
        <v>11</v>
      </c>
      <c r="D283" s="35">
        <v>11.25</v>
      </c>
      <c r="E283" s="35">
        <v>11</v>
      </c>
      <c r="F283" s="33">
        <v>11.25</v>
      </c>
      <c r="G283" s="29">
        <v>0</v>
      </c>
      <c r="H283" s="29">
        <v>0.25</v>
      </c>
      <c r="I283" s="35">
        <v>11</v>
      </c>
      <c r="J283" s="34">
        <v>350532</v>
      </c>
      <c r="K283" s="34">
        <v>3942225</v>
      </c>
    </row>
    <row r="284" spans="1:11" hidden="1">
      <c r="A284" s="29" t="s">
        <v>138</v>
      </c>
      <c r="B284" s="32">
        <v>38183</v>
      </c>
      <c r="C284" s="29">
        <v>11.25</v>
      </c>
      <c r="D284" s="35">
        <v>11.25</v>
      </c>
      <c r="E284" s="35">
        <v>11.25</v>
      </c>
      <c r="F284" s="33">
        <v>11.25</v>
      </c>
      <c r="G284" s="29">
        <v>0</v>
      </c>
      <c r="H284" s="29">
        <v>0</v>
      </c>
      <c r="I284" s="35">
        <v>11.25</v>
      </c>
      <c r="J284" s="34">
        <v>187244</v>
      </c>
      <c r="K284" s="34">
        <v>2112500</v>
      </c>
    </row>
    <row r="285" spans="1:11" hidden="1">
      <c r="A285" s="29" t="s">
        <v>138</v>
      </c>
      <c r="B285" s="32">
        <v>38184</v>
      </c>
      <c r="C285" s="29">
        <v>11.25</v>
      </c>
      <c r="D285" s="35">
        <v>11.25</v>
      </c>
      <c r="E285" s="35">
        <v>11</v>
      </c>
      <c r="F285" s="33">
        <v>11</v>
      </c>
      <c r="G285" s="29">
        <v>0</v>
      </c>
      <c r="H285" s="29">
        <v>-0.25</v>
      </c>
      <c r="I285" s="35">
        <v>11.25</v>
      </c>
      <c r="J285" s="34">
        <v>103644</v>
      </c>
      <c r="K285" s="34">
        <v>1156750</v>
      </c>
    </row>
    <row r="286" spans="1:11" hidden="1">
      <c r="A286" s="29" t="s">
        <v>138</v>
      </c>
      <c r="B286" s="32">
        <v>38187</v>
      </c>
      <c r="C286" s="29">
        <v>11</v>
      </c>
      <c r="D286" s="35">
        <v>11</v>
      </c>
      <c r="E286" s="35">
        <v>11</v>
      </c>
      <c r="F286" s="33">
        <v>11</v>
      </c>
      <c r="G286" s="29">
        <v>0</v>
      </c>
      <c r="H286" s="29">
        <v>0</v>
      </c>
      <c r="I286" s="35">
        <v>11</v>
      </c>
      <c r="J286" s="34">
        <v>91420</v>
      </c>
      <c r="K286" s="34">
        <v>1011225</v>
      </c>
    </row>
    <row r="287" spans="1:11" hidden="1">
      <c r="A287" s="29" t="s">
        <v>138</v>
      </c>
      <c r="B287" s="32">
        <v>38188</v>
      </c>
      <c r="C287" s="29">
        <v>11</v>
      </c>
      <c r="D287" s="35">
        <v>11</v>
      </c>
      <c r="E287" s="35">
        <v>11</v>
      </c>
      <c r="F287" s="33">
        <v>11</v>
      </c>
      <c r="G287" s="29">
        <v>0</v>
      </c>
      <c r="H287" s="29">
        <v>0</v>
      </c>
      <c r="I287" s="35">
        <v>11</v>
      </c>
      <c r="J287" s="34">
        <v>131020</v>
      </c>
      <c r="K287" s="34">
        <v>1448100</v>
      </c>
    </row>
    <row r="288" spans="1:11" hidden="1">
      <c r="A288" s="29" t="s">
        <v>138</v>
      </c>
      <c r="B288" s="32">
        <v>38189</v>
      </c>
      <c r="C288" s="29">
        <v>11</v>
      </c>
      <c r="D288" s="35">
        <v>11</v>
      </c>
      <c r="E288" s="35">
        <v>11</v>
      </c>
      <c r="F288" s="33">
        <v>11</v>
      </c>
      <c r="G288" s="29">
        <v>0</v>
      </c>
      <c r="H288" s="29">
        <v>0</v>
      </c>
      <c r="I288" s="35">
        <v>11</v>
      </c>
      <c r="J288" s="34">
        <v>357864</v>
      </c>
      <c r="K288" s="34">
        <v>3954125</v>
      </c>
    </row>
    <row r="289" spans="1:11" hidden="1">
      <c r="A289" s="29" t="s">
        <v>138</v>
      </c>
      <c r="B289" s="32">
        <v>38190</v>
      </c>
      <c r="C289" s="29">
        <v>11</v>
      </c>
      <c r="D289" s="35">
        <v>11</v>
      </c>
      <c r="E289" s="35">
        <v>11</v>
      </c>
      <c r="F289" s="33">
        <v>11</v>
      </c>
      <c r="G289" s="29">
        <v>0</v>
      </c>
      <c r="H289" s="29">
        <v>0</v>
      </c>
      <c r="I289" s="35">
        <v>11</v>
      </c>
      <c r="J289" s="34">
        <v>69908</v>
      </c>
      <c r="K289" s="34">
        <v>780375</v>
      </c>
    </row>
    <row r="290" spans="1:11" hidden="1">
      <c r="A290" s="29" t="s">
        <v>138</v>
      </c>
      <c r="B290" s="32">
        <v>38191</v>
      </c>
      <c r="C290" s="29">
        <v>11.25</v>
      </c>
      <c r="D290" s="35">
        <v>11.5</v>
      </c>
      <c r="E290" s="35">
        <v>11.25</v>
      </c>
      <c r="F290" s="33">
        <v>11.25</v>
      </c>
      <c r="G290" s="29">
        <v>0</v>
      </c>
      <c r="H290" s="29">
        <v>0.25</v>
      </c>
      <c r="I290" s="35">
        <v>11</v>
      </c>
      <c r="J290" s="34">
        <v>186752</v>
      </c>
      <c r="K290" s="34">
        <v>2116650</v>
      </c>
    </row>
    <row r="291" spans="1:11" hidden="1">
      <c r="A291" s="29" t="s">
        <v>138</v>
      </c>
      <c r="B291" s="32">
        <v>38194</v>
      </c>
      <c r="C291" s="29">
        <v>11.25</v>
      </c>
      <c r="D291" s="35">
        <v>11.25</v>
      </c>
      <c r="E291" s="35">
        <v>11</v>
      </c>
      <c r="F291" s="33">
        <v>11</v>
      </c>
      <c r="G291" s="29">
        <v>0</v>
      </c>
      <c r="H291" s="29">
        <v>-0.25</v>
      </c>
      <c r="I291" s="35">
        <v>11.25</v>
      </c>
      <c r="J291" s="34">
        <v>63552</v>
      </c>
      <c r="K291" s="34">
        <v>714125</v>
      </c>
    </row>
    <row r="292" spans="1:11" hidden="1">
      <c r="A292" s="29" t="s">
        <v>138</v>
      </c>
      <c r="B292" s="32">
        <v>38195</v>
      </c>
      <c r="C292" s="29">
        <v>11.25</v>
      </c>
      <c r="D292" s="35">
        <v>11.25</v>
      </c>
      <c r="E292" s="35">
        <v>11</v>
      </c>
      <c r="F292" s="33">
        <v>11</v>
      </c>
      <c r="G292" s="29">
        <v>0</v>
      </c>
      <c r="H292" s="29">
        <v>0</v>
      </c>
      <c r="I292" s="35">
        <v>11</v>
      </c>
      <c r="J292" s="34">
        <v>23952</v>
      </c>
      <c r="K292" s="34">
        <v>268650</v>
      </c>
    </row>
    <row r="293" spans="1:11" hidden="1">
      <c r="A293" s="29" t="s">
        <v>138</v>
      </c>
      <c r="B293" s="32">
        <v>38196</v>
      </c>
      <c r="C293" s="29">
        <v>11.25</v>
      </c>
      <c r="D293" s="35">
        <v>11.25</v>
      </c>
      <c r="E293" s="35">
        <v>11</v>
      </c>
      <c r="F293" s="33">
        <v>11</v>
      </c>
      <c r="G293" s="29">
        <v>0</v>
      </c>
      <c r="H293" s="29">
        <v>0</v>
      </c>
      <c r="I293" s="35">
        <v>11</v>
      </c>
      <c r="J293" s="34">
        <v>34220</v>
      </c>
      <c r="K293" s="34">
        <v>381750</v>
      </c>
    </row>
    <row r="294" spans="1:11" hidden="1">
      <c r="A294" s="29" t="s">
        <v>138</v>
      </c>
      <c r="B294" s="32">
        <v>38198</v>
      </c>
      <c r="C294" s="29">
        <v>11</v>
      </c>
      <c r="D294" s="35">
        <v>11.25</v>
      </c>
      <c r="E294" s="35">
        <v>11</v>
      </c>
      <c r="F294" s="33">
        <v>11</v>
      </c>
      <c r="G294" s="29">
        <v>0</v>
      </c>
      <c r="H294" s="29">
        <v>0</v>
      </c>
      <c r="I294" s="35">
        <v>11</v>
      </c>
      <c r="J294" s="34">
        <v>28844</v>
      </c>
      <c r="K294" s="34">
        <v>319200</v>
      </c>
    </row>
    <row r="295" spans="1:11" hidden="1">
      <c r="A295" s="29" t="s">
        <v>138</v>
      </c>
      <c r="B295" s="32">
        <v>38201</v>
      </c>
      <c r="C295" s="29">
        <v>11</v>
      </c>
      <c r="D295" s="35">
        <v>11</v>
      </c>
      <c r="E295" s="35">
        <v>11</v>
      </c>
      <c r="F295" s="33">
        <v>11</v>
      </c>
      <c r="G295" s="29">
        <v>0</v>
      </c>
      <c r="H295" s="29">
        <v>0</v>
      </c>
      <c r="I295" s="35">
        <v>11</v>
      </c>
      <c r="J295" s="34">
        <v>24444</v>
      </c>
      <c r="K295" s="34">
        <v>270000</v>
      </c>
    </row>
    <row r="296" spans="1:11" hidden="1">
      <c r="A296" s="29" t="s">
        <v>138</v>
      </c>
      <c r="B296" s="32">
        <v>38202</v>
      </c>
      <c r="C296" s="29">
        <v>11</v>
      </c>
      <c r="D296" s="35">
        <v>11</v>
      </c>
      <c r="E296" s="35">
        <v>11</v>
      </c>
      <c r="F296" s="33">
        <v>11</v>
      </c>
      <c r="G296" s="29">
        <v>0</v>
      </c>
      <c r="H296" s="29">
        <v>0</v>
      </c>
      <c r="I296" s="35">
        <v>11</v>
      </c>
      <c r="J296" s="34">
        <v>3420</v>
      </c>
      <c r="K296" s="34">
        <v>37800</v>
      </c>
    </row>
    <row r="297" spans="1:11" hidden="1">
      <c r="A297" s="29" t="s">
        <v>138</v>
      </c>
      <c r="B297" s="32">
        <v>38203</v>
      </c>
      <c r="C297" s="29">
        <v>10.75</v>
      </c>
      <c r="D297" s="35">
        <v>10.75</v>
      </c>
      <c r="E297" s="35">
        <v>10.75</v>
      </c>
      <c r="F297" s="33">
        <v>10.75</v>
      </c>
      <c r="G297" s="29">
        <v>0</v>
      </c>
      <c r="H297" s="29">
        <v>-0.25</v>
      </c>
      <c r="I297" s="35">
        <v>11</v>
      </c>
      <c r="J297" s="34">
        <v>25908</v>
      </c>
      <c r="K297" s="34">
        <v>280900</v>
      </c>
    </row>
    <row r="298" spans="1:11" hidden="1">
      <c r="A298" s="29" t="s">
        <v>138</v>
      </c>
      <c r="B298" s="32">
        <v>38204</v>
      </c>
      <c r="C298" s="29">
        <v>10.75</v>
      </c>
      <c r="D298" s="35">
        <v>11</v>
      </c>
      <c r="E298" s="35">
        <v>10.75</v>
      </c>
      <c r="F298" s="33">
        <v>10.75</v>
      </c>
      <c r="G298" s="29">
        <v>0</v>
      </c>
      <c r="H298" s="29">
        <v>0</v>
      </c>
      <c r="I298" s="35">
        <v>10.75</v>
      </c>
      <c r="J298" s="34">
        <v>18088</v>
      </c>
      <c r="K298" s="34">
        <v>196475</v>
      </c>
    </row>
    <row r="299" spans="1:11" hidden="1">
      <c r="A299" s="29" t="s">
        <v>138</v>
      </c>
      <c r="B299" s="32">
        <v>38205</v>
      </c>
      <c r="C299" s="29">
        <v>11</v>
      </c>
      <c r="D299" s="35">
        <v>11</v>
      </c>
      <c r="E299" s="35">
        <v>11</v>
      </c>
      <c r="F299" s="33">
        <v>11</v>
      </c>
      <c r="G299" s="29">
        <v>0</v>
      </c>
      <c r="H299" s="29">
        <v>0.25</v>
      </c>
      <c r="I299" s="35">
        <v>10.75</v>
      </c>
      <c r="J299" s="34">
        <v>17108</v>
      </c>
      <c r="K299" s="34">
        <v>188125</v>
      </c>
    </row>
    <row r="300" spans="1:11" hidden="1">
      <c r="A300" s="29" t="s">
        <v>138</v>
      </c>
      <c r="B300" s="32">
        <v>38208</v>
      </c>
      <c r="C300" s="29">
        <v>11</v>
      </c>
      <c r="D300" s="35">
        <v>11</v>
      </c>
      <c r="E300" s="35">
        <v>11</v>
      </c>
      <c r="F300" s="33">
        <v>11</v>
      </c>
      <c r="G300" s="29">
        <v>0</v>
      </c>
      <c r="H300" s="29">
        <v>0</v>
      </c>
      <c r="I300" s="35">
        <v>11</v>
      </c>
      <c r="J300" s="34">
        <v>9776</v>
      </c>
      <c r="K300" s="34">
        <v>108000</v>
      </c>
    </row>
    <row r="301" spans="1:11" hidden="1">
      <c r="A301" s="29" t="s">
        <v>138</v>
      </c>
      <c r="B301" s="32">
        <v>38210</v>
      </c>
      <c r="C301" s="29">
        <v>11</v>
      </c>
      <c r="D301" s="35">
        <v>11</v>
      </c>
      <c r="E301" s="35">
        <v>10.75</v>
      </c>
      <c r="F301" s="33">
        <v>10.75</v>
      </c>
      <c r="G301" s="29">
        <v>0</v>
      </c>
      <c r="H301" s="29">
        <v>-0.25</v>
      </c>
      <c r="I301" s="35">
        <v>11</v>
      </c>
      <c r="J301" s="34">
        <v>2932</v>
      </c>
      <c r="K301" s="34">
        <v>31875</v>
      </c>
    </row>
    <row r="302" spans="1:11" hidden="1">
      <c r="A302" s="29" t="s">
        <v>138</v>
      </c>
      <c r="B302" s="32">
        <v>38212</v>
      </c>
      <c r="C302" s="29">
        <v>10.75</v>
      </c>
      <c r="D302" s="35">
        <v>10.75</v>
      </c>
      <c r="E302" s="35">
        <v>10.75</v>
      </c>
      <c r="F302" s="33">
        <v>10.75</v>
      </c>
      <c r="G302" s="29">
        <v>0</v>
      </c>
      <c r="H302" s="29">
        <v>0</v>
      </c>
      <c r="I302" s="35">
        <v>10.75</v>
      </c>
      <c r="J302" s="34">
        <v>21508</v>
      </c>
      <c r="K302" s="34">
        <v>231750</v>
      </c>
    </row>
    <row r="303" spans="1:11" hidden="1">
      <c r="A303" s="29" t="s">
        <v>138</v>
      </c>
      <c r="B303" s="32">
        <v>38215</v>
      </c>
      <c r="C303" s="29">
        <v>10</v>
      </c>
      <c r="D303" s="35">
        <v>10</v>
      </c>
      <c r="E303" s="35">
        <v>10</v>
      </c>
      <c r="F303" s="33">
        <v>10</v>
      </c>
      <c r="G303" s="29">
        <v>0</v>
      </c>
      <c r="H303" s="29">
        <v>-0.75</v>
      </c>
      <c r="I303" s="35">
        <v>10.75</v>
      </c>
      <c r="J303" s="34">
        <v>976</v>
      </c>
      <c r="K303" s="34">
        <v>9850</v>
      </c>
    </row>
    <row r="304" spans="1:11" hidden="1">
      <c r="A304" s="29" t="s">
        <v>138</v>
      </c>
      <c r="B304" s="32">
        <v>38216</v>
      </c>
      <c r="C304" s="29">
        <v>10.75</v>
      </c>
      <c r="D304" s="35">
        <v>10.75</v>
      </c>
      <c r="E304" s="35">
        <v>10</v>
      </c>
      <c r="F304" s="33">
        <v>10</v>
      </c>
      <c r="G304" s="29">
        <v>0</v>
      </c>
      <c r="H304" s="29">
        <v>0</v>
      </c>
      <c r="I304" s="35">
        <v>10</v>
      </c>
      <c r="J304" s="34">
        <v>31288</v>
      </c>
      <c r="K304" s="34">
        <v>324075</v>
      </c>
    </row>
    <row r="305" spans="1:11" hidden="1">
      <c r="A305" s="29" t="s">
        <v>138</v>
      </c>
      <c r="B305" s="32">
        <v>38217</v>
      </c>
      <c r="C305" s="29">
        <v>10.25</v>
      </c>
      <c r="D305" s="35">
        <v>10.25</v>
      </c>
      <c r="E305" s="35">
        <v>10.25</v>
      </c>
      <c r="F305" s="33">
        <v>10.25</v>
      </c>
      <c r="G305" s="29">
        <v>0</v>
      </c>
      <c r="H305" s="29">
        <v>0.25</v>
      </c>
      <c r="I305" s="35">
        <v>10</v>
      </c>
      <c r="J305" s="34">
        <v>488</v>
      </c>
      <c r="K305" s="34">
        <v>5000</v>
      </c>
    </row>
    <row r="306" spans="1:11" hidden="1">
      <c r="A306" s="29" t="s">
        <v>138</v>
      </c>
      <c r="B306" s="32">
        <v>38218</v>
      </c>
      <c r="C306" s="29">
        <v>10.25</v>
      </c>
      <c r="D306" s="35">
        <v>10.25</v>
      </c>
      <c r="E306" s="35">
        <v>9.75</v>
      </c>
      <c r="F306" s="33">
        <v>10</v>
      </c>
      <c r="G306" s="29">
        <v>0</v>
      </c>
      <c r="H306" s="29">
        <v>-0.25</v>
      </c>
      <c r="I306" s="35">
        <v>10.25</v>
      </c>
      <c r="J306" s="34">
        <v>7332</v>
      </c>
      <c r="K306" s="34">
        <v>73625</v>
      </c>
    </row>
    <row r="307" spans="1:11" hidden="1">
      <c r="A307" s="29" t="s">
        <v>138</v>
      </c>
      <c r="B307" s="32">
        <v>38219</v>
      </c>
      <c r="C307" s="29">
        <v>10</v>
      </c>
      <c r="D307" s="35">
        <v>10</v>
      </c>
      <c r="E307" s="35">
        <v>10</v>
      </c>
      <c r="F307" s="33">
        <v>10</v>
      </c>
      <c r="G307" s="29">
        <v>0</v>
      </c>
      <c r="H307" s="29">
        <v>0</v>
      </c>
      <c r="I307" s="35">
        <v>10</v>
      </c>
      <c r="J307" s="34">
        <v>15644</v>
      </c>
      <c r="K307" s="34">
        <v>159150</v>
      </c>
    </row>
    <row r="308" spans="1:11" hidden="1">
      <c r="A308" s="29" t="s">
        <v>138</v>
      </c>
      <c r="B308" s="32">
        <v>38222</v>
      </c>
      <c r="C308" s="29">
        <v>10.25</v>
      </c>
      <c r="D308" s="35">
        <v>10.25</v>
      </c>
      <c r="E308" s="35">
        <v>10.25</v>
      </c>
      <c r="F308" s="33">
        <v>10.25</v>
      </c>
      <c r="G308" s="29">
        <v>0</v>
      </c>
      <c r="H308" s="29">
        <v>0.25</v>
      </c>
      <c r="I308" s="35">
        <v>10</v>
      </c>
      <c r="J308" s="34">
        <v>9288</v>
      </c>
      <c r="K308" s="34">
        <v>95475</v>
      </c>
    </row>
    <row r="309" spans="1:11" hidden="1">
      <c r="A309" s="29" t="s">
        <v>138</v>
      </c>
      <c r="B309" s="32">
        <v>38226</v>
      </c>
      <c r="C309" s="29">
        <v>9.75</v>
      </c>
      <c r="D309" s="35">
        <v>9.75</v>
      </c>
      <c r="E309" s="35">
        <v>9.75</v>
      </c>
      <c r="F309" s="33">
        <v>9.75</v>
      </c>
      <c r="G309" s="29">
        <v>0</v>
      </c>
      <c r="H309" s="29">
        <v>-0.5</v>
      </c>
      <c r="I309" s="35">
        <v>10.25</v>
      </c>
      <c r="J309" s="34">
        <v>7820</v>
      </c>
      <c r="K309" s="34">
        <v>76800</v>
      </c>
    </row>
    <row r="310" spans="1:11" hidden="1">
      <c r="A310" s="29" t="s">
        <v>138</v>
      </c>
      <c r="B310" s="32">
        <v>38229</v>
      </c>
      <c r="C310" s="29">
        <v>9.75</v>
      </c>
      <c r="D310" s="35">
        <v>9.75</v>
      </c>
      <c r="E310" s="35">
        <v>9.75</v>
      </c>
      <c r="F310" s="33">
        <v>9.75</v>
      </c>
      <c r="G310" s="29">
        <v>0</v>
      </c>
      <c r="H310" s="29">
        <v>0</v>
      </c>
      <c r="I310" s="35">
        <v>9.75</v>
      </c>
      <c r="J310" s="34">
        <v>1952</v>
      </c>
      <c r="K310" s="34">
        <v>19200</v>
      </c>
    </row>
    <row r="311" spans="1:11" hidden="1">
      <c r="A311" s="29" t="s">
        <v>138</v>
      </c>
      <c r="B311" s="32">
        <v>38231</v>
      </c>
      <c r="C311" s="29">
        <v>11.25</v>
      </c>
      <c r="D311" s="35">
        <v>12.25</v>
      </c>
      <c r="E311" s="35">
        <v>11</v>
      </c>
      <c r="F311" s="33">
        <v>11</v>
      </c>
      <c r="G311" s="29">
        <v>0</v>
      </c>
      <c r="H311" s="29">
        <v>1.25</v>
      </c>
      <c r="I311" s="35">
        <v>9.75</v>
      </c>
      <c r="J311" s="34">
        <v>659996</v>
      </c>
      <c r="K311" s="34">
        <v>7593450</v>
      </c>
    </row>
    <row r="312" spans="1:11" hidden="1">
      <c r="A312" s="29" t="s">
        <v>138</v>
      </c>
      <c r="B312" s="32">
        <v>38232</v>
      </c>
      <c r="C312" s="29">
        <v>10.75</v>
      </c>
      <c r="D312" s="35">
        <v>10.75</v>
      </c>
      <c r="E312" s="35">
        <v>10.75</v>
      </c>
      <c r="F312" s="33">
        <v>10.75</v>
      </c>
      <c r="G312" s="29">
        <v>0</v>
      </c>
      <c r="H312" s="29">
        <v>-0.25</v>
      </c>
      <c r="I312" s="35">
        <v>11</v>
      </c>
      <c r="J312" s="34">
        <v>10752</v>
      </c>
      <c r="K312" s="34">
        <v>116600</v>
      </c>
    </row>
    <row r="313" spans="1:11" hidden="1">
      <c r="A313" s="29" t="s">
        <v>138</v>
      </c>
      <c r="B313" s="32">
        <v>38233</v>
      </c>
      <c r="C313" s="29">
        <v>11</v>
      </c>
      <c r="D313" s="35">
        <v>11.25</v>
      </c>
      <c r="E313" s="35">
        <v>11</v>
      </c>
      <c r="F313" s="33">
        <v>11.25</v>
      </c>
      <c r="G313" s="29">
        <v>0</v>
      </c>
      <c r="H313" s="29">
        <v>0.5</v>
      </c>
      <c r="I313" s="35">
        <v>10.75</v>
      </c>
      <c r="J313" s="34">
        <v>188708</v>
      </c>
      <c r="K313" s="34">
        <v>2121350</v>
      </c>
    </row>
    <row r="314" spans="1:11" hidden="1">
      <c r="A314" s="29" t="s">
        <v>138</v>
      </c>
      <c r="B314" s="32">
        <v>38236</v>
      </c>
      <c r="C314" s="29">
        <v>11.25</v>
      </c>
      <c r="D314" s="35">
        <v>11.5</v>
      </c>
      <c r="E314" s="35">
        <v>11.25</v>
      </c>
      <c r="F314" s="33">
        <v>11.25</v>
      </c>
      <c r="G314" s="29">
        <v>0</v>
      </c>
      <c r="H314" s="29">
        <v>0</v>
      </c>
      <c r="I314" s="35">
        <v>11.25</v>
      </c>
      <c r="J314" s="34">
        <v>89952</v>
      </c>
      <c r="K314" s="34">
        <v>1044650</v>
      </c>
    </row>
    <row r="315" spans="1:11" hidden="1">
      <c r="A315" s="29" t="s">
        <v>138</v>
      </c>
      <c r="B315" s="32">
        <v>38237</v>
      </c>
      <c r="C315" s="29">
        <v>11.25</v>
      </c>
      <c r="D315" s="35">
        <v>11.25</v>
      </c>
      <c r="E315" s="35">
        <v>11.25</v>
      </c>
      <c r="F315" s="33">
        <v>11.25</v>
      </c>
      <c r="G315" s="29">
        <v>0</v>
      </c>
      <c r="H315" s="29">
        <v>0</v>
      </c>
      <c r="I315" s="35">
        <v>11.25</v>
      </c>
      <c r="J315" s="34">
        <v>488</v>
      </c>
      <c r="K315" s="34">
        <v>5600</v>
      </c>
    </row>
    <row r="316" spans="1:11" hidden="1">
      <c r="A316" s="29" t="s">
        <v>138</v>
      </c>
      <c r="B316" s="32">
        <v>38238</v>
      </c>
      <c r="C316" s="29">
        <v>10.5</v>
      </c>
      <c r="D316" s="35">
        <v>11</v>
      </c>
      <c r="E316" s="35">
        <v>10.5</v>
      </c>
      <c r="F316" s="33">
        <v>11</v>
      </c>
      <c r="G316" s="29">
        <v>0</v>
      </c>
      <c r="H316" s="29">
        <v>-0.25</v>
      </c>
      <c r="I316" s="35">
        <v>11.25</v>
      </c>
      <c r="J316" s="34">
        <v>24932</v>
      </c>
      <c r="K316" s="34">
        <v>268725</v>
      </c>
    </row>
    <row r="317" spans="1:11" hidden="1">
      <c r="A317" s="29" t="s">
        <v>138</v>
      </c>
      <c r="B317" s="32">
        <v>38239</v>
      </c>
      <c r="C317" s="29">
        <v>11.25</v>
      </c>
      <c r="D317" s="35">
        <v>11.25</v>
      </c>
      <c r="E317" s="35">
        <v>11.25</v>
      </c>
      <c r="F317" s="33">
        <v>11.25</v>
      </c>
      <c r="G317" s="29">
        <v>0</v>
      </c>
      <c r="H317" s="29">
        <v>0.25</v>
      </c>
      <c r="I317" s="35">
        <v>11</v>
      </c>
      <c r="J317" s="34">
        <v>488</v>
      </c>
      <c r="K317" s="34">
        <v>5500</v>
      </c>
    </row>
    <row r="318" spans="1:11" hidden="1">
      <c r="A318" s="29" t="s">
        <v>138</v>
      </c>
      <c r="B318" s="32">
        <v>38240</v>
      </c>
      <c r="C318" s="29">
        <v>11.25</v>
      </c>
      <c r="D318" s="35">
        <v>11.25</v>
      </c>
      <c r="E318" s="35">
        <v>11.25</v>
      </c>
      <c r="F318" s="33">
        <v>11.25</v>
      </c>
      <c r="G318" s="29">
        <v>0</v>
      </c>
      <c r="H318" s="29">
        <v>0</v>
      </c>
      <c r="I318" s="35">
        <v>11.25</v>
      </c>
      <c r="J318" s="34">
        <v>57196</v>
      </c>
      <c r="K318" s="34">
        <v>653400</v>
      </c>
    </row>
    <row r="319" spans="1:11" hidden="1">
      <c r="A319" s="29" t="s">
        <v>138</v>
      </c>
      <c r="B319" s="32">
        <v>38243</v>
      </c>
      <c r="C319" s="29">
        <v>11.25</v>
      </c>
      <c r="D319" s="35">
        <v>11.25</v>
      </c>
      <c r="E319" s="35">
        <v>11.25</v>
      </c>
      <c r="F319" s="33">
        <v>11.25</v>
      </c>
      <c r="G319" s="29">
        <v>0</v>
      </c>
      <c r="H319" s="29">
        <v>0</v>
      </c>
      <c r="I319" s="35">
        <v>11.25</v>
      </c>
      <c r="J319" s="34">
        <v>19064</v>
      </c>
      <c r="K319" s="34">
        <v>214500</v>
      </c>
    </row>
    <row r="320" spans="1:11" hidden="1">
      <c r="A320" s="29" t="s">
        <v>138</v>
      </c>
      <c r="B320" s="32">
        <v>38244</v>
      </c>
      <c r="C320" s="29">
        <v>11.25</v>
      </c>
      <c r="D320" s="35">
        <v>11.25</v>
      </c>
      <c r="E320" s="35">
        <v>11.25</v>
      </c>
      <c r="F320" s="33">
        <v>11.25</v>
      </c>
      <c r="G320" s="29">
        <v>0</v>
      </c>
      <c r="H320" s="29">
        <v>0</v>
      </c>
      <c r="I320" s="35">
        <v>11.25</v>
      </c>
      <c r="J320" s="34">
        <v>1464</v>
      </c>
      <c r="K320" s="34">
        <v>16500</v>
      </c>
    </row>
    <row r="321" spans="1:11" hidden="1">
      <c r="A321" s="29" t="s">
        <v>138</v>
      </c>
      <c r="B321" s="32">
        <v>38245</v>
      </c>
      <c r="C321" s="29">
        <v>11.25</v>
      </c>
      <c r="D321" s="35">
        <v>11.25</v>
      </c>
      <c r="E321" s="35">
        <v>11</v>
      </c>
      <c r="F321" s="33">
        <v>11.25</v>
      </c>
      <c r="G321" s="29">
        <v>0</v>
      </c>
      <c r="H321" s="29">
        <v>0</v>
      </c>
      <c r="I321" s="35">
        <v>11.25</v>
      </c>
      <c r="J321" s="34">
        <v>46444</v>
      </c>
      <c r="K321" s="34">
        <v>522425</v>
      </c>
    </row>
    <row r="322" spans="1:11" hidden="1">
      <c r="A322" s="29" t="s">
        <v>138</v>
      </c>
      <c r="B322" s="32">
        <v>38246</v>
      </c>
      <c r="C322" s="29">
        <v>11.25</v>
      </c>
      <c r="D322" s="35">
        <v>11.5</v>
      </c>
      <c r="E322" s="35">
        <v>11.25</v>
      </c>
      <c r="F322" s="33">
        <v>11.25</v>
      </c>
      <c r="G322" s="29">
        <v>0</v>
      </c>
      <c r="H322" s="29">
        <v>0</v>
      </c>
      <c r="I322" s="35">
        <v>11.25</v>
      </c>
      <c r="J322" s="34">
        <v>661464</v>
      </c>
      <c r="K322" s="34">
        <v>7569150</v>
      </c>
    </row>
    <row r="323" spans="1:11" hidden="1">
      <c r="A323" s="29" t="s">
        <v>138</v>
      </c>
      <c r="B323" s="32">
        <v>38247</v>
      </c>
      <c r="C323" s="29">
        <v>11.5</v>
      </c>
      <c r="D323" s="35">
        <v>12</v>
      </c>
      <c r="E323" s="35">
        <v>11.25</v>
      </c>
      <c r="F323" s="33">
        <v>11.5</v>
      </c>
      <c r="G323" s="29">
        <v>0</v>
      </c>
      <c r="H323" s="29">
        <v>0.25</v>
      </c>
      <c r="I323" s="35">
        <v>11.25</v>
      </c>
      <c r="J323" s="34">
        <v>760220</v>
      </c>
      <c r="K323" s="34">
        <v>8832850</v>
      </c>
    </row>
    <row r="324" spans="1:11" hidden="1">
      <c r="A324" s="29" t="s">
        <v>138</v>
      </c>
      <c r="B324" s="32">
        <v>38250</v>
      </c>
      <c r="C324" s="29">
        <v>11.75</v>
      </c>
      <c r="D324" s="35">
        <v>11.75</v>
      </c>
      <c r="E324" s="35">
        <v>11.75</v>
      </c>
      <c r="F324" s="33">
        <v>11.75</v>
      </c>
      <c r="G324" s="29">
        <v>0</v>
      </c>
      <c r="H324" s="29">
        <v>0.25</v>
      </c>
      <c r="I324" s="35">
        <v>11.5</v>
      </c>
      <c r="J324" s="34">
        <v>115864</v>
      </c>
      <c r="K324" s="34">
        <v>1380100</v>
      </c>
    </row>
    <row r="325" spans="1:11" hidden="1">
      <c r="A325" s="29" t="s">
        <v>138</v>
      </c>
      <c r="B325" s="32">
        <v>38251</v>
      </c>
      <c r="C325" s="29">
        <v>12</v>
      </c>
      <c r="D325" s="35">
        <v>12.75</v>
      </c>
      <c r="E325" s="35">
        <v>12</v>
      </c>
      <c r="F325" s="33">
        <v>12.25</v>
      </c>
      <c r="G325" s="29">
        <v>0</v>
      </c>
      <c r="H325" s="29">
        <v>0.5</v>
      </c>
      <c r="I325" s="35">
        <v>11.75</v>
      </c>
      <c r="J325" s="34">
        <v>141288</v>
      </c>
      <c r="K325" s="34">
        <v>1731200</v>
      </c>
    </row>
    <row r="326" spans="1:11" hidden="1">
      <c r="A326" s="29" t="s">
        <v>138</v>
      </c>
      <c r="B326" s="32">
        <v>38252</v>
      </c>
      <c r="C326" s="29">
        <v>12.5</v>
      </c>
      <c r="D326" s="35">
        <v>12.5</v>
      </c>
      <c r="E326" s="35">
        <v>11.75</v>
      </c>
      <c r="F326" s="33">
        <v>11.75</v>
      </c>
      <c r="G326" s="29">
        <v>0</v>
      </c>
      <c r="H326" s="29">
        <v>-0.5</v>
      </c>
      <c r="I326" s="35">
        <v>12.25</v>
      </c>
      <c r="J326" s="34">
        <v>357376</v>
      </c>
      <c r="K326" s="34">
        <v>4419325</v>
      </c>
    </row>
    <row r="327" spans="1:11" hidden="1">
      <c r="A327" s="29" t="s">
        <v>138</v>
      </c>
      <c r="B327" s="32">
        <v>38253</v>
      </c>
      <c r="C327" s="29">
        <v>12.25</v>
      </c>
      <c r="D327" s="35">
        <v>12.25</v>
      </c>
      <c r="E327" s="35">
        <v>12</v>
      </c>
      <c r="F327" s="33">
        <v>12.25</v>
      </c>
      <c r="G327" s="29">
        <v>0</v>
      </c>
      <c r="H327" s="29">
        <v>0.5</v>
      </c>
      <c r="I327" s="35">
        <v>11.75</v>
      </c>
      <c r="J327" s="34">
        <v>418976</v>
      </c>
      <c r="K327" s="34">
        <v>5149475</v>
      </c>
    </row>
    <row r="328" spans="1:11" hidden="1">
      <c r="A328" s="29" t="s">
        <v>138</v>
      </c>
      <c r="B328" s="32">
        <v>38254</v>
      </c>
      <c r="C328" s="29">
        <v>12.25</v>
      </c>
      <c r="D328" s="35">
        <v>12.25</v>
      </c>
      <c r="E328" s="35">
        <v>11.75</v>
      </c>
      <c r="F328" s="33">
        <v>12</v>
      </c>
      <c r="G328" s="29">
        <v>0</v>
      </c>
      <c r="H328" s="29">
        <v>-0.25</v>
      </c>
      <c r="I328" s="35">
        <v>12.25</v>
      </c>
      <c r="J328" s="34">
        <v>125644</v>
      </c>
      <c r="K328" s="34">
        <v>1511850</v>
      </c>
    </row>
    <row r="329" spans="1:11" hidden="1">
      <c r="A329" s="29" t="s">
        <v>138</v>
      </c>
      <c r="B329" s="32">
        <v>38257</v>
      </c>
      <c r="C329" s="29">
        <v>11.75</v>
      </c>
      <c r="D329" s="35">
        <v>11.75</v>
      </c>
      <c r="E329" s="35">
        <v>11.75</v>
      </c>
      <c r="F329" s="33">
        <v>11.75</v>
      </c>
      <c r="G329" s="29">
        <v>0</v>
      </c>
      <c r="H329" s="29">
        <v>-0.25</v>
      </c>
      <c r="I329" s="35">
        <v>12</v>
      </c>
      <c r="J329" s="34">
        <v>7820</v>
      </c>
      <c r="K329" s="34">
        <v>92800</v>
      </c>
    </row>
    <row r="330" spans="1:11" hidden="1">
      <c r="A330" s="29" t="s">
        <v>138</v>
      </c>
      <c r="B330" s="32">
        <v>38260</v>
      </c>
      <c r="C330" s="29">
        <v>12</v>
      </c>
      <c r="D330" s="35">
        <v>12.25</v>
      </c>
      <c r="E330" s="35">
        <v>11.75</v>
      </c>
      <c r="F330" s="33">
        <v>11.75</v>
      </c>
      <c r="G330" s="29">
        <v>0</v>
      </c>
      <c r="H330" s="29">
        <v>0</v>
      </c>
      <c r="I330" s="35">
        <v>11.75</v>
      </c>
      <c r="J330" s="34">
        <v>101688</v>
      </c>
      <c r="K330" s="34">
        <v>1245300</v>
      </c>
    </row>
    <row r="331" spans="1:11" hidden="1">
      <c r="A331" s="29" t="s">
        <v>138</v>
      </c>
      <c r="B331" s="32">
        <v>38261</v>
      </c>
      <c r="C331" s="29">
        <v>12</v>
      </c>
      <c r="D331" s="35">
        <v>12</v>
      </c>
      <c r="E331" s="35">
        <v>12</v>
      </c>
      <c r="F331" s="33">
        <v>12</v>
      </c>
      <c r="G331" s="29">
        <v>0</v>
      </c>
      <c r="H331" s="29">
        <v>0.25</v>
      </c>
      <c r="I331" s="35">
        <v>11.75</v>
      </c>
      <c r="J331" s="34">
        <v>24444</v>
      </c>
      <c r="K331" s="34">
        <v>298150</v>
      </c>
    </row>
    <row r="332" spans="1:11" hidden="1">
      <c r="A332" s="29" t="s">
        <v>138</v>
      </c>
      <c r="B332" s="32">
        <v>38264</v>
      </c>
      <c r="C332" s="29">
        <v>12</v>
      </c>
      <c r="D332" s="35">
        <v>12.25</v>
      </c>
      <c r="E332" s="35">
        <v>11.75</v>
      </c>
      <c r="F332" s="33">
        <v>11.75</v>
      </c>
      <c r="G332" s="29">
        <v>0</v>
      </c>
      <c r="H332" s="29">
        <v>-0.25</v>
      </c>
      <c r="I332" s="35">
        <v>12</v>
      </c>
      <c r="J332" s="34">
        <v>37644</v>
      </c>
      <c r="K332" s="34">
        <v>450950</v>
      </c>
    </row>
    <row r="333" spans="1:11" hidden="1">
      <c r="A333" s="29" t="s">
        <v>138</v>
      </c>
      <c r="B333" s="32">
        <v>38266</v>
      </c>
      <c r="C333" s="29">
        <v>11.75</v>
      </c>
      <c r="D333" s="35">
        <v>11.75</v>
      </c>
      <c r="E333" s="35">
        <v>11.75</v>
      </c>
      <c r="F333" s="33">
        <v>11.75</v>
      </c>
      <c r="G333" s="29">
        <v>0</v>
      </c>
      <c r="H333" s="29">
        <v>0</v>
      </c>
      <c r="I333" s="35">
        <v>11.75</v>
      </c>
      <c r="J333" s="34">
        <v>57688</v>
      </c>
      <c r="K333" s="34">
        <v>684425</v>
      </c>
    </row>
    <row r="334" spans="1:11" hidden="1">
      <c r="A334" s="29" t="s">
        <v>138</v>
      </c>
      <c r="B334" s="32">
        <v>38267</v>
      </c>
      <c r="C334" s="29">
        <v>11.75</v>
      </c>
      <c r="D334" s="35">
        <v>11.75</v>
      </c>
      <c r="E334" s="35">
        <v>11.75</v>
      </c>
      <c r="F334" s="33">
        <v>11.75</v>
      </c>
      <c r="G334" s="29">
        <v>0</v>
      </c>
      <c r="H334" s="29">
        <v>0</v>
      </c>
      <c r="I334" s="35">
        <v>11.75</v>
      </c>
      <c r="J334" s="34">
        <v>24444</v>
      </c>
      <c r="K334" s="34">
        <v>290200</v>
      </c>
    </row>
    <row r="335" spans="1:11" hidden="1">
      <c r="A335" s="29" t="s">
        <v>138</v>
      </c>
      <c r="B335" s="32">
        <v>38271</v>
      </c>
      <c r="C335" s="29">
        <v>11.5</v>
      </c>
      <c r="D335" s="35">
        <v>11.75</v>
      </c>
      <c r="E335" s="35">
        <v>11.5</v>
      </c>
      <c r="F335" s="33">
        <v>11.75</v>
      </c>
      <c r="G335" s="29">
        <v>0</v>
      </c>
      <c r="H335" s="29">
        <v>0</v>
      </c>
      <c r="I335" s="35">
        <v>11.75</v>
      </c>
      <c r="J335" s="34">
        <v>19552</v>
      </c>
      <c r="K335" s="34">
        <v>231000</v>
      </c>
    </row>
    <row r="336" spans="1:11" hidden="1">
      <c r="A336" s="29" t="s">
        <v>138</v>
      </c>
      <c r="B336" s="32">
        <v>38272</v>
      </c>
      <c r="C336" s="29">
        <v>11.75</v>
      </c>
      <c r="D336" s="35">
        <v>12</v>
      </c>
      <c r="E336" s="35">
        <v>11.75</v>
      </c>
      <c r="F336" s="33">
        <v>11.75</v>
      </c>
      <c r="G336" s="29">
        <v>0</v>
      </c>
      <c r="H336" s="29">
        <v>0</v>
      </c>
      <c r="I336" s="35">
        <v>11.75</v>
      </c>
      <c r="J336" s="34">
        <v>80664</v>
      </c>
      <c r="K336" s="34">
        <v>962000</v>
      </c>
    </row>
    <row r="337" spans="1:11" hidden="1">
      <c r="A337" s="29" t="s">
        <v>138</v>
      </c>
      <c r="B337" s="32">
        <v>38273</v>
      </c>
      <c r="C337" s="29">
        <v>11.75</v>
      </c>
      <c r="D337" s="35">
        <v>11.75</v>
      </c>
      <c r="E337" s="35">
        <v>11.75</v>
      </c>
      <c r="F337" s="33">
        <v>11.75</v>
      </c>
      <c r="G337" s="29">
        <v>0</v>
      </c>
      <c r="H337" s="29">
        <v>0</v>
      </c>
      <c r="I337" s="35">
        <v>11.75</v>
      </c>
      <c r="J337" s="34">
        <v>976</v>
      </c>
      <c r="K337" s="34">
        <v>11700</v>
      </c>
    </row>
    <row r="338" spans="1:11" hidden="1">
      <c r="A338" s="29" t="s">
        <v>138</v>
      </c>
      <c r="B338" s="32">
        <v>38275</v>
      </c>
      <c r="C338" s="29">
        <v>11.5</v>
      </c>
      <c r="D338" s="35">
        <v>11.75</v>
      </c>
      <c r="E338" s="35">
        <v>11.5</v>
      </c>
      <c r="F338" s="33">
        <v>11.75</v>
      </c>
      <c r="G338" s="29">
        <v>0</v>
      </c>
      <c r="H338" s="29">
        <v>0</v>
      </c>
      <c r="I338" s="35">
        <v>11.75</v>
      </c>
      <c r="J338" s="34">
        <v>21996</v>
      </c>
      <c r="K338" s="34">
        <v>259225</v>
      </c>
    </row>
    <row r="339" spans="1:11" hidden="1">
      <c r="A339" s="29" t="s">
        <v>138</v>
      </c>
      <c r="B339" s="32">
        <v>38278</v>
      </c>
      <c r="C339" s="29">
        <v>11.75</v>
      </c>
      <c r="D339" s="35">
        <v>11.75</v>
      </c>
      <c r="E339" s="35">
        <v>11.5</v>
      </c>
      <c r="F339" s="33">
        <v>11.75</v>
      </c>
      <c r="G339" s="29">
        <v>0</v>
      </c>
      <c r="H339" s="29">
        <v>0</v>
      </c>
      <c r="I339" s="35">
        <v>11.75</v>
      </c>
      <c r="J339" s="34">
        <v>65996</v>
      </c>
      <c r="K339" s="34">
        <v>780750</v>
      </c>
    </row>
    <row r="340" spans="1:11" hidden="1">
      <c r="A340" s="29" t="s">
        <v>138</v>
      </c>
      <c r="B340" s="32">
        <v>38279</v>
      </c>
      <c r="C340" s="29">
        <v>12.25</v>
      </c>
      <c r="D340" s="35">
        <v>12.25</v>
      </c>
      <c r="E340" s="35">
        <v>12</v>
      </c>
      <c r="F340" s="33">
        <v>12</v>
      </c>
      <c r="G340" s="29">
        <v>0</v>
      </c>
      <c r="H340" s="29">
        <v>0.25</v>
      </c>
      <c r="I340" s="35">
        <v>11.75</v>
      </c>
      <c r="J340" s="34">
        <v>88976</v>
      </c>
      <c r="K340" s="34">
        <v>1086050</v>
      </c>
    </row>
    <row r="341" spans="1:11" hidden="1">
      <c r="A341" s="29" t="s">
        <v>138</v>
      </c>
      <c r="B341" s="32">
        <v>38280</v>
      </c>
      <c r="C341" s="29">
        <v>12.25</v>
      </c>
      <c r="D341" s="35">
        <v>12.75</v>
      </c>
      <c r="E341" s="35">
        <v>12.25</v>
      </c>
      <c r="F341" s="33">
        <v>12.5</v>
      </c>
      <c r="G341" s="29">
        <v>0</v>
      </c>
      <c r="H341" s="29">
        <v>0.5</v>
      </c>
      <c r="I341" s="35">
        <v>12</v>
      </c>
      <c r="J341" s="34">
        <v>701064</v>
      </c>
      <c r="K341" s="34">
        <v>8900800</v>
      </c>
    </row>
    <row r="342" spans="1:11" hidden="1">
      <c r="A342" s="29" t="s">
        <v>138</v>
      </c>
      <c r="B342" s="32">
        <v>38281</v>
      </c>
      <c r="C342" s="29">
        <v>12.75</v>
      </c>
      <c r="D342" s="35">
        <v>12.75</v>
      </c>
      <c r="E342" s="35">
        <v>12.75</v>
      </c>
      <c r="F342" s="33">
        <v>12.75</v>
      </c>
      <c r="G342" s="29">
        <v>0</v>
      </c>
      <c r="H342" s="29">
        <v>0.25</v>
      </c>
      <c r="I342" s="35">
        <v>12.5</v>
      </c>
      <c r="J342" s="34">
        <v>402352</v>
      </c>
      <c r="K342" s="34">
        <v>5156825</v>
      </c>
    </row>
    <row r="343" spans="1:11" hidden="1">
      <c r="A343" s="29" t="s">
        <v>138</v>
      </c>
      <c r="B343" s="32">
        <v>38282</v>
      </c>
      <c r="C343" s="29">
        <v>12.75</v>
      </c>
      <c r="D343" s="35">
        <v>12.75</v>
      </c>
      <c r="E343" s="35">
        <v>12.25</v>
      </c>
      <c r="F343" s="33">
        <v>12.25</v>
      </c>
      <c r="G343" s="29">
        <v>0</v>
      </c>
      <c r="H343" s="29">
        <v>-0.5</v>
      </c>
      <c r="I343" s="35">
        <v>12.75</v>
      </c>
      <c r="J343" s="34">
        <v>32752</v>
      </c>
      <c r="K343" s="34">
        <v>415100</v>
      </c>
    </row>
    <row r="344" spans="1:11" hidden="1">
      <c r="A344" s="29" t="s">
        <v>138</v>
      </c>
      <c r="B344" s="32">
        <v>38285</v>
      </c>
      <c r="C344" s="29">
        <v>12.25</v>
      </c>
      <c r="D344" s="35">
        <v>12.25</v>
      </c>
      <c r="E344" s="35">
        <v>12.25</v>
      </c>
      <c r="F344" s="33">
        <v>12.25</v>
      </c>
      <c r="G344" s="29">
        <v>0</v>
      </c>
      <c r="H344" s="29">
        <v>0</v>
      </c>
      <c r="I344" s="35">
        <v>12.25</v>
      </c>
      <c r="J344" s="34">
        <v>976</v>
      </c>
      <c r="K344" s="34">
        <v>12150</v>
      </c>
    </row>
    <row r="345" spans="1:11" hidden="1">
      <c r="A345" s="29" t="s">
        <v>138</v>
      </c>
      <c r="B345" s="32">
        <v>38286</v>
      </c>
      <c r="C345" s="29">
        <v>12.25</v>
      </c>
      <c r="D345" s="35">
        <v>12.25</v>
      </c>
      <c r="E345" s="35">
        <v>12.25</v>
      </c>
      <c r="F345" s="33">
        <v>12.25</v>
      </c>
      <c r="G345" s="29">
        <v>0</v>
      </c>
      <c r="H345" s="29">
        <v>0</v>
      </c>
      <c r="I345" s="35">
        <v>12.25</v>
      </c>
      <c r="J345" s="34">
        <v>56220</v>
      </c>
      <c r="K345" s="34">
        <v>690250</v>
      </c>
    </row>
    <row r="346" spans="1:11" hidden="1">
      <c r="A346" s="29" t="s">
        <v>138</v>
      </c>
      <c r="B346" s="32">
        <v>38288</v>
      </c>
      <c r="C346" s="29">
        <v>12.25</v>
      </c>
      <c r="D346" s="35">
        <v>12.25</v>
      </c>
      <c r="E346" s="35">
        <v>11.5</v>
      </c>
      <c r="F346" s="33">
        <v>11.75</v>
      </c>
      <c r="G346" s="29">
        <v>0</v>
      </c>
      <c r="H346" s="29">
        <v>-0.5</v>
      </c>
      <c r="I346" s="35">
        <v>12.25</v>
      </c>
      <c r="J346" s="34">
        <v>45952</v>
      </c>
      <c r="K346" s="34">
        <v>549025</v>
      </c>
    </row>
    <row r="347" spans="1:11" hidden="1">
      <c r="A347" s="29" t="s">
        <v>138</v>
      </c>
      <c r="B347" s="32">
        <v>38289</v>
      </c>
      <c r="C347" s="29">
        <v>11.75</v>
      </c>
      <c r="D347" s="35">
        <v>12</v>
      </c>
      <c r="E347" s="35">
        <v>11.75</v>
      </c>
      <c r="F347" s="33">
        <v>11.75</v>
      </c>
      <c r="G347" s="29">
        <v>0</v>
      </c>
      <c r="H347" s="29">
        <v>0</v>
      </c>
      <c r="I347" s="35">
        <v>11.75</v>
      </c>
      <c r="J347" s="34">
        <v>108532</v>
      </c>
      <c r="K347" s="34">
        <v>1293875</v>
      </c>
    </row>
    <row r="348" spans="1:11" hidden="1">
      <c r="A348" s="29" t="s">
        <v>138</v>
      </c>
      <c r="B348" s="32">
        <v>38292</v>
      </c>
      <c r="C348" s="29">
        <v>11.5</v>
      </c>
      <c r="D348" s="35">
        <v>12</v>
      </c>
      <c r="E348" s="35">
        <v>11.5</v>
      </c>
      <c r="F348" s="33">
        <v>12</v>
      </c>
      <c r="G348" s="29">
        <v>0</v>
      </c>
      <c r="H348" s="29">
        <v>0.25</v>
      </c>
      <c r="I348" s="35">
        <v>11.75</v>
      </c>
      <c r="J348" s="34">
        <v>1464</v>
      </c>
      <c r="K348" s="34">
        <v>17500</v>
      </c>
    </row>
    <row r="349" spans="1:11" hidden="1">
      <c r="A349" s="29" t="s">
        <v>138</v>
      </c>
      <c r="B349" s="32">
        <v>38293</v>
      </c>
      <c r="C349" s="29">
        <v>11.75</v>
      </c>
      <c r="D349" s="35">
        <v>11.75</v>
      </c>
      <c r="E349" s="35">
        <v>11.75</v>
      </c>
      <c r="F349" s="33">
        <v>11.75</v>
      </c>
      <c r="G349" s="29">
        <v>0</v>
      </c>
      <c r="H349" s="29">
        <v>-0.25</v>
      </c>
      <c r="I349" s="35">
        <v>12</v>
      </c>
      <c r="J349" s="34">
        <v>66976</v>
      </c>
      <c r="K349" s="34">
        <v>794600</v>
      </c>
    </row>
    <row r="350" spans="1:11" hidden="1">
      <c r="A350" s="29" t="s">
        <v>138</v>
      </c>
      <c r="B350" s="32">
        <v>38294</v>
      </c>
      <c r="C350" s="29">
        <v>11.75</v>
      </c>
      <c r="D350" s="35">
        <v>11.75</v>
      </c>
      <c r="E350" s="35">
        <v>11.75</v>
      </c>
      <c r="F350" s="33">
        <v>11.75</v>
      </c>
      <c r="G350" s="29">
        <v>0</v>
      </c>
      <c r="H350" s="29">
        <v>0</v>
      </c>
      <c r="I350" s="35">
        <v>11.75</v>
      </c>
      <c r="J350" s="34">
        <v>29820</v>
      </c>
      <c r="K350" s="34">
        <v>353800</v>
      </c>
    </row>
    <row r="351" spans="1:11" hidden="1">
      <c r="A351" s="29" t="s">
        <v>138</v>
      </c>
      <c r="B351" s="32">
        <v>38295</v>
      </c>
      <c r="C351" s="29">
        <v>11.75</v>
      </c>
      <c r="D351" s="35">
        <v>12</v>
      </c>
      <c r="E351" s="35">
        <v>11.25</v>
      </c>
      <c r="F351" s="33">
        <v>11.25</v>
      </c>
      <c r="G351" s="29">
        <v>0</v>
      </c>
      <c r="H351" s="29">
        <v>-0.5</v>
      </c>
      <c r="I351" s="35">
        <v>11.75</v>
      </c>
      <c r="J351" s="34">
        <v>10752</v>
      </c>
      <c r="K351" s="34">
        <v>127200</v>
      </c>
    </row>
    <row r="352" spans="1:11" hidden="1">
      <c r="A352" s="29" t="s">
        <v>138</v>
      </c>
      <c r="B352" s="32">
        <v>38296</v>
      </c>
      <c r="C352" s="29">
        <v>11.75</v>
      </c>
      <c r="D352" s="35">
        <v>11.75</v>
      </c>
      <c r="E352" s="35">
        <v>11.75</v>
      </c>
      <c r="F352" s="33">
        <v>11.75</v>
      </c>
      <c r="G352" s="29">
        <v>0</v>
      </c>
      <c r="H352" s="29">
        <v>0.5</v>
      </c>
      <c r="I352" s="35">
        <v>11.25</v>
      </c>
      <c r="J352" s="34">
        <v>976</v>
      </c>
      <c r="K352" s="34">
        <v>11500</v>
      </c>
    </row>
    <row r="353" spans="1:11" hidden="1">
      <c r="A353" s="29" t="s">
        <v>138</v>
      </c>
      <c r="B353" s="32">
        <v>38299</v>
      </c>
      <c r="C353" s="29">
        <v>11.5</v>
      </c>
      <c r="D353" s="35">
        <v>11.5</v>
      </c>
      <c r="E353" s="35">
        <v>11.25</v>
      </c>
      <c r="F353" s="33">
        <v>11.25</v>
      </c>
      <c r="G353" s="29">
        <v>0</v>
      </c>
      <c r="H353" s="29">
        <v>-0.5</v>
      </c>
      <c r="I353" s="35">
        <v>11.75</v>
      </c>
      <c r="J353" s="34">
        <v>8308</v>
      </c>
      <c r="K353" s="34">
        <v>94575</v>
      </c>
    </row>
    <row r="354" spans="1:11" hidden="1">
      <c r="A354" s="29" t="s">
        <v>138</v>
      </c>
      <c r="B354" s="32">
        <v>38300</v>
      </c>
      <c r="C354" s="29">
        <v>11.75</v>
      </c>
      <c r="D354" s="35">
        <v>11.75</v>
      </c>
      <c r="E354" s="35">
        <v>11.75</v>
      </c>
      <c r="F354" s="33">
        <v>11.75</v>
      </c>
      <c r="G354" s="29">
        <v>0</v>
      </c>
      <c r="H354" s="29">
        <v>0.5</v>
      </c>
      <c r="I354" s="35">
        <v>11.25</v>
      </c>
      <c r="J354" s="34">
        <v>3420</v>
      </c>
      <c r="K354" s="34">
        <v>40600</v>
      </c>
    </row>
    <row r="355" spans="1:11" hidden="1">
      <c r="A355" s="29" t="s">
        <v>138</v>
      </c>
      <c r="B355" s="32">
        <v>38301</v>
      </c>
      <c r="C355" s="29">
        <v>11.75</v>
      </c>
      <c r="D355" s="35">
        <v>11.75</v>
      </c>
      <c r="E355" s="35">
        <v>11.75</v>
      </c>
      <c r="F355" s="33">
        <v>11.75</v>
      </c>
      <c r="G355" s="29">
        <v>0</v>
      </c>
      <c r="H355" s="29">
        <v>0</v>
      </c>
      <c r="I355" s="35">
        <v>11.75</v>
      </c>
      <c r="J355" s="34">
        <v>488</v>
      </c>
      <c r="K355" s="34">
        <v>5800</v>
      </c>
    </row>
    <row r="356" spans="1:11" hidden="1">
      <c r="A356" s="29" t="s">
        <v>138</v>
      </c>
      <c r="B356" s="32">
        <v>38306</v>
      </c>
      <c r="C356" s="29">
        <v>11.25</v>
      </c>
      <c r="D356" s="35">
        <v>11.5</v>
      </c>
      <c r="E356" s="35">
        <v>11.25</v>
      </c>
      <c r="F356" s="33">
        <v>11.5</v>
      </c>
      <c r="G356" s="29">
        <v>0</v>
      </c>
      <c r="H356" s="29">
        <v>-0.25</v>
      </c>
      <c r="I356" s="35">
        <v>11.75</v>
      </c>
      <c r="J356" s="34">
        <v>27376</v>
      </c>
      <c r="K356" s="34">
        <v>314500</v>
      </c>
    </row>
    <row r="357" spans="1:11" hidden="1">
      <c r="A357" s="29" t="s">
        <v>138</v>
      </c>
      <c r="B357" s="32">
        <v>38307</v>
      </c>
      <c r="C357" s="29">
        <v>11.25</v>
      </c>
      <c r="D357" s="35">
        <v>11.25</v>
      </c>
      <c r="E357" s="35">
        <v>11.25</v>
      </c>
      <c r="F357" s="33">
        <v>11.25</v>
      </c>
      <c r="G357" s="29">
        <v>0</v>
      </c>
      <c r="H357" s="29">
        <v>-0.25</v>
      </c>
      <c r="I357" s="35">
        <v>11.5</v>
      </c>
      <c r="J357" s="34">
        <v>65996</v>
      </c>
      <c r="K357" s="34">
        <v>744775</v>
      </c>
    </row>
    <row r="358" spans="1:11" hidden="1">
      <c r="A358" s="29" t="s">
        <v>138</v>
      </c>
      <c r="B358" s="32">
        <v>38308</v>
      </c>
      <c r="C358" s="29">
        <v>12</v>
      </c>
      <c r="D358" s="35">
        <v>12</v>
      </c>
      <c r="E358" s="35">
        <v>11.25</v>
      </c>
      <c r="F358" s="33">
        <v>11.25</v>
      </c>
      <c r="G358" s="29">
        <v>0</v>
      </c>
      <c r="H358" s="29">
        <v>0</v>
      </c>
      <c r="I358" s="35">
        <v>11.25</v>
      </c>
      <c r="J358" s="34">
        <v>18576</v>
      </c>
      <c r="K358" s="34">
        <v>217100</v>
      </c>
    </row>
    <row r="359" spans="1:11" hidden="1">
      <c r="A359" s="29" t="s">
        <v>138</v>
      </c>
      <c r="B359" s="32">
        <v>38309</v>
      </c>
      <c r="C359" s="29">
        <v>11.5</v>
      </c>
      <c r="D359" s="35">
        <v>11.5</v>
      </c>
      <c r="E359" s="35">
        <v>11.5</v>
      </c>
      <c r="F359" s="33">
        <v>11.5</v>
      </c>
      <c r="G359" s="29">
        <v>0</v>
      </c>
      <c r="H359" s="29">
        <v>0.25</v>
      </c>
      <c r="I359" s="35">
        <v>11.25</v>
      </c>
      <c r="J359" s="34">
        <v>43020</v>
      </c>
      <c r="K359" s="34">
        <v>497600</v>
      </c>
    </row>
    <row r="360" spans="1:11" hidden="1">
      <c r="A360" s="29" t="s">
        <v>138</v>
      </c>
      <c r="B360" s="32">
        <v>38310</v>
      </c>
      <c r="C360" s="29">
        <v>12</v>
      </c>
      <c r="D360" s="35">
        <v>12</v>
      </c>
      <c r="E360" s="35">
        <v>12</v>
      </c>
      <c r="F360" s="33">
        <v>12</v>
      </c>
      <c r="G360" s="29">
        <v>0</v>
      </c>
      <c r="H360" s="29">
        <v>0.5</v>
      </c>
      <c r="I360" s="35">
        <v>11.5</v>
      </c>
      <c r="J360" s="34">
        <v>6352</v>
      </c>
      <c r="K360" s="34">
        <v>76650</v>
      </c>
    </row>
    <row r="361" spans="1:11" hidden="1">
      <c r="A361" s="29" t="s">
        <v>138</v>
      </c>
      <c r="B361" s="32">
        <v>38314</v>
      </c>
      <c r="C361" s="29">
        <v>11.25</v>
      </c>
      <c r="D361" s="35">
        <v>11.25</v>
      </c>
      <c r="E361" s="35">
        <v>11.25</v>
      </c>
      <c r="F361" s="33">
        <v>11.25</v>
      </c>
      <c r="G361" s="29">
        <v>0</v>
      </c>
      <c r="H361" s="29">
        <v>-0.75</v>
      </c>
      <c r="I361" s="35">
        <v>12</v>
      </c>
      <c r="J361" s="34">
        <v>74308</v>
      </c>
      <c r="K361" s="34">
        <v>836125</v>
      </c>
    </row>
    <row r="362" spans="1:11" hidden="1">
      <c r="A362" s="29" t="s">
        <v>138</v>
      </c>
      <c r="B362" s="32">
        <v>38322</v>
      </c>
      <c r="C362" s="29">
        <v>11.25</v>
      </c>
      <c r="D362" s="35">
        <v>11.25</v>
      </c>
      <c r="E362" s="35">
        <v>11.25</v>
      </c>
      <c r="F362" s="33">
        <v>11.25</v>
      </c>
      <c r="G362" s="29">
        <v>0</v>
      </c>
      <c r="H362" s="29">
        <v>0</v>
      </c>
      <c r="I362" s="35">
        <v>11.25</v>
      </c>
      <c r="J362" s="34">
        <v>24444</v>
      </c>
      <c r="K362" s="34">
        <v>275000</v>
      </c>
    </row>
    <row r="363" spans="1:11" hidden="1">
      <c r="A363" s="29" t="s">
        <v>138</v>
      </c>
      <c r="B363" s="32">
        <v>38323</v>
      </c>
      <c r="C363" s="29">
        <v>11.5</v>
      </c>
      <c r="D363" s="35">
        <v>11.5</v>
      </c>
      <c r="E363" s="35">
        <v>11.5</v>
      </c>
      <c r="F363" s="33">
        <v>11.5</v>
      </c>
      <c r="G363" s="29">
        <v>0</v>
      </c>
      <c r="H363" s="29">
        <v>0.25</v>
      </c>
      <c r="I363" s="35">
        <v>11.25</v>
      </c>
      <c r="J363" s="34">
        <v>1952</v>
      </c>
      <c r="K363" s="34">
        <v>22700</v>
      </c>
    </row>
    <row r="364" spans="1:11" hidden="1">
      <c r="A364" s="29" t="s">
        <v>138</v>
      </c>
      <c r="B364" s="32">
        <v>38324</v>
      </c>
      <c r="C364" s="29">
        <v>11.75</v>
      </c>
      <c r="D364" s="35">
        <v>12</v>
      </c>
      <c r="E364" s="35">
        <v>11.75</v>
      </c>
      <c r="F364" s="33">
        <v>11.75</v>
      </c>
      <c r="G364" s="29">
        <v>0</v>
      </c>
      <c r="H364" s="29">
        <v>0.25</v>
      </c>
      <c r="I364" s="35">
        <v>11.5</v>
      </c>
      <c r="J364" s="34">
        <v>249332</v>
      </c>
      <c r="K364" s="34">
        <v>2958200</v>
      </c>
    </row>
    <row r="365" spans="1:11" hidden="1">
      <c r="A365" s="29" t="s">
        <v>138</v>
      </c>
      <c r="B365" s="32">
        <v>38327</v>
      </c>
      <c r="C365" s="29">
        <v>11.5</v>
      </c>
      <c r="D365" s="35">
        <v>11.5</v>
      </c>
      <c r="E365" s="35">
        <v>11.5</v>
      </c>
      <c r="F365" s="33">
        <v>11.5</v>
      </c>
      <c r="G365" s="29">
        <v>0</v>
      </c>
      <c r="H365" s="29">
        <v>-0.25</v>
      </c>
      <c r="I365" s="35">
        <v>11.75</v>
      </c>
      <c r="J365" s="34">
        <v>2444</v>
      </c>
      <c r="K365" s="34">
        <v>28125</v>
      </c>
    </row>
    <row r="366" spans="1:11" hidden="1">
      <c r="A366" s="29" t="s">
        <v>138</v>
      </c>
      <c r="B366" s="32">
        <v>38328</v>
      </c>
      <c r="C366" s="29">
        <v>11.75</v>
      </c>
      <c r="D366" s="35">
        <v>11.75</v>
      </c>
      <c r="E366" s="35">
        <v>11.75</v>
      </c>
      <c r="F366" s="33">
        <v>11.75</v>
      </c>
      <c r="G366" s="29">
        <v>0</v>
      </c>
      <c r="H366" s="29">
        <v>0.25</v>
      </c>
      <c r="I366" s="35">
        <v>11.5</v>
      </c>
      <c r="J366" s="34">
        <v>2444</v>
      </c>
      <c r="K366" s="34">
        <v>28750</v>
      </c>
    </row>
    <row r="367" spans="1:11" hidden="1">
      <c r="A367" s="29" t="s">
        <v>138</v>
      </c>
      <c r="B367" s="32">
        <v>38329</v>
      </c>
      <c r="C367" s="29">
        <v>12.25</v>
      </c>
      <c r="D367" s="35">
        <v>12.5</v>
      </c>
      <c r="E367" s="35">
        <v>12</v>
      </c>
      <c r="F367" s="33">
        <v>12.25</v>
      </c>
      <c r="G367" s="29">
        <v>0</v>
      </c>
      <c r="H367" s="29">
        <v>0.5</v>
      </c>
      <c r="I367" s="35">
        <v>11.75</v>
      </c>
      <c r="J367" s="34">
        <v>621864</v>
      </c>
      <c r="K367" s="34">
        <v>7739650</v>
      </c>
    </row>
    <row r="368" spans="1:11" hidden="1">
      <c r="A368" s="29" t="s">
        <v>138</v>
      </c>
      <c r="B368" s="32">
        <v>38330</v>
      </c>
      <c r="C368" s="29">
        <v>12.25</v>
      </c>
      <c r="D368" s="35">
        <v>12.5</v>
      </c>
      <c r="E368" s="35">
        <v>12.25</v>
      </c>
      <c r="F368" s="33">
        <v>12.25</v>
      </c>
      <c r="G368" s="29">
        <v>0</v>
      </c>
      <c r="H368" s="29">
        <v>0</v>
      </c>
      <c r="I368" s="35">
        <v>12.25</v>
      </c>
      <c r="J368" s="34">
        <v>26396</v>
      </c>
      <c r="K368" s="34">
        <v>326650</v>
      </c>
    </row>
    <row r="369" spans="1:11" hidden="1">
      <c r="A369" s="29" t="s">
        <v>138</v>
      </c>
      <c r="B369" s="32">
        <v>38331</v>
      </c>
      <c r="C369" s="29">
        <v>12.5</v>
      </c>
      <c r="D369" s="35">
        <v>12.5</v>
      </c>
      <c r="E369" s="35">
        <v>12.25</v>
      </c>
      <c r="F369" s="33">
        <v>12.5</v>
      </c>
      <c r="G369" s="29">
        <v>0</v>
      </c>
      <c r="H369" s="29">
        <v>0.25</v>
      </c>
      <c r="I369" s="35">
        <v>12.25</v>
      </c>
      <c r="J369" s="34">
        <v>12220</v>
      </c>
      <c r="K369" s="34">
        <v>152450</v>
      </c>
    </row>
    <row r="370" spans="1:11" hidden="1">
      <c r="A370" s="29" t="s">
        <v>138</v>
      </c>
      <c r="B370" s="32">
        <v>38334</v>
      </c>
      <c r="C370" s="29">
        <v>12.25</v>
      </c>
      <c r="D370" s="35">
        <v>12.75</v>
      </c>
      <c r="E370" s="35">
        <v>12.25</v>
      </c>
      <c r="F370" s="33">
        <v>12.75</v>
      </c>
      <c r="G370" s="29">
        <v>0</v>
      </c>
      <c r="H370" s="29">
        <v>0.25</v>
      </c>
      <c r="I370" s="35">
        <v>12.5</v>
      </c>
      <c r="J370" s="34">
        <v>187244</v>
      </c>
      <c r="K370" s="34">
        <v>2359275</v>
      </c>
    </row>
    <row r="371" spans="1:11" hidden="1">
      <c r="A371" s="29" t="s">
        <v>138</v>
      </c>
      <c r="B371" s="32">
        <v>38335</v>
      </c>
      <c r="C371" s="29">
        <v>12.75</v>
      </c>
      <c r="D371" s="35">
        <v>13.25</v>
      </c>
      <c r="E371" s="35">
        <v>12.75</v>
      </c>
      <c r="F371" s="33">
        <v>13</v>
      </c>
      <c r="G371" s="29">
        <v>0</v>
      </c>
      <c r="H371" s="29">
        <v>0.25</v>
      </c>
      <c r="I371" s="35">
        <v>12.75</v>
      </c>
      <c r="J371" s="34">
        <v>885376</v>
      </c>
      <c r="K371" s="34">
        <v>11447425</v>
      </c>
    </row>
    <row r="372" spans="1:11" hidden="1">
      <c r="A372" s="29" t="s">
        <v>138</v>
      </c>
      <c r="B372" s="32">
        <v>38336</v>
      </c>
      <c r="C372" s="29">
        <v>13</v>
      </c>
      <c r="D372" s="35">
        <v>13</v>
      </c>
      <c r="E372" s="35">
        <v>13</v>
      </c>
      <c r="F372" s="33">
        <v>13</v>
      </c>
      <c r="G372" s="29">
        <v>0</v>
      </c>
      <c r="H372" s="29">
        <v>0</v>
      </c>
      <c r="I372" s="35">
        <v>13</v>
      </c>
      <c r="J372" s="34">
        <v>45464</v>
      </c>
      <c r="K372" s="34">
        <v>598850</v>
      </c>
    </row>
    <row r="373" spans="1:11" hidden="1">
      <c r="A373" s="29" t="s">
        <v>138</v>
      </c>
      <c r="B373" s="32">
        <v>38337</v>
      </c>
      <c r="C373" s="29">
        <v>13</v>
      </c>
      <c r="D373" s="35">
        <v>13</v>
      </c>
      <c r="E373" s="35">
        <v>12.75</v>
      </c>
      <c r="F373" s="33">
        <v>12.75</v>
      </c>
      <c r="G373" s="29">
        <v>0</v>
      </c>
      <c r="H373" s="29">
        <v>-0.25</v>
      </c>
      <c r="I373" s="35">
        <v>13</v>
      </c>
      <c r="J373" s="34">
        <v>164264</v>
      </c>
      <c r="K373" s="34">
        <v>2127900</v>
      </c>
    </row>
    <row r="374" spans="1:11" hidden="1">
      <c r="A374" s="29" t="s">
        <v>138</v>
      </c>
      <c r="B374" s="32">
        <v>38338</v>
      </c>
      <c r="C374" s="29">
        <v>12.75</v>
      </c>
      <c r="D374" s="35">
        <v>13</v>
      </c>
      <c r="E374" s="35">
        <v>12.75</v>
      </c>
      <c r="F374" s="33">
        <v>12.75</v>
      </c>
      <c r="G374" s="29">
        <v>0</v>
      </c>
      <c r="H374" s="29">
        <v>0</v>
      </c>
      <c r="I374" s="35">
        <v>12.75</v>
      </c>
      <c r="J374" s="34">
        <v>110488</v>
      </c>
      <c r="K374" s="34">
        <v>1426700</v>
      </c>
    </row>
    <row r="375" spans="1:11" hidden="1">
      <c r="A375" s="29" t="s">
        <v>138</v>
      </c>
      <c r="B375" s="32">
        <v>38341</v>
      </c>
      <c r="C375" s="29">
        <v>12.75</v>
      </c>
      <c r="D375" s="35">
        <v>13.5</v>
      </c>
      <c r="E375" s="35">
        <v>12.75</v>
      </c>
      <c r="F375" s="33">
        <v>13.25</v>
      </c>
      <c r="G375" s="29">
        <v>0</v>
      </c>
      <c r="H375" s="29">
        <v>0.5</v>
      </c>
      <c r="I375" s="35">
        <v>12.75</v>
      </c>
      <c r="J375" s="34">
        <v>217552</v>
      </c>
      <c r="K375" s="34">
        <v>2885450</v>
      </c>
    </row>
    <row r="376" spans="1:11" hidden="1">
      <c r="A376" s="29" t="s">
        <v>138</v>
      </c>
      <c r="B376" s="32">
        <v>38342</v>
      </c>
      <c r="C376" s="29">
        <v>13.5</v>
      </c>
      <c r="D376" s="35">
        <v>13.5</v>
      </c>
      <c r="E376" s="35">
        <v>13</v>
      </c>
      <c r="F376" s="33">
        <v>13</v>
      </c>
      <c r="G376" s="29">
        <v>0</v>
      </c>
      <c r="H376" s="29">
        <v>-0.25</v>
      </c>
      <c r="I376" s="35">
        <v>13.25</v>
      </c>
      <c r="J376" s="34">
        <v>21996</v>
      </c>
      <c r="K376" s="34">
        <v>291700</v>
      </c>
    </row>
    <row r="377" spans="1:11" hidden="1">
      <c r="A377" s="29" t="s">
        <v>138</v>
      </c>
      <c r="B377" s="32">
        <v>38344</v>
      </c>
      <c r="C377" s="29">
        <v>13</v>
      </c>
      <c r="D377" s="35">
        <v>13</v>
      </c>
      <c r="E377" s="35">
        <v>13</v>
      </c>
      <c r="F377" s="33">
        <v>13</v>
      </c>
      <c r="G377" s="29">
        <v>0</v>
      </c>
      <c r="H377" s="29">
        <v>0</v>
      </c>
      <c r="I377" s="35">
        <v>13</v>
      </c>
      <c r="J377" s="34">
        <v>1464</v>
      </c>
      <c r="K377" s="34">
        <v>19125</v>
      </c>
    </row>
    <row r="378" spans="1:11" hidden="1">
      <c r="A378" s="29" t="s">
        <v>138</v>
      </c>
      <c r="B378" s="32">
        <v>38349</v>
      </c>
      <c r="C378" s="29">
        <v>13</v>
      </c>
      <c r="D378" s="35">
        <v>13</v>
      </c>
      <c r="E378" s="35">
        <v>13</v>
      </c>
      <c r="F378" s="33">
        <v>13</v>
      </c>
      <c r="G378" s="29">
        <v>0</v>
      </c>
      <c r="H378" s="29">
        <v>0</v>
      </c>
      <c r="I378" s="35">
        <v>13</v>
      </c>
      <c r="J378" s="34">
        <v>4888</v>
      </c>
      <c r="K378" s="34">
        <v>63500</v>
      </c>
    </row>
    <row r="379" spans="1:11" hidden="1">
      <c r="A379" s="29" t="s">
        <v>138</v>
      </c>
      <c r="B379" s="32">
        <v>38350</v>
      </c>
      <c r="C379" s="29">
        <v>12.75</v>
      </c>
      <c r="D379" s="35">
        <v>12.75</v>
      </c>
      <c r="E379" s="35">
        <v>12.75</v>
      </c>
      <c r="F379" s="33">
        <v>12.75</v>
      </c>
      <c r="G379" s="29">
        <v>0</v>
      </c>
      <c r="H379" s="29">
        <v>-0.25</v>
      </c>
      <c r="I379" s="35">
        <v>13</v>
      </c>
      <c r="J379" s="34">
        <v>976</v>
      </c>
      <c r="K379" s="34">
        <v>12575</v>
      </c>
    </row>
    <row r="380" spans="1:11" hidden="1">
      <c r="A380" s="29" t="s">
        <v>138</v>
      </c>
      <c r="B380" s="32">
        <v>38351</v>
      </c>
      <c r="C380" s="29">
        <v>12.75</v>
      </c>
      <c r="D380" s="35">
        <v>13.25</v>
      </c>
      <c r="E380" s="35">
        <v>12.75</v>
      </c>
      <c r="F380" s="33">
        <v>13</v>
      </c>
      <c r="G380" s="29">
        <v>0</v>
      </c>
      <c r="H380" s="29">
        <v>0.25</v>
      </c>
      <c r="I380" s="35">
        <v>12.75</v>
      </c>
      <c r="J380" s="34">
        <v>87508</v>
      </c>
      <c r="K380" s="34">
        <v>1141900</v>
      </c>
    </row>
    <row r="381" spans="1:11" hidden="1">
      <c r="A381" s="29" t="s">
        <v>138</v>
      </c>
      <c r="B381" s="32">
        <v>38352</v>
      </c>
      <c r="C381" s="29">
        <v>13.25</v>
      </c>
      <c r="D381" s="35">
        <v>13.25</v>
      </c>
      <c r="E381" s="35">
        <v>12.75</v>
      </c>
      <c r="F381" s="33">
        <v>12.75</v>
      </c>
      <c r="G381" s="29">
        <v>0</v>
      </c>
      <c r="H381" s="29">
        <v>-0.25</v>
      </c>
      <c r="I381" s="35">
        <v>13</v>
      </c>
      <c r="J381" s="34">
        <v>19552</v>
      </c>
      <c r="K381" s="34">
        <v>254425</v>
      </c>
    </row>
    <row r="382" spans="1:11" hidden="1">
      <c r="A382" s="29" t="s">
        <v>138</v>
      </c>
      <c r="B382" s="32">
        <v>38355</v>
      </c>
      <c r="C382" s="29">
        <v>13.25</v>
      </c>
      <c r="D382" s="35">
        <v>14</v>
      </c>
      <c r="E382" s="35">
        <v>13.25</v>
      </c>
      <c r="F382" s="33">
        <v>13.5</v>
      </c>
      <c r="G382" s="29">
        <v>0</v>
      </c>
      <c r="H382" s="29">
        <v>0.75</v>
      </c>
      <c r="I382" s="35">
        <v>12.75</v>
      </c>
      <c r="J382" s="34">
        <v>586664</v>
      </c>
      <c r="K382" s="34">
        <v>7968550</v>
      </c>
    </row>
    <row r="383" spans="1:11" hidden="1">
      <c r="A383" s="29" t="s">
        <v>138</v>
      </c>
      <c r="B383" s="32">
        <v>38356</v>
      </c>
      <c r="C383" s="29">
        <v>13.5</v>
      </c>
      <c r="D383" s="35">
        <v>14.5</v>
      </c>
      <c r="E383" s="35">
        <v>13.5</v>
      </c>
      <c r="F383" s="33">
        <v>14.25</v>
      </c>
      <c r="G383" s="29">
        <v>0</v>
      </c>
      <c r="H383" s="29">
        <v>0.75</v>
      </c>
      <c r="I383" s="35">
        <v>13.5</v>
      </c>
      <c r="J383" s="34">
        <v>1142532</v>
      </c>
      <c r="K383" s="34">
        <v>16135025</v>
      </c>
    </row>
    <row r="384" spans="1:11" hidden="1">
      <c r="A384" s="29" t="s">
        <v>138</v>
      </c>
      <c r="B384" s="32">
        <v>38357</v>
      </c>
      <c r="C384" s="29">
        <v>14.5</v>
      </c>
      <c r="D384" s="35">
        <v>16.75</v>
      </c>
      <c r="E384" s="35">
        <v>14.5</v>
      </c>
      <c r="F384" s="33">
        <v>16</v>
      </c>
      <c r="G384" s="29">
        <v>0</v>
      </c>
      <c r="H384" s="29">
        <v>1.75</v>
      </c>
      <c r="I384" s="35">
        <v>14.25</v>
      </c>
      <c r="J384" s="34">
        <v>2300708</v>
      </c>
      <c r="K384" s="34">
        <v>36035825</v>
      </c>
    </row>
    <row r="385" spans="1:11" hidden="1">
      <c r="A385" s="29" t="s">
        <v>138</v>
      </c>
      <c r="B385" s="32">
        <v>38358</v>
      </c>
      <c r="C385" s="29">
        <v>16.25</v>
      </c>
      <c r="D385" s="35">
        <v>17.25</v>
      </c>
      <c r="E385" s="35">
        <v>16.25</v>
      </c>
      <c r="F385" s="33">
        <v>16.5</v>
      </c>
      <c r="G385" s="29">
        <v>0</v>
      </c>
      <c r="H385" s="29">
        <v>0.5</v>
      </c>
      <c r="I385" s="35">
        <v>16</v>
      </c>
      <c r="J385" s="34">
        <v>2241552</v>
      </c>
      <c r="K385" s="34">
        <v>37838350</v>
      </c>
    </row>
    <row r="386" spans="1:11" hidden="1">
      <c r="A386" s="29" t="s">
        <v>138</v>
      </c>
      <c r="B386" s="32">
        <v>38359</v>
      </c>
      <c r="C386" s="29">
        <v>17</v>
      </c>
      <c r="D386" s="35">
        <v>18</v>
      </c>
      <c r="E386" s="35">
        <v>17</v>
      </c>
      <c r="F386" s="33">
        <v>17.25</v>
      </c>
      <c r="G386" s="29">
        <v>0</v>
      </c>
      <c r="H386" s="29">
        <v>0.75</v>
      </c>
      <c r="I386" s="35">
        <v>16.5</v>
      </c>
      <c r="J386" s="34">
        <v>749952</v>
      </c>
      <c r="K386" s="34">
        <v>13134725</v>
      </c>
    </row>
    <row r="387" spans="1:11" hidden="1">
      <c r="A387" s="29" t="s">
        <v>138</v>
      </c>
      <c r="B387" s="32">
        <v>38362</v>
      </c>
      <c r="C387" s="29">
        <v>17.25</v>
      </c>
      <c r="D387" s="35">
        <v>17.25</v>
      </c>
      <c r="E387" s="35">
        <v>16.75</v>
      </c>
      <c r="F387" s="33">
        <v>16.75</v>
      </c>
      <c r="G387" s="29">
        <v>0</v>
      </c>
      <c r="H387" s="29">
        <v>-0.5</v>
      </c>
      <c r="I387" s="35">
        <v>17.25</v>
      </c>
      <c r="J387" s="34">
        <v>342708</v>
      </c>
      <c r="K387" s="34">
        <v>5877750</v>
      </c>
    </row>
    <row r="388" spans="1:11" hidden="1">
      <c r="A388" s="29" t="s">
        <v>138</v>
      </c>
      <c r="B388" s="32">
        <v>38363</v>
      </c>
      <c r="C388" s="29">
        <v>17</v>
      </c>
      <c r="D388" s="35">
        <v>17</v>
      </c>
      <c r="E388" s="35">
        <v>16.5</v>
      </c>
      <c r="F388" s="33">
        <v>16.5</v>
      </c>
      <c r="G388" s="29">
        <v>0</v>
      </c>
      <c r="H388" s="29">
        <v>-0.25</v>
      </c>
      <c r="I388" s="35">
        <v>16.75</v>
      </c>
      <c r="J388" s="34">
        <v>255688</v>
      </c>
      <c r="K388" s="34">
        <v>4312350</v>
      </c>
    </row>
    <row r="389" spans="1:11" hidden="1">
      <c r="A389" s="29" t="s">
        <v>138</v>
      </c>
      <c r="B389" s="32">
        <v>38364</v>
      </c>
      <c r="C389" s="29">
        <v>16.75</v>
      </c>
      <c r="D389" s="35">
        <v>17.5</v>
      </c>
      <c r="E389" s="35">
        <v>16.75</v>
      </c>
      <c r="F389" s="33">
        <v>17.5</v>
      </c>
      <c r="G389" s="29">
        <v>0</v>
      </c>
      <c r="H389" s="29">
        <v>1</v>
      </c>
      <c r="I389" s="35">
        <v>16.5</v>
      </c>
      <c r="J389" s="34">
        <v>358352</v>
      </c>
      <c r="K389" s="34">
        <v>6245150</v>
      </c>
    </row>
    <row r="390" spans="1:11" hidden="1">
      <c r="A390" s="29" t="s">
        <v>138</v>
      </c>
      <c r="B390" s="32">
        <v>38365</v>
      </c>
      <c r="C390" s="29">
        <v>18</v>
      </c>
      <c r="D390" s="35">
        <v>18.25</v>
      </c>
      <c r="E390" s="35">
        <v>17.5</v>
      </c>
      <c r="F390" s="33">
        <v>17.75</v>
      </c>
      <c r="G390" s="29">
        <v>0</v>
      </c>
      <c r="H390" s="29">
        <v>0.25</v>
      </c>
      <c r="I390" s="35">
        <v>17.5</v>
      </c>
      <c r="J390" s="34">
        <v>273288</v>
      </c>
      <c r="K390" s="34">
        <v>4880825</v>
      </c>
    </row>
    <row r="391" spans="1:11" hidden="1">
      <c r="A391" s="29" t="s">
        <v>138</v>
      </c>
      <c r="B391" s="32">
        <v>38369</v>
      </c>
      <c r="C391" s="29">
        <v>17.75</v>
      </c>
      <c r="D391" s="35">
        <v>17.75</v>
      </c>
      <c r="E391" s="35">
        <v>17.5</v>
      </c>
      <c r="F391" s="33">
        <v>17.75</v>
      </c>
      <c r="G391" s="29">
        <v>0</v>
      </c>
      <c r="H391" s="29">
        <v>0</v>
      </c>
      <c r="I391" s="35">
        <v>17.75</v>
      </c>
      <c r="J391" s="34">
        <v>55244</v>
      </c>
      <c r="K391" s="34">
        <v>982825</v>
      </c>
    </row>
    <row r="392" spans="1:11" hidden="1">
      <c r="A392" s="29" t="s">
        <v>138</v>
      </c>
      <c r="B392" s="32">
        <v>38370</v>
      </c>
      <c r="C392" s="29">
        <v>17.5</v>
      </c>
      <c r="D392" s="35">
        <v>17.5</v>
      </c>
      <c r="E392" s="35">
        <v>17.5</v>
      </c>
      <c r="F392" s="33">
        <v>17.5</v>
      </c>
      <c r="G392" s="29">
        <v>0</v>
      </c>
      <c r="H392" s="29">
        <v>-0.25</v>
      </c>
      <c r="I392" s="35">
        <v>17.75</v>
      </c>
      <c r="J392" s="34">
        <v>30796</v>
      </c>
      <c r="K392" s="34">
        <v>543150</v>
      </c>
    </row>
    <row r="393" spans="1:11" hidden="1">
      <c r="A393" s="29" t="s">
        <v>138</v>
      </c>
      <c r="B393" s="32">
        <v>38371</v>
      </c>
      <c r="C393" s="29">
        <v>17.5</v>
      </c>
      <c r="D393" s="35">
        <v>17.75</v>
      </c>
      <c r="E393" s="35">
        <v>17.5</v>
      </c>
      <c r="F393" s="33">
        <v>17.5</v>
      </c>
      <c r="G393" s="29">
        <v>0</v>
      </c>
      <c r="H393" s="29">
        <v>0</v>
      </c>
      <c r="I393" s="35">
        <v>17.5</v>
      </c>
      <c r="J393" s="34">
        <v>36176</v>
      </c>
      <c r="K393" s="34">
        <v>639250</v>
      </c>
    </row>
    <row r="394" spans="1:11" hidden="1">
      <c r="A394" s="29" t="s">
        <v>138</v>
      </c>
      <c r="B394" s="32">
        <v>38372</v>
      </c>
      <c r="C394" s="29">
        <v>17.5</v>
      </c>
      <c r="D394" s="35">
        <v>17.75</v>
      </c>
      <c r="E394" s="35">
        <v>17.5</v>
      </c>
      <c r="F394" s="33">
        <v>17.75</v>
      </c>
      <c r="G394" s="29">
        <v>0</v>
      </c>
      <c r="H394" s="29">
        <v>0.25</v>
      </c>
      <c r="I394" s="35">
        <v>17.5</v>
      </c>
      <c r="J394" s="34">
        <v>255196</v>
      </c>
      <c r="K394" s="34">
        <v>4536325</v>
      </c>
    </row>
    <row r="395" spans="1:11" hidden="1">
      <c r="A395" s="29" t="s">
        <v>138</v>
      </c>
      <c r="B395" s="32">
        <v>38377</v>
      </c>
      <c r="C395" s="29">
        <v>17.75</v>
      </c>
      <c r="D395" s="35">
        <v>18</v>
      </c>
      <c r="E395" s="35">
        <v>17.5</v>
      </c>
      <c r="F395" s="33">
        <v>17.75</v>
      </c>
      <c r="G395" s="29">
        <v>0</v>
      </c>
      <c r="H395" s="29">
        <v>0</v>
      </c>
      <c r="I395" s="35">
        <v>17.75</v>
      </c>
      <c r="J395" s="34">
        <v>43020</v>
      </c>
      <c r="K395" s="34">
        <v>767950</v>
      </c>
    </row>
    <row r="396" spans="1:11" hidden="1">
      <c r="A396" s="29" t="s">
        <v>138</v>
      </c>
      <c r="B396" s="32">
        <v>38378</v>
      </c>
      <c r="C396" s="29">
        <v>17.75</v>
      </c>
      <c r="D396" s="35">
        <v>18</v>
      </c>
      <c r="E396" s="35">
        <v>17.75</v>
      </c>
      <c r="F396" s="33">
        <v>18</v>
      </c>
      <c r="G396" s="29">
        <v>0</v>
      </c>
      <c r="H396" s="29">
        <v>0.25</v>
      </c>
      <c r="I396" s="35">
        <v>17.75</v>
      </c>
      <c r="J396" s="34">
        <v>398444</v>
      </c>
      <c r="K396" s="34">
        <v>7148650</v>
      </c>
    </row>
    <row r="397" spans="1:11" hidden="1">
      <c r="A397" s="29" t="s">
        <v>138</v>
      </c>
      <c r="B397" s="32">
        <v>38379</v>
      </c>
      <c r="C397" s="29">
        <v>18</v>
      </c>
      <c r="D397" s="35">
        <v>18.75</v>
      </c>
      <c r="E397" s="35">
        <v>18</v>
      </c>
      <c r="F397" s="33">
        <v>18.5</v>
      </c>
      <c r="G397" s="29">
        <v>0</v>
      </c>
      <c r="H397" s="29">
        <v>0.5</v>
      </c>
      <c r="I397" s="35">
        <v>18</v>
      </c>
      <c r="J397" s="34">
        <v>1340044</v>
      </c>
      <c r="K397" s="34">
        <v>24667825</v>
      </c>
    </row>
    <row r="398" spans="1:11" hidden="1">
      <c r="A398" s="29" t="s">
        <v>138</v>
      </c>
      <c r="B398" s="32">
        <v>38380</v>
      </c>
      <c r="C398" s="29">
        <v>18.75</v>
      </c>
      <c r="D398" s="35">
        <v>18.75</v>
      </c>
      <c r="E398" s="35">
        <v>18.5</v>
      </c>
      <c r="F398" s="33">
        <v>18.5</v>
      </c>
      <c r="G398" s="29">
        <v>0</v>
      </c>
      <c r="H398" s="29">
        <v>0</v>
      </c>
      <c r="I398" s="35">
        <v>18.5</v>
      </c>
      <c r="J398" s="34">
        <v>76264</v>
      </c>
      <c r="K398" s="34">
        <v>1427625</v>
      </c>
    </row>
    <row r="399" spans="1:11" hidden="1">
      <c r="A399" s="29" t="s">
        <v>138</v>
      </c>
      <c r="B399" s="32">
        <v>38383</v>
      </c>
      <c r="C399" s="29">
        <v>18.5</v>
      </c>
      <c r="D399" s="35">
        <v>19</v>
      </c>
      <c r="E399" s="35">
        <v>18.5</v>
      </c>
      <c r="F399" s="33">
        <v>18.75</v>
      </c>
      <c r="G399" s="29">
        <v>0</v>
      </c>
      <c r="H399" s="29">
        <v>0.25</v>
      </c>
      <c r="I399" s="35">
        <v>18.5</v>
      </c>
      <c r="J399" s="34">
        <v>77244</v>
      </c>
      <c r="K399" s="34">
        <v>1455750</v>
      </c>
    </row>
    <row r="400" spans="1:11" hidden="1">
      <c r="A400" s="29" t="s">
        <v>138</v>
      </c>
      <c r="B400" s="32">
        <v>38384</v>
      </c>
      <c r="C400" s="29">
        <v>19</v>
      </c>
      <c r="D400" s="35">
        <v>19.25</v>
      </c>
      <c r="E400" s="35">
        <v>18.75</v>
      </c>
      <c r="F400" s="33">
        <v>18.75</v>
      </c>
      <c r="G400" s="29">
        <v>0</v>
      </c>
      <c r="H400" s="29">
        <v>0</v>
      </c>
      <c r="I400" s="35">
        <v>18.75</v>
      </c>
      <c r="J400" s="34">
        <v>208752</v>
      </c>
      <c r="K400" s="34">
        <v>3969475</v>
      </c>
    </row>
    <row r="401" spans="1:11" hidden="1">
      <c r="A401" s="29" t="s">
        <v>138</v>
      </c>
      <c r="B401" s="32">
        <v>38385</v>
      </c>
      <c r="C401" s="29">
        <v>18.75</v>
      </c>
      <c r="D401" s="35">
        <v>19</v>
      </c>
      <c r="E401" s="35">
        <v>18.75</v>
      </c>
      <c r="F401" s="33">
        <v>18.75</v>
      </c>
      <c r="G401" s="29">
        <v>0</v>
      </c>
      <c r="H401" s="29">
        <v>0</v>
      </c>
      <c r="I401" s="35">
        <v>18.75</v>
      </c>
      <c r="J401" s="34">
        <v>60620</v>
      </c>
      <c r="K401" s="34">
        <v>1145200</v>
      </c>
    </row>
    <row r="402" spans="1:11" hidden="1">
      <c r="A402" s="29" t="s">
        <v>138</v>
      </c>
      <c r="B402" s="32">
        <v>38386</v>
      </c>
      <c r="C402" s="29">
        <v>18.5</v>
      </c>
      <c r="D402" s="35">
        <v>18.75</v>
      </c>
      <c r="E402" s="35">
        <v>18.5</v>
      </c>
      <c r="F402" s="33">
        <v>18.75</v>
      </c>
      <c r="G402" s="29">
        <v>0</v>
      </c>
      <c r="H402" s="29">
        <v>0</v>
      </c>
      <c r="I402" s="35">
        <v>18.75</v>
      </c>
      <c r="J402" s="34">
        <v>190664</v>
      </c>
      <c r="K402" s="34">
        <v>3571975</v>
      </c>
    </row>
    <row r="403" spans="1:11" hidden="1">
      <c r="A403" s="29" t="s">
        <v>138</v>
      </c>
      <c r="B403" s="32">
        <v>38390</v>
      </c>
      <c r="C403" s="29">
        <v>19</v>
      </c>
      <c r="D403" s="35">
        <v>19.25</v>
      </c>
      <c r="E403" s="35">
        <v>19</v>
      </c>
      <c r="F403" s="33">
        <v>19</v>
      </c>
      <c r="G403" s="29">
        <v>0</v>
      </c>
      <c r="H403" s="29">
        <v>0.25</v>
      </c>
      <c r="I403" s="35">
        <v>18.75</v>
      </c>
      <c r="J403" s="34">
        <v>180888</v>
      </c>
      <c r="K403" s="34">
        <v>3466825</v>
      </c>
    </row>
    <row r="404" spans="1:11" hidden="1">
      <c r="A404" s="29" t="s">
        <v>138</v>
      </c>
      <c r="B404" s="32">
        <v>38391</v>
      </c>
      <c r="C404" s="29">
        <v>20</v>
      </c>
      <c r="D404" s="35">
        <v>20.25</v>
      </c>
      <c r="E404" s="35">
        <v>19.5</v>
      </c>
      <c r="F404" s="33">
        <v>19.75</v>
      </c>
      <c r="G404" s="29">
        <v>0</v>
      </c>
      <c r="H404" s="29">
        <v>0.75</v>
      </c>
      <c r="I404" s="35">
        <v>19</v>
      </c>
      <c r="J404" s="34">
        <v>967508</v>
      </c>
      <c r="K404" s="34">
        <v>19087950</v>
      </c>
    </row>
    <row r="405" spans="1:11" hidden="1">
      <c r="A405" s="29" t="s">
        <v>138</v>
      </c>
      <c r="B405" s="32">
        <v>38392</v>
      </c>
      <c r="C405" s="29">
        <v>19.75</v>
      </c>
      <c r="D405" s="35">
        <v>19.75</v>
      </c>
      <c r="E405" s="35">
        <v>19.5</v>
      </c>
      <c r="F405" s="33">
        <v>19.5</v>
      </c>
      <c r="G405" s="29">
        <v>0</v>
      </c>
      <c r="H405" s="29">
        <v>-0.25</v>
      </c>
      <c r="I405" s="35">
        <v>19.75</v>
      </c>
      <c r="J405" s="34">
        <v>553420</v>
      </c>
      <c r="K405" s="34">
        <v>10858575</v>
      </c>
    </row>
    <row r="406" spans="1:11" hidden="1">
      <c r="A406" s="29" t="s">
        <v>138</v>
      </c>
      <c r="B406" s="32">
        <v>38393</v>
      </c>
      <c r="C406" s="29">
        <v>19.5</v>
      </c>
      <c r="D406" s="35">
        <v>19.75</v>
      </c>
      <c r="E406" s="35">
        <v>19.5</v>
      </c>
      <c r="F406" s="33">
        <v>19.5</v>
      </c>
      <c r="G406" s="29">
        <v>0</v>
      </c>
      <c r="H406" s="29">
        <v>0</v>
      </c>
      <c r="I406" s="35">
        <v>19.5</v>
      </c>
      <c r="J406" s="34">
        <v>373508</v>
      </c>
      <c r="K406" s="34">
        <v>7334350</v>
      </c>
    </row>
    <row r="407" spans="1:11" hidden="1">
      <c r="A407" s="29" t="s">
        <v>138</v>
      </c>
      <c r="B407" s="32">
        <v>38394</v>
      </c>
      <c r="C407" s="29">
        <v>19.5</v>
      </c>
      <c r="D407" s="35">
        <v>19.5</v>
      </c>
      <c r="E407" s="35">
        <v>19.25</v>
      </c>
      <c r="F407" s="33">
        <v>19.5</v>
      </c>
      <c r="G407" s="29">
        <v>0</v>
      </c>
      <c r="H407" s="29">
        <v>0</v>
      </c>
      <c r="I407" s="35">
        <v>19.5</v>
      </c>
      <c r="J407" s="34">
        <v>25420</v>
      </c>
      <c r="K407" s="34">
        <v>497725</v>
      </c>
    </row>
    <row r="408" spans="1:11" hidden="1">
      <c r="A408" s="29" t="s">
        <v>138</v>
      </c>
      <c r="B408" s="32">
        <v>38397</v>
      </c>
      <c r="C408" s="29">
        <v>19.25</v>
      </c>
      <c r="D408" s="35">
        <v>19.25</v>
      </c>
      <c r="E408" s="35">
        <v>19.25</v>
      </c>
      <c r="F408" s="33">
        <v>19.25</v>
      </c>
      <c r="G408" s="29">
        <v>0</v>
      </c>
      <c r="H408" s="29">
        <v>-0.25</v>
      </c>
      <c r="I408" s="35">
        <v>19.5</v>
      </c>
      <c r="J408" s="34">
        <v>12220</v>
      </c>
      <c r="K408" s="34">
        <v>236650</v>
      </c>
    </row>
    <row r="409" spans="1:11" hidden="1">
      <c r="A409" s="29" t="s">
        <v>138</v>
      </c>
      <c r="B409" s="32">
        <v>38398</v>
      </c>
      <c r="C409" s="29">
        <v>19.25</v>
      </c>
      <c r="D409" s="35">
        <v>19.25</v>
      </c>
      <c r="E409" s="35">
        <v>19</v>
      </c>
      <c r="F409" s="33">
        <v>19.25</v>
      </c>
      <c r="G409" s="29">
        <v>0</v>
      </c>
      <c r="H409" s="29">
        <v>0</v>
      </c>
      <c r="I409" s="35">
        <v>19.25</v>
      </c>
      <c r="J409" s="34">
        <v>31288</v>
      </c>
      <c r="K409" s="34">
        <v>603425</v>
      </c>
    </row>
    <row r="410" spans="1:11" hidden="1">
      <c r="A410" s="29" t="s">
        <v>138</v>
      </c>
      <c r="B410" s="32">
        <v>38399</v>
      </c>
      <c r="C410" s="29">
        <v>19.25</v>
      </c>
      <c r="D410" s="35">
        <v>19.25</v>
      </c>
      <c r="E410" s="35">
        <v>19</v>
      </c>
      <c r="F410" s="33">
        <v>19.25</v>
      </c>
      <c r="G410" s="29">
        <v>0</v>
      </c>
      <c r="H410" s="29">
        <v>0</v>
      </c>
      <c r="I410" s="35">
        <v>19.25</v>
      </c>
      <c r="J410" s="34">
        <v>24444</v>
      </c>
      <c r="K410" s="34">
        <v>467900</v>
      </c>
    </row>
    <row r="411" spans="1:11" hidden="1">
      <c r="A411" s="29" t="s">
        <v>138</v>
      </c>
      <c r="B411" s="32">
        <v>38400</v>
      </c>
      <c r="C411" s="29">
        <v>19</v>
      </c>
      <c r="D411" s="35">
        <v>19</v>
      </c>
      <c r="E411" s="35">
        <v>19</v>
      </c>
      <c r="F411" s="33">
        <v>19</v>
      </c>
      <c r="G411" s="29">
        <v>0</v>
      </c>
      <c r="H411" s="29">
        <v>-0.25</v>
      </c>
      <c r="I411" s="35">
        <v>19.25</v>
      </c>
      <c r="J411" s="34">
        <v>37152</v>
      </c>
      <c r="K411" s="34">
        <v>707350</v>
      </c>
    </row>
    <row r="412" spans="1:11" hidden="1">
      <c r="A412" s="29" t="s">
        <v>138</v>
      </c>
      <c r="B412" s="32">
        <v>38401</v>
      </c>
      <c r="C412" s="29">
        <v>19.25</v>
      </c>
      <c r="D412" s="35">
        <v>19.25</v>
      </c>
      <c r="E412" s="35">
        <v>18.5</v>
      </c>
      <c r="F412" s="33">
        <v>18.5</v>
      </c>
      <c r="G412" s="29">
        <v>0</v>
      </c>
      <c r="H412" s="29">
        <v>-0.5</v>
      </c>
      <c r="I412" s="35">
        <v>19</v>
      </c>
      <c r="J412" s="34">
        <v>404308</v>
      </c>
      <c r="K412" s="34">
        <v>7568125</v>
      </c>
    </row>
    <row r="413" spans="1:11" hidden="1">
      <c r="A413" s="29" t="s">
        <v>138</v>
      </c>
      <c r="B413" s="32">
        <v>38404</v>
      </c>
      <c r="C413" s="29">
        <v>19.25</v>
      </c>
      <c r="D413" s="35">
        <v>19.75</v>
      </c>
      <c r="E413" s="35">
        <v>19.25</v>
      </c>
      <c r="F413" s="33">
        <v>19.75</v>
      </c>
      <c r="G413" s="29">
        <v>0</v>
      </c>
      <c r="H413" s="29">
        <v>1.25</v>
      </c>
      <c r="I413" s="35">
        <v>18.5</v>
      </c>
      <c r="J413" s="34">
        <v>183820</v>
      </c>
      <c r="K413" s="34">
        <v>3622200</v>
      </c>
    </row>
    <row r="414" spans="1:11" hidden="1">
      <c r="A414" s="29" t="s">
        <v>138</v>
      </c>
      <c r="B414" s="32">
        <v>38405</v>
      </c>
      <c r="C414" s="29">
        <v>19.75</v>
      </c>
      <c r="D414" s="35">
        <v>19.75</v>
      </c>
      <c r="E414" s="35">
        <v>19.75</v>
      </c>
      <c r="F414" s="33">
        <v>19.75</v>
      </c>
      <c r="G414" s="29">
        <v>0</v>
      </c>
      <c r="H414" s="29">
        <v>0</v>
      </c>
      <c r="I414" s="35">
        <v>19.75</v>
      </c>
      <c r="J414" s="34">
        <v>79196</v>
      </c>
      <c r="K414" s="34">
        <v>1572525</v>
      </c>
    </row>
    <row r="415" spans="1:11" hidden="1">
      <c r="A415" s="29" t="s">
        <v>138</v>
      </c>
      <c r="B415" s="32">
        <v>38407</v>
      </c>
      <c r="C415" s="29">
        <v>19.75</v>
      </c>
      <c r="D415" s="35">
        <v>19.75</v>
      </c>
      <c r="E415" s="35">
        <v>19.75</v>
      </c>
      <c r="F415" s="33">
        <v>19.75</v>
      </c>
      <c r="G415" s="29">
        <v>0</v>
      </c>
      <c r="H415" s="29">
        <v>0</v>
      </c>
      <c r="I415" s="35">
        <v>19.75</v>
      </c>
      <c r="J415" s="34">
        <v>56220</v>
      </c>
      <c r="K415" s="34">
        <v>1114975</v>
      </c>
    </row>
    <row r="416" spans="1:11" hidden="1">
      <c r="A416" s="29" t="s">
        <v>138</v>
      </c>
      <c r="B416" s="32">
        <v>38408</v>
      </c>
      <c r="C416" s="29">
        <v>19.75</v>
      </c>
      <c r="D416" s="35">
        <v>19.75</v>
      </c>
      <c r="E416" s="35">
        <v>19.5</v>
      </c>
      <c r="F416" s="33">
        <v>19.75</v>
      </c>
      <c r="G416" s="29">
        <v>0</v>
      </c>
      <c r="H416" s="29">
        <v>0</v>
      </c>
      <c r="I416" s="35">
        <v>19.75</v>
      </c>
      <c r="J416" s="34">
        <v>78708</v>
      </c>
      <c r="K416" s="34">
        <v>1558325</v>
      </c>
    </row>
    <row r="417" spans="1:11" hidden="1">
      <c r="A417" s="29" t="s">
        <v>138</v>
      </c>
      <c r="B417" s="32">
        <v>38411</v>
      </c>
      <c r="C417" s="29">
        <v>19.75</v>
      </c>
      <c r="D417" s="35">
        <v>19.75</v>
      </c>
      <c r="E417" s="35">
        <v>19.5</v>
      </c>
      <c r="F417" s="33">
        <v>19.5</v>
      </c>
      <c r="G417" s="29">
        <v>0</v>
      </c>
      <c r="H417" s="29">
        <v>-0.25</v>
      </c>
      <c r="I417" s="35">
        <v>19.75</v>
      </c>
      <c r="J417" s="34">
        <v>20044</v>
      </c>
      <c r="K417" s="34">
        <v>395325</v>
      </c>
    </row>
    <row r="418" spans="1:11" hidden="1">
      <c r="A418" s="29" t="s">
        <v>138</v>
      </c>
      <c r="B418" s="32">
        <v>38412</v>
      </c>
      <c r="C418" s="29">
        <v>19.5</v>
      </c>
      <c r="D418" s="35">
        <v>19.5</v>
      </c>
      <c r="E418" s="35">
        <v>19.25</v>
      </c>
      <c r="F418" s="33">
        <v>19.5</v>
      </c>
      <c r="G418" s="29">
        <v>0</v>
      </c>
      <c r="H418" s="29">
        <v>0</v>
      </c>
      <c r="I418" s="35">
        <v>19.5</v>
      </c>
      <c r="J418" s="34">
        <v>24932</v>
      </c>
      <c r="K418" s="34">
        <v>486275</v>
      </c>
    </row>
    <row r="419" spans="1:11" hidden="1">
      <c r="A419" s="29" t="s">
        <v>138</v>
      </c>
      <c r="B419" s="32">
        <v>38413</v>
      </c>
      <c r="C419" s="29">
        <v>19.5</v>
      </c>
      <c r="D419" s="35">
        <v>19.75</v>
      </c>
      <c r="E419" s="35">
        <v>19.5</v>
      </c>
      <c r="F419" s="33">
        <v>19.75</v>
      </c>
      <c r="G419" s="29">
        <v>0</v>
      </c>
      <c r="H419" s="29">
        <v>0.25</v>
      </c>
      <c r="I419" s="35">
        <v>19.5</v>
      </c>
      <c r="J419" s="34">
        <v>37152</v>
      </c>
      <c r="K419" s="34">
        <v>731775</v>
      </c>
    </row>
    <row r="420" spans="1:11" hidden="1">
      <c r="A420" s="29" t="s">
        <v>138</v>
      </c>
      <c r="B420" s="32">
        <v>38414</v>
      </c>
      <c r="C420" s="29">
        <v>19.5</v>
      </c>
      <c r="D420" s="35">
        <v>20</v>
      </c>
      <c r="E420" s="35">
        <v>19.5</v>
      </c>
      <c r="F420" s="33">
        <v>19.75</v>
      </c>
      <c r="G420" s="29">
        <v>0</v>
      </c>
      <c r="H420" s="29">
        <v>0</v>
      </c>
      <c r="I420" s="35">
        <v>19.75</v>
      </c>
      <c r="J420" s="34">
        <v>81644</v>
      </c>
      <c r="K420" s="34">
        <v>1618650</v>
      </c>
    </row>
    <row r="421" spans="1:11" hidden="1">
      <c r="A421" s="29" t="s">
        <v>138</v>
      </c>
      <c r="B421" s="32">
        <v>38415</v>
      </c>
      <c r="C421" s="29">
        <v>20</v>
      </c>
      <c r="D421" s="35">
        <v>20.25</v>
      </c>
      <c r="E421" s="35">
        <v>19.75</v>
      </c>
      <c r="F421" s="33">
        <v>20.25</v>
      </c>
      <c r="G421" s="29">
        <v>0</v>
      </c>
      <c r="H421" s="29">
        <v>0.5</v>
      </c>
      <c r="I421" s="35">
        <v>19.75</v>
      </c>
      <c r="J421" s="34">
        <v>226844</v>
      </c>
      <c r="K421" s="34">
        <v>4587150</v>
      </c>
    </row>
    <row r="422" spans="1:11" hidden="1">
      <c r="A422" s="29" t="s">
        <v>138</v>
      </c>
      <c r="B422" s="32">
        <v>38418</v>
      </c>
      <c r="C422" s="29">
        <v>20.25</v>
      </c>
      <c r="D422" s="35">
        <v>23.5</v>
      </c>
      <c r="E422" s="35">
        <v>20.25</v>
      </c>
      <c r="F422" s="33">
        <v>22</v>
      </c>
      <c r="G422" s="29">
        <v>0</v>
      </c>
      <c r="H422" s="29">
        <v>1.75</v>
      </c>
      <c r="I422" s="35">
        <v>20.25</v>
      </c>
      <c r="J422" s="34">
        <v>199952</v>
      </c>
      <c r="K422" s="34">
        <v>4326650</v>
      </c>
    </row>
    <row r="423" spans="1:11" hidden="1">
      <c r="A423" s="29" t="s">
        <v>138</v>
      </c>
      <c r="B423" s="32">
        <v>38420</v>
      </c>
      <c r="C423" s="29">
        <v>22</v>
      </c>
      <c r="D423" s="35">
        <v>23.5</v>
      </c>
      <c r="E423" s="35">
        <v>21.75</v>
      </c>
      <c r="F423" s="33">
        <v>22.5</v>
      </c>
      <c r="G423" s="29">
        <v>0</v>
      </c>
      <c r="H423" s="29">
        <v>0.5</v>
      </c>
      <c r="I423" s="35">
        <v>22</v>
      </c>
      <c r="J423" s="34">
        <v>656576</v>
      </c>
      <c r="K423" s="34">
        <v>14979650</v>
      </c>
    </row>
    <row r="424" spans="1:11" hidden="1">
      <c r="A424" s="29" t="s">
        <v>138</v>
      </c>
      <c r="B424" s="32">
        <v>38421</v>
      </c>
      <c r="C424" s="29">
        <v>23</v>
      </c>
      <c r="D424" s="35">
        <v>23</v>
      </c>
      <c r="E424" s="35">
        <v>21.75</v>
      </c>
      <c r="F424" s="33">
        <v>22.25</v>
      </c>
      <c r="G424" s="29">
        <v>0</v>
      </c>
      <c r="H424" s="29">
        <v>-0.25</v>
      </c>
      <c r="I424" s="35">
        <v>22.5</v>
      </c>
      <c r="J424" s="34">
        <v>123196</v>
      </c>
      <c r="K424" s="34">
        <v>2795375</v>
      </c>
    </row>
    <row r="425" spans="1:11" hidden="1">
      <c r="A425" s="29" t="s">
        <v>138</v>
      </c>
      <c r="B425" s="32">
        <v>38422</v>
      </c>
      <c r="C425" s="29">
        <v>22.75</v>
      </c>
      <c r="D425" s="35">
        <v>23.25</v>
      </c>
      <c r="E425" s="35">
        <v>22.5</v>
      </c>
      <c r="F425" s="33">
        <v>22.75</v>
      </c>
      <c r="G425" s="29">
        <v>0</v>
      </c>
      <c r="H425" s="29">
        <v>0.5</v>
      </c>
      <c r="I425" s="35">
        <v>22.25</v>
      </c>
      <c r="J425" s="34">
        <v>157420</v>
      </c>
      <c r="K425" s="34">
        <v>3605350</v>
      </c>
    </row>
    <row r="426" spans="1:11" hidden="1">
      <c r="A426" s="29" t="s">
        <v>138</v>
      </c>
      <c r="B426" s="32">
        <v>38425</v>
      </c>
      <c r="C426" s="29">
        <v>23.5</v>
      </c>
      <c r="D426" s="35">
        <v>23.5</v>
      </c>
      <c r="E426" s="35">
        <v>22</v>
      </c>
      <c r="F426" s="33">
        <v>22.5</v>
      </c>
      <c r="G426" s="29">
        <v>0</v>
      </c>
      <c r="H426" s="29">
        <v>-0.25</v>
      </c>
      <c r="I426" s="35">
        <v>22.75</v>
      </c>
      <c r="J426" s="34">
        <v>398932</v>
      </c>
      <c r="K426" s="34">
        <v>9050500</v>
      </c>
    </row>
    <row r="427" spans="1:11" hidden="1">
      <c r="A427" s="29" t="s">
        <v>138</v>
      </c>
      <c r="B427" s="32">
        <v>38426</v>
      </c>
      <c r="C427" s="29">
        <v>26.25</v>
      </c>
      <c r="D427" s="35">
        <v>26.25</v>
      </c>
      <c r="E427" s="35">
        <v>23</v>
      </c>
      <c r="F427" s="33">
        <v>23</v>
      </c>
      <c r="G427" s="29">
        <v>0</v>
      </c>
      <c r="H427" s="29">
        <v>-4.5</v>
      </c>
      <c r="I427" s="35">
        <v>27.5</v>
      </c>
      <c r="J427" s="34">
        <v>76800</v>
      </c>
      <c r="K427" s="34">
        <v>1775425</v>
      </c>
    </row>
    <row r="428" spans="1:11" hidden="1">
      <c r="A428" s="29" t="s">
        <v>138</v>
      </c>
      <c r="B428" s="32">
        <v>38427</v>
      </c>
      <c r="C428" s="29">
        <v>23</v>
      </c>
      <c r="D428" s="35">
        <v>24.75</v>
      </c>
      <c r="E428" s="35">
        <v>23</v>
      </c>
      <c r="F428" s="33">
        <v>23</v>
      </c>
      <c r="G428" s="29">
        <v>0</v>
      </c>
      <c r="H428" s="29">
        <v>0</v>
      </c>
      <c r="I428" s="35">
        <v>23</v>
      </c>
      <c r="J428" s="34">
        <v>54800</v>
      </c>
      <c r="K428" s="34">
        <v>1286400</v>
      </c>
    </row>
    <row r="429" spans="1:11" hidden="1">
      <c r="A429" s="29" t="s">
        <v>138</v>
      </c>
      <c r="B429" s="32">
        <v>38428</v>
      </c>
      <c r="C429" s="29">
        <v>23.5</v>
      </c>
      <c r="D429" s="35">
        <v>23.5</v>
      </c>
      <c r="E429" s="35">
        <v>22.5</v>
      </c>
      <c r="F429" s="33">
        <v>22.5</v>
      </c>
      <c r="G429" s="29">
        <v>0</v>
      </c>
      <c r="H429" s="29">
        <v>-0.5</v>
      </c>
      <c r="I429" s="35">
        <v>23</v>
      </c>
      <c r="J429" s="34">
        <v>71200</v>
      </c>
      <c r="K429" s="34">
        <v>1611000</v>
      </c>
    </row>
    <row r="430" spans="1:11" hidden="1">
      <c r="A430" s="29" t="s">
        <v>138</v>
      </c>
      <c r="B430" s="32">
        <v>38429</v>
      </c>
      <c r="C430" s="29">
        <v>22.5</v>
      </c>
      <c r="D430" s="35">
        <v>22.5</v>
      </c>
      <c r="E430" s="35">
        <v>22</v>
      </c>
      <c r="F430" s="33">
        <v>22</v>
      </c>
      <c r="G430" s="29">
        <v>0</v>
      </c>
      <c r="H430" s="29">
        <v>-0.5</v>
      </c>
      <c r="I430" s="35">
        <v>22.5</v>
      </c>
      <c r="J430" s="34">
        <v>99600</v>
      </c>
      <c r="K430" s="34">
        <v>2216650</v>
      </c>
    </row>
    <row r="431" spans="1:11" hidden="1">
      <c r="A431" s="29" t="s">
        <v>138</v>
      </c>
      <c r="B431" s="32">
        <v>38432</v>
      </c>
      <c r="C431" s="29">
        <v>22.25</v>
      </c>
      <c r="D431" s="35">
        <v>22.25</v>
      </c>
      <c r="E431" s="35">
        <v>22</v>
      </c>
      <c r="F431" s="33">
        <v>22</v>
      </c>
      <c r="G431" s="29">
        <v>0</v>
      </c>
      <c r="H431" s="29">
        <v>0</v>
      </c>
      <c r="I431" s="35">
        <v>22</v>
      </c>
      <c r="J431" s="34">
        <v>48800</v>
      </c>
      <c r="K431" s="34">
        <v>1073900</v>
      </c>
    </row>
    <row r="432" spans="1:11" hidden="1">
      <c r="A432" s="29" t="s">
        <v>138</v>
      </c>
      <c r="B432" s="32">
        <v>38433</v>
      </c>
      <c r="C432" s="29">
        <v>21.75</v>
      </c>
      <c r="D432" s="35">
        <v>21.75</v>
      </c>
      <c r="E432" s="35">
        <v>21.5</v>
      </c>
      <c r="F432" s="33">
        <v>21.75</v>
      </c>
      <c r="G432" s="29">
        <v>0</v>
      </c>
      <c r="H432" s="29">
        <v>-0.25</v>
      </c>
      <c r="I432" s="35">
        <v>22</v>
      </c>
      <c r="J432" s="34">
        <v>246000</v>
      </c>
      <c r="K432" s="34">
        <v>5331750</v>
      </c>
    </row>
    <row r="433" spans="1:11" hidden="1">
      <c r="A433" s="29" t="s">
        <v>138</v>
      </c>
      <c r="B433" s="32">
        <v>38434</v>
      </c>
      <c r="C433" s="29">
        <v>21.75</v>
      </c>
      <c r="D433" s="35">
        <v>22</v>
      </c>
      <c r="E433" s="35">
        <v>21.5</v>
      </c>
      <c r="F433" s="33">
        <v>21.5</v>
      </c>
      <c r="G433" s="29">
        <v>0</v>
      </c>
      <c r="H433" s="29">
        <v>-0.25</v>
      </c>
      <c r="I433" s="35">
        <v>21.75</v>
      </c>
      <c r="J433" s="34">
        <v>7600</v>
      </c>
      <c r="K433" s="34">
        <v>165375</v>
      </c>
    </row>
    <row r="434" spans="1:11" hidden="1">
      <c r="A434" s="29" t="s">
        <v>138</v>
      </c>
      <c r="B434" s="32">
        <v>38435</v>
      </c>
      <c r="C434" s="29">
        <v>21.5</v>
      </c>
      <c r="D434" s="35">
        <v>22</v>
      </c>
      <c r="E434" s="35">
        <v>21.5</v>
      </c>
      <c r="F434" s="33">
        <v>21.75</v>
      </c>
      <c r="G434" s="29">
        <v>0</v>
      </c>
      <c r="H434" s="29">
        <v>0.25</v>
      </c>
      <c r="I434" s="35">
        <v>21.5</v>
      </c>
      <c r="J434" s="34">
        <v>34800</v>
      </c>
      <c r="K434" s="34">
        <v>759750</v>
      </c>
    </row>
    <row r="435" spans="1:11" hidden="1">
      <c r="A435" s="29" t="s">
        <v>138</v>
      </c>
      <c r="B435" s="32">
        <v>38439</v>
      </c>
      <c r="C435" s="29">
        <v>22</v>
      </c>
      <c r="D435" s="35">
        <v>22</v>
      </c>
      <c r="E435" s="35">
        <v>21.5</v>
      </c>
      <c r="F435" s="33">
        <v>21.5</v>
      </c>
      <c r="G435" s="29">
        <v>0</v>
      </c>
      <c r="H435" s="29">
        <v>-0.25</v>
      </c>
      <c r="I435" s="35">
        <v>21.75</v>
      </c>
      <c r="J435" s="34">
        <v>55600</v>
      </c>
      <c r="K435" s="34">
        <v>1202600</v>
      </c>
    </row>
    <row r="436" spans="1:11" hidden="1">
      <c r="A436" s="29" t="s">
        <v>138</v>
      </c>
      <c r="B436" s="32">
        <v>38440</v>
      </c>
      <c r="C436" s="29">
        <v>21.75</v>
      </c>
      <c r="D436" s="35">
        <v>21.75</v>
      </c>
      <c r="E436" s="35">
        <v>21.5</v>
      </c>
      <c r="F436" s="33">
        <v>21.5</v>
      </c>
      <c r="G436" s="29">
        <v>0</v>
      </c>
      <c r="H436" s="29">
        <v>0</v>
      </c>
      <c r="I436" s="35">
        <v>21.5</v>
      </c>
      <c r="J436" s="34">
        <v>49600</v>
      </c>
      <c r="K436" s="34">
        <v>1066800</v>
      </c>
    </row>
    <row r="437" spans="1:11" hidden="1">
      <c r="A437" s="29" t="s">
        <v>138</v>
      </c>
      <c r="B437" s="32">
        <v>38441</v>
      </c>
      <c r="C437" s="29">
        <v>21.5</v>
      </c>
      <c r="D437" s="35">
        <v>21.5</v>
      </c>
      <c r="E437" s="35">
        <v>21.5</v>
      </c>
      <c r="F437" s="33">
        <v>21.5</v>
      </c>
      <c r="G437" s="29">
        <v>0</v>
      </c>
      <c r="H437" s="29">
        <v>0</v>
      </c>
      <c r="I437" s="35">
        <v>21.5</v>
      </c>
      <c r="J437" s="34">
        <v>42000</v>
      </c>
      <c r="K437" s="34">
        <v>903000</v>
      </c>
    </row>
    <row r="438" spans="1:11" hidden="1">
      <c r="A438" s="29" t="s">
        <v>138</v>
      </c>
      <c r="B438" s="32">
        <v>38442</v>
      </c>
      <c r="C438" s="29">
        <v>21.5</v>
      </c>
      <c r="D438" s="35">
        <v>23</v>
      </c>
      <c r="E438" s="35">
        <v>21.25</v>
      </c>
      <c r="F438" s="33">
        <v>21.5</v>
      </c>
      <c r="G438" s="29">
        <v>0</v>
      </c>
      <c r="H438" s="29">
        <v>0</v>
      </c>
      <c r="I438" s="35">
        <v>21.5</v>
      </c>
      <c r="J438" s="34">
        <v>808400</v>
      </c>
      <c r="K438" s="34">
        <v>17461000</v>
      </c>
    </row>
    <row r="439" spans="1:11" hidden="1">
      <c r="A439" s="29" t="s">
        <v>138</v>
      </c>
      <c r="B439" s="32">
        <v>38443</v>
      </c>
      <c r="C439" s="29">
        <v>23</v>
      </c>
      <c r="D439" s="35">
        <v>24</v>
      </c>
      <c r="E439" s="35">
        <v>22.75</v>
      </c>
      <c r="F439" s="33">
        <v>23.25</v>
      </c>
      <c r="G439" s="29">
        <v>0</v>
      </c>
      <c r="H439" s="29">
        <v>1.75</v>
      </c>
      <c r="I439" s="35">
        <v>21.5</v>
      </c>
      <c r="J439" s="34">
        <v>548800</v>
      </c>
      <c r="K439" s="34">
        <v>12917075</v>
      </c>
    </row>
    <row r="440" spans="1:11" hidden="1">
      <c r="A440" s="29" t="s">
        <v>138</v>
      </c>
      <c r="B440" s="32">
        <v>38446</v>
      </c>
      <c r="C440" s="29">
        <v>23.5</v>
      </c>
      <c r="D440" s="35">
        <v>26.25</v>
      </c>
      <c r="E440" s="35">
        <v>23.5</v>
      </c>
      <c r="F440" s="33">
        <v>24</v>
      </c>
      <c r="G440" s="29">
        <v>0</v>
      </c>
      <c r="H440" s="29">
        <v>0.75</v>
      </c>
      <c r="I440" s="35">
        <v>23.25</v>
      </c>
      <c r="J440" s="34">
        <v>667200</v>
      </c>
      <c r="K440" s="34">
        <v>16454325</v>
      </c>
    </row>
    <row r="441" spans="1:11" hidden="1">
      <c r="A441" s="29" t="s">
        <v>138</v>
      </c>
      <c r="B441" s="32">
        <v>38447</v>
      </c>
      <c r="C441" s="29">
        <v>24.5</v>
      </c>
      <c r="D441" s="35">
        <v>24.75</v>
      </c>
      <c r="E441" s="35">
        <v>23.5</v>
      </c>
      <c r="F441" s="33">
        <v>23.5</v>
      </c>
      <c r="G441" s="29">
        <v>0</v>
      </c>
      <c r="H441" s="29">
        <v>-0.5</v>
      </c>
      <c r="I441" s="35">
        <v>24</v>
      </c>
      <c r="J441" s="34">
        <v>303600</v>
      </c>
      <c r="K441" s="34">
        <v>7238925</v>
      </c>
    </row>
    <row r="442" spans="1:11" hidden="1">
      <c r="A442" s="29" t="s">
        <v>138</v>
      </c>
      <c r="B442" s="32">
        <v>38448</v>
      </c>
      <c r="C442" s="29">
        <v>23.75</v>
      </c>
      <c r="D442" s="35">
        <v>24</v>
      </c>
      <c r="E442" s="35">
        <v>23.75</v>
      </c>
      <c r="F442" s="33">
        <v>24</v>
      </c>
      <c r="G442" s="29">
        <v>0</v>
      </c>
      <c r="H442" s="29">
        <v>0.5</v>
      </c>
      <c r="I442" s="35">
        <v>23.5</v>
      </c>
      <c r="J442" s="34">
        <v>249200</v>
      </c>
      <c r="K442" s="34">
        <v>5982350</v>
      </c>
    </row>
    <row r="443" spans="1:11" hidden="1">
      <c r="A443" s="29" t="s">
        <v>138</v>
      </c>
      <c r="B443" s="32">
        <v>38449</v>
      </c>
      <c r="C443" s="29">
        <v>24</v>
      </c>
      <c r="D443" s="35">
        <v>24</v>
      </c>
      <c r="E443" s="35">
        <v>23.75</v>
      </c>
      <c r="F443" s="33">
        <v>23.75</v>
      </c>
      <c r="G443" s="29">
        <v>0</v>
      </c>
      <c r="H443" s="29">
        <v>-0.25</v>
      </c>
      <c r="I443" s="35">
        <v>24</v>
      </c>
      <c r="J443" s="34">
        <v>246800</v>
      </c>
      <c r="K443" s="34">
        <v>5880050</v>
      </c>
    </row>
    <row r="444" spans="1:11" hidden="1">
      <c r="A444" s="29" t="s">
        <v>138</v>
      </c>
      <c r="B444" s="32">
        <v>38450</v>
      </c>
      <c r="C444" s="29">
        <v>23.75</v>
      </c>
      <c r="D444" s="35">
        <v>23.75</v>
      </c>
      <c r="E444" s="35">
        <v>23.5</v>
      </c>
      <c r="F444" s="33">
        <v>23.5</v>
      </c>
      <c r="G444" s="29">
        <v>0</v>
      </c>
      <c r="H444" s="29">
        <v>-0.25</v>
      </c>
      <c r="I444" s="35">
        <v>23.75</v>
      </c>
      <c r="J444" s="34">
        <v>18800</v>
      </c>
      <c r="K444" s="34">
        <v>443300</v>
      </c>
    </row>
    <row r="445" spans="1:11" hidden="1">
      <c r="A445" s="29" t="s">
        <v>138</v>
      </c>
      <c r="B445" s="32">
        <v>38453</v>
      </c>
      <c r="C445" s="29">
        <v>23.75</v>
      </c>
      <c r="D445" s="35">
        <v>23.75</v>
      </c>
      <c r="E445" s="35">
        <v>23.75</v>
      </c>
      <c r="F445" s="33">
        <v>23.75</v>
      </c>
      <c r="G445" s="29">
        <v>0</v>
      </c>
      <c r="H445" s="29">
        <v>0.25</v>
      </c>
      <c r="I445" s="35">
        <v>23.5</v>
      </c>
      <c r="J445" s="34">
        <v>4000</v>
      </c>
      <c r="K445" s="34">
        <v>95000</v>
      </c>
    </row>
    <row r="446" spans="1:11" hidden="1">
      <c r="A446" s="29" t="s">
        <v>138</v>
      </c>
      <c r="B446" s="32">
        <v>38454</v>
      </c>
      <c r="C446" s="29">
        <v>23.75</v>
      </c>
      <c r="D446" s="35">
        <v>24.25</v>
      </c>
      <c r="E446" s="35">
        <v>23.75</v>
      </c>
      <c r="F446" s="33">
        <v>23.75</v>
      </c>
      <c r="G446" s="29">
        <v>0</v>
      </c>
      <c r="H446" s="29">
        <v>0</v>
      </c>
      <c r="I446" s="35">
        <v>23.75</v>
      </c>
      <c r="J446" s="34">
        <v>7600</v>
      </c>
      <c r="K446" s="34">
        <v>181000</v>
      </c>
    </row>
    <row r="447" spans="1:11" hidden="1">
      <c r="A447" s="29" t="s">
        <v>138</v>
      </c>
      <c r="B447" s="32">
        <v>38457</v>
      </c>
      <c r="C447" s="29">
        <v>24.25</v>
      </c>
      <c r="D447" s="35">
        <v>24.25</v>
      </c>
      <c r="E447" s="35">
        <v>24</v>
      </c>
      <c r="F447" s="33">
        <v>24.25</v>
      </c>
      <c r="G447" s="29">
        <v>0</v>
      </c>
      <c r="H447" s="29">
        <v>0.5</v>
      </c>
      <c r="I447" s="35">
        <v>23.75</v>
      </c>
      <c r="J447" s="34">
        <v>6000</v>
      </c>
      <c r="K447" s="34">
        <v>145400</v>
      </c>
    </row>
    <row r="448" spans="1:11" hidden="1">
      <c r="A448" s="29" t="s">
        <v>138</v>
      </c>
      <c r="B448" s="32">
        <v>38460</v>
      </c>
      <c r="C448" s="29">
        <v>24.25</v>
      </c>
      <c r="D448" s="35">
        <v>24.25</v>
      </c>
      <c r="E448" s="35">
        <v>23.75</v>
      </c>
      <c r="F448" s="33">
        <v>24</v>
      </c>
      <c r="G448" s="29">
        <v>0</v>
      </c>
      <c r="H448" s="29">
        <v>-0.25</v>
      </c>
      <c r="I448" s="35">
        <v>24.25</v>
      </c>
      <c r="J448" s="34">
        <v>13200</v>
      </c>
      <c r="K448" s="34">
        <v>319450</v>
      </c>
    </row>
    <row r="449" spans="1:11" hidden="1">
      <c r="A449" s="29" t="s">
        <v>138</v>
      </c>
      <c r="B449" s="32">
        <v>38461</v>
      </c>
      <c r="C449" s="29">
        <v>24.25</v>
      </c>
      <c r="D449" s="35">
        <v>24.75</v>
      </c>
      <c r="E449" s="35">
        <v>24.25</v>
      </c>
      <c r="F449" s="33">
        <v>24.5</v>
      </c>
      <c r="G449" s="29">
        <v>0</v>
      </c>
      <c r="H449" s="29">
        <v>0.5</v>
      </c>
      <c r="I449" s="35">
        <v>24</v>
      </c>
      <c r="J449" s="34">
        <v>25200</v>
      </c>
      <c r="K449" s="34">
        <v>613000</v>
      </c>
    </row>
    <row r="450" spans="1:11" hidden="1">
      <c r="A450" s="29" t="s">
        <v>138</v>
      </c>
      <c r="B450" s="32">
        <v>38462</v>
      </c>
      <c r="C450" s="29">
        <v>24.25</v>
      </c>
      <c r="D450" s="35">
        <v>24.25</v>
      </c>
      <c r="E450" s="35">
        <v>24</v>
      </c>
      <c r="F450" s="33">
        <v>24</v>
      </c>
      <c r="G450" s="29">
        <v>0</v>
      </c>
      <c r="H450" s="29">
        <v>-0.5</v>
      </c>
      <c r="I450" s="35">
        <v>24.5</v>
      </c>
      <c r="J450" s="34">
        <v>6800</v>
      </c>
      <c r="K450" s="34">
        <v>164000</v>
      </c>
    </row>
    <row r="451" spans="1:11" hidden="1">
      <c r="A451" s="29" t="s">
        <v>138</v>
      </c>
      <c r="B451" s="32">
        <v>38463</v>
      </c>
      <c r="C451" s="29">
        <v>24</v>
      </c>
      <c r="D451" s="35">
        <v>24</v>
      </c>
      <c r="E451" s="35">
        <v>24</v>
      </c>
      <c r="F451" s="33">
        <v>24</v>
      </c>
      <c r="G451" s="29">
        <v>0</v>
      </c>
      <c r="H451" s="29">
        <v>0</v>
      </c>
      <c r="I451" s="35">
        <v>24</v>
      </c>
      <c r="J451" s="34">
        <v>24400</v>
      </c>
      <c r="K451" s="34">
        <v>586100</v>
      </c>
    </row>
    <row r="452" spans="1:11" hidden="1">
      <c r="A452" s="29" t="s">
        <v>138</v>
      </c>
      <c r="B452" s="32">
        <v>38467</v>
      </c>
      <c r="C452" s="29">
        <v>23.75</v>
      </c>
      <c r="D452" s="35">
        <v>23.75</v>
      </c>
      <c r="E452" s="35">
        <v>23.5</v>
      </c>
      <c r="F452" s="33">
        <v>23.5</v>
      </c>
      <c r="G452" s="29">
        <v>0</v>
      </c>
      <c r="H452" s="29">
        <v>-0.5</v>
      </c>
      <c r="I452" s="35">
        <v>24</v>
      </c>
      <c r="J452" s="34">
        <v>52800</v>
      </c>
      <c r="K452" s="34">
        <v>1244125</v>
      </c>
    </row>
    <row r="453" spans="1:11" hidden="1">
      <c r="A453" s="29" t="s">
        <v>138</v>
      </c>
      <c r="B453" s="32">
        <v>38468</v>
      </c>
      <c r="C453" s="29">
        <v>23.5</v>
      </c>
      <c r="D453" s="35">
        <v>23.75</v>
      </c>
      <c r="E453" s="35">
        <v>23.5</v>
      </c>
      <c r="F453" s="33">
        <v>23.75</v>
      </c>
      <c r="G453" s="29">
        <v>0</v>
      </c>
      <c r="H453" s="29">
        <v>0.25</v>
      </c>
      <c r="I453" s="35">
        <v>23.5</v>
      </c>
      <c r="J453" s="34">
        <v>28400</v>
      </c>
      <c r="K453" s="34">
        <v>673100</v>
      </c>
    </row>
    <row r="454" spans="1:11" hidden="1">
      <c r="A454" s="29" t="s">
        <v>138</v>
      </c>
      <c r="B454" s="32">
        <v>38469</v>
      </c>
      <c r="C454" s="29">
        <v>23.25</v>
      </c>
      <c r="D454" s="35">
        <v>23.5</v>
      </c>
      <c r="E454" s="35">
        <v>23.25</v>
      </c>
      <c r="F454" s="33">
        <v>23.5</v>
      </c>
      <c r="G454" s="29">
        <v>0</v>
      </c>
      <c r="H454" s="29">
        <v>-0.25</v>
      </c>
      <c r="I454" s="35">
        <v>23.75</v>
      </c>
      <c r="J454" s="34">
        <v>12000</v>
      </c>
      <c r="K454" s="34">
        <v>280650</v>
      </c>
    </row>
    <row r="455" spans="1:11" hidden="1">
      <c r="A455" s="29" t="s">
        <v>138</v>
      </c>
      <c r="B455" s="32">
        <v>38470</v>
      </c>
      <c r="C455" s="29">
        <v>23.75</v>
      </c>
      <c r="D455" s="35">
        <v>23.75</v>
      </c>
      <c r="E455" s="35">
        <v>23.5</v>
      </c>
      <c r="F455" s="33">
        <v>23.5</v>
      </c>
      <c r="G455" s="29">
        <v>0</v>
      </c>
      <c r="H455" s="29">
        <v>0</v>
      </c>
      <c r="I455" s="35">
        <v>23.5</v>
      </c>
      <c r="J455" s="34">
        <v>186800</v>
      </c>
      <c r="K455" s="34">
        <v>4420225</v>
      </c>
    </row>
    <row r="456" spans="1:11" hidden="1">
      <c r="A456" s="29" t="s">
        <v>138</v>
      </c>
      <c r="B456" s="32">
        <v>38471</v>
      </c>
      <c r="C456" s="29">
        <v>23.75</v>
      </c>
      <c r="D456" s="35">
        <v>23.75</v>
      </c>
      <c r="E456" s="35">
        <v>23.5</v>
      </c>
      <c r="F456" s="33">
        <v>23.5</v>
      </c>
      <c r="G456" s="29">
        <v>0</v>
      </c>
      <c r="H456" s="29">
        <v>0</v>
      </c>
      <c r="I456" s="35">
        <v>23.5</v>
      </c>
      <c r="J456" s="34">
        <v>6800</v>
      </c>
      <c r="K456" s="34">
        <v>161350</v>
      </c>
    </row>
    <row r="457" spans="1:11" hidden="1">
      <c r="A457" s="29" t="s">
        <v>138</v>
      </c>
      <c r="B457" s="32">
        <v>38475</v>
      </c>
      <c r="C457" s="29">
        <v>23.5</v>
      </c>
      <c r="D457" s="35">
        <v>23.5</v>
      </c>
      <c r="E457" s="35">
        <v>23.5</v>
      </c>
      <c r="F457" s="33">
        <v>23.5</v>
      </c>
      <c r="G457" s="29">
        <v>0</v>
      </c>
      <c r="H457" s="29">
        <v>0</v>
      </c>
      <c r="I457" s="35">
        <v>23.5</v>
      </c>
      <c r="J457" s="34">
        <v>26400</v>
      </c>
      <c r="K457" s="34">
        <v>622900</v>
      </c>
    </row>
    <row r="458" spans="1:11" hidden="1">
      <c r="A458" s="29" t="s">
        <v>138</v>
      </c>
      <c r="B458" s="32">
        <v>38476</v>
      </c>
      <c r="C458" s="29">
        <v>23.75</v>
      </c>
      <c r="D458" s="35">
        <v>24</v>
      </c>
      <c r="E458" s="35">
        <v>23.5</v>
      </c>
      <c r="F458" s="33">
        <v>23.75</v>
      </c>
      <c r="G458" s="29">
        <v>0</v>
      </c>
      <c r="H458" s="29">
        <v>0.25</v>
      </c>
      <c r="I458" s="35">
        <v>23.5</v>
      </c>
      <c r="J458" s="34">
        <v>554800</v>
      </c>
      <c r="K458" s="34">
        <v>13121950</v>
      </c>
    </row>
    <row r="459" spans="1:11" hidden="1">
      <c r="A459" s="29" t="s">
        <v>138</v>
      </c>
      <c r="B459" s="32">
        <v>38478</v>
      </c>
      <c r="C459" s="29">
        <v>24.25</v>
      </c>
      <c r="D459" s="35">
        <v>24.25</v>
      </c>
      <c r="E459" s="35">
        <v>23.75</v>
      </c>
      <c r="F459" s="33">
        <v>23.75</v>
      </c>
      <c r="G459" s="29">
        <v>0</v>
      </c>
      <c r="H459" s="29">
        <v>0</v>
      </c>
      <c r="I459" s="35">
        <v>23.75</v>
      </c>
      <c r="J459" s="34">
        <v>90000</v>
      </c>
      <c r="K459" s="34">
        <v>2149500</v>
      </c>
    </row>
    <row r="460" spans="1:11" hidden="1">
      <c r="A460" s="29" t="s">
        <v>138</v>
      </c>
      <c r="B460" s="32">
        <v>38481</v>
      </c>
      <c r="C460" s="29">
        <v>23.75</v>
      </c>
      <c r="D460" s="35">
        <v>23.75</v>
      </c>
      <c r="E460" s="35">
        <v>23.75</v>
      </c>
      <c r="F460" s="33">
        <v>23.75</v>
      </c>
      <c r="G460" s="29">
        <v>0</v>
      </c>
      <c r="H460" s="29">
        <v>0</v>
      </c>
      <c r="I460" s="35">
        <v>23.75</v>
      </c>
      <c r="J460" s="34">
        <v>30400</v>
      </c>
      <c r="K460" s="34">
        <v>724000</v>
      </c>
    </row>
    <row r="461" spans="1:11" hidden="1">
      <c r="A461" s="29" t="s">
        <v>138</v>
      </c>
      <c r="B461" s="32">
        <v>38482</v>
      </c>
      <c r="C461" s="29">
        <v>23.75</v>
      </c>
      <c r="D461" s="35">
        <v>23.75</v>
      </c>
      <c r="E461" s="35">
        <v>23.5</v>
      </c>
      <c r="F461" s="33">
        <v>23.5</v>
      </c>
      <c r="G461" s="29">
        <v>0</v>
      </c>
      <c r="H461" s="29">
        <v>-0.25</v>
      </c>
      <c r="I461" s="35">
        <v>23.75</v>
      </c>
      <c r="J461" s="34">
        <v>71600</v>
      </c>
      <c r="K461" s="34">
        <v>1697375</v>
      </c>
    </row>
    <row r="462" spans="1:11" hidden="1">
      <c r="A462" s="29" t="s">
        <v>138</v>
      </c>
      <c r="B462" s="32">
        <v>38483</v>
      </c>
      <c r="C462" s="29">
        <v>23.75</v>
      </c>
      <c r="D462" s="35">
        <v>24.5</v>
      </c>
      <c r="E462" s="35">
        <v>23.75</v>
      </c>
      <c r="F462" s="33">
        <v>23.75</v>
      </c>
      <c r="G462" s="29">
        <v>0</v>
      </c>
      <c r="H462" s="29">
        <v>0.25</v>
      </c>
      <c r="I462" s="35">
        <v>23.5</v>
      </c>
      <c r="J462" s="34">
        <v>133600</v>
      </c>
      <c r="K462" s="34">
        <v>3176650</v>
      </c>
    </row>
    <row r="463" spans="1:11" hidden="1">
      <c r="A463" s="29" t="s">
        <v>138</v>
      </c>
      <c r="B463" s="32">
        <v>38484</v>
      </c>
      <c r="C463" s="29">
        <v>23.75</v>
      </c>
      <c r="D463" s="35">
        <v>24</v>
      </c>
      <c r="E463" s="35">
        <v>23.75</v>
      </c>
      <c r="F463" s="33">
        <v>23.75</v>
      </c>
      <c r="G463" s="29">
        <v>0</v>
      </c>
      <c r="H463" s="29">
        <v>0</v>
      </c>
      <c r="I463" s="35">
        <v>23.75</v>
      </c>
      <c r="J463" s="34">
        <v>47600</v>
      </c>
      <c r="K463" s="34">
        <v>1139800</v>
      </c>
    </row>
    <row r="464" spans="1:11" hidden="1">
      <c r="A464" s="29" t="s">
        <v>138</v>
      </c>
      <c r="B464" s="32">
        <v>38485</v>
      </c>
      <c r="C464" s="29">
        <v>23.75</v>
      </c>
      <c r="D464" s="35">
        <v>25.5</v>
      </c>
      <c r="E464" s="35">
        <v>23.75</v>
      </c>
      <c r="F464" s="33">
        <v>24.5</v>
      </c>
      <c r="G464" s="29">
        <v>0</v>
      </c>
      <c r="H464" s="29">
        <v>0.75</v>
      </c>
      <c r="I464" s="35">
        <v>23.75</v>
      </c>
      <c r="J464" s="34">
        <v>396800</v>
      </c>
      <c r="K464" s="34">
        <v>9877725</v>
      </c>
    </row>
    <row r="465" spans="1:11" hidden="1">
      <c r="A465" s="29" t="s">
        <v>138</v>
      </c>
      <c r="B465" s="32">
        <v>38488</v>
      </c>
      <c r="C465" s="29">
        <v>24.5</v>
      </c>
      <c r="D465" s="35">
        <v>25</v>
      </c>
      <c r="E465" s="35">
        <v>24.25</v>
      </c>
      <c r="F465" s="33">
        <v>24.5</v>
      </c>
      <c r="G465" s="29">
        <v>0</v>
      </c>
      <c r="H465" s="29">
        <v>0</v>
      </c>
      <c r="I465" s="35">
        <v>24.5</v>
      </c>
      <c r="J465" s="34">
        <v>8400</v>
      </c>
      <c r="K465" s="34">
        <v>206500</v>
      </c>
    </row>
    <row r="466" spans="1:11" hidden="1">
      <c r="A466" s="29" t="s">
        <v>138</v>
      </c>
      <c r="B466" s="32">
        <v>38489</v>
      </c>
      <c r="C466" s="29">
        <v>24.5</v>
      </c>
      <c r="D466" s="35">
        <v>24.5</v>
      </c>
      <c r="E466" s="35">
        <v>24.5</v>
      </c>
      <c r="F466" s="33">
        <v>24.5</v>
      </c>
      <c r="G466" s="29">
        <v>0</v>
      </c>
      <c r="H466" s="29">
        <v>0</v>
      </c>
      <c r="I466" s="35">
        <v>24.5</v>
      </c>
      <c r="J466" s="34">
        <v>111600</v>
      </c>
      <c r="K466" s="34">
        <v>2746200</v>
      </c>
    </row>
    <row r="467" spans="1:11" hidden="1">
      <c r="A467" s="29" t="s">
        <v>138</v>
      </c>
      <c r="B467" s="32">
        <v>38490</v>
      </c>
      <c r="C467" s="29">
        <v>24.5</v>
      </c>
      <c r="D467" s="35">
        <v>24.5</v>
      </c>
      <c r="E467" s="35">
        <v>24</v>
      </c>
      <c r="F467" s="33">
        <v>24</v>
      </c>
      <c r="G467" s="29">
        <v>0</v>
      </c>
      <c r="H467" s="29">
        <v>-0.5</v>
      </c>
      <c r="I467" s="35">
        <v>24.5</v>
      </c>
      <c r="J467" s="34">
        <v>38800</v>
      </c>
      <c r="K467" s="34">
        <v>933975</v>
      </c>
    </row>
    <row r="468" spans="1:11" hidden="1">
      <c r="A468" s="29" t="s">
        <v>138</v>
      </c>
      <c r="B468" s="32">
        <v>38491</v>
      </c>
      <c r="C468" s="29">
        <v>24</v>
      </c>
      <c r="D468" s="35">
        <v>24.5</v>
      </c>
      <c r="E468" s="35">
        <v>24</v>
      </c>
      <c r="F468" s="33">
        <v>24.5</v>
      </c>
      <c r="G468" s="29">
        <v>0</v>
      </c>
      <c r="H468" s="29">
        <v>0.5</v>
      </c>
      <c r="I468" s="35">
        <v>24</v>
      </c>
      <c r="J468" s="34">
        <v>46800</v>
      </c>
      <c r="K468" s="34">
        <v>1144725</v>
      </c>
    </row>
    <row r="469" spans="1:11" hidden="1">
      <c r="A469" s="29" t="s">
        <v>138</v>
      </c>
      <c r="B469" s="32">
        <v>38492</v>
      </c>
      <c r="C469" s="29">
        <v>24.5</v>
      </c>
      <c r="D469" s="35">
        <v>24.5</v>
      </c>
      <c r="E469" s="35">
        <v>24.5</v>
      </c>
      <c r="F469" s="33">
        <v>24.5</v>
      </c>
      <c r="G469" s="29">
        <v>0</v>
      </c>
      <c r="H469" s="29">
        <v>0</v>
      </c>
      <c r="I469" s="35">
        <v>24.5</v>
      </c>
      <c r="J469" s="34">
        <v>3600</v>
      </c>
      <c r="K469" s="34">
        <v>88200</v>
      </c>
    </row>
    <row r="470" spans="1:11" hidden="1">
      <c r="A470" s="29" t="s">
        <v>138</v>
      </c>
      <c r="B470" s="32">
        <v>38497</v>
      </c>
      <c r="C470" s="29">
        <v>24.25</v>
      </c>
      <c r="D470" s="35">
        <v>24.25</v>
      </c>
      <c r="E470" s="35">
        <v>23.75</v>
      </c>
      <c r="F470" s="33">
        <v>23.75</v>
      </c>
      <c r="G470" s="29">
        <v>0</v>
      </c>
      <c r="H470" s="29">
        <v>-0.75</v>
      </c>
      <c r="I470" s="35">
        <v>24.5</v>
      </c>
      <c r="J470" s="34">
        <v>10000</v>
      </c>
      <c r="K470" s="34">
        <v>239550</v>
      </c>
    </row>
    <row r="471" spans="1:11" hidden="1">
      <c r="A471" s="29" t="s">
        <v>138</v>
      </c>
      <c r="B471" s="32">
        <v>38498</v>
      </c>
      <c r="C471" s="29">
        <v>24</v>
      </c>
      <c r="D471" s="35">
        <v>24.25</v>
      </c>
      <c r="E471" s="35">
        <v>24</v>
      </c>
      <c r="F471" s="33">
        <v>24.25</v>
      </c>
      <c r="G471" s="29">
        <v>0</v>
      </c>
      <c r="H471" s="29">
        <v>0.5</v>
      </c>
      <c r="I471" s="35">
        <v>23.75</v>
      </c>
      <c r="J471" s="34">
        <v>61200</v>
      </c>
      <c r="K471" s="34">
        <v>1473800</v>
      </c>
    </row>
    <row r="472" spans="1:11" hidden="1">
      <c r="A472" s="29" t="s">
        <v>138</v>
      </c>
      <c r="B472" s="32">
        <v>38499</v>
      </c>
      <c r="C472" s="29">
        <v>24.25</v>
      </c>
      <c r="D472" s="35">
        <v>24.25</v>
      </c>
      <c r="E472" s="35">
        <v>23.75</v>
      </c>
      <c r="F472" s="33">
        <v>23.75</v>
      </c>
      <c r="G472" s="29">
        <v>0</v>
      </c>
      <c r="H472" s="29">
        <v>-0.5</v>
      </c>
      <c r="I472" s="35">
        <v>24.25</v>
      </c>
      <c r="J472" s="34">
        <v>108400</v>
      </c>
      <c r="K472" s="34">
        <v>2584400</v>
      </c>
    </row>
    <row r="473" spans="1:11" hidden="1">
      <c r="A473" s="29" t="s">
        <v>138</v>
      </c>
      <c r="B473" s="32">
        <v>38502</v>
      </c>
      <c r="C473" s="29">
        <v>23.75</v>
      </c>
      <c r="D473" s="35">
        <v>23.75</v>
      </c>
      <c r="E473" s="35">
        <v>23</v>
      </c>
      <c r="F473" s="33">
        <v>23</v>
      </c>
      <c r="G473" s="29">
        <v>0</v>
      </c>
      <c r="H473" s="29">
        <v>-0.75</v>
      </c>
      <c r="I473" s="35">
        <v>23.75</v>
      </c>
      <c r="J473" s="34">
        <v>227200</v>
      </c>
      <c r="K473" s="34">
        <v>5303450</v>
      </c>
    </row>
    <row r="474" spans="1:11" hidden="1">
      <c r="A474" s="29" t="s">
        <v>138</v>
      </c>
      <c r="B474" s="32">
        <v>38503</v>
      </c>
      <c r="C474" s="29">
        <v>23.5</v>
      </c>
      <c r="D474" s="35">
        <v>23.5</v>
      </c>
      <c r="E474" s="35">
        <v>23</v>
      </c>
      <c r="F474" s="33">
        <v>23</v>
      </c>
      <c r="G474" s="29">
        <v>0</v>
      </c>
      <c r="H474" s="29">
        <v>0</v>
      </c>
      <c r="I474" s="35">
        <v>23</v>
      </c>
      <c r="J474" s="34">
        <v>26000</v>
      </c>
      <c r="K474" s="34">
        <v>605975</v>
      </c>
    </row>
    <row r="475" spans="1:11" hidden="1">
      <c r="A475" s="29" t="s">
        <v>138</v>
      </c>
      <c r="B475" s="32">
        <v>38504</v>
      </c>
      <c r="C475" s="29">
        <v>23.5</v>
      </c>
      <c r="D475" s="35">
        <v>23.5</v>
      </c>
      <c r="E475" s="35">
        <v>22.5</v>
      </c>
      <c r="F475" s="33">
        <v>22.5</v>
      </c>
      <c r="G475" s="29">
        <v>0</v>
      </c>
      <c r="H475" s="29">
        <v>-0.5</v>
      </c>
      <c r="I475" s="35">
        <v>23</v>
      </c>
      <c r="J475" s="34">
        <v>227600</v>
      </c>
      <c r="K475" s="34">
        <v>5174350</v>
      </c>
    </row>
    <row r="476" spans="1:11" hidden="1">
      <c r="A476" s="29" t="s">
        <v>138</v>
      </c>
      <c r="B476" s="32">
        <v>38505</v>
      </c>
      <c r="C476" s="29">
        <v>23.5</v>
      </c>
      <c r="D476" s="35">
        <v>23.5</v>
      </c>
      <c r="E476" s="35">
        <v>23.5</v>
      </c>
      <c r="F476" s="33">
        <v>23.5</v>
      </c>
      <c r="G476" s="29">
        <v>0</v>
      </c>
      <c r="H476" s="29">
        <v>1</v>
      </c>
      <c r="I476" s="35">
        <v>22.5</v>
      </c>
      <c r="J476" s="34">
        <v>2400</v>
      </c>
      <c r="K476" s="34">
        <v>56400</v>
      </c>
    </row>
    <row r="477" spans="1:11" hidden="1">
      <c r="A477" s="29" t="s">
        <v>138</v>
      </c>
      <c r="B477" s="32">
        <v>38506</v>
      </c>
      <c r="C477" s="29">
        <v>23.25</v>
      </c>
      <c r="D477" s="35">
        <v>23.25</v>
      </c>
      <c r="E477" s="35">
        <v>23.25</v>
      </c>
      <c r="F477" s="33">
        <v>23.25</v>
      </c>
      <c r="G477" s="29">
        <v>0</v>
      </c>
      <c r="H477" s="29">
        <v>-0.25</v>
      </c>
      <c r="I477" s="35">
        <v>23.5</v>
      </c>
      <c r="J477" s="34">
        <v>4000</v>
      </c>
      <c r="K477" s="34">
        <v>93750</v>
      </c>
    </row>
    <row r="478" spans="1:11" hidden="1">
      <c r="A478" s="29" t="s">
        <v>138</v>
      </c>
      <c r="B478" s="32">
        <v>38509</v>
      </c>
      <c r="C478" s="29">
        <v>22.75</v>
      </c>
      <c r="D478" s="35">
        <v>22.75</v>
      </c>
      <c r="E478" s="35">
        <v>22.25</v>
      </c>
      <c r="F478" s="33">
        <v>22.25</v>
      </c>
      <c r="G478" s="29">
        <v>0</v>
      </c>
      <c r="H478" s="29">
        <v>-1</v>
      </c>
      <c r="I478" s="35">
        <v>23.25</v>
      </c>
      <c r="J478" s="34">
        <v>312400</v>
      </c>
      <c r="K478" s="34">
        <v>7069675</v>
      </c>
    </row>
    <row r="479" spans="1:11" hidden="1">
      <c r="A479" s="29" t="s">
        <v>138</v>
      </c>
      <c r="B479" s="32">
        <v>38510</v>
      </c>
      <c r="C479" s="29">
        <v>22.5</v>
      </c>
      <c r="D479" s="35">
        <v>22.5</v>
      </c>
      <c r="E479" s="35">
        <v>22</v>
      </c>
      <c r="F479" s="33">
        <v>22</v>
      </c>
      <c r="G479" s="29">
        <v>0</v>
      </c>
      <c r="H479" s="29">
        <v>-0.25</v>
      </c>
      <c r="I479" s="35">
        <v>22.25</v>
      </c>
      <c r="J479" s="34">
        <v>176800</v>
      </c>
      <c r="K479" s="34">
        <v>3897350</v>
      </c>
    </row>
    <row r="480" spans="1:11" hidden="1">
      <c r="A480" s="29" t="s">
        <v>138</v>
      </c>
      <c r="B480" s="32">
        <v>38511</v>
      </c>
      <c r="C480" s="29">
        <v>22.25</v>
      </c>
      <c r="D480" s="35">
        <v>22.75</v>
      </c>
      <c r="E480" s="35">
        <v>22.25</v>
      </c>
      <c r="F480" s="33">
        <v>22.5</v>
      </c>
      <c r="G480" s="29">
        <v>0</v>
      </c>
      <c r="H480" s="29">
        <v>0.5</v>
      </c>
      <c r="I480" s="35">
        <v>22</v>
      </c>
      <c r="J480" s="34">
        <v>80400</v>
      </c>
      <c r="K480" s="34">
        <v>1810700</v>
      </c>
    </row>
    <row r="481" spans="1:11" hidden="1">
      <c r="A481" s="29" t="s">
        <v>138</v>
      </c>
      <c r="B481" s="32">
        <v>38512</v>
      </c>
      <c r="C481" s="29">
        <v>22.25</v>
      </c>
      <c r="D481" s="35">
        <v>22.5</v>
      </c>
      <c r="E481" s="35">
        <v>22</v>
      </c>
      <c r="F481" s="33">
        <v>22</v>
      </c>
      <c r="G481" s="29">
        <v>0</v>
      </c>
      <c r="H481" s="29">
        <v>-0.5</v>
      </c>
      <c r="I481" s="35">
        <v>22.5</v>
      </c>
      <c r="J481" s="34">
        <v>29200</v>
      </c>
      <c r="K481" s="34">
        <v>644750</v>
      </c>
    </row>
    <row r="482" spans="1:11" hidden="1">
      <c r="A482" s="29" t="s">
        <v>138</v>
      </c>
      <c r="B482" s="32">
        <v>38513</v>
      </c>
      <c r="C482" s="29">
        <v>22</v>
      </c>
      <c r="D482" s="35">
        <v>22</v>
      </c>
      <c r="E482" s="35">
        <v>21.75</v>
      </c>
      <c r="F482" s="33">
        <v>21.75</v>
      </c>
      <c r="G482" s="29">
        <v>0</v>
      </c>
      <c r="H482" s="29">
        <v>-0.25</v>
      </c>
      <c r="I482" s="35">
        <v>22</v>
      </c>
      <c r="J482" s="34">
        <v>61600</v>
      </c>
      <c r="K482" s="34">
        <v>1349850</v>
      </c>
    </row>
    <row r="483" spans="1:11" hidden="1">
      <c r="A483" s="29" t="s">
        <v>138</v>
      </c>
      <c r="B483" s="32">
        <v>38516</v>
      </c>
      <c r="C483" s="29">
        <v>22.25</v>
      </c>
      <c r="D483" s="35">
        <v>22.5</v>
      </c>
      <c r="E483" s="35">
        <v>22</v>
      </c>
      <c r="F483" s="33">
        <v>22.25</v>
      </c>
      <c r="G483" s="29">
        <v>0</v>
      </c>
      <c r="H483" s="29">
        <v>0.5</v>
      </c>
      <c r="I483" s="35">
        <v>21.75</v>
      </c>
      <c r="J483" s="34">
        <v>19600</v>
      </c>
      <c r="K483" s="34">
        <v>437850</v>
      </c>
    </row>
    <row r="484" spans="1:11" hidden="1">
      <c r="A484" s="29" t="s">
        <v>138</v>
      </c>
      <c r="B484" s="32">
        <v>38517</v>
      </c>
      <c r="C484" s="29">
        <v>22.5</v>
      </c>
      <c r="D484" s="35">
        <v>22.75</v>
      </c>
      <c r="E484" s="35">
        <v>22.5</v>
      </c>
      <c r="F484" s="33">
        <v>22.5</v>
      </c>
      <c r="G484" s="29">
        <v>0</v>
      </c>
      <c r="H484" s="29">
        <v>0.25</v>
      </c>
      <c r="I484" s="35">
        <v>22.25</v>
      </c>
      <c r="J484" s="34">
        <v>36400</v>
      </c>
      <c r="K484" s="34">
        <v>819900</v>
      </c>
    </row>
    <row r="485" spans="1:11" hidden="1">
      <c r="A485" s="29" t="s">
        <v>138</v>
      </c>
      <c r="B485" s="32">
        <v>38518</v>
      </c>
      <c r="C485" s="29">
        <v>22.5</v>
      </c>
      <c r="D485" s="35">
        <v>22.5</v>
      </c>
      <c r="E485" s="35">
        <v>22</v>
      </c>
      <c r="F485" s="33">
        <v>22.25</v>
      </c>
      <c r="G485" s="29">
        <v>0</v>
      </c>
      <c r="H485" s="29">
        <v>-0.25</v>
      </c>
      <c r="I485" s="35">
        <v>22.5</v>
      </c>
      <c r="J485" s="34">
        <v>4800</v>
      </c>
      <c r="K485" s="34">
        <v>107750</v>
      </c>
    </row>
    <row r="486" spans="1:11" hidden="1">
      <c r="A486" s="29" t="s">
        <v>138</v>
      </c>
      <c r="B486" s="32">
        <v>38519</v>
      </c>
      <c r="C486" s="29">
        <v>22.25</v>
      </c>
      <c r="D486" s="35">
        <v>22.5</v>
      </c>
      <c r="E486" s="35">
        <v>22.25</v>
      </c>
      <c r="F486" s="33">
        <v>22.25</v>
      </c>
      <c r="G486" s="29">
        <v>0</v>
      </c>
      <c r="H486" s="29">
        <v>0</v>
      </c>
      <c r="I486" s="35">
        <v>22.25</v>
      </c>
      <c r="J486" s="34">
        <v>8000</v>
      </c>
      <c r="K486" s="34">
        <v>178425</v>
      </c>
    </row>
    <row r="487" spans="1:11" hidden="1">
      <c r="A487" s="29" t="s">
        <v>138</v>
      </c>
      <c r="B487" s="32">
        <v>38520</v>
      </c>
      <c r="C487" s="29">
        <v>22.25</v>
      </c>
      <c r="D487" s="35">
        <v>22.75</v>
      </c>
      <c r="E487" s="35">
        <v>22.25</v>
      </c>
      <c r="F487" s="33">
        <v>22.5</v>
      </c>
      <c r="G487" s="29">
        <v>0</v>
      </c>
      <c r="H487" s="29">
        <v>0.25</v>
      </c>
      <c r="I487" s="35">
        <v>22.25</v>
      </c>
      <c r="J487" s="34">
        <v>18000</v>
      </c>
      <c r="K487" s="34">
        <v>406225</v>
      </c>
    </row>
    <row r="488" spans="1:11" hidden="1">
      <c r="A488" s="29" t="s">
        <v>138</v>
      </c>
      <c r="B488" s="32">
        <v>38523</v>
      </c>
      <c r="C488" s="29">
        <v>22.5</v>
      </c>
      <c r="D488" s="35">
        <v>22.75</v>
      </c>
      <c r="E488" s="35">
        <v>22.25</v>
      </c>
      <c r="F488" s="33">
        <v>22.75</v>
      </c>
      <c r="G488" s="29">
        <v>0</v>
      </c>
      <c r="H488" s="29">
        <v>0.25</v>
      </c>
      <c r="I488" s="35">
        <v>22.5</v>
      </c>
      <c r="J488" s="34">
        <v>25600</v>
      </c>
      <c r="K488" s="34">
        <v>578500</v>
      </c>
    </row>
    <row r="489" spans="1:11" hidden="1">
      <c r="A489" s="29" t="s">
        <v>138</v>
      </c>
      <c r="B489" s="32">
        <v>38525</v>
      </c>
      <c r="C489" s="29">
        <v>22.75</v>
      </c>
      <c r="D489" s="35">
        <v>22.75</v>
      </c>
      <c r="E489" s="35">
        <v>22.75</v>
      </c>
      <c r="F489" s="33">
        <v>22.75</v>
      </c>
      <c r="G489" s="29">
        <v>0</v>
      </c>
      <c r="H489" s="29">
        <v>0</v>
      </c>
      <c r="I489" s="35">
        <v>22.75</v>
      </c>
      <c r="J489" s="34">
        <v>4000</v>
      </c>
      <c r="K489" s="34">
        <v>91500</v>
      </c>
    </row>
    <row r="490" spans="1:11" hidden="1">
      <c r="A490" s="29" t="s">
        <v>138</v>
      </c>
      <c r="B490" s="32">
        <v>38526</v>
      </c>
      <c r="C490" s="29">
        <v>22.75</v>
      </c>
      <c r="D490" s="35">
        <v>22.75</v>
      </c>
      <c r="E490" s="35">
        <v>22.5</v>
      </c>
      <c r="F490" s="33">
        <v>22.75</v>
      </c>
      <c r="G490" s="29">
        <v>0</v>
      </c>
      <c r="H490" s="29">
        <v>0</v>
      </c>
      <c r="I490" s="35">
        <v>22.75</v>
      </c>
      <c r="J490" s="34">
        <v>228400</v>
      </c>
      <c r="K490" s="34">
        <v>5192250</v>
      </c>
    </row>
    <row r="491" spans="1:11" hidden="1">
      <c r="A491" s="29" t="s">
        <v>138</v>
      </c>
      <c r="B491" s="32">
        <v>38527</v>
      </c>
      <c r="C491" s="29">
        <v>22.75</v>
      </c>
      <c r="D491" s="35">
        <v>23</v>
      </c>
      <c r="E491" s="35">
        <v>22.75</v>
      </c>
      <c r="F491" s="33">
        <v>22.75</v>
      </c>
      <c r="G491" s="29">
        <v>0</v>
      </c>
      <c r="H491" s="29">
        <v>0</v>
      </c>
      <c r="I491" s="35">
        <v>22.75</v>
      </c>
      <c r="J491" s="34">
        <v>28400</v>
      </c>
      <c r="K491" s="34">
        <v>652100</v>
      </c>
    </row>
    <row r="492" spans="1:11" hidden="1">
      <c r="A492" s="29" t="s">
        <v>138</v>
      </c>
      <c r="B492" s="32">
        <v>38530</v>
      </c>
      <c r="C492" s="29">
        <v>23.25</v>
      </c>
      <c r="D492" s="35">
        <v>23.25</v>
      </c>
      <c r="E492" s="35">
        <v>23</v>
      </c>
      <c r="F492" s="33">
        <v>23</v>
      </c>
      <c r="G492" s="29">
        <v>0</v>
      </c>
      <c r="H492" s="29">
        <v>0.25</v>
      </c>
      <c r="I492" s="35">
        <v>22.75</v>
      </c>
      <c r="J492" s="34">
        <v>374800</v>
      </c>
      <c r="K492" s="34">
        <v>8635675</v>
      </c>
    </row>
    <row r="493" spans="1:11" hidden="1">
      <c r="A493" s="29" t="s">
        <v>138</v>
      </c>
      <c r="B493" s="32">
        <v>38531</v>
      </c>
      <c r="C493" s="29">
        <v>22.75</v>
      </c>
      <c r="D493" s="35">
        <v>22.75</v>
      </c>
      <c r="E493" s="35">
        <v>22.5</v>
      </c>
      <c r="F493" s="33">
        <v>22.5</v>
      </c>
      <c r="G493" s="29">
        <v>0</v>
      </c>
      <c r="H493" s="29">
        <v>-0.5</v>
      </c>
      <c r="I493" s="35">
        <v>23</v>
      </c>
      <c r="J493" s="34">
        <v>59200</v>
      </c>
      <c r="K493" s="34">
        <v>1339550</v>
      </c>
    </row>
    <row r="494" spans="1:11" hidden="1">
      <c r="A494" s="29" t="s">
        <v>138</v>
      </c>
      <c r="B494" s="32">
        <v>38532</v>
      </c>
      <c r="C494" s="29">
        <v>22.75</v>
      </c>
      <c r="D494" s="35">
        <v>22.75</v>
      </c>
      <c r="E494" s="35">
        <v>22.75</v>
      </c>
      <c r="F494" s="33">
        <v>22.75</v>
      </c>
      <c r="G494" s="29">
        <v>0</v>
      </c>
      <c r="H494" s="29">
        <v>0.25</v>
      </c>
      <c r="I494" s="35">
        <v>22.5</v>
      </c>
      <c r="J494" s="34">
        <v>800</v>
      </c>
      <c r="K494" s="34">
        <v>18200</v>
      </c>
    </row>
    <row r="495" spans="1:11" hidden="1">
      <c r="A495" s="29" t="s">
        <v>138</v>
      </c>
      <c r="B495" s="32">
        <v>38533</v>
      </c>
      <c r="C495" s="29">
        <v>22.5</v>
      </c>
      <c r="D495" s="35">
        <v>22.5</v>
      </c>
      <c r="E495" s="35">
        <v>22.5</v>
      </c>
      <c r="F495" s="33">
        <v>22.5</v>
      </c>
      <c r="G495" s="29">
        <v>0</v>
      </c>
      <c r="H495" s="29">
        <v>-0.25</v>
      </c>
      <c r="I495" s="35">
        <v>22.75</v>
      </c>
      <c r="J495" s="34">
        <v>14800</v>
      </c>
      <c r="K495" s="34">
        <v>333000</v>
      </c>
    </row>
    <row r="496" spans="1:11" hidden="1">
      <c r="A496" s="29" t="s">
        <v>138</v>
      </c>
      <c r="B496" s="32">
        <v>38534</v>
      </c>
      <c r="C496" s="29">
        <v>22.5</v>
      </c>
      <c r="D496" s="35">
        <v>22.5</v>
      </c>
      <c r="E496" s="35">
        <v>22.5</v>
      </c>
      <c r="F496" s="33">
        <v>22.5</v>
      </c>
      <c r="G496" s="29">
        <v>0</v>
      </c>
      <c r="H496" s="29">
        <v>0</v>
      </c>
      <c r="I496" s="35">
        <v>22.5</v>
      </c>
      <c r="J496" s="34">
        <v>4400</v>
      </c>
      <c r="K496" s="34">
        <v>99000</v>
      </c>
    </row>
    <row r="497" spans="1:11" hidden="1">
      <c r="A497" s="29" t="s">
        <v>138</v>
      </c>
      <c r="B497" s="32">
        <v>38537</v>
      </c>
      <c r="C497" s="29">
        <v>22.5</v>
      </c>
      <c r="D497" s="35">
        <v>22.5</v>
      </c>
      <c r="E497" s="35">
        <v>22.5</v>
      </c>
      <c r="F497" s="33">
        <v>22.5</v>
      </c>
      <c r="G497" s="29">
        <v>0</v>
      </c>
      <c r="H497" s="29">
        <v>0</v>
      </c>
      <c r="I497" s="35">
        <v>22.5</v>
      </c>
      <c r="J497" s="34">
        <v>11600</v>
      </c>
      <c r="K497" s="34">
        <v>262225</v>
      </c>
    </row>
    <row r="498" spans="1:11" hidden="1">
      <c r="A498" s="29" t="s">
        <v>138</v>
      </c>
      <c r="B498" s="32">
        <v>38538</v>
      </c>
      <c r="C498" s="29">
        <v>22.75</v>
      </c>
      <c r="D498" s="35">
        <v>22.75</v>
      </c>
      <c r="E498" s="35">
        <v>22.5</v>
      </c>
      <c r="F498" s="33">
        <v>22.5</v>
      </c>
      <c r="G498" s="29">
        <v>0</v>
      </c>
      <c r="H498" s="29">
        <v>0</v>
      </c>
      <c r="I498" s="35">
        <v>22.5</v>
      </c>
      <c r="J498" s="34">
        <v>46000</v>
      </c>
      <c r="K498" s="34">
        <v>1038225</v>
      </c>
    </row>
    <row r="499" spans="1:11" hidden="1">
      <c r="A499" s="29" t="s">
        <v>138</v>
      </c>
      <c r="B499" s="32">
        <v>38539</v>
      </c>
      <c r="C499" s="29">
        <v>22.5</v>
      </c>
      <c r="D499" s="35">
        <v>22.5</v>
      </c>
      <c r="E499" s="35">
        <v>22.5</v>
      </c>
      <c r="F499" s="33">
        <v>22.5</v>
      </c>
      <c r="G499" s="29">
        <v>0</v>
      </c>
      <c r="H499" s="29">
        <v>0</v>
      </c>
      <c r="I499" s="35">
        <v>22.5</v>
      </c>
      <c r="J499" s="34">
        <v>95200</v>
      </c>
      <c r="K499" s="34">
        <v>2153900</v>
      </c>
    </row>
    <row r="500" spans="1:11" hidden="1">
      <c r="A500" s="29" t="s">
        <v>138</v>
      </c>
      <c r="B500" s="32">
        <v>38540</v>
      </c>
      <c r="C500" s="29">
        <v>22.75</v>
      </c>
      <c r="D500" s="35">
        <v>23.25</v>
      </c>
      <c r="E500" s="35">
        <v>22.75</v>
      </c>
      <c r="F500" s="33">
        <v>22.75</v>
      </c>
      <c r="G500" s="29">
        <v>0</v>
      </c>
      <c r="H500" s="29">
        <v>0.25</v>
      </c>
      <c r="I500" s="35">
        <v>22.5</v>
      </c>
      <c r="J500" s="34">
        <v>96400</v>
      </c>
      <c r="K500" s="34">
        <v>2217350</v>
      </c>
    </row>
    <row r="501" spans="1:11" hidden="1">
      <c r="A501" s="29" t="s">
        <v>138</v>
      </c>
      <c r="B501" s="32">
        <v>38541</v>
      </c>
      <c r="C501" s="29">
        <v>23</v>
      </c>
      <c r="D501" s="35">
        <v>23</v>
      </c>
      <c r="E501" s="35">
        <v>23</v>
      </c>
      <c r="F501" s="33">
        <v>23</v>
      </c>
      <c r="G501" s="29">
        <v>0</v>
      </c>
      <c r="H501" s="29">
        <v>0.25</v>
      </c>
      <c r="I501" s="35">
        <v>22.75</v>
      </c>
      <c r="J501" s="34">
        <v>114800</v>
      </c>
      <c r="K501" s="34">
        <v>2659225</v>
      </c>
    </row>
    <row r="502" spans="1:11" hidden="1">
      <c r="A502" s="29" t="s">
        <v>138</v>
      </c>
      <c r="B502" s="32">
        <v>38544</v>
      </c>
      <c r="C502" s="29">
        <v>22.75</v>
      </c>
      <c r="D502" s="35">
        <v>22.75</v>
      </c>
      <c r="E502" s="35">
        <v>22.75</v>
      </c>
      <c r="F502" s="33">
        <v>22.75</v>
      </c>
      <c r="G502" s="29">
        <v>0</v>
      </c>
      <c r="H502" s="29">
        <v>-0.25</v>
      </c>
      <c r="I502" s="35">
        <v>23</v>
      </c>
      <c r="J502" s="34">
        <v>5200</v>
      </c>
      <c r="K502" s="34">
        <v>118300</v>
      </c>
    </row>
    <row r="503" spans="1:11" hidden="1">
      <c r="A503" s="29" t="s">
        <v>138</v>
      </c>
      <c r="B503" s="32">
        <v>38545</v>
      </c>
      <c r="C503" s="29">
        <v>22.75</v>
      </c>
      <c r="D503" s="35">
        <v>22.75</v>
      </c>
      <c r="E503" s="35">
        <v>22.75</v>
      </c>
      <c r="F503" s="33">
        <v>22.75</v>
      </c>
      <c r="G503" s="29">
        <v>0</v>
      </c>
      <c r="H503" s="29">
        <v>0</v>
      </c>
      <c r="I503" s="35">
        <v>22.75</v>
      </c>
      <c r="J503" s="34">
        <v>18800</v>
      </c>
      <c r="K503" s="34">
        <v>430050</v>
      </c>
    </row>
    <row r="504" spans="1:11" hidden="1">
      <c r="A504" s="29" t="s">
        <v>138</v>
      </c>
      <c r="B504" s="32">
        <v>38546</v>
      </c>
      <c r="C504" s="29">
        <v>22.75</v>
      </c>
      <c r="D504" s="35">
        <v>22.75</v>
      </c>
      <c r="E504" s="35">
        <v>22.75</v>
      </c>
      <c r="F504" s="33">
        <v>22.75</v>
      </c>
      <c r="G504" s="29">
        <v>0</v>
      </c>
      <c r="H504" s="29">
        <v>0</v>
      </c>
      <c r="I504" s="35">
        <v>22.75</v>
      </c>
      <c r="J504" s="34">
        <v>4400</v>
      </c>
      <c r="K504" s="34">
        <v>100650</v>
      </c>
    </row>
    <row r="505" spans="1:11" hidden="1">
      <c r="A505" s="29" t="s">
        <v>138</v>
      </c>
      <c r="B505" s="32">
        <v>38547</v>
      </c>
      <c r="C505" s="29">
        <v>22.75</v>
      </c>
      <c r="D505" s="35">
        <v>22.75</v>
      </c>
      <c r="E505" s="35">
        <v>22</v>
      </c>
      <c r="F505" s="33">
        <v>22.25</v>
      </c>
      <c r="G505" s="29">
        <v>0</v>
      </c>
      <c r="H505" s="29">
        <v>-0.5</v>
      </c>
      <c r="I505" s="35">
        <v>22.75</v>
      </c>
      <c r="J505" s="34">
        <v>146800</v>
      </c>
      <c r="K505" s="34">
        <v>3355550</v>
      </c>
    </row>
    <row r="506" spans="1:11" hidden="1">
      <c r="A506" s="29" t="s">
        <v>138</v>
      </c>
      <c r="B506" s="32">
        <v>38548</v>
      </c>
      <c r="C506" s="29">
        <v>22.5</v>
      </c>
      <c r="D506" s="35">
        <v>22.5</v>
      </c>
      <c r="E506" s="35">
        <v>22.5</v>
      </c>
      <c r="F506" s="33">
        <v>22.5</v>
      </c>
      <c r="G506" s="29">
        <v>0</v>
      </c>
      <c r="H506" s="29">
        <v>0.25</v>
      </c>
      <c r="I506" s="35">
        <v>22.25</v>
      </c>
      <c r="J506" s="34">
        <v>400</v>
      </c>
      <c r="K506" s="34">
        <v>9000</v>
      </c>
    </row>
    <row r="507" spans="1:11" hidden="1">
      <c r="A507" s="29" t="s">
        <v>138</v>
      </c>
      <c r="B507" s="32">
        <v>38551</v>
      </c>
      <c r="C507" s="29">
        <v>22.25</v>
      </c>
      <c r="D507" s="35">
        <v>22.75</v>
      </c>
      <c r="E507" s="35">
        <v>22.25</v>
      </c>
      <c r="F507" s="33">
        <v>22.25</v>
      </c>
      <c r="G507" s="29">
        <v>0</v>
      </c>
      <c r="H507" s="29">
        <v>-0.25</v>
      </c>
      <c r="I507" s="35">
        <v>22.5</v>
      </c>
      <c r="J507" s="34">
        <v>31600</v>
      </c>
      <c r="K507" s="34">
        <v>707650</v>
      </c>
    </row>
    <row r="508" spans="1:11" hidden="1">
      <c r="A508" s="29" t="s">
        <v>138</v>
      </c>
      <c r="B508" s="32">
        <v>38552</v>
      </c>
      <c r="C508" s="29">
        <v>22.5</v>
      </c>
      <c r="D508" s="35">
        <v>22.75</v>
      </c>
      <c r="E508" s="35">
        <v>22.25</v>
      </c>
      <c r="F508" s="33">
        <v>22.25</v>
      </c>
      <c r="G508" s="29">
        <v>0</v>
      </c>
      <c r="H508" s="29">
        <v>0</v>
      </c>
      <c r="I508" s="35">
        <v>22.25</v>
      </c>
      <c r="J508" s="34">
        <v>51200</v>
      </c>
      <c r="K508" s="34">
        <v>1147700</v>
      </c>
    </row>
    <row r="509" spans="1:11" hidden="1">
      <c r="A509" s="29" t="s">
        <v>138</v>
      </c>
      <c r="B509" s="32">
        <v>38553</v>
      </c>
      <c r="C509" s="29">
        <v>22.5</v>
      </c>
      <c r="D509" s="35">
        <v>22.5</v>
      </c>
      <c r="E509" s="35">
        <v>22.25</v>
      </c>
      <c r="F509" s="33">
        <v>22.5</v>
      </c>
      <c r="G509" s="29">
        <v>0</v>
      </c>
      <c r="H509" s="29">
        <v>0.25</v>
      </c>
      <c r="I509" s="35">
        <v>22.25</v>
      </c>
      <c r="J509" s="34">
        <v>20400</v>
      </c>
      <c r="K509" s="34">
        <v>458975</v>
      </c>
    </row>
    <row r="510" spans="1:11" hidden="1">
      <c r="A510" s="29" t="s">
        <v>138</v>
      </c>
      <c r="B510" s="32">
        <v>38558</v>
      </c>
      <c r="C510" s="29">
        <v>22.25</v>
      </c>
      <c r="D510" s="35">
        <v>22.25</v>
      </c>
      <c r="E510" s="35">
        <v>22.25</v>
      </c>
      <c r="F510" s="33">
        <v>22.25</v>
      </c>
      <c r="G510" s="29">
        <v>0</v>
      </c>
      <c r="H510" s="29">
        <v>-0.25</v>
      </c>
      <c r="I510" s="35">
        <v>22.5</v>
      </c>
      <c r="J510" s="34">
        <v>60400</v>
      </c>
      <c r="K510" s="34">
        <v>1347700</v>
      </c>
    </row>
    <row r="511" spans="1:11" hidden="1">
      <c r="A511" s="29" t="s">
        <v>138</v>
      </c>
      <c r="B511" s="32">
        <v>38560</v>
      </c>
      <c r="C511" s="29">
        <v>22.25</v>
      </c>
      <c r="D511" s="35">
        <v>22.25</v>
      </c>
      <c r="E511" s="35">
        <v>22.25</v>
      </c>
      <c r="F511" s="33">
        <v>22.25</v>
      </c>
      <c r="G511" s="29">
        <v>0</v>
      </c>
      <c r="H511" s="29">
        <v>0</v>
      </c>
      <c r="I511" s="35">
        <v>22.25</v>
      </c>
      <c r="J511" s="34">
        <v>38000</v>
      </c>
      <c r="K511" s="34">
        <v>846300</v>
      </c>
    </row>
    <row r="512" spans="1:11" hidden="1">
      <c r="A512" s="29" t="s">
        <v>138</v>
      </c>
      <c r="B512" s="32">
        <v>38561</v>
      </c>
      <c r="C512" s="29">
        <v>22.25</v>
      </c>
      <c r="D512" s="35">
        <v>22.5</v>
      </c>
      <c r="E512" s="35">
        <v>22.25</v>
      </c>
      <c r="F512" s="33">
        <v>22.5</v>
      </c>
      <c r="G512" s="29">
        <v>0</v>
      </c>
      <c r="H512" s="29">
        <v>0.25</v>
      </c>
      <c r="I512" s="35">
        <v>22.25</v>
      </c>
      <c r="J512" s="34">
        <v>24000</v>
      </c>
      <c r="K512" s="34">
        <v>537100</v>
      </c>
    </row>
    <row r="513" spans="1:11" hidden="1">
      <c r="A513" s="29" t="s">
        <v>138</v>
      </c>
      <c r="B513" s="32">
        <v>38562</v>
      </c>
      <c r="C513" s="29">
        <v>22.25</v>
      </c>
      <c r="D513" s="35">
        <v>22.5</v>
      </c>
      <c r="E513" s="35">
        <v>22.25</v>
      </c>
      <c r="F513" s="33">
        <v>22.25</v>
      </c>
      <c r="G513" s="29">
        <v>0</v>
      </c>
      <c r="H513" s="29">
        <v>-0.25</v>
      </c>
      <c r="I513" s="35">
        <v>22.5</v>
      </c>
      <c r="J513" s="34">
        <v>95600</v>
      </c>
      <c r="K513" s="34">
        <v>2142600</v>
      </c>
    </row>
    <row r="514" spans="1:11" hidden="1">
      <c r="A514" s="29" t="s">
        <v>138</v>
      </c>
      <c r="B514" s="32">
        <v>38565</v>
      </c>
      <c r="C514" s="29">
        <v>22.75</v>
      </c>
      <c r="D514" s="35">
        <v>23.5</v>
      </c>
      <c r="E514" s="35">
        <v>22.75</v>
      </c>
      <c r="F514" s="33">
        <v>23.25</v>
      </c>
      <c r="G514" s="29">
        <v>0</v>
      </c>
      <c r="H514" s="29">
        <v>1</v>
      </c>
      <c r="I514" s="35">
        <v>22.25</v>
      </c>
      <c r="J514" s="34">
        <v>54400</v>
      </c>
      <c r="K514" s="34">
        <v>1266050</v>
      </c>
    </row>
    <row r="515" spans="1:11" hidden="1">
      <c r="A515" s="29" t="s">
        <v>138</v>
      </c>
      <c r="B515" s="32">
        <v>38567</v>
      </c>
      <c r="C515" s="29">
        <v>23</v>
      </c>
      <c r="D515" s="35">
        <v>23.5</v>
      </c>
      <c r="E515" s="35">
        <v>23</v>
      </c>
      <c r="F515" s="33">
        <v>23.5</v>
      </c>
      <c r="G515" s="29">
        <v>0</v>
      </c>
      <c r="H515" s="29">
        <v>0.25</v>
      </c>
      <c r="I515" s="35">
        <v>23.25</v>
      </c>
      <c r="J515" s="34">
        <v>108800</v>
      </c>
      <c r="K515" s="34">
        <v>2555975</v>
      </c>
    </row>
    <row r="516" spans="1:11" hidden="1">
      <c r="A516" s="29" t="s">
        <v>138</v>
      </c>
      <c r="B516" s="32">
        <v>38568</v>
      </c>
      <c r="C516" s="29">
        <v>22.75</v>
      </c>
      <c r="D516" s="35">
        <v>23.5</v>
      </c>
      <c r="E516" s="35">
        <v>22.5</v>
      </c>
      <c r="F516" s="33">
        <v>23.25</v>
      </c>
      <c r="G516" s="29">
        <v>0</v>
      </c>
      <c r="H516" s="29">
        <v>-0.25</v>
      </c>
      <c r="I516" s="35">
        <v>23.5</v>
      </c>
      <c r="J516" s="34">
        <v>106800</v>
      </c>
      <c r="K516" s="34">
        <v>2496000</v>
      </c>
    </row>
    <row r="517" spans="1:11" hidden="1">
      <c r="A517" s="29" t="s">
        <v>138</v>
      </c>
      <c r="B517" s="32">
        <v>38569</v>
      </c>
      <c r="C517" s="29">
        <v>23.25</v>
      </c>
      <c r="D517" s="35">
        <v>23.25</v>
      </c>
      <c r="E517" s="35">
        <v>22.5</v>
      </c>
      <c r="F517" s="33">
        <v>22.5</v>
      </c>
      <c r="G517" s="29">
        <v>0</v>
      </c>
      <c r="H517" s="29">
        <v>-0.75</v>
      </c>
      <c r="I517" s="35">
        <v>23.25</v>
      </c>
      <c r="J517" s="34">
        <v>113600</v>
      </c>
      <c r="K517" s="34">
        <v>2558775</v>
      </c>
    </row>
    <row r="518" spans="1:11" hidden="1">
      <c r="A518" s="29" t="s">
        <v>138</v>
      </c>
      <c r="B518" s="32">
        <v>38572</v>
      </c>
      <c r="C518" s="29">
        <v>22.5</v>
      </c>
      <c r="D518" s="35">
        <v>22.75</v>
      </c>
      <c r="E518" s="35">
        <v>22.5</v>
      </c>
      <c r="F518" s="33">
        <v>22.75</v>
      </c>
      <c r="G518" s="29">
        <v>0</v>
      </c>
      <c r="H518" s="29">
        <v>0.25</v>
      </c>
      <c r="I518" s="35">
        <v>22.5</v>
      </c>
      <c r="J518" s="34">
        <v>87200</v>
      </c>
      <c r="K518" s="34">
        <v>1982650</v>
      </c>
    </row>
    <row r="519" spans="1:11" hidden="1">
      <c r="A519" s="29" t="s">
        <v>138</v>
      </c>
      <c r="B519" s="32">
        <v>38573</v>
      </c>
      <c r="C519" s="29">
        <v>22.75</v>
      </c>
      <c r="D519" s="35">
        <v>22.75</v>
      </c>
      <c r="E519" s="35">
        <v>22.75</v>
      </c>
      <c r="F519" s="33">
        <v>22.75</v>
      </c>
      <c r="G519" s="29">
        <v>0</v>
      </c>
      <c r="H519" s="29">
        <v>0</v>
      </c>
      <c r="I519" s="35">
        <v>22.75</v>
      </c>
      <c r="J519" s="34">
        <v>28800</v>
      </c>
      <c r="K519" s="34">
        <v>655200</v>
      </c>
    </row>
    <row r="520" spans="1:11" hidden="1">
      <c r="A520" s="29" t="s">
        <v>138</v>
      </c>
      <c r="B520" s="32">
        <v>38574</v>
      </c>
      <c r="C520" s="29">
        <v>22.75</v>
      </c>
      <c r="D520" s="35">
        <v>23.25</v>
      </c>
      <c r="E520" s="35">
        <v>22.75</v>
      </c>
      <c r="F520" s="33">
        <v>22.75</v>
      </c>
      <c r="G520" s="29">
        <v>0</v>
      </c>
      <c r="H520" s="29">
        <v>0</v>
      </c>
      <c r="I520" s="35">
        <v>22.75</v>
      </c>
      <c r="J520" s="34">
        <v>1200</v>
      </c>
      <c r="K520" s="34">
        <v>27500</v>
      </c>
    </row>
    <row r="521" spans="1:11" hidden="1">
      <c r="A521" s="29" t="s">
        <v>138</v>
      </c>
      <c r="B521" s="32">
        <v>38575</v>
      </c>
      <c r="C521" s="29">
        <v>23</v>
      </c>
      <c r="D521" s="35">
        <v>23.25</v>
      </c>
      <c r="E521" s="35">
        <v>22.75</v>
      </c>
      <c r="F521" s="33">
        <v>22.75</v>
      </c>
      <c r="G521" s="29">
        <v>0</v>
      </c>
      <c r="H521" s="29">
        <v>0</v>
      </c>
      <c r="I521" s="35">
        <v>22.75</v>
      </c>
      <c r="J521" s="34">
        <v>27600</v>
      </c>
      <c r="K521" s="34">
        <v>628450</v>
      </c>
    </row>
    <row r="522" spans="1:11" hidden="1">
      <c r="A522" s="29" t="s">
        <v>138</v>
      </c>
      <c r="B522" s="32">
        <v>38576</v>
      </c>
      <c r="C522" s="29">
        <v>22.75</v>
      </c>
      <c r="D522" s="35">
        <v>23</v>
      </c>
      <c r="E522" s="35">
        <v>22.75</v>
      </c>
      <c r="F522" s="33">
        <v>22.75</v>
      </c>
      <c r="G522" s="29">
        <v>0</v>
      </c>
      <c r="H522" s="29">
        <v>0</v>
      </c>
      <c r="I522" s="35">
        <v>22.75</v>
      </c>
      <c r="J522" s="34">
        <v>10800</v>
      </c>
      <c r="K522" s="34">
        <v>246300</v>
      </c>
    </row>
    <row r="523" spans="1:11" hidden="1">
      <c r="A523" s="29" t="s">
        <v>138</v>
      </c>
      <c r="B523" s="32">
        <v>38579</v>
      </c>
      <c r="C523" s="29">
        <v>22.5</v>
      </c>
      <c r="D523" s="35">
        <v>22.75</v>
      </c>
      <c r="E523" s="35">
        <v>22.25</v>
      </c>
      <c r="F523" s="33">
        <v>22.75</v>
      </c>
      <c r="G523" s="29">
        <v>0</v>
      </c>
      <c r="H523" s="29">
        <v>0</v>
      </c>
      <c r="I523" s="35">
        <v>22.75</v>
      </c>
      <c r="J523" s="34">
        <v>83600</v>
      </c>
      <c r="K523" s="34">
        <v>1901500</v>
      </c>
    </row>
    <row r="524" spans="1:11" hidden="1">
      <c r="A524" s="29" t="s">
        <v>138</v>
      </c>
      <c r="B524" s="32">
        <v>38580</v>
      </c>
      <c r="C524" s="29">
        <v>22.75</v>
      </c>
      <c r="D524" s="35">
        <v>22.75</v>
      </c>
      <c r="E524" s="35">
        <v>22.75</v>
      </c>
      <c r="F524" s="33">
        <v>22.75</v>
      </c>
      <c r="G524" s="29">
        <v>0</v>
      </c>
      <c r="H524" s="29">
        <v>0</v>
      </c>
      <c r="I524" s="35">
        <v>22.75</v>
      </c>
      <c r="J524" s="34">
        <v>6000</v>
      </c>
      <c r="K524" s="34">
        <v>136500</v>
      </c>
    </row>
    <row r="525" spans="1:11" hidden="1">
      <c r="A525" s="29" t="s">
        <v>138</v>
      </c>
      <c r="B525" s="32">
        <v>38581</v>
      </c>
      <c r="C525" s="29">
        <v>22.5</v>
      </c>
      <c r="D525" s="35">
        <v>22.5</v>
      </c>
      <c r="E525" s="35">
        <v>22.5</v>
      </c>
      <c r="F525" s="33">
        <v>22.5</v>
      </c>
      <c r="G525" s="29">
        <v>0</v>
      </c>
      <c r="H525" s="29">
        <v>-0.25</v>
      </c>
      <c r="I525" s="35">
        <v>22.75</v>
      </c>
      <c r="J525" s="34">
        <v>10400</v>
      </c>
      <c r="K525" s="34">
        <v>235250</v>
      </c>
    </row>
    <row r="526" spans="1:11" hidden="1">
      <c r="A526" s="29" t="s">
        <v>138</v>
      </c>
      <c r="B526" s="32">
        <v>38582</v>
      </c>
      <c r="C526" s="29">
        <v>22.5</v>
      </c>
      <c r="D526" s="35">
        <v>22.5</v>
      </c>
      <c r="E526" s="35">
        <v>22.25</v>
      </c>
      <c r="F526" s="33">
        <v>22.25</v>
      </c>
      <c r="G526" s="29">
        <v>0</v>
      </c>
      <c r="H526" s="29">
        <v>-0.25</v>
      </c>
      <c r="I526" s="35">
        <v>22.5</v>
      </c>
      <c r="J526" s="34">
        <v>40000</v>
      </c>
      <c r="K526" s="34">
        <v>891000</v>
      </c>
    </row>
    <row r="527" spans="1:11" hidden="1">
      <c r="A527" s="29" t="s">
        <v>138</v>
      </c>
      <c r="B527" s="32">
        <v>38586</v>
      </c>
      <c r="C527" s="29">
        <v>22.5</v>
      </c>
      <c r="D527" s="35">
        <v>22.5</v>
      </c>
      <c r="E527" s="35">
        <v>22.5</v>
      </c>
      <c r="F527" s="33">
        <v>22.5</v>
      </c>
      <c r="G527" s="29">
        <v>0</v>
      </c>
      <c r="H527" s="29">
        <v>0.25</v>
      </c>
      <c r="I527" s="35">
        <v>22.25</v>
      </c>
      <c r="J527" s="34">
        <v>3200</v>
      </c>
      <c r="K527" s="34">
        <v>72125</v>
      </c>
    </row>
    <row r="528" spans="1:11" hidden="1">
      <c r="A528" s="29" t="s">
        <v>138</v>
      </c>
      <c r="B528" s="32">
        <v>38587</v>
      </c>
      <c r="C528" s="29">
        <v>22.5</v>
      </c>
      <c r="D528" s="35">
        <v>22.5</v>
      </c>
      <c r="E528" s="35">
        <v>22.5</v>
      </c>
      <c r="F528" s="33">
        <v>22.5</v>
      </c>
      <c r="G528" s="29">
        <v>0</v>
      </c>
      <c r="H528" s="29">
        <v>0</v>
      </c>
      <c r="I528" s="35">
        <v>22.5</v>
      </c>
      <c r="J528" s="34">
        <v>14400</v>
      </c>
      <c r="K528" s="34">
        <v>324100</v>
      </c>
    </row>
    <row r="529" spans="1:11" hidden="1">
      <c r="A529" s="29" t="s">
        <v>138</v>
      </c>
      <c r="B529" s="32">
        <v>38588</v>
      </c>
      <c r="C529" s="29">
        <v>22.5</v>
      </c>
      <c r="D529" s="35">
        <v>22.75</v>
      </c>
      <c r="E529" s="35">
        <v>22.5</v>
      </c>
      <c r="F529" s="33">
        <v>22.75</v>
      </c>
      <c r="G529" s="29">
        <v>0</v>
      </c>
      <c r="H529" s="29">
        <v>0.25</v>
      </c>
      <c r="I529" s="35">
        <v>22.5</v>
      </c>
      <c r="J529" s="34">
        <v>70800</v>
      </c>
      <c r="K529" s="34">
        <v>1600500</v>
      </c>
    </row>
    <row r="530" spans="1:11" hidden="1">
      <c r="A530" s="29" t="s">
        <v>138</v>
      </c>
      <c r="B530" s="32">
        <v>38590</v>
      </c>
      <c r="C530" s="29">
        <v>23</v>
      </c>
      <c r="D530" s="35">
        <v>23.5</v>
      </c>
      <c r="E530" s="35">
        <v>22.75</v>
      </c>
      <c r="F530" s="33">
        <v>23</v>
      </c>
      <c r="G530" s="29">
        <v>0</v>
      </c>
      <c r="H530" s="29">
        <v>0.25</v>
      </c>
      <c r="I530" s="35">
        <v>22.75</v>
      </c>
      <c r="J530" s="34">
        <v>28800</v>
      </c>
      <c r="K530" s="34">
        <v>665850</v>
      </c>
    </row>
    <row r="531" spans="1:11" hidden="1">
      <c r="A531" s="29" t="s">
        <v>138</v>
      </c>
      <c r="B531" s="32">
        <v>38593</v>
      </c>
      <c r="C531" s="29">
        <v>23</v>
      </c>
      <c r="D531" s="35">
        <v>23</v>
      </c>
      <c r="E531" s="35">
        <v>23</v>
      </c>
      <c r="F531" s="33">
        <v>23</v>
      </c>
      <c r="G531" s="29">
        <v>0</v>
      </c>
      <c r="H531" s="29">
        <v>0</v>
      </c>
      <c r="I531" s="35">
        <v>23</v>
      </c>
      <c r="J531" s="34">
        <v>2000</v>
      </c>
      <c r="K531" s="34">
        <v>46000</v>
      </c>
    </row>
    <row r="532" spans="1:11" hidden="1">
      <c r="A532" s="29" t="s">
        <v>138</v>
      </c>
      <c r="B532" s="32">
        <v>38594</v>
      </c>
      <c r="C532" s="29">
        <v>23</v>
      </c>
      <c r="D532" s="35">
        <v>23</v>
      </c>
      <c r="E532" s="35">
        <v>23</v>
      </c>
      <c r="F532" s="33">
        <v>23</v>
      </c>
      <c r="G532" s="29">
        <v>0</v>
      </c>
      <c r="H532" s="29">
        <v>0</v>
      </c>
      <c r="I532" s="35">
        <v>23</v>
      </c>
      <c r="J532" s="34">
        <v>13200</v>
      </c>
      <c r="K532" s="34">
        <v>303600</v>
      </c>
    </row>
    <row r="533" spans="1:11" hidden="1">
      <c r="A533" s="29" t="s">
        <v>138</v>
      </c>
      <c r="B533" s="32">
        <v>38595</v>
      </c>
      <c r="C533" s="29">
        <v>22.75</v>
      </c>
      <c r="D533" s="35">
        <v>23</v>
      </c>
      <c r="E533" s="35">
        <v>22.75</v>
      </c>
      <c r="F533" s="33">
        <v>23</v>
      </c>
      <c r="G533" s="29">
        <v>0</v>
      </c>
      <c r="H533" s="29">
        <v>0</v>
      </c>
      <c r="I533" s="35">
        <v>23</v>
      </c>
      <c r="J533" s="34">
        <v>70800</v>
      </c>
      <c r="K533" s="34">
        <v>1628000</v>
      </c>
    </row>
    <row r="534" spans="1:11" hidden="1">
      <c r="A534" s="29" t="s">
        <v>138</v>
      </c>
      <c r="B534" s="32">
        <v>38596</v>
      </c>
      <c r="C534" s="29">
        <v>23</v>
      </c>
      <c r="D534" s="35">
        <v>23</v>
      </c>
      <c r="E534" s="35">
        <v>22.75</v>
      </c>
      <c r="F534" s="33">
        <v>22.75</v>
      </c>
      <c r="G534" s="29">
        <v>0</v>
      </c>
      <c r="H534" s="29">
        <v>-0.25</v>
      </c>
      <c r="I534" s="35">
        <v>23</v>
      </c>
      <c r="J534" s="34">
        <v>15200</v>
      </c>
      <c r="K534" s="34">
        <v>348800</v>
      </c>
    </row>
    <row r="535" spans="1:11" hidden="1">
      <c r="A535" s="29" t="s">
        <v>138</v>
      </c>
      <c r="B535" s="32">
        <v>38597</v>
      </c>
      <c r="C535" s="29">
        <v>22.75</v>
      </c>
      <c r="D535" s="35">
        <v>24.25</v>
      </c>
      <c r="E535" s="35">
        <v>22.75</v>
      </c>
      <c r="F535" s="33">
        <v>23.75</v>
      </c>
      <c r="G535" s="29">
        <v>0</v>
      </c>
      <c r="H535" s="29">
        <v>1</v>
      </c>
      <c r="I535" s="35">
        <v>22.75</v>
      </c>
      <c r="J535" s="34">
        <v>392400</v>
      </c>
      <c r="K535" s="34">
        <v>9372475</v>
      </c>
    </row>
    <row r="536" spans="1:11" hidden="1">
      <c r="A536" s="29" t="s">
        <v>138</v>
      </c>
      <c r="B536" s="32">
        <v>38600</v>
      </c>
      <c r="C536" s="29">
        <v>24.25</v>
      </c>
      <c r="D536" s="35">
        <v>24.25</v>
      </c>
      <c r="E536" s="35">
        <v>23</v>
      </c>
      <c r="F536" s="33">
        <v>23.25</v>
      </c>
      <c r="G536" s="29">
        <v>0</v>
      </c>
      <c r="H536" s="29">
        <v>-0.5</v>
      </c>
      <c r="I536" s="35">
        <v>23.75</v>
      </c>
      <c r="J536" s="34">
        <v>36000</v>
      </c>
      <c r="K536" s="34">
        <v>854100</v>
      </c>
    </row>
    <row r="537" spans="1:11" hidden="1">
      <c r="A537" s="29" t="s">
        <v>138</v>
      </c>
      <c r="B537" s="32">
        <v>38601</v>
      </c>
      <c r="C537" s="29">
        <v>23</v>
      </c>
      <c r="D537" s="35">
        <v>23</v>
      </c>
      <c r="E537" s="35">
        <v>23</v>
      </c>
      <c r="F537" s="33">
        <v>23</v>
      </c>
      <c r="G537" s="29">
        <v>0</v>
      </c>
      <c r="H537" s="29">
        <v>-0.25</v>
      </c>
      <c r="I537" s="35">
        <v>23.25</v>
      </c>
      <c r="J537" s="34">
        <v>2000</v>
      </c>
      <c r="K537" s="34">
        <v>46275</v>
      </c>
    </row>
    <row r="538" spans="1:11" hidden="1">
      <c r="A538" s="29" t="s">
        <v>138</v>
      </c>
      <c r="B538" s="32">
        <v>38602</v>
      </c>
      <c r="C538" s="29">
        <v>23.25</v>
      </c>
      <c r="D538" s="35">
        <v>23.5</v>
      </c>
      <c r="E538" s="35">
        <v>23.25</v>
      </c>
      <c r="F538" s="33">
        <v>23.25</v>
      </c>
      <c r="G538" s="29">
        <v>0</v>
      </c>
      <c r="H538" s="29">
        <v>0.25</v>
      </c>
      <c r="I538" s="35">
        <v>23</v>
      </c>
      <c r="J538" s="34">
        <v>2800</v>
      </c>
      <c r="K538" s="34">
        <v>65700</v>
      </c>
    </row>
    <row r="539" spans="1:11" hidden="1">
      <c r="A539" s="29" t="s">
        <v>138</v>
      </c>
      <c r="B539" s="32">
        <v>38603</v>
      </c>
      <c r="C539" s="29">
        <v>23.25</v>
      </c>
      <c r="D539" s="35">
        <v>23.25</v>
      </c>
      <c r="E539" s="35">
        <v>23.25</v>
      </c>
      <c r="F539" s="33">
        <v>23.25</v>
      </c>
      <c r="G539" s="29">
        <v>0</v>
      </c>
      <c r="H539" s="29">
        <v>0</v>
      </c>
      <c r="I539" s="35">
        <v>23.25</v>
      </c>
      <c r="J539" s="34">
        <v>800</v>
      </c>
      <c r="K539" s="34">
        <v>18750</v>
      </c>
    </row>
    <row r="540" spans="1:11" hidden="1">
      <c r="A540" s="29" t="s">
        <v>138</v>
      </c>
      <c r="B540" s="32">
        <v>38604</v>
      </c>
      <c r="C540" s="29">
        <v>23.25</v>
      </c>
      <c r="D540" s="35">
        <v>23.25</v>
      </c>
      <c r="E540" s="35">
        <v>23</v>
      </c>
      <c r="F540" s="33">
        <v>23</v>
      </c>
      <c r="G540" s="29">
        <v>0</v>
      </c>
      <c r="H540" s="29">
        <v>-0.25</v>
      </c>
      <c r="I540" s="35">
        <v>23.25</v>
      </c>
      <c r="J540" s="34">
        <v>4000</v>
      </c>
      <c r="K540" s="34">
        <v>92400</v>
      </c>
    </row>
    <row r="541" spans="1:11" hidden="1">
      <c r="A541" s="29" t="s">
        <v>138</v>
      </c>
      <c r="B541" s="32">
        <v>38607</v>
      </c>
      <c r="C541" s="29">
        <v>23</v>
      </c>
      <c r="D541" s="35">
        <v>23.25</v>
      </c>
      <c r="E541" s="35">
        <v>22.75</v>
      </c>
      <c r="F541" s="33">
        <v>23</v>
      </c>
      <c r="G541" s="29">
        <v>0</v>
      </c>
      <c r="H541" s="29">
        <v>0</v>
      </c>
      <c r="I541" s="35">
        <v>23</v>
      </c>
      <c r="J541" s="34">
        <v>4800</v>
      </c>
      <c r="K541" s="34">
        <v>110950</v>
      </c>
    </row>
    <row r="542" spans="1:11" hidden="1">
      <c r="A542" s="29" t="s">
        <v>138</v>
      </c>
      <c r="B542" s="32">
        <v>38608</v>
      </c>
      <c r="C542" s="29">
        <v>23</v>
      </c>
      <c r="D542" s="35">
        <v>23.5</v>
      </c>
      <c r="E542" s="35">
        <v>23</v>
      </c>
      <c r="F542" s="33">
        <v>23.5</v>
      </c>
      <c r="G542" s="29">
        <v>0</v>
      </c>
      <c r="H542" s="29">
        <v>0.5</v>
      </c>
      <c r="I542" s="35">
        <v>23</v>
      </c>
      <c r="J542" s="34">
        <v>32400</v>
      </c>
      <c r="K542" s="34">
        <v>759725</v>
      </c>
    </row>
    <row r="543" spans="1:11" hidden="1">
      <c r="A543" s="29" t="s">
        <v>138</v>
      </c>
      <c r="B543" s="32">
        <v>38609</v>
      </c>
      <c r="C543" s="29">
        <v>23.5</v>
      </c>
      <c r="D543" s="35">
        <v>24.25</v>
      </c>
      <c r="E543" s="35">
        <v>23.5</v>
      </c>
      <c r="F543" s="33">
        <v>23.75</v>
      </c>
      <c r="G543" s="29">
        <v>0</v>
      </c>
      <c r="H543" s="29">
        <v>0.25</v>
      </c>
      <c r="I543" s="35">
        <v>23.5</v>
      </c>
      <c r="J543" s="34">
        <v>37200</v>
      </c>
      <c r="K543" s="34">
        <v>886025</v>
      </c>
    </row>
    <row r="544" spans="1:11" hidden="1">
      <c r="A544" s="29" t="s">
        <v>138</v>
      </c>
      <c r="B544" s="32">
        <v>38610</v>
      </c>
      <c r="C544" s="29">
        <v>23.75</v>
      </c>
      <c r="D544" s="35">
        <v>24</v>
      </c>
      <c r="E544" s="35">
        <v>23.75</v>
      </c>
      <c r="F544" s="33">
        <v>23.75</v>
      </c>
      <c r="G544" s="29">
        <v>0</v>
      </c>
      <c r="H544" s="29">
        <v>0</v>
      </c>
      <c r="I544" s="35">
        <v>23.75</v>
      </c>
      <c r="J544" s="34">
        <v>20000</v>
      </c>
      <c r="K544" s="34">
        <v>475925</v>
      </c>
    </row>
    <row r="545" spans="1:11" hidden="1">
      <c r="A545" s="29" t="s">
        <v>138</v>
      </c>
      <c r="B545" s="32">
        <v>38611</v>
      </c>
      <c r="C545" s="29">
        <v>23</v>
      </c>
      <c r="D545" s="35">
        <v>24</v>
      </c>
      <c r="E545" s="35">
        <v>23</v>
      </c>
      <c r="F545" s="33">
        <v>23.75</v>
      </c>
      <c r="G545" s="29">
        <v>0</v>
      </c>
      <c r="H545" s="29">
        <v>0</v>
      </c>
      <c r="I545" s="35">
        <v>23.75</v>
      </c>
      <c r="J545" s="34">
        <v>22000</v>
      </c>
      <c r="K545" s="34">
        <v>523200</v>
      </c>
    </row>
    <row r="546" spans="1:11" hidden="1">
      <c r="A546" s="29" t="s">
        <v>138</v>
      </c>
      <c r="B546" s="32">
        <v>38614</v>
      </c>
      <c r="C546" s="29">
        <v>24</v>
      </c>
      <c r="D546" s="35">
        <v>24.75</v>
      </c>
      <c r="E546" s="35">
        <v>24</v>
      </c>
      <c r="F546" s="33">
        <v>24.25</v>
      </c>
      <c r="G546" s="29">
        <v>0</v>
      </c>
      <c r="H546" s="29">
        <v>0.5</v>
      </c>
      <c r="I546" s="35">
        <v>23.75</v>
      </c>
      <c r="J546" s="34">
        <v>119200</v>
      </c>
      <c r="K546" s="34">
        <v>2895000</v>
      </c>
    </row>
    <row r="547" spans="1:11" hidden="1">
      <c r="A547" s="29" t="s">
        <v>138</v>
      </c>
      <c r="B547" s="32">
        <v>38615</v>
      </c>
      <c r="C547" s="29">
        <v>24.25</v>
      </c>
      <c r="D547" s="35">
        <v>26</v>
      </c>
      <c r="E547" s="35">
        <v>24.25</v>
      </c>
      <c r="F547" s="33">
        <v>25.5</v>
      </c>
      <c r="G547" s="29">
        <v>0</v>
      </c>
      <c r="H547" s="29">
        <v>1.25</v>
      </c>
      <c r="I547" s="35">
        <v>24.25</v>
      </c>
      <c r="J547" s="34">
        <v>238000</v>
      </c>
      <c r="K547" s="34">
        <v>5948250</v>
      </c>
    </row>
    <row r="548" spans="1:11" hidden="1">
      <c r="A548" s="29" t="s">
        <v>138</v>
      </c>
      <c r="B548" s="32">
        <v>38616</v>
      </c>
      <c r="C548" s="29">
        <v>25.75</v>
      </c>
      <c r="D548" s="35">
        <v>26</v>
      </c>
      <c r="E548" s="35">
        <v>24.75</v>
      </c>
      <c r="F548" s="33">
        <v>25</v>
      </c>
      <c r="G548" s="29">
        <v>0</v>
      </c>
      <c r="H548" s="29">
        <v>-0.5</v>
      </c>
      <c r="I548" s="35">
        <v>25.5</v>
      </c>
      <c r="J548" s="34">
        <v>166800</v>
      </c>
      <c r="K548" s="34">
        <v>4175050</v>
      </c>
    </row>
    <row r="549" spans="1:11" hidden="1">
      <c r="A549" s="29" t="s">
        <v>138</v>
      </c>
      <c r="B549" s="32">
        <v>38617</v>
      </c>
      <c r="C549" s="29">
        <v>25.25</v>
      </c>
      <c r="D549" s="35">
        <v>25.5</v>
      </c>
      <c r="E549" s="35">
        <v>24.75</v>
      </c>
      <c r="F549" s="33">
        <v>25</v>
      </c>
      <c r="G549" s="29">
        <v>0</v>
      </c>
      <c r="H549" s="29">
        <v>0</v>
      </c>
      <c r="I549" s="35">
        <v>25</v>
      </c>
      <c r="J549" s="34">
        <v>402400</v>
      </c>
      <c r="K549" s="34">
        <v>10057700</v>
      </c>
    </row>
    <row r="550" spans="1:11" hidden="1">
      <c r="A550" s="29" t="s">
        <v>138</v>
      </c>
      <c r="B550" s="32">
        <v>38618</v>
      </c>
      <c r="C550" s="29">
        <v>25</v>
      </c>
      <c r="D550" s="35">
        <v>25</v>
      </c>
      <c r="E550" s="35">
        <v>24.75</v>
      </c>
      <c r="F550" s="33">
        <v>25</v>
      </c>
      <c r="G550" s="29">
        <v>0</v>
      </c>
      <c r="H550" s="29">
        <v>0</v>
      </c>
      <c r="I550" s="35">
        <v>25</v>
      </c>
      <c r="J550" s="34">
        <v>3200</v>
      </c>
      <c r="K550" s="34">
        <v>79800</v>
      </c>
    </row>
    <row r="551" spans="1:11" hidden="1">
      <c r="A551" s="29" t="s">
        <v>138</v>
      </c>
      <c r="B551" s="32">
        <v>38621</v>
      </c>
      <c r="C551" s="29">
        <v>25</v>
      </c>
      <c r="D551" s="35">
        <v>25</v>
      </c>
      <c r="E551" s="35">
        <v>25</v>
      </c>
      <c r="F551" s="33">
        <v>25</v>
      </c>
      <c r="G551" s="29">
        <v>0</v>
      </c>
      <c r="H551" s="29">
        <v>0</v>
      </c>
      <c r="I551" s="35">
        <v>25</v>
      </c>
      <c r="J551" s="34">
        <v>6000</v>
      </c>
      <c r="K551" s="34">
        <v>150000</v>
      </c>
    </row>
    <row r="552" spans="1:11" hidden="1">
      <c r="A552" s="29" t="s">
        <v>138</v>
      </c>
      <c r="B552" s="32">
        <v>38622</v>
      </c>
      <c r="C552" s="29">
        <v>25</v>
      </c>
      <c r="D552" s="35">
        <v>27.25</v>
      </c>
      <c r="E552" s="35">
        <v>25</v>
      </c>
      <c r="F552" s="33">
        <v>26.25</v>
      </c>
      <c r="G552" s="29">
        <v>0</v>
      </c>
      <c r="H552" s="29">
        <v>1.25</v>
      </c>
      <c r="I552" s="35">
        <v>25</v>
      </c>
      <c r="J552" s="34">
        <v>395200</v>
      </c>
      <c r="K552" s="34">
        <v>10324775</v>
      </c>
    </row>
    <row r="553" spans="1:11" hidden="1">
      <c r="A553" s="29" t="s">
        <v>138</v>
      </c>
      <c r="B553" s="32">
        <v>38623</v>
      </c>
      <c r="C553" s="29">
        <v>26.75</v>
      </c>
      <c r="D553" s="35">
        <v>27.25</v>
      </c>
      <c r="E553" s="35">
        <v>26.5</v>
      </c>
      <c r="F553" s="33">
        <v>27.25</v>
      </c>
      <c r="G553" s="29">
        <v>0</v>
      </c>
      <c r="H553" s="29">
        <v>1</v>
      </c>
      <c r="I553" s="35">
        <v>26.25</v>
      </c>
      <c r="J553" s="34">
        <v>275200</v>
      </c>
      <c r="K553" s="34">
        <v>7447300</v>
      </c>
    </row>
    <row r="554" spans="1:11" hidden="1">
      <c r="A554" s="29" t="s">
        <v>138</v>
      </c>
      <c r="B554" s="32">
        <v>38624</v>
      </c>
      <c r="C554" s="29">
        <v>27.5</v>
      </c>
      <c r="D554" s="35">
        <v>28.5</v>
      </c>
      <c r="E554" s="35">
        <v>27.25</v>
      </c>
      <c r="F554" s="33">
        <v>27.5</v>
      </c>
      <c r="G554" s="29">
        <v>0</v>
      </c>
      <c r="H554" s="29">
        <v>0.25</v>
      </c>
      <c r="I554" s="35">
        <v>27.25</v>
      </c>
      <c r="J554" s="34">
        <v>288400</v>
      </c>
      <c r="K554" s="34">
        <v>7944975</v>
      </c>
    </row>
    <row r="555" spans="1:11" hidden="1">
      <c r="A555" s="29" t="s">
        <v>138</v>
      </c>
      <c r="B555" s="32">
        <v>38625</v>
      </c>
      <c r="C555" s="29">
        <v>27.5</v>
      </c>
      <c r="D555" s="35">
        <v>29.25</v>
      </c>
      <c r="E555" s="35">
        <v>27.5</v>
      </c>
      <c r="F555" s="33">
        <v>28.75</v>
      </c>
      <c r="G555" s="29">
        <v>0</v>
      </c>
      <c r="H555" s="29">
        <v>1.25</v>
      </c>
      <c r="I555" s="35">
        <v>27.5</v>
      </c>
      <c r="J555" s="34">
        <v>700000</v>
      </c>
      <c r="K555" s="34">
        <v>19833375</v>
      </c>
    </row>
    <row r="556" spans="1:11" hidden="1">
      <c r="A556" s="29" t="s">
        <v>138</v>
      </c>
      <c r="B556" s="32">
        <v>38628</v>
      </c>
      <c r="C556" s="29">
        <v>29.75</v>
      </c>
      <c r="D556" s="35">
        <v>30</v>
      </c>
      <c r="E556" s="35">
        <v>29</v>
      </c>
      <c r="F556" s="33">
        <v>29.25</v>
      </c>
      <c r="G556" s="29">
        <v>0</v>
      </c>
      <c r="H556" s="29">
        <v>0.5</v>
      </c>
      <c r="I556" s="35">
        <v>28.75</v>
      </c>
      <c r="J556" s="34">
        <v>225600</v>
      </c>
      <c r="K556" s="34">
        <v>6713900</v>
      </c>
    </row>
    <row r="557" spans="1:11" hidden="1">
      <c r="A557" s="29" t="s">
        <v>138</v>
      </c>
      <c r="B557" s="32">
        <v>38629</v>
      </c>
      <c r="C557" s="29">
        <v>29.5</v>
      </c>
      <c r="D557" s="35">
        <v>29.5</v>
      </c>
      <c r="E557" s="35">
        <v>28.75</v>
      </c>
      <c r="F557" s="33">
        <v>29</v>
      </c>
      <c r="G557" s="29">
        <v>0</v>
      </c>
      <c r="H557" s="29">
        <v>-0.25</v>
      </c>
      <c r="I557" s="35">
        <v>29.25</v>
      </c>
      <c r="J557" s="34">
        <v>96000</v>
      </c>
      <c r="K557" s="34">
        <v>2795725</v>
      </c>
    </row>
    <row r="558" spans="1:11" hidden="1">
      <c r="A558" s="29" t="s">
        <v>138</v>
      </c>
      <c r="B558" s="32">
        <v>38630</v>
      </c>
      <c r="C558" s="29">
        <v>29</v>
      </c>
      <c r="D558" s="35">
        <v>29.5</v>
      </c>
      <c r="E558" s="35">
        <v>28.75</v>
      </c>
      <c r="F558" s="33">
        <v>28.75</v>
      </c>
      <c r="G558" s="29">
        <v>0</v>
      </c>
      <c r="H558" s="29">
        <v>-0.25</v>
      </c>
      <c r="I558" s="35">
        <v>29</v>
      </c>
      <c r="J558" s="34">
        <v>145600</v>
      </c>
      <c r="K558" s="34">
        <v>4239350</v>
      </c>
    </row>
    <row r="559" spans="1:11" hidden="1">
      <c r="A559" s="29" t="s">
        <v>138</v>
      </c>
      <c r="B559" s="32">
        <v>38631</v>
      </c>
      <c r="C559" s="29">
        <v>29</v>
      </c>
      <c r="D559" s="35">
        <v>29.25</v>
      </c>
      <c r="E559" s="35">
        <v>28.75</v>
      </c>
      <c r="F559" s="33">
        <v>29</v>
      </c>
      <c r="G559" s="29">
        <v>0</v>
      </c>
      <c r="H559" s="29">
        <v>0.25</v>
      </c>
      <c r="I559" s="35">
        <v>28.75</v>
      </c>
      <c r="J559" s="34">
        <v>272800</v>
      </c>
      <c r="K559" s="34">
        <v>7909700</v>
      </c>
    </row>
    <row r="560" spans="1:11" hidden="1">
      <c r="A560" s="29" t="s">
        <v>138</v>
      </c>
      <c r="B560" s="32">
        <v>38632</v>
      </c>
      <c r="C560" s="29">
        <v>29.25</v>
      </c>
      <c r="D560" s="35">
        <v>29.75</v>
      </c>
      <c r="E560" s="35">
        <v>29.25</v>
      </c>
      <c r="F560" s="33">
        <v>29.75</v>
      </c>
      <c r="G560" s="29">
        <v>0</v>
      </c>
      <c r="H560" s="29">
        <v>0.75</v>
      </c>
      <c r="I560" s="35">
        <v>29</v>
      </c>
      <c r="J560" s="34">
        <v>105600</v>
      </c>
      <c r="K560" s="34">
        <v>3121875</v>
      </c>
    </row>
    <row r="561" spans="1:11" hidden="1">
      <c r="A561" s="29" t="s">
        <v>138</v>
      </c>
      <c r="B561" s="32">
        <v>38635</v>
      </c>
      <c r="C561" s="29">
        <v>29.25</v>
      </c>
      <c r="D561" s="35">
        <v>29.75</v>
      </c>
      <c r="E561" s="35">
        <v>29.25</v>
      </c>
      <c r="F561" s="33">
        <v>29.5</v>
      </c>
      <c r="G561" s="29">
        <v>0</v>
      </c>
      <c r="H561" s="29">
        <v>-0.25</v>
      </c>
      <c r="I561" s="35">
        <v>29.75</v>
      </c>
      <c r="J561" s="34">
        <v>107600</v>
      </c>
      <c r="K561" s="34">
        <v>3170375</v>
      </c>
    </row>
    <row r="562" spans="1:11" hidden="1">
      <c r="A562" s="29" t="s">
        <v>138</v>
      </c>
      <c r="B562" s="32">
        <v>38636</v>
      </c>
      <c r="C562" s="29">
        <v>29.5</v>
      </c>
      <c r="D562" s="35">
        <v>31.25</v>
      </c>
      <c r="E562" s="35">
        <v>29.5</v>
      </c>
      <c r="F562" s="33">
        <v>31</v>
      </c>
      <c r="G562" s="29">
        <v>0</v>
      </c>
      <c r="H562" s="29">
        <v>1.5</v>
      </c>
      <c r="I562" s="35">
        <v>29.5</v>
      </c>
      <c r="J562" s="34">
        <v>660000</v>
      </c>
      <c r="K562" s="34">
        <v>19740725</v>
      </c>
    </row>
    <row r="563" spans="1:11" hidden="1">
      <c r="A563" s="29" t="s">
        <v>138</v>
      </c>
      <c r="B563" s="32">
        <v>38637</v>
      </c>
      <c r="C563" s="29">
        <v>31</v>
      </c>
      <c r="D563" s="35">
        <v>31.25</v>
      </c>
      <c r="E563" s="35">
        <v>30.5</v>
      </c>
      <c r="F563" s="33">
        <v>30.5</v>
      </c>
      <c r="G563" s="29">
        <v>0</v>
      </c>
      <c r="H563" s="29">
        <v>-0.5</v>
      </c>
      <c r="I563" s="35">
        <v>31</v>
      </c>
      <c r="J563" s="34">
        <v>19600</v>
      </c>
      <c r="K563" s="34">
        <v>605300</v>
      </c>
    </row>
    <row r="564" spans="1:11" hidden="1">
      <c r="A564" s="29" t="s">
        <v>138</v>
      </c>
      <c r="B564" s="32">
        <v>38638</v>
      </c>
      <c r="C564" s="29">
        <v>30.75</v>
      </c>
      <c r="D564" s="35">
        <v>34.25</v>
      </c>
      <c r="E564" s="35">
        <v>30.75</v>
      </c>
      <c r="F564" s="33">
        <v>33.75</v>
      </c>
      <c r="G564" s="29">
        <v>0</v>
      </c>
      <c r="H564" s="29">
        <v>3.25</v>
      </c>
      <c r="I564" s="35">
        <v>30.5</v>
      </c>
      <c r="J564" s="34">
        <v>752400</v>
      </c>
      <c r="K564" s="34">
        <v>24348750</v>
      </c>
    </row>
    <row r="565" spans="1:11" hidden="1">
      <c r="A565" s="29" t="s">
        <v>138</v>
      </c>
      <c r="B565" s="32">
        <v>38639</v>
      </c>
      <c r="C565" s="29">
        <v>34.25</v>
      </c>
      <c r="D565" s="35">
        <v>35</v>
      </c>
      <c r="E565" s="35">
        <v>33</v>
      </c>
      <c r="F565" s="33">
        <v>33.5</v>
      </c>
      <c r="G565" s="29">
        <v>0</v>
      </c>
      <c r="H565" s="29">
        <v>-0.25</v>
      </c>
      <c r="I565" s="35">
        <v>33.75</v>
      </c>
      <c r="J565" s="34">
        <v>154800</v>
      </c>
      <c r="K565" s="34">
        <v>5275750</v>
      </c>
    </row>
    <row r="566" spans="1:11" hidden="1">
      <c r="A566" s="29" t="s">
        <v>138</v>
      </c>
      <c r="B566" s="32">
        <v>38643</v>
      </c>
      <c r="C566" s="29">
        <v>33.75</v>
      </c>
      <c r="D566" s="35">
        <v>33.75</v>
      </c>
      <c r="E566" s="35">
        <v>32.5</v>
      </c>
      <c r="F566" s="33">
        <v>32.5</v>
      </c>
      <c r="G566" s="29">
        <v>0</v>
      </c>
      <c r="H566" s="29">
        <v>-1</v>
      </c>
      <c r="I566" s="35">
        <v>33.5</v>
      </c>
      <c r="J566" s="34">
        <v>65200</v>
      </c>
      <c r="K566" s="34">
        <v>2148300</v>
      </c>
    </row>
    <row r="567" spans="1:11" hidden="1">
      <c r="A567" s="29" t="s">
        <v>138</v>
      </c>
      <c r="B567" s="32">
        <v>38644</v>
      </c>
      <c r="C567" s="29">
        <v>32.5</v>
      </c>
      <c r="D567" s="35">
        <v>32.5</v>
      </c>
      <c r="E567" s="35">
        <v>32</v>
      </c>
      <c r="F567" s="33">
        <v>32.5</v>
      </c>
      <c r="G567" s="29">
        <v>0</v>
      </c>
      <c r="H567" s="29">
        <v>0</v>
      </c>
      <c r="I567" s="35">
        <v>32.5</v>
      </c>
      <c r="J567" s="34">
        <v>73600</v>
      </c>
      <c r="K567" s="34">
        <v>2391750</v>
      </c>
    </row>
    <row r="568" spans="1:11" hidden="1">
      <c r="A568" s="29" t="s">
        <v>138</v>
      </c>
      <c r="B568" s="32">
        <v>38645</v>
      </c>
      <c r="C568" s="29">
        <v>32.5</v>
      </c>
      <c r="D568" s="35">
        <v>33.5</v>
      </c>
      <c r="E568" s="35">
        <v>31.75</v>
      </c>
      <c r="F568" s="33">
        <v>33.25</v>
      </c>
      <c r="G568" s="29">
        <v>0</v>
      </c>
      <c r="H568" s="29">
        <v>0.75</v>
      </c>
      <c r="I568" s="35">
        <v>32.5</v>
      </c>
      <c r="J568" s="34">
        <v>74400</v>
      </c>
      <c r="K568" s="34">
        <v>2421625</v>
      </c>
    </row>
    <row r="569" spans="1:11" hidden="1">
      <c r="A569" s="29" t="s">
        <v>138</v>
      </c>
      <c r="B569" s="32">
        <v>38646</v>
      </c>
      <c r="C569" s="29">
        <v>33.25</v>
      </c>
      <c r="D569" s="35">
        <v>33.5</v>
      </c>
      <c r="E569" s="35">
        <v>32.5</v>
      </c>
      <c r="F569" s="33">
        <v>32.75</v>
      </c>
      <c r="G569" s="29">
        <v>0</v>
      </c>
      <c r="H569" s="29">
        <v>-0.5</v>
      </c>
      <c r="I569" s="35">
        <v>33.25</v>
      </c>
      <c r="J569" s="34">
        <v>73600</v>
      </c>
      <c r="K569" s="34">
        <v>2405100</v>
      </c>
    </row>
    <row r="570" spans="1:11" hidden="1">
      <c r="A570" s="29" t="s">
        <v>138</v>
      </c>
      <c r="B570" s="32">
        <v>38649</v>
      </c>
      <c r="C570" s="29">
        <v>33.25</v>
      </c>
      <c r="D570" s="35">
        <v>33.5</v>
      </c>
      <c r="E570" s="35">
        <v>32.75</v>
      </c>
      <c r="F570" s="33">
        <v>33.25</v>
      </c>
      <c r="G570" s="29">
        <v>0</v>
      </c>
      <c r="H570" s="29">
        <v>0.5</v>
      </c>
      <c r="I570" s="35">
        <v>32.75</v>
      </c>
      <c r="J570" s="34">
        <v>8000</v>
      </c>
      <c r="K570" s="34">
        <v>265400</v>
      </c>
    </row>
    <row r="571" spans="1:11" hidden="1">
      <c r="A571" s="29" t="s">
        <v>138</v>
      </c>
      <c r="B571" s="32">
        <v>38650</v>
      </c>
      <c r="C571" s="29">
        <v>33.25</v>
      </c>
      <c r="D571" s="35">
        <v>34.25</v>
      </c>
      <c r="E571" s="35">
        <v>33.25</v>
      </c>
      <c r="F571" s="33">
        <v>34</v>
      </c>
      <c r="G571" s="29">
        <v>0</v>
      </c>
      <c r="H571" s="29">
        <v>0.75</v>
      </c>
      <c r="I571" s="35">
        <v>33.25</v>
      </c>
      <c r="J571" s="34">
        <v>164000</v>
      </c>
      <c r="K571" s="34">
        <v>5541075</v>
      </c>
    </row>
    <row r="572" spans="1:11" hidden="1">
      <c r="A572" s="29" t="s">
        <v>138</v>
      </c>
      <c r="B572" s="32">
        <v>38651</v>
      </c>
      <c r="C572" s="29">
        <v>34.5</v>
      </c>
      <c r="D572" s="35">
        <v>36.25</v>
      </c>
      <c r="E572" s="35">
        <v>34.5</v>
      </c>
      <c r="F572" s="33">
        <v>35</v>
      </c>
      <c r="G572" s="29">
        <v>0</v>
      </c>
      <c r="H572" s="29">
        <v>1</v>
      </c>
      <c r="I572" s="35">
        <v>34</v>
      </c>
      <c r="J572" s="34">
        <v>472000</v>
      </c>
      <c r="K572" s="34">
        <v>16519725</v>
      </c>
    </row>
    <row r="573" spans="1:11" hidden="1">
      <c r="A573" s="29" t="s">
        <v>138</v>
      </c>
      <c r="B573" s="32">
        <v>38652</v>
      </c>
      <c r="C573" s="29">
        <v>35.5</v>
      </c>
      <c r="D573" s="35">
        <v>36.25</v>
      </c>
      <c r="E573" s="35">
        <v>35.25</v>
      </c>
      <c r="F573" s="33">
        <v>35.5</v>
      </c>
      <c r="G573" s="29">
        <v>0</v>
      </c>
      <c r="H573" s="29">
        <v>0.5</v>
      </c>
      <c r="I573" s="35">
        <v>35</v>
      </c>
      <c r="J573" s="34">
        <v>276400</v>
      </c>
      <c r="K573" s="34">
        <v>9897325</v>
      </c>
    </row>
    <row r="574" spans="1:11" hidden="1">
      <c r="A574" s="29" t="s">
        <v>138</v>
      </c>
      <c r="B574" s="32">
        <v>38653</v>
      </c>
      <c r="C574" s="29">
        <v>35.75</v>
      </c>
      <c r="D574" s="35">
        <v>36</v>
      </c>
      <c r="E574" s="35">
        <v>35</v>
      </c>
      <c r="F574" s="33">
        <v>35.25</v>
      </c>
      <c r="G574" s="29">
        <v>0</v>
      </c>
      <c r="H574" s="29">
        <v>-0.25</v>
      </c>
      <c r="I574" s="35">
        <v>35.5</v>
      </c>
      <c r="J574" s="34">
        <v>23200</v>
      </c>
      <c r="K574" s="34">
        <v>822800</v>
      </c>
    </row>
    <row r="575" spans="1:11" hidden="1">
      <c r="A575" s="29" t="s">
        <v>138</v>
      </c>
      <c r="B575" s="32">
        <v>38656</v>
      </c>
      <c r="C575" s="29">
        <v>36</v>
      </c>
      <c r="D575" s="35">
        <v>36</v>
      </c>
      <c r="E575" s="35">
        <v>35</v>
      </c>
      <c r="F575" s="33">
        <v>35</v>
      </c>
      <c r="G575" s="29">
        <v>0</v>
      </c>
      <c r="H575" s="29">
        <v>-0.25</v>
      </c>
      <c r="I575" s="35">
        <v>35.25</v>
      </c>
      <c r="J575" s="34">
        <v>48000</v>
      </c>
      <c r="K575" s="34">
        <v>1705425</v>
      </c>
    </row>
    <row r="576" spans="1:11" hidden="1">
      <c r="A576" s="29" t="s">
        <v>138</v>
      </c>
      <c r="B576" s="32">
        <v>38658</v>
      </c>
      <c r="C576" s="29">
        <v>35.5</v>
      </c>
      <c r="D576" s="35">
        <v>36</v>
      </c>
      <c r="E576" s="35">
        <v>34.75</v>
      </c>
      <c r="F576" s="33">
        <v>34.75</v>
      </c>
      <c r="G576" s="29">
        <v>0</v>
      </c>
      <c r="H576" s="29">
        <v>-0.25</v>
      </c>
      <c r="I576" s="35">
        <v>35</v>
      </c>
      <c r="J576" s="34">
        <v>55200</v>
      </c>
      <c r="K576" s="34">
        <v>1949850</v>
      </c>
    </row>
    <row r="577" spans="1:11" hidden="1">
      <c r="A577" s="29" t="s">
        <v>138</v>
      </c>
      <c r="B577" s="32">
        <v>38659</v>
      </c>
      <c r="C577" s="29">
        <v>34.75</v>
      </c>
      <c r="D577" s="35">
        <v>35</v>
      </c>
      <c r="E577" s="35">
        <v>34.5</v>
      </c>
      <c r="F577" s="33">
        <v>34.75</v>
      </c>
      <c r="G577" s="29">
        <v>0</v>
      </c>
      <c r="H577" s="29">
        <v>0</v>
      </c>
      <c r="I577" s="35">
        <v>34.75</v>
      </c>
      <c r="J577" s="34">
        <v>64000</v>
      </c>
      <c r="K577" s="34">
        <v>2235200</v>
      </c>
    </row>
    <row r="578" spans="1:11" hidden="1">
      <c r="A578" s="29" t="s">
        <v>138</v>
      </c>
      <c r="B578" s="32">
        <v>38663</v>
      </c>
      <c r="C578" s="29">
        <v>34.75</v>
      </c>
      <c r="D578" s="35">
        <v>34.75</v>
      </c>
      <c r="E578" s="35">
        <v>34.75</v>
      </c>
      <c r="F578" s="33">
        <v>34.75</v>
      </c>
      <c r="G578" s="29">
        <v>0</v>
      </c>
      <c r="H578" s="29">
        <v>0</v>
      </c>
      <c r="I578" s="35">
        <v>34.75</v>
      </c>
      <c r="J578" s="34">
        <v>30000</v>
      </c>
      <c r="K578" s="34">
        <v>1047900</v>
      </c>
    </row>
    <row r="579" spans="1:11" hidden="1">
      <c r="A579" s="29" t="s">
        <v>138</v>
      </c>
      <c r="B579" s="32">
        <v>38664</v>
      </c>
      <c r="C579" s="29">
        <v>34.75</v>
      </c>
      <c r="D579" s="35">
        <v>34.75</v>
      </c>
      <c r="E579" s="35">
        <v>33.75</v>
      </c>
      <c r="F579" s="33">
        <v>34</v>
      </c>
      <c r="G579" s="29">
        <v>0</v>
      </c>
      <c r="H579" s="29">
        <v>-0.75</v>
      </c>
      <c r="I579" s="35">
        <v>34.75</v>
      </c>
      <c r="J579" s="34">
        <v>28800</v>
      </c>
      <c r="K579" s="34">
        <v>997275</v>
      </c>
    </row>
    <row r="580" spans="1:11" hidden="1">
      <c r="A580" s="29" t="s">
        <v>138</v>
      </c>
      <c r="B580" s="32">
        <v>38665</v>
      </c>
      <c r="C580" s="29">
        <v>34.25</v>
      </c>
      <c r="D580" s="35">
        <v>34.25</v>
      </c>
      <c r="E580" s="35">
        <v>33.25</v>
      </c>
      <c r="F580" s="33">
        <v>33.25</v>
      </c>
      <c r="G580" s="29">
        <v>0</v>
      </c>
      <c r="H580" s="29">
        <v>-0.75</v>
      </c>
      <c r="I580" s="35">
        <v>34</v>
      </c>
      <c r="J580" s="34">
        <v>33200</v>
      </c>
      <c r="K580" s="34">
        <v>1115350</v>
      </c>
    </row>
    <row r="581" spans="1:11" hidden="1">
      <c r="A581" s="29" t="s">
        <v>138</v>
      </c>
      <c r="B581" s="32">
        <v>38666</v>
      </c>
      <c r="C581" s="29">
        <v>34</v>
      </c>
      <c r="D581" s="35">
        <v>34.25</v>
      </c>
      <c r="E581" s="35">
        <v>32.75</v>
      </c>
      <c r="F581" s="33">
        <v>33</v>
      </c>
      <c r="G581" s="29">
        <v>0</v>
      </c>
      <c r="H581" s="29">
        <v>-0.25</v>
      </c>
      <c r="I581" s="35">
        <v>33.25</v>
      </c>
      <c r="J581" s="34">
        <v>24800</v>
      </c>
      <c r="K581" s="34">
        <v>832300</v>
      </c>
    </row>
    <row r="582" spans="1:11" hidden="1">
      <c r="A582" s="29" t="s">
        <v>138</v>
      </c>
      <c r="B582" s="32">
        <v>38667</v>
      </c>
      <c r="C582" s="29">
        <v>33.25</v>
      </c>
      <c r="D582" s="35">
        <v>33.75</v>
      </c>
      <c r="E582" s="35">
        <v>32.75</v>
      </c>
      <c r="F582" s="33">
        <v>32.75</v>
      </c>
      <c r="G582" s="29">
        <v>0</v>
      </c>
      <c r="H582" s="29">
        <v>-0.25</v>
      </c>
      <c r="I582" s="35">
        <v>33</v>
      </c>
      <c r="J582" s="34">
        <v>12400</v>
      </c>
      <c r="K582" s="34">
        <v>412300</v>
      </c>
    </row>
    <row r="583" spans="1:11" hidden="1">
      <c r="A583" s="29" t="s">
        <v>138</v>
      </c>
      <c r="B583" s="32">
        <v>38672</v>
      </c>
      <c r="C583" s="29">
        <v>34.25</v>
      </c>
      <c r="D583" s="35">
        <v>35.5</v>
      </c>
      <c r="E583" s="35">
        <v>34.25</v>
      </c>
      <c r="F583" s="33">
        <v>34.75</v>
      </c>
      <c r="G583" s="29">
        <v>0</v>
      </c>
      <c r="H583" s="29">
        <v>2</v>
      </c>
      <c r="I583" s="35">
        <v>32.75</v>
      </c>
      <c r="J583" s="34">
        <v>680800</v>
      </c>
      <c r="K583" s="34">
        <v>23722625</v>
      </c>
    </row>
    <row r="584" spans="1:11" hidden="1">
      <c r="A584" s="29" t="s">
        <v>138</v>
      </c>
      <c r="B584" s="32">
        <v>38673</v>
      </c>
      <c r="C584" s="29">
        <v>34.75</v>
      </c>
      <c r="D584" s="35">
        <v>35</v>
      </c>
      <c r="E584" s="35">
        <v>34.5</v>
      </c>
      <c r="F584" s="33">
        <v>34.75</v>
      </c>
      <c r="G584" s="29">
        <v>0</v>
      </c>
      <c r="H584" s="29">
        <v>0</v>
      </c>
      <c r="I584" s="35">
        <v>34.75</v>
      </c>
      <c r="J584" s="34">
        <v>104800</v>
      </c>
      <c r="K584" s="34">
        <v>3650675</v>
      </c>
    </row>
    <row r="585" spans="1:11" hidden="1">
      <c r="A585" s="29" t="s">
        <v>138</v>
      </c>
      <c r="B585" s="32">
        <v>38674</v>
      </c>
      <c r="C585" s="29">
        <v>31.25</v>
      </c>
      <c r="D585" s="35">
        <v>33.25</v>
      </c>
      <c r="E585" s="35">
        <v>31.25</v>
      </c>
      <c r="F585" s="33">
        <v>31.75</v>
      </c>
      <c r="G585" s="29">
        <v>0</v>
      </c>
      <c r="H585" s="29">
        <v>-3</v>
      </c>
      <c r="I585" s="35">
        <v>34.75</v>
      </c>
      <c r="J585" s="34">
        <v>48400</v>
      </c>
      <c r="K585" s="34">
        <v>1547850</v>
      </c>
    </row>
    <row r="586" spans="1:11" hidden="1">
      <c r="A586" s="29" t="s">
        <v>138</v>
      </c>
      <c r="B586" s="32">
        <v>38677</v>
      </c>
      <c r="C586" s="29">
        <v>31.75</v>
      </c>
      <c r="D586" s="35">
        <v>33</v>
      </c>
      <c r="E586" s="35">
        <v>28</v>
      </c>
      <c r="F586" s="33">
        <v>28</v>
      </c>
      <c r="G586" s="29">
        <v>0</v>
      </c>
      <c r="H586" s="29">
        <v>-3.75</v>
      </c>
      <c r="I586" s="35">
        <v>31.75</v>
      </c>
      <c r="J586" s="34">
        <v>58800</v>
      </c>
      <c r="K586" s="34">
        <v>1706100</v>
      </c>
    </row>
    <row r="587" spans="1:11" hidden="1">
      <c r="A587" s="29" t="s">
        <v>138</v>
      </c>
      <c r="B587" s="32">
        <v>38678</v>
      </c>
      <c r="C587" s="29">
        <v>29.25</v>
      </c>
      <c r="D587" s="35">
        <v>29.75</v>
      </c>
      <c r="E587" s="35">
        <v>28</v>
      </c>
      <c r="F587" s="33">
        <v>29.25</v>
      </c>
      <c r="G587" s="29">
        <v>0</v>
      </c>
      <c r="H587" s="29">
        <v>1.25</v>
      </c>
      <c r="I587" s="35">
        <v>28</v>
      </c>
      <c r="J587" s="34">
        <v>58000</v>
      </c>
      <c r="K587" s="34">
        <v>1691200</v>
      </c>
    </row>
    <row r="588" spans="1:11" hidden="1">
      <c r="A588" s="29" t="s">
        <v>138</v>
      </c>
      <c r="B588" s="32">
        <v>38679</v>
      </c>
      <c r="C588" s="29">
        <v>29.25</v>
      </c>
      <c r="D588" s="35">
        <v>29.75</v>
      </c>
      <c r="E588" s="35">
        <v>28.25</v>
      </c>
      <c r="F588" s="33">
        <v>28.5</v>
      </c>
      <c r="G588" s="29">
        <v>0</v>
      </c>
      <c r="H588" s="29">
        <v>-0.75</v>
      </c>
      <c r="I588" s="35">
        <v>29.25</v>
      </c>
      <c r="J588" s="34">
        <v>54800</v>
      </c>
      <c r="K588" s="34">
        <v>1602875</v>
      </c>
    </row>
    <row r="589" spans="1:11" hidden="1">
      <c r="A589" s="29" t="s">
        <v>138</v>
      </c>
      <c r="B589" s="32">
        <v>38680</v>
      </c>
      <c r="C589" s="29">
        <v>28.75</v>
      </c>
      <c r="D589" s="35">
        <v>29</v>
      </c>
      <c r="E589" s="35">
        <v>28.25</v>
      </c>
      <c r="F589" s="33">
        <v>28.25</v>
      </c>
      <c r="G589" s="29">
        <v>0</v>
      </c>
      <c r="H589" s="29">
        <v>-0.25</v>
      </c>
      <c r="I589" s="35">
        <v>28.5</v>
      </c>
      <c r="J589" s="34">
        <v>105600</v>
      </c>
      <c r="K589" s="34">
        <v>3017250</v>
      </c>
    </row>
    <row r="590" spans="1:11" hidden="1">
      <c r="A590" s="29" t="s">
        <v>138</v>
      </c>
      <c r="B590" s="32">
        <v>38681</v>
      </c>
      <c r="C590" s="29">
        <v>27.75</v>
      </c>
      <c r="D590" s="35">
        <v>28.5</v>
      </c>
      <c r="E590" s="35">
        <v>27.75</v>
      </c>
      <c r="F590" s="33">
        <v>28.25</v>
      </c>
      <c r="G590" s="29">
        <v>0</v>
      </c>
      <c r="H590" s="29">
        <v>0</v>
      </c>
      <c r="I590" s="35">
        <v>28.25</v>
      </c>
      <c r="J590" s="34">
        <v>36400</v>
      </c>
      <c r="K590" s="34">
        <v>1025500</v>
      </c>
    </row>
    <row r="591" spans="1:11" hidden="1">
      <c r="A591" s="29" t="s">
        <v>138</v>
      </c>
      <c r="B591" s="32">
        <v>38684</v>
      </c>
      <c r="C591" s="29">
        <v>28.75</v>
      </c>
      <c r="D591" s="35">
        <v>30.75</v>
      </c>
      <c r="E591" s="35">
        <v>28.75</v>
      </c>
      <c r="F591" s="33">
        <v>30</v>
      </c>
      <c r="G591" s="29">
        <v>0</v>
      </c>
      <c r="H591" s="29">
        <v>1.75</v>
      </c>
      <c r="I591" s="35">
        <v>28.25</v>
      </c>
      <c r="J591" s="34">
        <v>161600</v>
      </c>
      <c r="K591" s="34">
        <v>4788050</v>
      </c>
    </row>
    <row r="592" spans="1:11" hidden="1">
      <c r="A592" s="29" t="s">
        <v>138</v>
      </c>
      <c r="B592" s="32">
        <v>38685</v>
      </c>
      <c r="C592" s="29">
        <v>30.75</v>
      </c>
      <c r="D592" s="35">
        <v>30.75</v>
      </c>
      <c r="E592" s="35">
        <v>29.75</v>
      </c>
      <c r="F592" s="33">
        <v>29.75</v>
      </c>
      <c r="G592" s="29">
        <v>0</v>
      </c>
      <c r="H592" s="29">
        <v>-0.25</v>
      </c>
      <c r="I592" s="35">
        <v>30</v>
      </c>
      <c r="J592" s="34">
        <v>22800</v>
      </c>
      <c r="K592" s="34">
        <v>684000</v>
      </c>
    </row>
    <row r="593" spans="1:11" hidden="1">
      <c r="A593" s="29" t="s">
        <v>138</v>
      </c>
      <c r="B593" s="32">
        <v>38686</v>
      </c>
      <c r="C593" s="29">
        <v>30</v>
      </c>
      <c r="D593" s="35">
        <v>30.5</v>
      </c>
      <c r="E593" s="35">
        <v>29.75</v>
      </c>
      <c r="F593" s="33">
        <v>29.75</v>
      </c>
      <c r="G593" s="29">
        <v>0</v>
      </c>
      <c r="H593" s="29">
        <v>0</v>
      </c>
      <c r="I593" s="35">
        <v>29.75</v>
      </c>
      <c r="J593" s="34">
        <v>15600</v>
      </c>
      <c r="K593" s="34">
        <v>468100</v>
      </c>
    </row>
    <row r="594" spans="1:11" hidden="1">
      <c r="A594" s="29" t="s">
        <v>138</v>
      </c>
      <c r="B594" s="32">
        <v>38687</v>
      </c>
      <c r="C594" s="29">
        <v>29.75</v>
      </c>
      <c r="D594" s="35">
        <v>29.75</v>
      </c>
      <c r="E594" s="35">
        <v>29.5</v>
      </c>
      <c r="F594" s="33">
        <v>29.5</v>
      </c>
      <c r="G594" s="29">
        <v>0</v>
      </c>
      <c r="H594" s="29">
        <v>-0.25</v>
      </c>
      <c r="I594" s="35">
        <v>29.75</v>
      </c>
      <c r="J594" s="34">
        <v>8800</v>
      </c>
      <c r="K594" s="34">
        <v>261650</v>
      </c>
    </row>
    <row r="595" spans="1:11" hidden="1">
      <c r="A595" s="29" t="s">
        <v>138</v>
      </c>
      <c r="B595" s="32">
        <v>38691</v>
      </c>
      <c r="C595" s="29">
        <v>28</v>
      </c>
      <c r="D595" s="35">
        <v>28.5</v>
      </c>
      <c r="E595" s="35">
        <v>28</v>
      </c>
      <c r="F595" s="33">
        <v>28.25</v>
      </c>
      <c r="G595" s="29">
        <v>0</v>
      </c>
      <c r="H595" s="29">
        <v>-1.25</v>
      </c>
      <c r="I595" s="35">
        <v>29.5</v>
      </c>
      <c r="J595" s="34">
        <v>13200</v>
      </c>
      <c r="K595" s="34">
        <v>375125</v>
      </c>
    </row>
    <row r="596" spans="1:11" hidden="1">
      <c r="A596" s="29" t="s">
        <v>138</v>
      </c>
      <c r="B596" s="32">
        <v>38692</v>
      </c>
      <c r="C596" s="29">
        <v>27</v>
      </c>
      <c r="D596" s="35">
        <v>29.25</v>
      </c>
      <c r="E596" s="35">
        <v>23.75</v>
      </c>
      <c r="F596" s="33">
        <v>26</v>
      </c>
      <c r="G596" s="29">
        <v>0</v>
      </c>
      <c r="H596" s="29">
        <v>-2.25</v>
      </c>
      <c r="I596" s="35">
        <v>28.25</v>
      </c>
      <c r="J596" s="34">
        <v>62400</v>
      </c>
      <c r="K596" s="34">
        <v>1621550</v>
      </c>
    </row>
    <row r="597" spans="1:11" hidden="1">
      <c r="A597" s="29" t="s">
        <v>138</v>
      </c>
      <c r="B597" s="32">
        <v>38693</v>
      </c>
      <c r="C597" s="29">
        <v>26.25</v>
      </c>
      <c r="D597" s="35">
        <v>27.5</v>
      </c>
      <c r="E597" s="35">
        <v>26</v>
      </c>
      <c r="F597" s="33">
        <v>26.25</v>
      </c>
      <c r="G597" s="29">
        <v>0</v>
      </c>
      <c r="H597" s="29">
        <v>0.25</v>
      </c>
      <c r="I597" s="35">
        <v>26</v>
      </c>
      <c r="J597" s="34">
        <v>25200</v>
      </c>
      <c r="K597" s="34">
        <v>663075</v>
      </c>
    </row>
    <row r="598" spans="1:11" hidden="1">
      <c r="A598" s="29" t="s">
        <v>138</v>
      </c>
      <c r="B598" s="32">
        <v>38694</v>
      </c>
      <c r="C598" s="29">
        <v>26</v>
      </c>
      <c r="D598" s="35">
        <v>27.25</v>
      </c>
      <c r="E598" s="35">
        <v>26</v>
      </c>
      <c r="F598" s="33">
        <v>26.25</v>
      </c>
      <c r="G598" s="29">
        <v>0</v>
      </c>
      <c r="H598" s="29">
        <v>0</v>
      </c>
      <c r="I598" s="35">
        <v>26.25</v>
      </c>
      <c r="J598" s="34">
        <v>46400</v>
      </c>
      <c r="K598" s="34">
        <v>1216825</v>
      </c>
    </row>
    <row r="599" spans="1:11" hidden="1">
      <c r="A599" s="29" t="s">
        <v>138</v>
      </c>
      <c r="B599" s="32">
        <v>38695</v>
      </c>
      <c r="C599" s="29">
        <v>26.25</v>
      </c>
      <c r="D599" s="35">
        <v>28.5</v>
      </c>
      <c r="E599" s="35">
        <v>26.25</v>
      </c>
      <c r="F599" s="33">
        <v>26.75</v>
      </c>
      <c r="G599" s="29">
        <v>0</v>
      </c>
      <c r="H599" s="29">
        <v>0.5</v>
      </c>
      <c r="I599" s="35">
        <v>26.25</v>
      </c>
      <c r="J599" s="34">
        <v>82800</v>
      </c>
      <c r="K599" s="34">
        <v>2225750</v>
      </c>
    </row>
    <row r="600" spans="1:11" hidden="1">
      <c r="A600" s="29" t="s">
        <v>138</v>
      </c>
      <c r="B600" s="32">
        <v>38698</v>
      </c>
      <c r="C600" s="29">
        <v>28</v>
      </c>
      <c r="D600" s="35">
        <v>28.5</v>
      </c>
      <c r="E600" s="35">
        <v>26.75</v>
      </c>
      <c r="F600" s="33">
        <v>26.75</v>
      </c>
      <c r="G600" s="29">
        <v>0</v>
      </c>
      <c r="H600" s="29">
        <v>0</v>
      </c>
      <c r="I600" s="35">
        <v>26.75</v>
      </c>
      <c r="J600" s="34">
        <v>47600</v>
      </c>
      <c r="K600" s="34">
        <v>1303050</v>
      </c>
    </row>
    <row r="601" spans="1:11" hidden="1">
      <c r="A601" s="29" t="s">
        <v>138</v>
      </c>
      <c r="B601" s="32">
        <v>38699</v>
      </c>
      <c r="C601" s="29">
        <v>27</v>
      </c>
      <c r="D601" s="35">
        <v>27</v>
      </c>
      <c r="E601" s="35">
        <v>26.25</v>
      </c>
      <c r="F601" s="33">
        <v>26.25</v>
      </c>
      <c r="G601" s="29">
        <v>0</v>
      </c>
      <c r="H601" s="29">
        <v>-0.5</v>
      </c>
      <c r="I601" s="35">
        <v>26.75</v>
      </c>
      <c r="J601" s="34">
        <v>24000</v>
      </c>
      <c r="K601" s="34">
        <v>631000</v>
      </c>
    </row>
    <row r="602" spans="1:11" hidden="1">
      <c r="A602" s="29" t="s">
        <v>138</v>
      </c>
      <c r="B602" s="32">
        <v>38700</v>
      </c>
      <c r="C602" s="29">
        <v>26.25</v>
      </c>
      <c r="D602" s="35">
        <v>26.25</v>
      </c>
      <c r="E602" s="35">
        <v>26</v>
      </c>
      <c r="F602" s="33">
        <v>26</v>
      </c>
      <c r="G602" s="29">
        <v>0</v>
      </c>
      <c r="H602" s="29">
        <v>-0.25</v>
      </c>
      <c r="I602" s="35">
        <v>26.25</v>
      </c>
      <c r="J602" s="34">
        <v>48000</v>
      </c>
      <c r="K602" s="34">
        <v>1259800</v>
      </c>
    </row>
    <row r="603" spans="1:11" hidden="1">
      <c r="A603" s="29" t="s">
        <v>138</v>
      </c>
      <c r="B603" s="32">
        <v>38702</v>
      </c>
      <c r="C603" s="29">
        <v>26.25</v>
      </c>
      <c r="D603" s="35">
        <v>26.25</v>
      </c>
      <c r="E603" s="35">
        <v>26</v>
      </c>
      <c r="F603" s="33">
        <v>26.25</v>
      </c>
      <c r="G603" s="29">
        <v>0</v>
      </c>
      <c r="H603" s="29">
        <v>0.25</v>
      </c>
      <c r="I603" s="35">
        <v>26</v>
      </c>
      <c r="J603" s="34">
        <v>158000</v>
      </c>
      <c r="K603" s="34">
        <v>4146150</v>
      </c>
    </row>
    <row r="604" spans="1:11" hidden="1">
      <c r="A604" s="29" t="s">
        <v>138</v>
      </c>
      <c r="B604" s="32">
        <v>38705</v>
      </c>
      <c r="C604" s="29">
        <v>26.25</v>
      </c>
      <c r="D604" s="35">
        <v>27</v>
      </c>
      <c r="E604" s="35">
        <v>26</v>
      </c>
      <c r="F604" s="33">
        <v>26.25</v>
      </c>
      <c r="G604" s="29">
        <v>0</v>
      </c>
      <c r="H604" s="29">
        <v>0</v>
      </c>
      <c r="I604" s="35">
        <v>26.25</v>
      </c>
      <c r="J604" s="34">
        <v>83600</v>
      </c>
      <c r="K604" s="34">
        <v>2194475</v>
      </c>
    </row>
    <row r="605" spans="1:11" hidden="1">
      <c r="A605" s="29" t="s">
        <v>138</v>
      </c>
      <c r="B605" s="32">
        <v>38706</v>
      </c>
      <c r="C605" s="29">
        <v>26</v>
      </c>
      <c r="D605" s="35">
        <v>26.25</v>
      </c>
      <c r="E605" s="35">
        <v>25</v>
      </c>
      <c r="F605" s="33">
        <v>25</v>
      </c>
      <c r="G605" s="29">
        <v>0</v>
      </c>
      <c r="H605" s="29">
        <v>-1.25</v>
      </c>
      <c r="I605" s="35">
        <v>26.25</v>
      </c>
      <c r="J605" s="34">
        <v>82800</v>
      </c>
      <c r="K605" s="34">
        <v>2117900</v>
      </c>
    </row>
    <row r="606" spans="1:11" hidden="1">
      <c r="A606" s="29" t="s">
        <v>138</v>
      </c>
      <c r="B606" s="32">
        <v>38707</v>
      </c>
      <c r="C606" s="29">
        <v>25</v>
      </c>
      <c r="D606" s="35">
        <v>25.25</v>
      </c>
      <c r="E606" s="35">
        <v>24.5</v>
      </c>
      <c r="F606" s="33">
        <v>24.75</v>
      </c>
      <c r="G606" s="29">
        <v>0</v>
      </c>
      <c r="H606" s="29">
        <v>-0.25</v>
      </c>
      <c r="I606" s="35">
        <v>25</v>
      </c>
      <c r="J606" s="34">
        <v>48400</v>
      </c>
      <c r="K606" s="34">
        <v>1209525</v>
      </c>
    </row>
    <row r="607" spans="1:11" hidden="1">
      <c r="A607" s="29" t="s">
        <v>138</v>
      </c>
      <c r="B607" s="32">
        <v>38708</v>
      </c>
      <c r="C607" s="29">
        <v>25</v>
      </c>
      <c r="D607" s="35">
        <v>25</v>
      </c>
      <c r="E607" s="35">
        <v>24.75</v>
      </c>
      <c r="F607" s="33">
        <v>24.75</v>
      </c>
      <c r="G607" s="29">
        <v>0</v>
      </c>
      <c r="H607" s="29">
        <v>0</v>
      </c>
      <c r="I607" s="35">
        <v>24.75</v>
      </c>
      <c r="J607" s="34">
        <v>90000</v>
      </c>
      <c r="K607" s="34">
        <v>2250425</v>
      </c>
    </row>
    <row r="608" spans="1:11" hidden="1">
      <c r="A608" s="29" t="s">
        <v>138</v>
      </c>
      <c r="B608" s="32">
        <v>38709</v>
      </c>
      <c r="C608" s="29">
        <v>25.75</v>
      </c>
      <c r="D608" s="35">
        <v>25.75</v>
      </c>
      <c r="E608" s="35">
        <v>24.75</v>
      </c>
      <c r="F608" s="33">
        <v>24.75</v>
      </c>
      <c r="G608" s="29">
        <v>0</v>
      </c>
      <c r="H608" s="29">
        <v>0</v>
      </c>
      <c r="I608" s="35">
        <v>24.75</v>
      </c>
      <c r="J608" s="34">
        <v>7200</v>
      </c>
      <c r="K608" s="34">
        <v>180600</v>
      </c>
    </row>
    <row r="609" spans="1:11" hidden="1">
      <c r="A609" s="29" t="s">
        <v>138</v>
      </c>
      <c r="B609" s="32">
        <v>38713</v>
      </c>
      <c r="C609" s="29">
        <v>24</v>
      </c>
      <c r="D609" s="35">
        <v>24</v>
      </c>
      <c r="E609" s="35">
        <v>22.5</v>
      </c>
      <c r="F609" s="33">
        <v>22.75</v>
      </c>
      <c r="G609" s="29">
        <v>0</v>
      </c>
      <c r="H609" s="29">
        <v>-2</v>
      </c>
      <c r="I609" s="35">
        <v>24.75</v>
      </c>
      <c r="J609" s="34">
        <v>33600</v>
      </c>
      <c r="K609" s="34">
        <v>787750</v>
      </c>
    </row>
    <row r="610" spans="1:11" hidden="1">
      <c r="A610" s="29" t="s">
        <v>138</v>
      </c>
      <c r="B610" s="32">
        <v>38714</v>
      </c>
      <c r="C610" s="29">
        <v>22.75</v>
      </c>
      <c r="D610" s="35">
        <v>25.75</v>
      </c>
      <c r="E610" s="35">
        <v>20.5</v>
      </c>
      <c r="F610" s="33">
        <v>22.5</v>
      </c>
      <c r="G610" s="29">
        <v>0</v>
      </c>
      <c r="H610" s="29">
        <v>-0.25</v>
      </c>
      <c r="I610" s="35">
        <v>22.75</v>
      </c>
      <c r="J610" s="34">
        <v>484000</v>
      </c>
      <c r="K610" s="34">
        <v>12011800</v>
      </c>
    </row>
    <row r="611" spans="1:11" hidden="1">
      <c r="A611" s="29" t="s">
        <v>138</v>
      </c>
      <c r="B611" s="32">
        <v>38715</v>
      </c>
      <c r="C611" s="29">
        <v>23.5</v>
      </c>
      <c r="D611" s="35">
        <v>24</v>
      </c>
      <c r="E611" s="35">
        <v>23.25</v>
      </c>
      <c r="F611" s="33">
        <v>23.25</v>
      </c>
      <c r="G611" s="29">
        <v>0</v>
      </c>
      <c r="H611" s="29">
        <v>0.75</v>
      </c>
      <c r="I611" s="35">
        <v>22.5</v>
      </c>
      <c r="J611" s="34">
        <v>91600</v>
      </c>
      <c r="K611" s="34">
        <v>2135750</v>
      </c>
    </row>
    <row r="612" spans="1:11" hidden="1">
      <c r="A612" s="29" t="s">
        <v>138</v>
      </c>
      <c r="B612" s="32">
        <v>38716</v>
      </c>
      <c r="C612" s="29">
        <v>23.25</v>
      </c>
      <c r="D612" s="35">
        <v>23.75</v>
      </c>
      <c r="E612" s="35">
        <v>23.25</v>
      </c>
      <c r="F612" s="33">
        <v>23.5</v>
      </c>
      <c r="G612" s="29">
        <v>0</v>
      </c>
      <c r="H612" s="29">
        <v>0.25</v>
      </c>
      <c r="I612" s="35">
        <v>23.25</v>
      </c>
      <c r="J612" s="34">
        <v>55600</v>
      </c>
      <c r="K612" s="34">
        <v>1298900</v>
      </c>
    </row>
    <row r="613" spans="1:11" hidden="1">
      <c r="A613" s="29" t="s">
        <v>138</v>
      </c>
      <c r="B613" s="32">
        <v>38719</v>
      </c>
      <c r="C613" s="29">
        <v>24</v>
      </c>
      <c r="D613" s="35">
        <v>24</v>
      </c>
      <c r="E613" s="35">
        <v>23.25</v>
      </c>
      <c r="F613" s="33">
        <v>24</v>
      </c>
      <c r="G613" s="29">
        <v>0</v>
      </c>
      <c r="H613" s="29">
        <v>0.5</v>
      </c>
      <c r="I613" s="35">
        <v>23.5</v>
      </c>
      <c r="J613" s="34">
        <v>9200</v>
      </c>
      <c r="K613" s="34">
        <v>221750</v>
      </c>
    </row>
    <row r="614" spans="1:11" hidden="1">
      <c r="A614" s="29" t="s">
        <v>138</v>
      </c>
      <c r="B614" s="32">
        <v>38720</v>
      </c>
      <c r="C614" s="29">
        <v>24</v>
      </c>
      <c r="D614" s="35">
        <v>25</v>
      </c>
      <c r="E614" s="35">
        <v>24</v>
      </c>
      <c r="F614" s="33">
        <v>24.5</v>
      </c>
      <c r="G614" s="29">
        <v>0</v>
      </c>
      <c r="H614" s="29">
        <v>0.5</v>
      </c>
      <c r="I614" s="35">
        <v>24</v>
      </c>
      <c r="J614" s="34">
        <v>14000</v>
      </c>
      <c r="K614" s="34">
        <v>339925</v>
      </c>
    </row>
    <row r="615" spans="1:11" hidden="1">
      <c r="A615" s="29" t="s">
        <v>138</v>
      </c>
      <c r="B615" s="32">
        <v>38723</v>
      </c>
      <c r="C615" s="29">
        <v>23</v>
      </c>
      <c r="D615" s="35">
        <v>23</v>
      </c>
      <c r="E615" s="35">
        <v>22.75</v>
      </c>
      <c r="F615" s="33">
        <v>23</v>
      </c>
      <c r="G615" s="29">
        <v>0</v>
      </c>
      <c r="H615" s="29">
        <v>-1.5</v>
      </c>
      <c r="I615" s="35">
        <v>24.5</v>
      </c>
      <c r="J615" s="34">
        <v>2800</v>
      </c>
      <c r="K615" s="34">
        <v>64350</v>
      </c>
    </row>
    <row r="616" spans="1:11" hidden="1">
      <c r="A616" s="29" t="s">
        <v>138</v>
      </c>
      <c r="B616" s="32">
        <v>38726</v>
      </c>
      <c r="C616" s="29">
        <v>21.75</v>
      </c>
      <c r="D616" s="35">
        <v>22.75</v>
      </c>
      <c r="E616" s="35">
        <v>21.25</v>
      </c>
      <c r="F616" s="33">
        <v>21.5</v>
      </c>
      <c r="G616" s="29">
        <v>0</v>
      </c>
      <c r="H616" s="29">
        <v>-1.5</v>
      </c>
      <c r="I616" s="35">
        <v>23</v>
      </c>
      <c r="J616" s="34">
        <v>70000</v>
      </c>
      <c r="K616" s="34">
        <v>1509150</v>
      </c>
    </row>
    <row r="617" spans="1:11" hidden="1">
      <c r="A617" s="29" t="s">
        <v>138</v>
      </c>
      <c r="B617" s="32">
        <v>38727</v>
      </c>
      <c r="C617" s="29">
        <v>21.5</v>
      </c>
      <c r="D617" s="35">
        <v>22.5</v>
      </c>
      <c r="E617" s="35">
        <v>21.5</v>
      </c>
      <c r="F617" s="33">
        <v>22.25</v>
      </c>
      <c r="G617" s="29">
        <v>0</v>
      </c>
      <c r="H617" s="29">
        <v>0.75</v>
      </c>
      <c r="I617" s="35">
        <v>21.5</v>
      </c>
      <c r="J617" s="34">
        <v>12800</v>
      </c>
      <c r="K617" s="34">
        <v>281925</v>
      </c>
    </row>
    <row r="618" spans="1:11" hidden="1">
      <c r="A618" s="29" t="s">
        <v>138</v>
      </c>
      <c r="B618" s="32">
        <v>38733</v>
      </c>
      <c r="C618" s="29">
        <v>21.25</v>
      </c>
      <c r="D618" s="35">
        <v>22</v>
      </c>
      <c r="E618" s="35">
        <v>21.25</v>
      </c>
      <c r="F618" s="33">
        <v>21.75</v>
      </c>
      <c r="G618" s="29">
        <v>0</v>
      </c>
      <c r="H618" s="29">
        <v>-0.5</v>
      </c>
      <c r="I618" s="35">
        <v>22.25</v>
      </c>
      <c r="J618" s="34">
        <v>7200</v>
      </c>
      <c r="K618" s="34">
        <v>155925</v>
      </c>
    </row>
    <row r="619" spans="1:11" hidden="1">
      <c r="A619" s="29" t="s">
        <v>138</v>
      </c>
      <c r="B619" s="32">
        <v>38735</v>
      </c>
      <c r="C619" s="29">
        <v>21.75</v>
      </c>
      <c r="D619" s="35">
        <v>22.5</v>
      </c>
      <c r="E619" s="35">
        <v>21.75</v>
      </c>
      <c r="F619" s="33">
        <v>22</v>
      </c>
      <c r="G619" s="29">
        <v>0</v>
      </c>
      <c r="H619" s="29">
        <v>0.25</v>
      </c>
      <c r="I619" s="35">
        <v>21.75</v>
      </c>
      <c r="J619" s="34">
        <v>44400</v>
      </c>
      <c r="K619" s="34">
        <v>975625</v>
      </c>
    </row>
    <row r="620" spans="1:11" hidden="1">
      <c r="A620" s="29" t="s">
        <v>138</v>
      </c>
      <c r="B620" s="32">
        <v>38736</v>
      </c>
      <c r="C620" s="29">
        <v>22.5</v>
      </c>
      <c r="D620" s="35">
        <v>23</v>
      </c>
      <c r="E620" s="35">
        <v>21.75</v>
      </c>
      <c r="F620" s="33">
        <v>21.75</v>
      </c>
      <c r="G620" s="29">
        <v>0</v>
      </c>
      <c r="H620" s="29">
        <v>-0.25</v>
      </c>
      <c r="I620" s="35">
        <v>22</v>
      </c>
      <c r="J620" s="34">
        <v>38000</v>
      </c>
      <c r="K620" s="34">
        <v>833700</v>
      </c>
    </row>
    <row r="621" spans="1:11" hidden="1">
      <c r="A621" s="29" t="s">
        <v>138</v>
      </c>
      <c r="B621" s="32">
        <v>38737</v>
      </c>
      <c r="C621" s="29">
        <v>22.5</v>
      </c>
      <c r="D621" s="35">
        <v>22.5</v>
      </c>
      <c r="E621" s="35">
        <v>21.75</v>
      </c>
      <c r="F621" s="33">
        <v>21.75</v>
      </c>
      <c r="G621" s="29">
        <v>0</v>
      </c>
      <c r="H621" s="29">
        <v>0</v>
      </c>
      <c r="I621" s="35">
        <v>21.75</v>
      </c>
      <c r="J621" s="34">
        <v>184000</v>
      </c>
      <c r="K621" s="34">
        <v>4010600</v>
      </c>
    </row>
    <row r="622" spans="1:11" hidden="1">
      <c r="A622" s="29" t="s">
        <v>138</v>
      </c>
      <c r="B622" s="32">
        <v>38740</v>
      </c>
      <c r="C622" s="29">
        <v>21.75</v>
      </c>
      <c r="D622" s="35">
        <v>21.75</v>
      </c>
      <c r="E622" s="35">
        <v>21.5</v>
      </c>
      <c r="F622" s="33">
        <v>21.75</v>
      </c>
      <c r="G622" s="29">
        <v>0</v>
      </c>
      <c r="H622" s="29">
        <v>0</v>
      </c>
      <c r="I622" s="35">
        <v>21.75</v>
      </c>
      <c r="J622" s="34">
        <v>139200</v>
      </c>
      <c r="K622" s="34">
        <v>3027525</v>
      </c>
    </row>
    <row r="623" spans="1:11" hidden="1">
      <c r="A623" s="29" t="s">
        <v>138</v>
      </c>
      <c r="B623" s="32">
        <v>38741</v>
      </c>
      <c r="C623" s="29">
        <v>21.75</v>
      </c>
      <c r="D623" s="35">
        <v>21.75</v>
      </c>
      <c r="E623" s="35">
        <v>21.75</v>
      </c>
      <c r="F623" s="33">
        <v>21.75</v>
      </c>
      <c r="G623" s="29">
        <v>0</v>
      </c>
      <c r="H623" s="29">
        <v>0</v>
      </c>
      <c r="I623" s="35">
        <v>21.75</v>
      </c>
      <c r="J623" s="34">
        <v>48800</v>
      </c>
      <c r="K623" s="34">
        <v>1061400</v>
      </c>
    </row>
    <row r="624" spans="1:11" hidden="1">
      <c r="A624" s="29" t="s">
        <v>138</v>
      </c>
      <c r="B624" s="32">
        <v>38742</v>
      </c>
      <c r="C624" s="29">
        <v>22.25</v>
      </c>
      <c r="D624" s="35">
        <v>22.5</v>
      </c>
      <c r="E624" s="35">
        <v>22.25</v>
      </c>
      <c r="F624" s="33">
        <v>22.5</v>
      </c>
      <c r="G624" s="29">
        <v>0</v>
      </c>
      <c r="H624" s="29">
        <v>0.75</v>
      </c>
      <c r="I624" s="35">
        <v>21.75</v>
      </c>
      <c r="J624" s="34">
        <v>63200</v>
      </c>
      <c r="K624" s="34">
        <v>1415975</v>
      </c>
    </row>
    <row r="625" spans="1:11" hidden="1">
      <c r="A625" s="29" t="s">
        <v>138</v>
      </c>
      <c r="B625" s="32">
        <v>38743</v>
      </c>
      <c r="C625" s="29">
        <v>23.75</v>
      </c>
      <c r="D625" s="35">
        <v>25.5</v>
      </c>
      <c r="E625" s="35">
        <v>23.75</v>
      </c>
      <c r="F625" s="33">
        <v>24.75</v>
      </c>
      <c r="G625" s="29">
        <v>0</v>
      </c>
      <c r="H625" s="29">
        <v>2.25</v>
      </c>
      <c r="I625" s="35">
        <v>22.5</v>
      </c>
      <c r="J625" s="34">
        <v>96000</v>
      </c>
      <c r="K625" s="34">
        <v>2373575</v>
      </c>
    </row>
    <row r="626" spans="1:11" hidden="1">
      <c r="A626" s="29" t="s">
        <v>138</v>
      </c>
      <c r="B626" s="32">
        <v>38744</v>
      </c>
      <c r="C626" s="29">
        <v>25</v>
      </c>
      <c r="D626" s="35">
        <v>26.25</v>
      </c>
      <c r="E626" s="35">
        <v>24</v>
      </c>
      <c r="F626" s="33">
        <v>24.25</v>
      </c>
      <c r="G626" s="29">
        <v>0</v>
      </c>
      <c r="H626" s="29">
        <v>-0.5</v>
      </c>
      <c r="I626" s="35">
        <v>24.75</v>
      </c>
      <c r="J626" s="34">
        <v>140400</v>
      </c>
      <c r="K626" s="34">
        <v>3561550</v>
      </c>
    </row>
    <row r="627" spans="1:11" hidden="1">
      <c r="A627" s="29" t="s">
        <v>138</v>
      </c>
      <c r="B627" s="32">
        <v>38747</v>
      </c>
      <c r="C627" s="29">
        <v>25.5</v>
      </c>
      <c r="D627" s="35">
        <v>25.5</v>
      </c>
      <c r="E627" s="35">
        <v>24.5</v>
      </c>
      <c r="F627" s="33">
        <v>25</v>
      </c>
      <c r="G627" s="29">
        <v>0</v>
      </c>
      <c r="H627" s="29">
        <v>0.75</v>
      </c>
      <c r="I627" s="35">
        <v>24.25</v>
      </c>
      <c r="J627" s="34">
        <v>24400</v>
      </c>
      <c r="K627" s="34">
        <v>610000</v>
      </c>
    </row>
    <row r="628" spans="1:11" hidden="1">
      <c r="A628" s="29" t="s">
        <v>138</v>
      </c>
      <c r="B628" s="32">
        <v>38748</v>
      </c>
      <c r="C628" s="29">
        <v>25.5</v>
      </c>
      <c r="D628" s="35">
        <v>26.5</v>
      </c>
      <c r="E628" s="35">
        <v>25</v>
      </c>
      <c r="F628" s="33">
        <v>26.25</v>
      </c>
      <c r="G628" s="29">
        <v>0</v>
      </c>
      <c r="H628" s="29">
        <v>1.25</v>
      </c>
      <c r="I628" s="35">
        <v>25</v>
      </c>
      <c r="J628" s="34">
        <v>304400</v>
      </c>
      <c r="K628" s="34">
        <v>7949100</v>
      </c>
    </row>
    <row r="629" spans="1:11" hidden="1">
      <c r="A629" s="29" t="s">
        <v>138</v>
      </c>
      <c r="B629" s="32">
        <v>38749</v>
      </c>
      <c r="C629" s="29">
        <v>26.5</v>
      </c>
      <c r="D629" s="35">
        <v>26.75</v>
      </c>
      <c r="E629" s="35">
        <v>25</v>
      </c>
      <c r="F629" s="33">
        <v>25.75</v>
      </c>
      <c r="G629" s="29">
        <v>0</v>
      </c>
      <c r="H629" s="29">
        <v>-0.5</v>
      </c>
      <c r="I629" s="35">
        <v>26.25</v>
      </c>
      <c r="J629" s="34">
        <v>184400</v>
      </c>
      <c r="K629" s="34">
        <v>4743450</v>
      </c>
    </row>
    <row r="630" spans="1:11" hidden="1">
      <c r="A630" s="29" t="s">
        <v>138</v>
      </c>
      <c r="B630" s="32">
        <v>38750</v>
      </c>
      <c r="C630" s="29">
        <v>26</v>
      </c>
      <c r="D630" s="35">
        <v>26.25</v>
      </c>
      <c r="E630" s="35">
        <v>25.25</v>
      </c>
      <c r="F630" s="33">
        <v>25.5</v>
      </c>
      <c r="G630" s="29">
        <v>0</v>
      </c>
      <c r="H630" s="29">
        <v>-0.25</v>
      </c>
      <c r="I630" s="35">
        <v>25.75</v>
      </c>
      <c r="J630" s="34">
        <v>23200</v>
      </c>
      <c r="K630" s="34">
        <v>594925</v>
      </c>
    </row>
    <row r="631" spans="1:11" hidden="1">
      <c r="A631" s="29" t="s">
        <v>138</v>
      </c>
      <c r="B631" s="32">
        <v>38754</v>
      </c>
      <c r="C631" s="29">
        <v>25.25</v>
      </c>
      <c r="D631" s="35">
        <v>25.75</v>
      </c>
      <c r="E631" s="35">
        <v>25</v>
      </c>
      <c r="F631" s="33">
        <v>25</v>
      </c>
      <c r="G631" s="29">
        <v>0</v>
      </c>
      <c r="H631" s="29">
        <v>-0.5</v>
      </c>
      <c r="I631" s="35">
        <v>25.5</v>
      </c>
      <c r="J631" s="34">
        <v>60000</v>
      </c>
      <c r="K631" s="34">
        <v>1520275</v>
      </c>
    </row>
    <row r="632" spans="1:11" hidden="1">
      <c r="A632" s="29" t="s">
        <v>138</v>
      </c>
      <c r="B632" s="32">
        <v>38755</v>
      </c>
      <c r="C632" s="29">
        <v>25.75</v>
      </c>
      <c r="D632" s="35">
        <v>26</v>
      </c>
      <c r="E632" s="35">
        <v>25.75</v>
      </c>
      <c r="F632" s="33">
        <v>25.75</v>
      </c>
      <c r="G632" s="29">
        <v>0</v>
      </c>
      <c r="H632" s="29">
        <v>0.75</v>
      </c>
      <c r="I632" s="35">
        <v>25</v>
      </c>
      <c r="J632" s="34">
        <v>7600</v>
      </c>
      <c r="K632" s="34">
        <v>196700</v>
      </c>
    </row>
    <row r="633" spans="1:11" hidden="1">
      <c r="A633" s="29" t="s">
        <v>138</v>
      </c>
      <c r="B633" s="32">
        <v>38756</v>
      </c>
      <c r="C633" s="29">
        <v>25.25</v>
      </c>
      <c r="D633" s="35">
        <v>25.25</v>
      </c>
      <c r="E633" s="35">
        <v>25</v>
      </c>
      <c r="F633" s="33">
        <v>25</v>
      </c>
      <c r="G633" s="29">
        <v>0</v>
      </c>
      <c r="H633" s="29">
        <v>-0.75</v>
      </c>
      <c r="I633" s="35">
        <v>25.75</v>
      </c>
      <c r="J633" s="34">
        <v>23600</v>
      </c>
      <c r="K633" s="34">
        <v>591550</v>
      </c>
    </row>
    <row r="634" spans="1:11" hidden="1">
      <c r="A634" s="29" t="s">
        <v>138</v>
      </c>
      <c r="B634" s="32">
        <v>38757</v>
      </c>
      <c r="C634" s="29">
        <v>25</v>
      </c>
      <c r="D634" s="35">
        <v>25</v>
      </c>
      <c r="E634" s="35">
        <v>24.5</v>
      </c>
      <c r="F634" s="33">
        <v>24.5</v>
      </c>
      <c r="G634" s="29">
        <v>0</v>
      </c>
      <c r="H634" s="29">
        <v>-0.5</v>
      </c>
      <c r="I634" s="35">
        <v>25</v>
      </c>
      <c r="J634" s="34">
        <v>16800</v>
      </c>
      <c r="K634" s="34">
        <v>414450</v>
      </c>
    </row>
    <row r="635" spans="1:11" hidden="1">
      <c r="A635" s="29" t="s">
        <v>138</v>
      </c>
      <c r="B635" s="32">
        <v>38758</v>
      </c>
      <c r="C635" s="29">
        <v>25</v>
      </c>
      <c r="D635" s="35">
        <v>25</v>
      </c>
      <c r="E635" s="35">
        <v>25</v>
      </c>
      <c r="F635" s="33">
        <v>25</v>
      </c>
      <c r="G635" s="29">
        <v>0</v>
      </c>
      <c r="H635" s="29">
        <v>0.5</v>
      </c>
      <c r="I635" s="35">
        <v>24.5</v>
      </c>
      <c r="J635" s="34">
        <v>400</v>
      </c>
      <c r="K635" s="34">
        <v>10000</v>
      </c>
    </row>
    <row r="636" spans="1:11" hidden="1">
      <c r="A636" s="29" t="s">
        <v>138</v>
      </c>
      <c r="B636" s="32">
        <v>38761</v>
      </c>
      <c r="C636" s="29">
        <v>25</v>
      </c>
      <c r="D636" s="35">
        <v>26</v>
      </c>
      <c r="E636" s="35">
        <v>25</v>
      </c>
      <c r="F636" s="33">
        <v>25.25</v>
      </c>
      <c r="G636" s="29">
        <v>0</v>
      </c>
      <c r="H636" s="29">
        <v>0.25</v>
      </c>
      <c r="I636" s="35">
        <v>25</v>
      </c>
      <c r="J636" s="34">
        <v>4000</v>
      </c>
      <c r="K636" s="34">
        <v>101000</v>
      </c>
    </row>
    <row r="637" spans="1:11" hidden="1">
      <c r="A637" s="29" t="s">
        <v>138</v>
      </c>
      <c r="B637" s="32">
        <v>38762</v>
      </c>
      <c r="C637" s="29">
        <v>26</v>
      </c>
      <c r="D637" s="35">
        <v>26</v>
      </c>
      <c r="E637" s="35">
        <v>24.5</v>
      </c>
      <c r="F637" s="33">
        <v>25.5</v>
      </c>
      <c r="G637" s="29">
        <v>0</v>
      </c>
      <c r="H637" s="29">
        <v>0.25</v>
      </c>
      <c r="I637" s="35">
        <v>25.25</v>
      </c>
      <c r="J637" s="34">
        <v>2000</v>
      </c>
      <c r="K637" s="34">
        <v>51300</v>
      </c>
    </row>
    <row r="638" spans="1:11" hidden="1">
      <c r="A638" s="29" t="s">
        <v>138</v>
      </c>
      <c r="B638" s="32">
        <v>38763</v>
      </c>
      <c r="C638" s="29">
        <v>25.5</v>
      </c>
      <c r="D638" s="35">
        <v>26</v>
      </c>
      <c r="E638" s="35">
        <v>25.5</v>
      </c>
      <c r="F638" s="33">
        <v>26</v>
      </c>
      <c r="G638" s="29">
        <v>0</v>
      </c>
      <c r="H638" s="29">
        <v>0.5</v>
      </c>
      <c r="I638" s="35">
        <v>25.5</v>
      </c>
      <c r="J638" s="34">
        <v>125200</v>
      </c>
      <c r="K638" s="34">
        <v>3248000</v>
      </c>
    </row>
    <row r="639" spans="1:11" hidden="1">
      <c r="A639" s="29" t="s">
        <v>138</v>
      </c>
      <c r="B639" s="32">
        <v>38764</v>
      </c>
      <c r="C639" s="29">
        <v>26</v>
      </c>
      <c r="D639" s="35">
        <v>26</v>
      </c>
      <c r="E639" s="35">
        <v>25.25</v>
      </c>
      <c r="F639" s="33">
        <v>25.5</v>
      </c>
      <c r="G639" s="29">
        <v>0</v>
      </c>
      <c r="H639" s="29">
        <v>-0.5</v>
      </c>
      <c r="I639" s="35">
        <v>26</v>
      </c>
      <c r="J639" s="34">
        <v>42400</v>
      </c>
      <c r="K639" s="34">
        <v>1087450</v>
      </c>
    </row>
    <row r="640" spans="1:11" hidden="1">
      <c r="A640" s="29" t="s">
        <v>138</v>
      </c>
      <c r="B640" s="32">
        <v>38765</v>
      </c>
      <c r="C640" s="29">
        <v>25.25</v>
      </c>
      <c r="D640" s="35">
        <v>25.25</v>
      </c>
      <c r="E640" s="35">
        <v>25.25</v>
      </c>
      <c r="F640" s="33">
        <v>25.25</v>
      </c>
      <c r="G640" s="29">
        <v>0</v>
      </c>
      <c r="H640" s="29">
        <v>-0.25</v>
      </c>
      <c r="I640" s="35">
        <v>25.5</v>
      </c>
      <c r="J640" s="34">
        <v>22000</v>
      </c>
      <c r="K640" s="34">
        <v>555550</v>
      </c>
    </row>
    <row r="641" spans="1:11" hidden="1">
      <c r="A641" s="29" t="s">
        <v>138</v>
      </c>
      <c r="B641" s="32">
        <v>38768</v>
      </c>
      <c r="C641" s="29">
        <v>25</v>
      </c>
      <c r="D641" s="35">
        <v>26</v>
      </c>
      <c r="E641" s="35">
        <v>25</v>
      </c>
      <c r="F641" s="33">
        <v>26</v>
      </c>
      <c r="G641" s="29">
        <v>0</v>
      </c>
      <c r="H641" s="29">
        <v>0.75</v>
      </c>
      <c r="I641" s="35">
        <v>25.25</v>
      </c>
      <c r="J641" s="34">
        <v>5200</v>
      </c>
      <c r="K641" s="34">
        <v>132750</v>
      </c>
    </row>
    <row r="642" spans="1:11" hidden="1">
      <c r="A642" s="29" t="s">
        <v>138</v>
      </c>
      <c r="B642" s="32">
        <v>38769</v>
      </c>
      <c r="C642" s="29">
        <v>25</v>
      </c>
      <c r="D642" s="35">
        <v>25.75</v>
      </c>
      <c r="E642" s="35">
        <v>24.5</v>
      </c>
      <c r="F642" s="33">
        <v>25.5</v>
      </c>
      <c r="G642" s="29">
        <v>0</v>
      </c>
      <c r="H642" s="29">
        <v>-0.5</v>
      </c>
      <c r="I642" s="35">
        <v>26</v>
      </c>
      <c r="J642" s="34">
        <v>456800</v>
      </c>
      <c r="K642" s="34">
        <v>11421675</v>
      </c>
    </row>
    <row r="643" spans="1:11" hidden="1">
      <c r="A643" s="29" t="s">
        <v>138</v>
      </c>
      <c r="B643" s="32">
        <v>38770</v>
      </c>
      <c r="C643" s="29">
        <v>25.5</v>
      </c>
      <c r="D643" s="35">
        <v>27.75</v>
      </c>
      <c r="E643" s="35">
        <v>25.5</v>
      </c>
      <c r="F643" s="33">
        <v>27.25</v>
      </c>
      <c r="G643" s="29">
        <v>0</v>
      </c>
      <c r="H643" s="29">
        <v>1.75</v>
      </c>
      <c r="I643" s="35">
        <v>25.5</v>
      </c>
      <c r="J643" s="34">
        <v>1359600</v>
      </c>
      <c r="K643" s="34">
        <v>36500400</v>
      </c>
    </row>
    <row r="644" spans="1:11" hidden="1">
      <c r="A644" s="29" t="s">
        <v>138</v>
      </c>
      <c r="B644" s="32">
        <v>38771</v>
      </c>
      <c r="C644" s="29">
        <v>28</v>
      </c>
      <c r="D644" s="35">
        <v>29.25</v>
      </c>
      <c r="E644" s="35">
        <v>28</v>
      </c>
      <c r="F644" s="33">
        <v>28</v>
      </c>
      <c r="G644" s="29">
        <v>0</v>
      </c>
      <c r="H644" s="29">
        <v>0.75</v>
      </c>
      <c r="I644" s="35">
        <v>27.25</v>
      </c>
      <c r="J644" s="34">
        <v>296000</v>
      </c>
      <c r="K644" s="34">
        <v>8483050</v>
      </c>
    </row>
    <row r="645" spans="1:11" hidden="1">
      <c r="A645" s="29" t="s">
        <v>138</v>
      </c>
      <c r="B645" s="32">
        <v>38772</v>
      </c>
      <c r="C645" s="29">
        <v>28.75</v>
      </c>
      <c r="D645" s="35">
        <v>29.5</v>
      </c>
      <c r="E645" s="35">
        <v>28.75</v>
      </c>
      <c r="F645" s="33">
        <v>29.25</v>
      </c>
      <c r="G645" s="29">
        <v>0</v>
      </c>
      <c r="H645" s="29">
        <v>1.25</v>
      </c>
      <c r="I645" s="35">
        <v>28</v>
      </c>
      <c r="J645" s="34">
        <v>742800</v>
      </c>
      <c r="K645" s="34">
        <v>21739875</v>
      </c>
    </row>
    <row r="646" spans="1:11" hidden="1">
      <c r="A646" s="29" t="s">
        <v>138</v>
      </c>
      <c r="B646" s="32">
        <v>38775</v>
      </c>
      <c r="C646" s="29">
        <v>29.25</v>
      </c>
      <c r="D646" s="35">
        <v>30.5</v>
      </c>
      <c r="E646" s="35">
        <v>29.25</v>
      </c>
      <c r="F646" s="33">
        <v>29.5</v>
      </c>
      <c r="G646" s="29">
        <v>0</v>
      </c>
      <c r="H646" s="29">
        <v>0.25</v>
      </c>
      <c r="I646" s="35">
        <v>29.25</v>
      </c>
      <c r="J646" s="34">
        <v>687600</v>
      </c>
      <c r="K646" s="34">
        <v>20476700</v>
      </c>
    </row>
    <row r="647" spans="1:11" hidden="1">
      <c r="A647" s="29" t="s">
        <v>138</v>
      </c>
      <c r="B647" s="32">
        <v>38776</v>
      </c>
      <c r="C647" s="29">
        <v>30.25</v>
      </c>
      <c r="D647" s="35">
        <v>30.25</v>
      </c>
      <c r="E647" s="35">
        <v>29</v>
      </c>
      <c r="F647" s="33">
        <v>29</v>
      </c>
      <c r="G647" s="29">
        <v>0</v>
      </c>
      <c r="H647" s="29">
        <v>-0.5</v>
      </c>
      <c r="I647" s="35">
        <v>29.5</v>
      </c>
      <c r="J647" s="34">
        <v>96400</v>
      </c>
      <c r="K647" s="34">
        <v>2825650</v>
      </c>
    </row>
    <row r="648" spans="1:11" hidden="1">
      <c r="A648" s="29" t="s">
        <v>138</v>
      </c>
      <c r="B648" s="32">
        <v>38777</v>
      </c>
      <c r="C648" s="29">
        <v>29</v>
      </c>
      <c r="D648" s="35">
        <v>29.75</v>
      </c>
      <c r="E648" s="35">
        <v>29</v>
      </c>
      <c r="F648" s="33">
        <v>29.25</v>
      </c>
      <c r="G648" s="29">
        <v>0</v>
      </c>
      <c r="H648" s="29">
        <v>0.25</v>
      </c>
      <c r="I648" s="35">
        <v>29</v>
      </c>
      <c r="J648" s="34">
        <v>68400</v>
      </c>
      <c r="K648" s="34">
        <v>1997850</v>
      </c>
    </row>
    <row r="649" spans="1:11" hidden="1">
      <c r="A649" s="29" t="s">
        <v>138</v>
      </c>
      <c r="B649" s="32">
        <v>38778</v>
      </c>
      <c r="C649" s="29">
        <v>29.5</v>
      </c>
      <c r="D649" s="35">
        <v>30</v>
      </c>
      <c r="E649" s="35">
        <v>29.25</v>
      </c>
      <c r="F649" s="33">
        <v>29.25</v>
      </c>
      <c r="G649" s="29">
        <v>0</v>
      </c>
      <c r="H649" s="29">
        <v>0</v>
      </c>
      <c r="I649" s="35">
        <v>29.25</v>
      </c>
      <c r="J649" s="34">
        <v>52800</v>
      </c>
      <c r="K649" s="34">
        <v>1565075</v>
      </c>
    </row>
    <row r="650" spans="1:11" hidden="1">
      <c r="A650" s="29" t="s">
        <v>138</v>
      </c>
      <c r="B650" s="32">
        <v>38779</v>
      </c>
      <c r="C650" s="29">
        <v>29.25</v>
      </c>
      <c r="D650" s="35">
        <v>29.5</v>
      </c>
      <c r="E650" s="35">
        <v>29</v>
      </c>
      <c r="F650" s="33">
        <v>29</v>
      </c>
      <c r="G650" s="29">
        <v>0</v>
      </c>
      <c r="H650" s="29">
        <v>-0.25</v>
      </c>
      <c r="I650" s="35">
        <v>29.25</v>
      </c>
      <c r="J650" s="34">
        <v>24400</v>
      </c>
      <c r="K650" s="34">
        <v>716725</v>
      </c>
    </row>
    <row r="651" spans="1:11" hidden="1">
      <c r="A651" s="29" t="s">
        <v>138</v>
      </c>
      <c r="B651" s="32">
        <v>38782</v>
      </c>
      <c r="C651" s="29">
        <v>28.75</v>
      </c>
      <c r="D651" s="35">
        <v>29</v>
      </c>
      <c r="E651" s="35">
        <v>28.75</v>
      </c>
      <c r="F651" s="33">
        <v>29</v>
      </c>
      <c r="G651" s="29">
        <v>0</v>
      </c>
      <c r="H651" s="29">
        <v>0</v>
      </c>
      <c r="I651" s="35">
        <v>29</v>
      </c>
      <c r="J651" s="34">
        <v>14800</v>
      </c>
      <c r="K651" s="34">
        <v>428375</v>
      </c>
    </row>
    <row r="652" spans="1:11" hidden="1">
      <c r="A652" s="29" t="s">
        <v>138</v>
      </c>
      <c r="B652" s="32">
        <v>38783</v>
      </c>
      <c r="C652" s="29">
        <v>29</v>
      </c>
      <c r="D652" s="35">
        <v>29.25</v>
      </c>
      <c r="E652" s="35">
        <v>28.75</v>
      </c>
      <c r="F652" s="33">
        <v>29</v>
      </c>
      <c r="G652" s="29">
        <v>0</v>
      </c>
      <c r="H652" s="29">
        <v>0</v>
      </c>
      <c r="I652" s="35">
        <v>29</v>
      </c>
      <c r="J652" s="34">
        <v>118400</v>
      </c>
      <c r="K652" s="34">
        <v>3435925</v>
      </c>
    </row>
    <row r="653" spans="1:11" hidden="1">
      <c r="A653" s="29" t="s">
        <v>138</v>
      </c>
      <c r="B653" s="32">
        <v>38784</v>
      </c>
      <c r="C653" s="29">
        <v>29.25</v>
      </c>
      <c r="D653" s="35">
        <v>32.5</v>
      </c>
      <c r="E653" s="35">
        <v>29.25</v>
      </c>
      <c r="F653" s="33">
        <v>32</v>
      </c>
      <c r="G653" s="29">
        <v>0</v>
      </c>
      <c r="H653" s="29">
        <v>3</v>
      </c>
      <c r="I653" s="35">
        <v>29</v>
      </c>
      <c r="J653" s="34">
        <v>1951200</v>
      </c>
      <c r="K653" s="34">
        <v>61592625</v>
      </c>
    </row>
    <row r="654" spans="1:11" hidden="1">
      <c r="A654" s="29" t="s">
        <v>138</v>
      </c>
      <c r="B654" s="32">
        <v>38785</v>
      </c>
      <c r="C654" s="29">
        <v>32.5</v>
      </c>
      <c r="D654" s="35">
        <v>33</v>
      </c>
      <c r="E654" s="35">
        <v>32</v>
      </c>
      <c r="F654" s="33">
        <v>32.5</v>
      </c>
      <c r="G654" s="29">
        <v>0</v>
      </c>
      <c r="H654" s="29">
        <v>0.5</v>
      </c>
      <c r="I654" s="35">
        <v>32</v>
      </c>
      <c r="J654" s="34">
        <v>3376000</v>
      </c>
      <c r="K654" s="34">
        <v>109635375</v>
      </c>
    </row>
    <row r="655" spans="1:11" hidden="1">
      <c r="A655" s="29" t="s">
        <v>138</v>
      </c>
      <c r="B655" s="32">
        <v>38786</v>
      </c>
      <c r="C655" s="29">
        <v>32.5</v>
      </c>
      <c r="D655" s="35">
        <v>32.5</v>
      </c>
      <c r="E655" s="35">
        <v>31.5</v>
      </c>
      <c r="F655" s="33">
        <v>31.75</v>
      </c>
      <c r="G655" s="29">
        <v>0</v>
      </c>
      <c r="H655" s="29">
        <v>-0.75</v>
      </c>
      <c r="I655" s="35">
        <v>32.5</v>
      </c>
      <c r="J655" s="34">
        <v>23600</v>
      </c>
      <c r="K655" s="34">
        <v>752150</v>
      </c>
    </row>
    <row r="656" spans="1:11" hidden="1">
      <c r="A656" s="29" t="s">
        <v>138</v>
      </c>
      <c r="B656" s="32">
        <v>38789</v>
      </c>
      <c r="C656" s="29">
        <v>31.75</v>
      </c>
      <c r="D656" s="35">
        <v>32.25</v>
      </c>
      <c r="E656" s="35">
        <v>31.5</v>
      </c>
      <c r="F656" s="33">
        <v>31.75</v>
      </c>
      <c r="G656" s="29">
        <v>0</v>
      </c>
      <c r="H656" s="29">
        <v>0</v>
      </c>
      <c r="I656" s="35">
        <v>31.75</v>
      </c>
      <c r="J656" s="34">
        <v>96000</v>
      </c>
      <c r="K656" s="34">
        <v>3091850</v>
      </c>
    </row>
    <row r="657" spans="1:11" hidden="1">
      <c r="A657" s="29" t="s">
        <v>138</v>
      </c>
      <c r="B657" s="32">
        <v>38791</v>
      </c>
      <c r="C657" s="29">
        <v>32</v>
      </c>
      <c r="D657" s="35">
        <v>32</v>
      </c>
      <c r="E657" s="35">
        <v>32</v>
      </c>
      <c r="F657" s="33">
        <v>32</v>
      </c>
      <c r="G657" s="29">
        <v>0</v>
      </c>
      <c r="H657" s="29">
        <v>0.25</v>
      </c>
      <c r="I657" s="35">
        <v>31.75</v>
      </c>
      <c r="J657" s="34">
        <v>71600</v>
      </c>
      <c r="K657" s="34">
        <v>2291450</v>
      </c>
    </row>
    <row r="658" spans="1:11" hidden="1">
      <c r="A658" s="29" t="s">
        <v>138</v>
      </c>
      <c r="B658" s="32">
        <v>38792</v>
      </c>
      <c r="C658" s="29">
        <v>32.25</v>
      </c>
      <c r="D658" s="35">
        <v>32.25</v>
      </c>
      <c r="E658" s="35">
        <v>32</v>
      </c>
      <c r="F658" s="33">
        <v>32</v>
      </c>
      <c r="G658" s="29">
        <v>0</v>
      </c>
      <c r="H658" s="29">
        <v>0</v>
      </c>
      <c r="I658" s="35">
        <v>32</v>
      </c>
      <c r="J658" s="34">
        <v>42000</v>
      </c>
      <c r="K658" s="34">
        <v>1344500</v>
      </c>
    </row>
    <row r="659" spans="1:11" hidden="1">
      <c r="A659" s="29" t="s">
        <v>138</v>
      </c>
      <c r="B659" s="32">
        <v>38793</v>
      </c>
      <c r="C659" s="29">
        <v>31.25</v>
      </c>
      <c r="D659" s="35">
        <v>31.75</v>
      </c>
      <c r="E659" s="35">
        <v>31.25</v>
      </c>
      <c r="F659" s="33">
        <v>31.75</v>
      </c>
      <c r="G659" s="29">
        <v>0</v>
      </c>
      <c r="H659" s="29">
        <v>-0.25</v>
      </c>
      <c r="I659" s="35">
        <v>32</v>
      </c>
      <c r="J659" s="34">
        <v>21200</v>
      </c>
      <c r="K659" s="34">
        <v>663200</v>
      </c>
    </row>
    <row r="660" spans="1:11" hidden="1">
      <c r="A660" s="29" t="s">
        <v>138</v>
      </c>
      <c r="B660" s="32">
        <v>38796</v>
      </c>
      <c r="C660" s="29">
        <v>30.25</v>
      </c>
      <c r="D660" s="35">
        <v>31.25</v>
      </c>
      <c r="E660" s="35">
        <v>30.25</v>
      </c>
      <c r="F660" s="33">
        <v>31</v>
      </c>
      <c r="G660" s="29">
        <v>0</v>
      </c>
      <c r="H660" s="29">
        <v>-0.75</v>
      </c>
      <c r="I660" s="35">
        <v>31.75</v>
      </c>
      <c r="J660" s="34">
        <v>47200</v>
      </c>
      <c r="K660" s="34">
        <v>1468200</v>
      </c>
    </row>
    <row r="661" spans="1:11" hidden="1">
      <c r="A661" s="29" t="s">
        <v>138</v>
      </c>
      <c r="B661" s="32">
        <v>38797</v>
      </c>
      <c r="C661" s="29">
        <v>30.5</v>
      </c>
      <c r="D661" s="35">
        <v>30.75</v>
      </c>
      <c r="E661" s="35">
        <v>30.5</v>
      </c>
      <c r="F661" s="33">
        <v>30.5</v>
      </c>
      <c r="G661" s="29">
        <v>0</v>
      </c>
      <c r="H661" s="29">
        <v>-0.5</v>
      </c>
      <c r="I661" s="35">
        <v>31</v>
      </c>
      <c r="J661" s="34">
        <v>104800</v>
      </c>
      <c r="K661" s="34">
        <v>3220950</v>
      </c>
    </row>
    <row r="662" spans="1:11" hidden="1">
      <c r="A662" s="29" t="s">
        <v>138</v>
      </c>
      <c r="B662" s="32">
        <v>38798</v>
      </c>
      <c r="C662" s="29">
        <v>30.5</v>
      </c>
      <c r="D662" s="35">
        <v>30.5</v>
      </c>
      <c r="E662" s="35">
        <v>30</v>
      </c>
      <c r="F662" s="33">
        <v>30</v>
      </c>
      <c r="G662" s="29">
        <v>0</v>
      </c>
      <c r="H662" s="29">
        <v>-0.5</v>
      </c>
      <c r="I662" s="35">
        <v>30.5</v>
      </c>
      <c r="J662" s="34">
        <v>38000</v>
      </c>
      <c r="K662" s="34">
        <v>1151400</v>
      </c>
    </row>
    <row r="663" spans="1:11" hidden="1">
      <c r="A663" s="29" t="s">
        <v>138</v>
      </c>
      <c r="B663" s="32">
        <v>38799</v>
      </c>
      <c r="C663" s="29">
        <v>30</v>
      </c>
      <c r="D663" s="35">
        <v>30.25</v>
      </c>
      <c r="E663" s="35">
        <v>30</v>
      </c>
      <c r="F663" s="33">
        <v>30</v>
      </c>
      <c r="G663" s="29">
        <v>0</v>
      </c>
      <c r="H663" s="29">
        <v>0</v>
      </c>
      <c r="I663" s="35">
        <v>30</v>
      </c>
      <c r="J663" s="34">
        <v>52000</v>
      </c>
      <c r="K663" s="34">
        <v>1561500</v>
      </c>
    </row>
    <row r="664" spans="1:11" hidden="1">
      <c r="A664" s="29" t="s">
        <v>138</v>
      </c>
      <c r="B664" s="32">
        <v>38800</v>
      </c>
      <c r="C664" s="29">
        <v>30</v>
      </c>
      <c r="D664" s="35">
        <v>31.25</v>
      </c>
      <c r="E664" s="35">
        <v>30</v>
      </c>
      <c r="F664" s="33">
        <v>31.25</v>
      </c>
      <c r="G664" s="29">
        <v>0</v>
      </c>
      <c r="H664" s="29">
        <v>1.25</v>
      </c>
      <c r="I664" s="35">
        <v>30</v>
      </c>
      <c r="J664" s="34">
        <v>809200</v>
      </c>
      <c r="K664" s="34">
        <v>25264325</v>
      </c>
    </row>
    <row r="665" spans="1:11" hidden="1">
      <c r="A665" s="29" t="s">
        <v>138</v>
      </c>
      <c r="B665" s="32">
        <v>38803</v>
      </c>
      <c r="C665" s="29">
        <v>30.5</v>
      </c>
      <c r="D665" s="35">
        <v>32</v>
      </c>
      <c r="E665" s="35">
        <v>30</v>
      </c>
      <c r="F665" s="33">
        <v>31.25</v>
      </c>
      <c r="G665" s="29">
        <v>0</v>
      </c>
      <c r="H665" s="29">
        <v>0</v>
      </c>
      <c r="I665" s="35">
        <v>31.25</v>
      </c>
      <c r="J665" s="34">
        <v>257600</v>
      </c>
      <c r="K665" s="34">
        <v>8032250</v>
      </c>
    </row>
    <row r="666" spans="1:11" hidden="1">
      <c r="A666" s="29" t="s">
        <v>138</v>
      </c>
      <c r="B666" s="32">
        <v>38804</v>
      </c>
      <c r="C666" s="29">
        <v>31</v>
      </c>
      <c r="D666" s="35">
        <v>31</v>
      </c>
      <c r="E666" s="35">
        <v>30.5</v>
      </c>
      <c r="F666" s="33">
        <v>30.5</v>
      </c>
      <c r="G666" s="29">
        <v>0</v>
      </c>
      <c r="H666" s="29">
        <v>-0.75</v>
      </c>
      <c r="I666" s="35">
        <v>31.25</v>
      </c>
      <c r="J666" s="34">
        <v>20800</v>
      </c>
      <c r="K666" s="34">
        <v>635850</v>
      </c>
    </row>
    <row r="667" spans="1:11" hidden="1">
      <c r="A667" s="29" t="s">
        <v>138</v>
      </c>
      <c r="B667" s="32">
        <v>38805</v>
      </c>
      <c r="C667" s="29">
        <v>30</v>
      </c>
      <c r="D667" s="35">
        <v>30</v>
      </c>
      <c r="E667" s="35">
        <v>30</v>
      </c>
      <c r="F667" s="33">
        <v>30</v>
      </c>
      <c r="G667" s="29">
        <v>0</v>
      </c>
      <c r="H667" s="29">
        <v>-0.5</v>
      </c>
      <c r="I667" s="35">
        <v>30.5</v>
      </c>
      <c r="J667" s="34">
        <v>4400</v>
      </c>
      <c r="K667" s="34">
        <v>132225</v>
      </c>
    </row>
    <row r="668" spans="1:11" hidden="1">
      <c r="A668" s="29" t="s">
        <v>138</v>
      </c>
      <c r="B668" s="32">
        <v>38806</v>
      </c>
      <c r="C668" s="29">
        <v>30.75</v>
      </c>
      <c r="D668" s="35">
        <v>31.25</v>
      </c>
      <c r="E668" s="35">
        <v>30.75</v>
      </c>
      <c r="F668" s="33">
        <v>31</v>
      </c>
      <c r="G668" s="29">
        <v>0</v>
      </c>
      <c r="H668" s="29">
        <v>1</v>
      </c>
      <c r="I668" s="35">
        <v>30</v>
      </c>
      <c r="J668" s="34">
        <v>95200</v>
      </c>
      <c r="K668" s="34">
        <v>2957350</v>
      </c>
    </row>
    <row r="669" spans="1:11" hidden="1">
      <c r="A669" s="29" t="s">
        <v>138</v>
      </c>
      <c r="B669" s="32">
        <v>38807</v>
      </c>
      <c r="C669" s="29">
        <v>31.25</v>
      </c>
      <c r="D669" s="35">
        <v>31.25</v>
      </c>
      <c r="E669" s="35">
        <v>31</v>
      </c>
      <c r="F669" s="33">
        <v>31</v>
      </c>
      <c r="G669" s="29">
        <v>0</v>
      </c>
      <c r="H669" s="29">
        <v>0</v>
      </c>
      <c r="I669" s="35">
        <v>31</v>
      </c>
      <c r="J669" s="34">
        <v>63600</v>
      </c>
      <c r="K669" s="34">
        <v>1981700</v>
      </c>
    </row>
    <row r="670" spans="1:11" hidden="1">
      <c r="A670" s="29" t="s">
        <v>138</v>
      </c>
      <c r="B670" s="32">
        <v>38810</v>
      </c>
      <c r="C670" s="29">
        <v>31.25</v>
      </c>
      <c r="D670" s="35">
        <v>31.5</v>
      </c>
      <c r="E670" s="35">
        <v>31</v>
      </c>
      <c r="F670" s="33">
        <v>31.25</v>
      </c>
      <c r="G670" s="29">
        <v>0</v>
      </c>
      <c r="H670" s="29">
        <v>0.25</v>
      </c>
      <c r="I670" s="35">
        <v>31</v>
      </c>
      <c r="J670" s="34">
        <v>46000</v>
      </c>
      <c r="K670" s="34">
        <v>1436000</v>
      </c>
    </row>
    <row r="671" spans="1:11" hidden="1">
      <c r="A671" s="29" t="s">
        <v>138</v>
      </c>
      <c r="B671" s="32">
        <v>38811</v>
      </c>
      <c r="C671" s="29">
        <v>31.5</v>
      </c>
      <c r="D671" s="35">
        <v>32.5</v>
      </c>
      <c r="E671" s="35">
        <v>31.5</v>
      </c>
      <c r="F671" s="33">
        <v>31.75</v>
      </c>
      <c r="G671" s="29">
        <v>0</v>
      </c>
      <c r="H671" s="29">
        <v>0.5</v>
      </c>
      <c r="I671" s="35">
        <v>31.25</v>
      </c>
      <c r="J671" s="34">
        <v>48400</v>
      </c>
      <c r="K671" s="34">
        <v>1542350</v>
      </c>
    </row>
    <row r="672" spans="1:11" hidden="1">
      <c r="A672" s="29" t="s">
        <v>138</v>
      </c>
      <c r="B672" s="32">
        <v>38812</v>
      </c>
      <c r="C672" s="29">
        <v>32.25</v>
      </c>
      <c r="D672" s="35">
        <v>32.25</v>
      </c>
      <c r="E672" s="35">
        <v>32</v>
      </c>
      <c r="F672" s="33">
        <v>32</v>
      </c>
      <c r="G672" s="29">
        <v>0</v>
      </c>
      <c r="H672" s="29">
        <v>0.25</v>
      </c>
      <c r="I672" s="35">
        <v>31.75</v>
      </c>
      <c r="J672" s="34">
        <v>35200</v>
      </c>
      <c r="K672" s="34">
        <v>1130300</v>
      </c>
    </row>
    <row r="673" spans="1:11" hidden="1">
      <c r="A673" s="29" t="s">
        <v>138</v>
      </c>
      <c r="B673" s="32">
        <v>38813</v>
      </c>
      <c r="C673" s="29">
        <v>32</v>
      </c>
      <c r="D673" s="35">
        <v>32</v>
      </c>
      <c r="E673" s="35">
        <v>31.25</v>
      </c>
      <c r="F673" s="33">
        <v>31.25</v>
      </c>
      <c r="G673" s="29">
        <v>0</v>
      </c>
      <c r="H673" s="29">
        <v>-0.75</v>
      </c>
      <c r="I673" s="35">
        <v>32</v>
      </c>
      <c r="J673" s="34">
        <v>435200</v>
      </c>
      <c r="K673" s="34">
        <v>13602275</v>
      </c>
    </row>
    <row r="674" spans="1:11" hidden="1">
      <c r="A674" s="29" t="s">
        <v>138</v>
      </c>
      <c r="B674" s="32">
        <v>38814</v>
      </c>
      <c r="C674" s="29">
        <v>31.25</v>
      </c>
      <c r="D674" s="35">
        <v>32.25</v>
      </c>
      <c r="E674" s="35">
        <v>31.25</v>
      </c>
      <c r="F674" s="33">
        <v>31.75</v>
      </c>
      <c r="G674" s="29">
        <v>0</v>
      </c>
      <c r="H674" s="29">
        <v>0.5</v>
      </c>
      <c r="I674" s="35">
        <v>31.25</v>
      </c>
      <c r="J674" s="34">
        <v>448000</v>
      </c>
      <c r="K674" s="34">
        <v>14034275</v>
      </c>
    </row>
    <row r="675" spans="1:11" hidden="1">
      <c r="A675" s="29" t="s">
        <v>138</v>
      </c>
      <c r="B675" s="32">
        <v>38817</v>
      </c>
      <c r="C675" s="29">
        <v>31.75</v>
      </c>
      <c r="D675" s="35">
        <v>32</v>
      </c>
      <c r="E675" s="35">
        <v>31.75</v>
      </c>
      <c r="F675" s="33">
        <v>32</v>
      </c>
      <c r="G675" s="29">
        <v>0</v>
      </c>
      <c r="H675" s="29">
        <v>0.25</v>
      </c>
      <c r="I675" s="35">
        <v>31.75</v>
      </c>
      <c r="J675" s="34">
        <v>29200</v>
      </c>
      <c r="K675" s="34">
        <v>936350</v>
      </c>
    </row>
    <row r="676" spans="1:11" hidden="1">
      <c r="A676" s="29" t="s">
        <v>138</v>
      </c>
      <c r="B676" s="32">
        <v>38824</v>
      </c>
      <c r="C676" s="29">
        <v>31.25</v>
      </c>
      <c r="D676" s="35">
        <v>31.25</v>
      </c>
      <c r="E676" s="35">
        <v>30.25</v>
      </c>
      <c r="F676" s="33">
        <v>30.25</v>
      </c>
      <c r="G676" s="29">
        <v>0</v>
      </c>
      <c r="H676" s="29">
        <v>-1.75</v>
      </c>
      <c r="I676" s="35">
        <v>32</v>
      </c>
      <c r="J676" s="34">
        <v>26400</v>
      </c>
      <c r="K676" s="34">
        <v>813050</v>
      </c>
    </row>
    <row r="677" spans="1:11" hidden="1">
      <c r="A677" s="29" t="s">
        <v>138</v>
      </c>
      <c r="B677" s="32">
        <v>38825</v>
      </c>
      <c r="C677" s="29">
        <v>30.75</v>
      </c>
      <c r="D677" s="35">
        <v>31.5</v>
      </c>
      <c r="E677" s="35">
        <v>30.75</v>
      </c>
      <c r="F677" s="33">
        <v>31.25</v>
      </c>
      <c r="G677" s="29">
        <v>0</v>
      </c>
      <c r="H677" s="29">
        <v>1</v>
      </c>
      <c r="I677" s="35">
        <v>30.25</v>
      </c>
      <c r="J677" s="34">
        <v>9200</v>
      </c>
      <c r="K677" s="34">
        <v>287075</v>
      </c>
    </row>
    <row r="678" spans="1:11" hidden="1">
      <c r="A678" s="29" t="s">
        <v>138</v>
      </c>
      <c r="B678" s="32">
        <v>38827</v>
      </c>
      <c r="C678" s="29">
        <v>30.75</v>
      </c>
      <c r="D678" s="35">
        <v>30.75</v>
      </c>
      <c r="E678" s="35">
        <v>30</v>
      </c>
      <c r="F678" s="33">
        <v>30.5</v>
      </c>
      <c r="G678" s="29">
        <v>0</v>
      </c>
      <c r="H678" s="29">
        <v>-0.75</v>
      </c>
      <c r="I678" s="35">
        <v>31.25</v>
      </c>
      <c r="J678" s="34">
        <v>9200</v>
      </c>
      <c r="K678" s="34">
        <v>281725</v>
      </c>
    </row>
    <row r="679" spans="1:11" hidden="1">
      <c r="A679" s="29" t="s">
        <v>138</v>
      </c>
      <c r="B679" s="32">
        <v>38828</v>
      </c>
      <c r="C679" s="29">
        <v>30.75</v>
      </c>
      <c r="D679" s="35">
        <v>30.75</v>
      </c>
      <c r="E679" s="35">
        <v>30.5</v>
      </c>
      <c r="F679" s="33">
        <v>30.5</v>
      </c>
      <c r="G679" s="29">
        <v>0</v>
      </c>
      <c r="H679" s="29">
        <v>0</v>
      </c>
      <c r="I679" s="35">
        <v>30.5</v>
      </c>
      <c r="J679" s="34">
        <v>16800</v>
      </c>
      <c r="K679" s="34">
        <v>516025</v>
      </c>
    </row>
    <row r="680" spans="1:11" hidden="1">
      <c r="A680" s="29" t="s">
        <v>138</v>
      </c>
      <c r="B680" s="32">
        <v>38831</v>
      </c>
      <c r="C680" s="29">
        <v>29.5</v>
      </c>
      <c r="D680" s="35">
        <v>29.5</v>
      </c>
      <c r="E680" s="35">
        <v>29.5</v>
      </c>
      <c r="F680" s="33">
        <v>29.5</v>
      </c>
      <c r="G680" s="29">
        <v>0</v>
      </c>
      <c r="H680" s="29">
        <v>-1</v>
      </c>
      <c r="I680" s="35">
        <v>30.5</v>
      </c>
      <c r="J680" s="34">
        <v>400</v>
      </c>
      <c r="K680" s="34">
        <v>11800</v>
      </c>
    </row>
    <row r="681" spans="1:11" hidden="1">
      <c r="A681" s="29" t="s">
        <v>138</v>
      </c>
      <c r="B681" s="32">
        <v>38832</v>
      </c>
      <c r="C681" s="29">
        <v>29.5</v>
      </c>
      <c r="D681" s="35">
        <v>30</v>
      </c>
      <c r="E681" s="35">
        <v>26.75</v>
      </c>
      <c r="F681" s="33">
        <v>28.5</v>
      </c>
      <c r="G681" s="29">
        <v>0</v>
      </c>
      <c r="H681" s="29">
        <v>-1</v>
      </c>
      <c r="I681" s="35">
        <v>29.5</v>
      </c>
      <c r="J681" s="34">
        <v>50800</v>
      </c>
      <c r="K681" s="34">
        <v>1483800</v>
      </c>
    </row>
    <row r="682" spans="1:11" hidden="1">
      <c r="A682" s="29" t="s">
        <v>138</v>
      </c>
      <c r="B682" s="32">
        <v>38833</v>
      </c>
      <c r="C682" s="29">
        <v>25</v>
      </c>
      <c r="D682" s="35">
        <v>27.5</v>
      </c>
      <c r="E682" s="35">
        <v>25</v>
      </c>
      <c r="F682" s="33">
        <v>26.25</v>
      </c>
      <c r="G682" s="29">
        <v>0</v>
      </c>
      <c r="H682" s="29">
        <v>-2.25</v>
      </c>
      <c r="I682" s="35">
        <v>28.5</v>
      </c>
      <c r="J682" s="34">
        <v>58400</v>
      </c>
      <c r="K682" s="34">
        <v>1537500</v>
      </c>
    </row>
    <row r="683" spans="1:11" hidden="1">
      <c r="A683" s="29" t="s">
        <v>138</v>
      </c>
      <c r="B683" s="32">
        <v>38834</v>
      </c>
      <c r="C683" s="29">
        <v>27.5</v>
      </c>
      <c r="D683" s="35">
        <v>28.5</v>
      </c>
      <c r="E683" s="35">
        <v>27.5</v>
      </c>
      <c r="F683" s="33">
        <v>27.75</v>
      </c>
      <c r="G683" s="29">
        <v>0</v>
      </c>
      <c r="H683" s="29">
        <v>1.5</v>
      </c>
      <c r="I683" s="35">
        <v>26.25</v>
      </c>
      <c r="J683" s="34">
        <v>17200</v>
      </c>
      <c r="K683" s="34">
        <v>479375</v>
      </c>
    </row>
    <row r="684" spans="1:11" hidden="1">
      <c r="A684" s="29" t="s">
        <v>138</v>
      </c>
      <c r="B684" s="32">
        <v>38835</v>
      </c>
      <c r="C684" s="29">
        <v>28.5</v>
      </c>
      <c r="D684" s="35">
        <v>29</v>
      </c>
      <c r="E684" s="35">
        <v>28.25</v>
      </c>
      <c r="F684" s="33">
        <v>28.5</v>
      </c>
      <c r="G684" s="29">
        <v>0</v>
      </c>
      <c r="H684" s="29">
        <v>0.75</v>
      </c>
      <c r="I684" s="35">
        <v>27.75</v>
      </c>
      <c r="J684" s="34">
        <v>112000</v>
      </c>
      <c r="K684" s="34">
        <v>3215300</v>
      </c>
    </row>
    <row r="685" spans="1:11" hidden="1">
      <c r="A685" s="29" t="s">
        <v>138</v>
      </c>
      <c r="B685" s="32">
        <v>38839</v>
      </c>
      <c r="C685" s="29">
        <v>28.75</v>
      </c>
      <c r="D685" s="35">
        <v>28.75</v>
      </c>
      <c r="E685" s="35">
        <v>28.75</v>
      </c>
      <c r="F685" s="33">
        <v>28.75</v>
      </c>
      <c r="G685" s="29">
        <v>0</v>
      </c>
      <c r="H685" s="29">
        <v>0.25</v>
      </c>
      <c r="I685" s="35">
        <v>28.5</v>
      </c>
      <c r="J685" s="34">
        <v>44800</v>
      </c>
      <c r="K685" s="34">
        <v>1288000</v>
      </c>
    </row>
    <row r="686" spans="1:11" hidden="1">
      <c r="A686" s="29" t="s">
        <v>138</v>
      </c>
      <c r="B686" s="32">
        <v>38840</v>
      </c>
      <c r="C686" s="29">
        <v>28.25</v>
      </c>
      <c r="D686" s="35">
        <v>28.25</v>
      </c>
      <c r="E686" s="35">
        <v>28</v>
      </c>
      <c r="F686" s="33">
        <v>28.25</v>
      </c>
      <c r="G686" s="29">
        <v>0</v>
      </c>
      <c r="H686" s="29">
        <v>-0.5</v>
      </c>
      <c r="I686" s="35">
        <v>28.75</v>
      </c>
      <c r="J686" s="34">
        <v>88400</v>
      </c>
      <c r="K686" s="34">
        <v>2497200</v>
      </c>
    </row>
    <row r="687" spans="1:11" hidden="1">
      <c r="A687" s="29" t="s">
        <v>138</v>
      </c>
      <c r="B687" s="32">
        <v>38841</v>
      </c>
      <c r="C687" s="29">
        <v>28.25</v>
      </c>
      <c r="D687" s="35">
        <v>28.25</v>
      </c>
      <c r="E687" s="35">
        <v>28.25</v>
      </c>
      <c r="F687" s="33">
        <v>28.25</v>
      </c>
      <c r="G687" s="29">
        <v>0</v>
      </c>
      <c r="H687" s="29">
        <v>0</v>
      </c>
      <c r="I687" s="35">
        <v>28.25</v>
      </c>
      <c r="J687" s="34">
        <v>9200</v>
      </c>
      <c r="K687" s="34">
        <v>259900</v>
      </c>
    </row>
    <row r="688" spans="1:11" hidden="1">
      <c r="A688" s="29" t="s">
        <v>138</v>
      </c>
      <c r="B688" s="32">
        <v>38842</v>
      </c>
      <c r="C688" s="29">
        <v>28.25</v>
      </c>
      <c r="D688" s="35">
        <v>28.25</v>
      </c>
      <c r="E688" s="35">
        <v>28.25</v>
      </c>
      <c r="F688" s="33">
        <v>28.25</v>
      </c>
      <c r="G688" s="29">
        <v>0</v>
      </c>
      <c r="H688" s="29">
        <v>0</v>
      </c>
      <c r="I688" s="35">
        <v>28.25</v>
      </c>
      <c r="J688" s="34">
        <v>20800</v>
      </c>
      <c r="K688" s="34">
        <v>587600</v>
      </c>
    </row>
    <row r="689" spans="1:11" hidden="1">
      <c r="A689" s="29" t="s">
        <v>138</v>
      </c>
      <c r="B689" s="32">
        <v>38846</v>
      </c>
      <c r="C689" s="29">
        <v>26.75</v>
      </c>
      <c r="D689" s="35">
        <v>26.75</v>
      </c>
      <c r="E689" s="35">
        <v>26.25</v>
      </c>
      <c r="F689" s="33">
        <v>26.5</v>
      </c>
      <c r="G689" s="29">
        <v>0</v>
      </c>
      <c r="H689" s="29">
        <v>-1.75</v>
      </c>
      <c r="I689" s="35">
        <v>28.25</v>
      </c>
      <c r="J689" s="34">
        <v>2000</v>
      </c>
      <c r="K689" s="34">
        <v>52975</v>
      </c>
    </row>
    <row r="690" spans="1:11" hidden="1">
      <c r="A690" s="29" t="s">
        <v>138</v>
      </c>
      <c r="B690" s="32">
        <v>38847</v>
      </c>
      <c r="C690" s="29">
        <v>26.5</v>
      </c>
      <c r="D690" s="35">
        <v>26.5</v>
      </c>
      <c r="E690" s="35">
        <v>26.5</v>
      </c>
      <c r="F690" s="33">
        <v>26.5</v>
      </c>
      <c r="G690" s="29">
        <v>0</v>
      </c>
      <c r="H690" s="29">
        <v>0</v>
      </c>
      <c r="I690" s="35">
        <v>26.5</v>
      </c>
      <c r="J690" s="34">
        <v>18800</v>
      </c>
      <c r="K690" s="34">
        <v>499200</v>
      </c>
    </row>
    <row r="691" spans="1:11" hidden="1">
      <c r="A691" s="29" t="s">
        <v>138</v>
      </c>
      <c r="B691" s="32">
        <v>38852</v>
      </c>
      <c r="C691" s="29">
        <v>26.25</v>
      </c>
      <c r="D691" s="35">
        <v>26.25</v>
      </c>
      <c r="E691" s="35">
        <v>25</v>
      </c>
      <c r="F691" s="33">
        <v>25</v>
      </c>
      <c r="G691" s="29">
        <v>0</v>
      </c>
      <c r="H691" s="29">
        <v>-1.5</v>
      </c>
      <c r="I691" s="35">
        <v>26.5</v>
      </c>
      <c r="J691" s="34">
        <v>14000</v>
      </c>
      <c r="K691" s="34">
        <v>355400</v>
      </c>
    </row>
    <row r="692" spans="1:11" hidden="1">
      <c r="A692" s="29" t="s">
        <v>138</v>
      </c>
      <c r="B692" s="32">
        <v>38853</v>
      </c>
      <c r="C692" s="29">
        <v>25.25</v>
      </c>
      <c r="D692" s="35">
        <v>25.25</v>
      </c>
      <c r="E692" s="35">
        <v>25</v>
      </c>
      <c r="F692" s="33">
        <v>25.25</v>
      </c>
      <c r="G692" s="29">
        <v>0</v>
      </c>
      <c r="H692" s="29">
        <v>0.25</v>
      </c>
      <c r="I692" s="35">
        <v>25</v>
      </c>
      <c r="J692" s="34">
        <v>2400</v>
      </c>
      <c r="K692" s="34">
        <v>60550</v>
      </c>
    </row>
    <row r="693" spans="1:11" hidden="1">
      <c r="A693" s="29" t="s">
        <v>138</v>
      </c>
      <c r="B693" s="32">
        <v>38854</v>
      </c>
      <c r="C693" s="29">
        <v>25.25</v>
      </c>
      <c r="D693" s="35">
        <v>25.25</v>
      </c>
      <c r="E693" s="35">
        <v>25.25</v>
      </c>
      <c r="F693" s="33">
        <v>25.25</v>
      </c>
      <c r="G693" s="29">
        <v>0</v>
      </c>
      <c r="H693" s="29">
        <v>0</v>
      </c>
      <c r="I693" s="35">
        <v>25.25</v>
      </c>
      <c r="J693" s="34">
        <v>35600</v>
      </c>
      <c r="K693" s="34">
        <v>898950</v>
      </c>
    </row>
    <row r="694" spans="1:11" hidden="1">
      <c r="A694" s="29" t="s">
        <v>138</v>
      </c>
      <c r="B694" s="32">
        <v>38855</v>
      </c>
      <c r="C694" s="29">
        <v>25.25</v>
      </c>
      <c r="D694" s="35">
        <v>25.25</v>
      </c>
      <c r="E694" s="35">
        <v>25.25</v>
      </c>
      <c r="F694" s="33">
        <v>25.25</v>
      </c>
      <c r="G694" s="29">
        <v>0</v>
      </c>
      <c r="H694" s="29">
        <v>0</v>
      </c>
      <c r="I694" s="35">
        <v>25.25</v>
      </c>
      <c r="J694" s="34">
        <v>2000</v>
      </c>
      <c r="K694" s="34">
        <v>50500</v>
      </c>
    </row>
    <row r="695" spans="1:11" hidden="1">
      <c r="A695" s="29" t="s">
        <v>138</v>
      </c>
      <c r="B695" s="32">
        <v>38856</v>
      </c>
      <c r="C695" s="29">
        <v>26</v>
      </c>
      <c r="D695" s="35">
        <v>26.25</v>
      </c>
      <c r="E695" s="35">
        <v>26</v>
      </c>
      <c r="F695" s="33">
        <v>26.25</v>
      </c>
      <c r="G695" s="29">
        <v>0</v>
      </c>
      <c r="H695" s="29">
        <v>1</v>
      </c>
      <c r="I695" s="35">
        <v>25.25</v>
      </c>
      <c r="J695" s="34">
        <v>28800</v>
      </c>
      <c r="K695" s="34">
        <v>755600</v>
      </c>
    </row>
    <row r="696" spans="1:11" hidden="1">
      <c r="A696" s="29" t="s">
        <v>138</v>
      </c>
      <c r="B696" s="32">
        <v>38859</v>
      </c>
      <c r="C696" s="29">
        <v>26.5</v>
      </c>
      <c r="D696" s="35">
        <v>27.25</v>
      </c>
      <c r="E696" s="35">
        <v>26.25</v>
      </c>
      <c r="F696" s="33">
        <v>26.25</v>
      </c>
      <c r="G696" s="29">
        <v>0</v>
      </c>
      <c r="H696" s="29">
        <v>0</v>
      </c>
      <c r="I696" s="35">
        <v>26.25</v>
      </c>
      <c r="J696" s="34">
        <v>8800</v>
      </c>
      <c r="K696" s="34">
        <v>234850</v>
      </c>
    </row>
    <row r="697" spans="1:11" hidden="1">
      <c r="A697" s="29" t="s">
        <v>138</v>
      </c>
      <c r="B697" s="32">
        <v>38860</v>
      </c>
      <c r="C697" s="29">
        <v>27</v>
      </c>
      <c r="D697" s="35">
        <v>27</v>
      </c>
      <c r="E697" s="35">
        <v>26.25</v>
      </c>
      <c r="F697" s="33">
        <v>26.25</v>
      </c>
      <c r="G697" s="29">
        <v>0</v>
      </c>
      <c r="H697" s="29">
        <v>0</v>
      </c>
      <c r="I697" s="35">
        <v>26.25</v>
      </c>
      <c r="J697" s="34">
        <v>35600</v>
      </c>
      <c r="K697" s="34">
        <v>935150</v>
      </c>
    </row>
    <row r="698" spans="1:11" hidden="1">
      <c r="A698" s="29" t="s">
        <v>138</v>
      </c>
      <c r="B698" s="32">
        <v>38861</v>
      </c>
      <c r="C698" s="29">
        <v>27</v>
      </c>
      <c r="D698" s="35">
        <v>27</v>
      </c>
      <c r="E698" s="35">
        <v>27</v>
      </c>
      <c r="F698" s="33">
        <v>27</v>
      </c>
      <c r="G698" s="29">
        <v>0</v>
      </c>
      <c r="H698" s="29">
        <v>0.75</v>
      </c>
      <c r="I698" s="35">
        <v>26.25</v>
      </c>
      <c r="J698" s="34">
        <v>400</v>
      </c>
      <c r="K698" s="34">
        <v>10800</v>
      </c>
    </row>
    <row r="699" spans="1:11" hidden="1">
      <c r="A699" s="29" t="s">
        <v>138</v>
      </c>
      <c r="B699" s="32">
        <v>38862</v>
      </c>
      <c r="C699" s="29">
        <v>26.75</v>
      </c>
      <c r="D699" s="35">
        <v>26.75</v>
      </c>
      <c r="E699" s="35">
        <v>26.75</v>
      </c>
      <c r="F699" s="33">
        <v>26.75</v>
      </c>
      <c r="G699" s="29">
        <v>0</v>
      </c>
      <c r="H699" s="29">
        <v>-0.25</v>
      </c>
      <c r="I699" s="35">
        <v>27</v>
      </c>
      <c r="J699" s="34">
        <v>800</v>
      </c>
      <c r="K699" s="34">
        <v>21400</v>
      </c>
    </row>
    <row r="700" spans="1:11" hidden="1">
      <c r="A700" s="29" t="s">
        <v>138</v>
      </c>
      <c r="B700" s="32">
        <v>38866</v>
      </c>
      <c r="C700" s="29">
        <v>26.25</v>
      </c>
      <c r="D700" s="35">
        <v>26.25</v>
      </c>
      <c r="E700" s="35">
        <v>26</v>
      </c>
      <c r="F700" s="33">
        <v>26.25</v>
      </c>
      <c r="G700" s="29">
        <v>0</v>
      </c>
      <c r="H700" s="29">
        <v>-0.5</v>
      </c>
      <c r="I700" s="35">
        <v>26.75</v>
      </c>
      <c r="J700" s="34">
        <v>23200</v>
      </c>
      <c r="K700" s="34">
        <v>606775</v>
      </c>
    </row>
    <row r="701" spans="1:11" hidden="1">
      <c r="A701" s="29" t="s">
        <v>138</v>
      </c>
      <c r="B701" s="32">
        <v>38867</v>
      </c>
      <c r="C701" s="29">
        <v>26.25</v>
      </c>
      <c r="D701" s="35">
        <v>26.5</v>
      </c>
      <c r="E701" s="35">
        <v>26.25</v>
      </c>
      <c r="F701" s="33">
        <v>26.25</v>
      </c>
      <c r="G701" s="29">
        <v>0</v>
      </c>
      <c r="H701" s="29">
        <v>0</v>
      </c>
      <c r="I701" s="35">
        <v>26.25</v>
      </c>
      <c r="J701" s="34">
        <v>4800</v>
      </c>
      <c r="K701" s="34">
        <v>126200</v>
      </c>
    </row>
    <row r="702" spans="1:11" hidden="1">
      <c r="A702" s="29" t="s">
        <v>138</v>
      </c>
      <c r="B702" s="32">
        <v>38868</v>
      </c>
      <c r="C702" s="29">
        <v>26.75</v>
      </c>
      <c r="D702" s="35">
        <v>26.75</v>
      </c>
      <c r="E702" s="35">
        <v>26.25</v>
      </c>
      <c r="F702" s="33">
        <v>26.25</v>
      </c>
      <c r="G702" s="29">
        <v>0</v>
      </c>
      <c r="H702" s="29">
        <v>0</v>
      </c>
      <c r="I702" s="35">
        <v>26.25</v>
      </c>
      <c r="J702" s="34">
        <v>53600</v>
      </c>
      <c r="K702" s="34">
        <v>1417500</v>
      </c>
    </row>
    <row r="703" spans="1:11" hidden="1">
      <c r="A703" s="29" t="s">
        <v>138</v>
      </c>
      <c r="B703" s="32">
        <v>38869</v>
      </c>
      <c r="C703" s="29">
        <v>27.5</v>
      </c>
      <c r="D703" s="35">
        <v>27.75</v>
      </c>
      <c r="E703" s="35">
        <v>27.25</v>
      </c>
      <c r="F703" s="33">
        <v>27.5</v>
      </c>
      <c r="G703" s="29">
        <v>0</v>
      </c>
      <c r="H703" s="29">
        <v>1.25</v>
      </c>
      <c r="I703" s="35">
        <v>26.25</v>
      </c>
      <c r="J703" s="34">
        <v>39600</v>
      </c>
      <c r="K703" s="34">
        <v>1089075</v>
      </c>
    </row>
    <row r="704" spans="1:11" hidden="1">
      <c r="A704" s="29" t="s">
        <v>138</v>
      </c>
      <c r="B704" s="32">
        <v>38870</v>
      </c>
      <c r="C704" s="29">
        <v>27.5</v>
      </c>
      <c r="D704" s="35">
        <v>28</v>
      </c>
      <c r="E704" s="35">
        <v>27.5</v>
      </c>
      <c r="F704" s="33">
        <v>27.5</v>
      </c>
      <c r="G704" s="29">
        <v>0</v>
      </c>
      <c r="H704" s="29">
        <v>0</v>
      </c>
      <c r="I704" s="35">
        <v>27.5</v>
      </c>
      <c r="J704" s="34">
        <v>129200</v>
      </c>
      <c r="K704" s="34">
        <v>3569925</v>
      </c>
    </row>
    <row r="705" spans="1:11" hidden="1">
      <c r="A705" s="29" t="s">
        <v>138</v>
      </c>
      <c r="B705" s="32">
        <v>38873</v>
      </c>
      <c r="C705" s="29">
        <v>29.25</v>
      </c>
      <c r="D705" s="35">
        <v>30</v>
      </c>
      <c r="E705" s="35">
        <v>29.25</v>
      </c>
      <c r="F705" s="33">
        <v>29.75</v>
      </c>
      <c r="G705" s="29">
        <v>0</v>
      </c>
      <c r="H705" s="29">
        <v>2.25</v>
      </c>
      <c r="I705" s="35">
        <v>27.5</v>
      </c>
      <c r="J705" s="34">
        <v>256000</v>
      </c>
      <c r="K705" s="34">
        <v>7644525</v>
      </c>
    </row>
    <row r="706" spans="1:11" hidden="1">
      <c r="A706" s="29" t="s">
        <v>138</v>
      </c>
      <c r="B706" s="32">
        <v>38874</v>
      </c>
      <c r="C706" s="29">
        <v>28</v>
      </c>
      <c r="D706" s="35">
        <v>29</v>
      </c>
      <c r="E706" s="35">
        <v>28</v>
      </c>
      <c r="F706" s="33">
        <v>29</v>
      </c>
      <c r="G706" s="29">
        <v>0</v>
      </c>
      <c r="H706" s="29">
        <v>-0.75</v>
      </c>
      <c r="I706" s="35">
        <v>29.75</v>
      </c>
      <c r="J706" s="34">
        <v>8400</v>
      </c>
      <c r="K706" s="34">
        <v>241225</v>
      </c>
    </row>
    <row r="707" spans="1:11" hidden="1">
      <c r="A707" s="29" t="s">
        <v>138</v>
      </c>
      <c r="B707" s="32">
        <v>38875</v>
      </c>
      <c r="C707" s="29">
        <v>29</v>
      </c>
      <c r="D707" s="35">
        <v>29.25</v>
      </c>
      <c r="E707" s="35">
        <v>28.75</v>
      </c>
      <c r="F707" s="33">
        <v>29.25</v>
      </c>
      <c r="G707" s="29">
        <v>0</v>
      </c>
      <c r="H707" s="29">
        <v>0.25</v>
      </c>
      <c r="I707" s="35">
        <v>29</v>
      </c>
      <c r="J707" s="34">
        <v>118800</v>
      </c>
      <c r="K707" s="34">
        <v>3482550</v>
      </c>
    </row>
    <row r="708" spans="1:11" hidden="1">
      <c r="A708" s="29" t="s">
        <v>138</v>
      </c>
      <c r="B708" s="32">
        <v>38876</v>
      </c>
      <c r="C708" s="29">
        <v>29</v>
      </c>
      <c r="D708" s="35">
        <v>29</v>
      </c>
      <c r="E708" s="35">
        <v>29</v>
      </c>
      <c r="F708" s="33">
        <v>29</v>
      </c>
      <c r="G708" s="29">
        <v>0</v>
      </c>
      <c r="H708" s="29">
        <v>-0.25</v>
      </c>
      <c r="I708" s="35">
        <v>29.25</v>
      </c>
      <c r="J708" s="34">
        <v>12000</v>
      </c>
      <c r="K708" s="34">
        <v>348000</v>
      </c>
    </row>
    <row r="709" spans="1:11" hidden="1">
      <c r="A709" s="29" t="s">
        <v>138</v>
      </c>
      <c r="B709" s="32">
        <v>38877</v>
      </c>
      <c r="C709" s="29">
        <v>29</v>
      </c>
      <c r="D709" s="35">
        <v>29</v>
      </c>
      <c r="E709" s="35">
        <v>29</v>
      </c>
      <c r="F709" s="33">
        <v>29</v>
      </c>
      <c r="G709" s="29">
        <v>0</v>
      </c>
      <c r="H709" s="29">
        <v>0</v>
      </c>
      <c r="I709" s="35">
        <v>29</v>
      </c>
      <c r="J709" s="34">
        <v>3600</v>
      </c>
      <c r="K709" s="34">
        <v>104400</v>
      </c>
    </row>
    <row r="710" spans="1:11" hidden="1">
      <c r="A710" s="29" t="s">
        <v>138</v>
      </c>
      <c r="B710" s="32">
        <v>38880</v>
      </c>
      <c r="C710" s="29">
        <v>29</v>
      </c>
      <c r="D710" s="35">
        <v>29</v>
      </c>
      <c r="E710" s="35">
        <v>28.25</v>
      </c>
      <c r="F710" s="33">
        <v>28.75</v>
      </c>
      <c r="G710" s="29">
        <v>0</v>
      </c>
      <c r="H710" s="29">
        <v>-0.25</v>
      </c>
      <c r="I710" s="35">
        <v>29</v>
      </c>
      <c r="J710" s="34">
        <v>26000</v>
      </c>
      <c r="K710" s="34">
        <v>751250</v>
      </c>
    </row>
    <row r="711" spans="1:11" hidden="1">
      <c r="A711" s="29" t="s">
        <v>138</v>
      </c>
      <c r="B711" s="32">
        <v>38881</v>
      </c>
      <c r="C711" s="29">
        <v>28.75</v>
      </c>
      <c r="D711" s="35">
        <v>28.75</v>
      </c>
      <c r="E711" s="35">
        <v>28.5</v>
      </c>
      <c r="F711" s="33">
        <v>28.5</v>
      </c>
      <c r="G711" s="29">
        <v>0</v>
      </c>
      <c r="H711" s="29">
        <v>-0.25</v>
      </c>
      <c r="I711" s="35">
        <v>28.75</v>
      </c>
      <c r="J711" s="34">
        <v>87600</v>
      </c>
      <c r="K711" s="34">
        <v>2517300</v>
      </c>
    </row>
    <row r="712" spans="1:11" hidden="1">
      <c r="A712" s="29" t="s">
        <v>138</v>
      </c>
      <c r="B712" s="32">
        <v>38882</v>
      </c>
      <c r="C712" s="29">
        <v>28.25</v>
      </c>
      <c r="D712" s="35">
        <v>28.25</v>
      </c>
      <c r="E712" s="35">
        <v>28</v>
      </c>
      <c r="F712" s="33">
        <v>28</v>
      </c>
      <c r="G712" s="29">
        <v>0</v>
      </c>
      <c r="H712" s="29">
        <v>-0.5</v>
      </c>
      <c r="I712" s="35">
        <v>28.5</v>
      </c>
      <c r="J712" s="34">
        <v>45200</v>
      </c>
      <c r="K712" s="34">
        <v>1271525</v>
      </c>
    </row>
    <row r="713" spans="1:11" hidden="1">
      <c r="A713" s="29" t="s">
        <v>138</v>
      </c>
      <c r="B713" s="32">
        <v>38883</v>
      </c>
      <c r="C713" s="29">
        <v>27.5</v>
      </c>
      <c r="D713" s="35">
        <v>27.5</v>
      </c>
      <c r="E713" s="35">
        <v>26.5</v>
      </c>
      <c r="F713" s="33">
        <v>26.75</v>
      </c>
      <c r="G713" s="29">
        <v>0</v>
      </c>
      <c r="H713" s="29">
        <v>-1.25</v>
      </c>
      <c r="I713" s="35">
        <v>28</v>
      </c>
      <c r="J713" s="34">
        <v>12400</v>
      </c>
      <c r="K713" s="34">
        <v>333625</v>
      </c>
    </row>
    <row r="714" spans="1:11" hidden="1">
      <c r="A714" s="29" t="s">
        <v>138</v>
      </c>
      <c r="B714" s="32">
        <v>38884</v>
      </c>
      <c r="C714" s="29">
        <v>28</v>
      </c>
      <c r="D714" s="35">
        <v>28</v>
      </c>
      <c r="E714" s="35">
        <v>27.5</v>
      </c>
      <c r="F714" s="33">
        <v>27.75</v>
      </c>
      <c r="G714" s="29">
        <v>0</v>
      </c>
      <c r="H714" s="29">
        <v>1</v>
      </c>
      <c r="I714" s="35">
        <v>26.75</v>
      </c>
      <c r="J714" s="34">
        <v>4000</v>
      </c>
      <c r="K714" s="34">
        <v>111600</v>
      </c>
    </row>
    <row r="715" spans="1:11" hidden="1">
      <c r="A715" s="29" t="s">
        <v>138</v>
      </c>
      <c r="B715" s="32">
        <v>38887</v>
      </c>
      <c r="C715" s="29">
        <v>26.75</v>
      </c>
      <c r="D715" s="35">
        <v>26.75</v>
      </c>
      <c r="E715" s="35">
        <v>26</v>
      </c>
      <c r="F715" s="33">
        <v>26.25</v>
      </c>
      <c r="G715" s="29">
        <v>0</v>
      </c>
      <c r="H715" s="29">
        <v>-1.5</v>
      </c>
      <c r="I715" s="35">
        <v>27.75</v>
      </c>
      <c r="J715" s="34">
        <v>99600</v>
      </c>
      <c r="K715" s="34">
        <v>2613050</v>
      </c>
    </row>
    <row r="716" spans="1:11" hidden="1">
      <c r="A716" s="29" t="s">
        <v>138</v>
      </c>
      <c r="B716" s="32">
        <v>38888</v>
      </c>
      <c r="C716" s="29">
        <v>27</v>
      </c>
      <c r="D716" s="35">
        <v>27</v>
      </c>
      <c r="E716" s="35">
        <v>25.5</v>
      </c>
      <c r="F716" s="33">
        <v>25.5</v>
      </c>
      <c r="G716" s="29">
        <v>0</v>
      </c>
      <c r="H716" s="29">
        <v>-0.75</v>
      </c>
      <c r="I716" s="35">
        <v>26.25</v>
      </c>
      <c r="J716" s="34">
        <v>8000</v>
      </c>
      <c r="K716" s="34">
        <v>210800</v>
      </c>
    </row>
    <row r="717" spans="1:11" hidden="1">
      <c r="A717" s="29" t="s">
        <v>138</v>
      </c>
      <c r="B717" s="32">
        <v>38889</v>
      </c>
      <c r="C717" s="29">
        <v>25.5</v>
      </c>
      <c r="D717" s="35">
        <v>25.5</v>
      </c>
      <c r="E717" s="35">
        <v>25.5</v>
      </c>
      <c r="F717" s="33">
        <v>25.5</v>
      </c>
      <c r="G717" s="29">
        <v>0</v>
      </c>
      <c r="H717" s="29">
        <v>0</v>
      </c>
      <c r="I717" s="35">
        <v>25.5</v>
      </c>
      <c r="J717" s="34">
        <v>800</v>
      </c>
      <c r="K717" s="34">
        <v>20500</v>
      </c>
    </row>
    <row r="718" spans="1:11" hidden="1">
      <c r="A718" s="29" t="s">
        <v>138</v>
      </c>
      <c r="B718" s="32">
        <v>38890</v>
      </c>
      <c r="C718" s="29">
        <v>25.75</v>
      </c>
      <c r="D718" s="35">
        <v>26.75</v>
      </c>
      <c r="E718" s="35">
        <v>25.75</v>
      </c>
      <c r="F718" s="33">
        <v>26.75</v>
      </c>
      <c r="G718" s="29">
        <v>0</v>
      </c>
      <c r="H718" s="29">
        <v>1.25</v>
      </c>
      <c r="I718" s="35">
        <v>25.5</v>
      </c>
      <c r="J718" s="34">
        <v>4800</v>
      </c>
      <c r="K718" s="34">
        <v>125025</v>
      </c>
    </row>
    <row r="719" spans="1:11" hidden="1">
      <c r="A719" s="29" t="s">
        <v>138</v>
      </c>
      <c r="B719" s="32">
        <v>38891</v>
      </c>
      <c r="C719" s="29">
        <v>26.75</v>
      </c>
      <c r="D719" s="35">
        <v>26.75</v>
      </c>
      <c r="E719" s="35">
        <v>26.25</v>
      </c>
      <c r="F719" s="33">
        <v>26.25</v>
      </c>
      <c r="G719" s="29">
        <v>0</v>
      </c>
      <c r="H719" s="29">
        <v>-0.5</v>
      </c>
      <c r="I719" s="35">
        <v>26.75</v>
      </c>
      <c r="J719" s="34">
        <v>18800</v>
      </c>
      <c r="K719" s="34">
        <v>496950</v>
      </c>
    </row>
    <row r="720" spans="1:11" hidden="1">
      <c r="A720" s="29" t="s">
        <v>138</v>
      </c>
      <c r="B720" s="32">
        <v>38894</v>
      </c>
      <c r="C720" s="29">
        <v>25.75</v>
      </c>
      <c r="D720" s="35">
        <v>26</v>
      </c>
      <c r="E720" s="35">
        <v>25.75</v>
      </c>
      <c r="F720" s="33">
        <v>25.75</v>
      </c>
      <c r="G720" s="29">
        <v>0</v>
      </c>
      <c r="H720" s="29">
        <v>-0.5</v>
      </c>
      <c r="I720" s="35">
        <v>26.25</v>
      </c>
      <c r="J720" s="34">
        <v>10400</v>
      </c>
      <c r="K720" s="34">
        <v>268650</v>
      </c>
    </row>
    <row r="721" spans="1:11" hidden="1">
      <c r="A721" s="29" t="s">
        <v>138</v>
      </c>
      <c r="B721" s="32">
        <v>38895</v>
      </c>
      <c r="C721" s="29">
        <v>27</v>
      </c>
      <c r="D721" s="35">
        <v>27</v>
      </c>
      <c r="E721" s="35">
        <v>27</v>
      </c>
      <c r="F721" s="33">
        <v>27</v>
      </c>
      <c r="G721" s="29">
        <v>0</v>
      </c>
      <c r="H721" s="29">
        <v>1.25</v>
      </c>
      <c r="I721" s="35">
        <v>25.75</v>
      </c>
      <c r="J721" s="34">
        <v>400</v>
      </c>
      <c r="K721" s="34">
        <v>10800</v>
      </c>
    </row>
    <row r="722" spans="1:11" hidden="1">
      <c r="A722" s="29" t="s">
        <v>138</v>
      </c>
      <c r="B722" s="32">
        <v>38896</v>
      </c>
      <c r="C722" s="29">
        <v>26.5</v>
      </c>
      <c r="D722" s="35">
        <v>26.5</v>
      </c>
      <c r="E722" s="35">
        <v>26.25</v>
      </c>
      <c r="F722" s="33">
        <v>26.25</v>
      </c>
      <c r="G722" s="29">
        <v>0</v>
      </c>
      <c r="H722" s="29">
        <v>-0.75</v>
      </c>
      <c r="I722" s="35">
        <v>27</v>
      </c>
      <c r="J722" s="34">
        <v>8000</v>
      </c>
      <c r="K722" s="34">
        <v>211325</v>
      </c>
    </row>
    <row r="723" spans="1:11" hidden="1">
      <c r="A723" s="29" t="s">
        <v>138</v>
      </c>
      <c r="B723" s="32">
        <v>38897</v>
      </c>
      <c r="C723" s="29">
        <v>26.75</v>
      </c>
      <c r="D723" s="35">
        <v>26.75</v>
      </c>
      <c r="E723" s="35">
        <v>26.75</v>
      </c>
      <c r="F723" s="33">
        <v>26.75</v>
      </c>
      <c r="G723" s="29">
        <v>0</v>
      </c>
      <c r="H723" s="29">
        <v>0.5</v>
      </c>
      <c r="I723" s="35">
        <v>26.25</v>
      </c>
      <c r="J723" s="34">
        <v>800</v>
      </c>
      <c r="K723" s="34">
        <v>21400</v>
      </c>
    </row>
    <row r="724" spans="1:11" hidden="1">
      <c r="A724" s="29" t="s">
        <v>138</v>
      </c>
      <c r="B724" s="32">
        <v>38898</v>
      </c>
      <c r="C724" s="29">
        <v>26.75</v>
      </c>
      <c r="D724" s="35">
        <v>27</v>
      </c>
      <c r="E724" s="35">
        <v>26.75</v>
      </c>
      <c r="F724" s="33">
        <v>26.75</v>
      </c>
      <c r="G724" s="29">
        <v>0</v>
      </c>
      <c r="H724" s="29">
        <v>0</v>
      </c>
      <c r="I724" s="35">
        <v>26.75</v>
      </c>
      <c r="J724" s="34">
        <v>12400</v>
      </c>
      <c r="K724" s="34">
        <v>332550</v>
      </c>
    </row>
    <row r="725" spans="1:11" hidden="1">
      <c r="A725" s="29" t="s">
        <v>138</v>
      </c>
      <c r="B725" s="32">
        <v>38901</v>
      </c>
      <c r="C725" s="29">
        <v>27</v>
      </c>
      <c r="D725" s="35">
        <v>27.25</v>
      </c>
      <c r="E725" s="35">
        <v>26.5</v>
      </c>
      <c r="F725" s="33">
        <v>26.75</v>
      </c>
      <c r="G725" s="29">
        <v>0</v>
      </c>
      <c r="H725" s="29">
        <v>0</v>
      </c>
      <c r="I725" s="35">
        <v>26.75</v>
      </c>
      <c r="J725" s="34">
        <v>11200</v>
      </c>
      <c r="K725" s="34">
        <v>301575</v>
      </c>
    </row>
    <row r="726" spans="1:11" hidden="1">
      <c r="A726" s="29" t="s">
        <v>138</v>
      </c>
      <c r="B726" s="32">
        <v>38902</v>
      </c>
      <c r="C726" s="29">
        <v>27.25</v>
      </c>
      <c r="D726" s="35">
        <v>27.25</v>
      </c>
      <c r="E726" s="35">
        <v>27.25</v>
      </c>
      <c r="F726" s="33">
        <v>27.25</v>
      </c>
      <c r="G726" s="29">
        <v>0</v>
      </c>
      <c r="H726" s="29">
        <v>0.5</v>
      </c>
      <c r="I726" s="35">
        <v>26.75</v>
      </c>
      <c r="J726" s="34">
        <v>400</v>
      </c>
      <c r="K726" s="34">
        <v>10975</v>
      </c>
    </row>
    <row r="727" spans="1:11" hidden="1">
      <c r="A727" s="29" t="s">
        <v>138</v>
      </c>
      <c r="B727" s="32">
        <v>38903</v>
      </c>
      <c r="C727" s="29">
        <v>27</v>
      </c>
      <c r="D727" s="35">
        <v>27</v>
      </c>
      <c r="E727" s="35">
        <v>27</v>
      </c>
      <c r="F727" s="33">
        <v>27</v>
      </c>
      <c r="G727" s="29">
        <v>0</v>
      </c>
      <c r="H727" s="29">
        <v>-0.25</v>
      </c>
      <c r="I727" s="35">
        <v>27.25</v>
      </c>
      <c r="J727" s="34">
        <v>2000</v>
      </c>
      <c r="K727" s="34">
        <v>54000</v>
      </c>
    </row>
    <row r="728" spans="1:11" hidden="1">
      <c r="A728" s="29" t="s">
        <v>138</v>
      </c>
      <c r="B728" s="32">
        <v>38905</v>
      </c>
      <c r="C728" s="29">
        <v>27.25</v>
      </c>
      <c r="D728" s="35">
        <v>27.25</v>
      </c>
      <c r="E728" s="35">
        <v>27.25</v>
      </c>
      <c r="F728" s="33">
        <v>27.25</v>
      </c>
      <c r="G728" s="29">
        <v>0</v>
      </c>
      <c r="H728" s="29">
        <v>0.25</v>
      </c>
      <c r="I728" s="35">
        <v>27</v>
      </c>
      <c r="J728" s="34">
        <v>1200</v>
      </c>
      <c r="K728" s="34">
        <v>32700</v>
      </c>
    </row>
    <row r="729" spans="1:11" hidden="1">
      <c r="A729" s="29" t="s">
        <v>138</v>
      </c>
      <c r="B729" s="32">
        <v>38909</v>
      </c>
      <c r="C729" s="29">
        <v>26.75</v>
      </c>
      <c r="D729" s="35">
        <v>26.75</v>
      </c>
      <c r="E729" s="35">
        <v>26.75</v>
      </c>
      <c r="F729" s="33">
        <v>26.75</v>
      </c>
      <c r="G729" s="29">
        <v>0</v>
      </c>
      <c r="H729" s="29">
        <v>-0.5</v>
      </c>
      <c r="I729" s="35">
        <v>27.25</v>
      </c>
      <c r="J729" s="34">
        <v>2400</v>
      </c>
      <c r="K729" s="34">
        <v>64200</v>
      </c>
    </row>
    <row r="730" spans="1:11" hidden="1">
      <c r="A730" s="29" t="s">
        <v>138</v>
      </c>
      <c r="B730" s="32">
        <v>38910</v>
      </c>
      <c r="C730" s="29">
        <v>26.25</v>
      </c>
      <c r="D730" s="35">
        <v>26.75</v>
      </c>
      <c r="E730" s="35">
        <v>26.25</v>
      </c>
      <c r="F730" s="33">
        <v>26.75</v>
      </c>
      <c r="G730" s="29">
        <v>0</v>
      </c>
      <c r="H730" s="29">
        <v>0</v>
      </c>
      <c r="I730" s="35">
        <v>26.75</v>
      </c>
      <c r="J730" s="34">
        <v>6000</v>
      </c>
      <c r="K730" s="34">
        <v>158050</v>
      </c>
    </row>
    <row r="731" spans="1:11" hidden="1">
      <c r="A731" s="29" t="s">
        <v>138</v>
      </c>
      <c r="B731" s="32">
        <v>38911</v>
      </c>
      <c r="C731" s="29">
        <v>26.25</v>
      </c>
      <c r="D731" s="35">
        <v>27</v>
      </c>
      <c r="E731" s="35">
        <v>26.25</v>
      </c>
      <c r="F731" s="33">
        <v>26.75</v>
      </c>
      <c r="G731" s="29">
        <v>0</v>
      </c>
      <c r="H731" s="29">
        <v>0</v>
      </c>
      <c r="I731" s="35">
        <v>26.75</v>
      </c>
      <c r="J731" s="34">
        <v>24400</v>
      </c>
      <c r="K731" s="34">
        <v>641175</v>
      </c>
    </row>
    <row r="732" spans="1:11" hidden="1">
      <c r="A732" s="29" t="s">
        <v>138</v>
      </c>
      <c r="B732" s="32">
        <v>38912</v>
      </c>
      <c r="C732" s="29">
        <v>27.25</v>
      </c>
      <c r="D732" s="35">
        <v>27.25</v>
      </c>
      <c r="E732" s="35">
        <v>26.25</v>
      </c>
      <c r="F732" s="33">
        <v>26.25</v>
      </c>
      <c r="G732" s="29">
        <v>0</v>
      </c>
      <c r="H732" s="29">
        <v>-0.5</v>
      </c>
      <c r="I732" s="35">
        <v>26.75</v>
      </c>
      <c r="J732" s="34">
        <v>50000</v>
      </c>
      <c r="K732" s="34">
        <v>1315000</v>
      </c>
    </row>
    <row r="733" spans="1:11" hidden="1">
      <c r="A733" s="29" t="s">
        <v>138</v>
      </c>
      <c r="B733" s="32">
        <v>38916</v>
      </c>
      <c r="C733" s="29">
        <v>27.5</v>
      </c>
      <c r="D733" s="35">
        <v>27.5</v>
      </c>
      <c r="E733" s="35">
        <v>26.75</v>
      </c>
      <c r="F733" s="33">
        <v>27</v>
      </c>
      <c r="G733" s="29">
        <v>0</v>
      </c>
      <c r="H733" s="29">
        <v>0.75</v>
      </c>
      <c r="I733" s="35">
        <v>26.25</v>
      </c>
      <c r="J733" s="34">
        <v>1200</v>
      </c>
      <c r="K733" s="34">
        <v>32450</v>
      </c>
    </row>
    <row r="734" spans="1:11" hidden="1">
      <c r="A734" s="29" t="s">
        <v>138</v>
      </c>
      <c r="B734" s="32">
        <v>38917</v>
      </c>
      <c r="C734" s="29">
        <v>27</v>
      </c>
      <c r="D734" s="35">
        <v>29.5</v>
      </c>
      <c r="E734" s="35">
        <v>27</v>
      </c>
      <c r="F734" s="33">
        <v>27</v>
      </c>
      <c r="G734" s="29">
        <v>0</v>
      </c>
      <c r="H734" s="29">
        <v>0</v>
      </c>
      <c r="I734" s="35">
        <v>27</v>
      </c>
      <c r="J734" s="34">
        <v>11200</v>
      </c>
      <c r="K734" s="34">
        <v>308200</v>
      </c>
    </row>
    <row r="735" spans="1:11" hidden="1">
      <c r="A735" s="29" t="s">
        <v>138</v>
      </c>
      <c r="B735" s="32">
        <v>38918</v>
      </c>
      <c r="C735" s="29">
        <v>26.75</v>
      </c>
      <c r="D735" s="35">
        <v>27.5</v>
      </c>
      <c r="E735" s="35">
        <v>26.75</v>
      </c>
      <c r="F735" s="33">
        <v>27.5</v>
      </c>
      <c r="G735" s="29">
        <v>0</v>
      </c>
      <c r="H735" s="29">
        <v>0.5</v>
      </c>
      <c r="I735" s="35">
        <v>27</v>
      </c>
      <c r="J735" s="34">
        <v>22800</v>
      </c>
      <c r="K735" s="34">
        <v>626750</v>
      </c>
    </row>
    <row r="736" spans="1:11" hidden="1">
      <c r="A736" s="29" t="s">
        <v>138</v>
      </c>
      <c r="B736" s="32">
        <v>38919</v>
      </c>
      <c r="C736" s="29">
        <v>26.5</v>
      </c>
      <c r="D736" s="35">
        <v>27.25</v>
      </c>
      <c r="E736" s="35">
        <v>26.5</v>
      </c>
      <c r="F736" s="33">
        <v>26.5</v>
      </c>
      <c r="G736" s="29">
        <v>0</v>
      </c>
      <c r="H736" s="29">
        <v>-1</v>
      </c>
      <c r="I736" s="35">
        <v>27.5</v>
      </c>
      <c r="J736" s="34">
        <v>65600</v>
      </c>
      <c r="K736" s="34">
        <v>1740650</v>
      </c>
    </row>
    <row r="737" spans="1:11" hidden="1">
      <c r="A737" s="29" t="s">
        <v>138</v>
      </c>
      <c r="B737" s="32">
        <v>38922</v>
      </c>
      <c r="C737" s="29">
        <v>26.75</v>
      </c>
      <c r="D737" s="35">
        <v>26.75</v>
      </c>
      <c r="E737" s="35">
        <v>26.75</v>
      </c>
      <c r="F737" s="33">
        <v>26.75</v>
      </c>
      <c r="G737" s="29">
        <v>0</v>
      </c>
      <c r="H737" s="29">
        <v>0.25</v>
      </c>
      <c r="I737" s="35">
        <v>26.5</v>
      </c>
      <c r="J737" s="34">
        <v>53600</v>
      </c>
      <c r="K737" s="34">
        <v>1434300</v>
      </c>
    </row>
    <row r="738" spans="1:11" hidden="1">
      <c r="A738" s="29" t="s">
        <v>138</v>
      </c>
      <c r="B738" s="32">
        <v>38923</v>
      </c>
      <c r="C738" s="29">
        <v>26.5</v>
      </c>
      <c r="D738" s="35">
        <v>26.5</v>
      </c>
      <c r="E738" s="35">
        <v>26.5</v>
      </c>
      <c r="F738" s="33">
        <v>26.5</v>
      </c>
      <c r="G738" s="29">
        <v>0</v>
      </c>
      <c r="H738" s="29">
        <v>-0.25</v>
      </c>
      <c r="I738" s="35">
        <v>26.75</v>
      </c>
      <c r="J738" s="34">
        <v>8000</v>
      </c>
      <c r="K738" s="34">
        <v>212000</v>
      </c>
    </row>
    <row r="739" spans="1:11" hidden="1">
      <c r="A739" s="29" t="s">
        <v>138</v>
      </c>
      <c r="B739" s="32">
        <v>38924</v>
      </c>
      <c r="C739" s="29">
        <v>26.5</v>
      </c>
      <c r="D739" s="35">
        <v>26.75</v>
      </c>
      <c r="E739" s="35">
        <v>26.5</v>
      </c>
      <c r="F739" s="33">
        <v>26.5</v>
      </c>
      <c r="G739" s="29">
        <v>0</v>
      </c>
      <c r="H739" s="29">
        <v>0</v>
      </c>
      <c r="I739" s="35">
        <v>26.5</v>
      </c>
      <c r="J739" s="34">
        <v>68800</v>
      </c>
      <c r="K739" s="34">
        <v>1825525</v>
      </c>
    </row>
    <row r="740" spans="1:11" hidden="1">
      <c r="A740" s="29" t="s">
        <v>138</v>
      </c>
      <c r="B740" s="32">
        <v>38925</v>
      </c>
      <c r="C740" s="29">
        <v>26.5</v>
      </c>
      <c r="D740" s="35">
        <v>26.5</v>
      </c>
      <c r="E740" s="35">
        <v>26.25</v>
      </c>
      <c r="F740" s="33">
        <v>26.5</v>
      </c>
      <c r="G740" s="29">
        <v>0</v>
      </c>
      <c r="H740" s="29">
        <v>0</v>
      </c>
      <c r="I740" s="35">
        <v>26.5</v>
      </c>
      <c r="J740" s="34">
        <v>79200</v>
      </c>
      <c r="K740" s="34">
        <v>2102400</v>
      </c>
    </row>
    <row r="741" spans="1:11" hidden="1">
      <c r="A741" s="29" t="s">
        <v>138</v>
      </c>
      <c r="B741" s="32">
        <v>38926</v>
      </c>
      <c r="C741" s="29">
        <v>26.5</v>
      </c>
      <c r="D741" s="35">
        <v>26.5</v>
      </c>
      <c r="E741" s="35">
        <v>26.25</v>
      </c>
      <c r="F741" s="33">
        <v>26.25</v>
      </c>
      <c r="G741" s="29">
        <v>0</v>
      </c>
      <c r="H741" s="29">
        <v>-0.25</v>
      </c>
      <c r="I741" s="35">
        <v>26.5</v>
      </c>
      <c r="J741" s="34">
        <v>70000</v>
      </c>
      <c r="K741" s="34">
        <v>1849875</v>
      </c>
    </row>
    <row r="742" spans="1:11" hidden="1">
      <c r="A742" s="29" t="s">
        <v>138</v>
      </c>
      <c r="B742" s="32">
        <v>38929</v>
      </c>
      <c r="C742" s="29">
        <v>26.25</v>
      </c>
      <c r="D742" s="35">
        <v>26.25</v>
      </c>
      <c r="E742" s="35">
        <v>25.75</v>
      </c>
      <c r="F742" s="33">
        <v>26</v>
      </c>
      <c r="G742" s="29">
        <v>0</v>
      </c>
      <c r="H742" s="29">
        <v>-0.25</v>
      </c>
      <c r="I742" s="35">
        <v>26.25</v>
      </c>
      <c r="J742" s="34">
        <v>10800</v>
      </c>
      <c r="K742" s="34">
        <v>282550</v>
      </c>
    </row>
    <row r="743" spans="1:11" hidden="1">
      <c r="A743" s="29" t="s">
        <v>138</v>
      </c>
      <c r="B743" s="32">
        <v>38930</v>
      </c>
      <c r="C743" s="29">
        <v>28</v>
      </c>
      <c r="D743" s="35">
        <v>28</v>
      </c>
      <c r="E743" s="35">
        <v>28</v>
      </c>
      <c r="F743" s="33">
        <v>28</v>
      </c>
      <c r="G743" s="29">
        <v>0</v>
      </c>
      <c r="H743" s="29">
        <v>2</v>
      </c>
      <c r="I743" s="35">
        <v>26</v>
      </c>
      <c r="J743" s="34">
        <v>1200</v>
      </c>
      <c r="K743" s="34">
        <v>33600</v>
      </c>
    </row>
    <row r="744" spans="1:11" hidden="1">
      <c r="A744" s="29" t="s">
        <v>138</v>
      </c>
      <c r="B744" s="32">
        <v>38931</v>
      </c>
      <c r="C744" s="29">
        <v>26.25</v>
      </c>
      <c r="D744" s="35">
        <v>26.25</v>
      </c>
      <c r="E744" s="35">
        <v>25.75</v>
      </c>
      <c r="F744" s="33">
        <v>25.75</v>
      </c>
      <c r="G744" s="29">
        <v>0</v>
      </c>
      <c r="H744" s="29">
        <v>-2.25</v>
      </c>
      <c r="I744" s="35">
        <v>28</v>
      </c>
      <c r="J744" s="34">
        <v>6800</v>
      </c>
      <c r="K744" s="34">
        <v>175300</v>
      </c>
    </row>
    <row r="745" spans="1:11" hidden="1">
      <c r="A745" s="29" t="s">
        <v>138</v>
      </c>
      <c r="B745" s="32">
        <v>38932</v>
      </c>
      <c r="C745" s="29">
        <v>25.75</v>
      </c>
      <c r="D745" s="35">
        <v>26.5</v>
      </c>
      <c r="E745" s="35">
        <v>25.75</v>
      </c>
      <c r="F745" s="33">
        <v>25.75</v>
      </c>
      <c r="G745" s="29">
        <v>0</v>
      </c>
      <c r="H745" s="29">
        <v>0</v>
      </c>
      <c r="I745" s="35">
        <v>25.75</v>
      </c>
      <c r="J745" s="34">
        <v>619600</v>
      </c>
      <c r="K745" s="34">
        <v>16074650</v>
      </c>
    </row>
    <row r="746" spans="1:11" hidden="1">
      <c r="A746" s="29" t="s">
        <v>138</v>
      </c>
      <c r="B746" s="32">
        <v>38933</v>
      </c>
      <c r="C746" s="29">
        <v>26.25</v>
      </c>
      <c r="D746" s="35">
        <v>26.25</v>
      </c>
      <c r="E746" s="35">
        <v>26.25</v>
      </c>
      <c r="F746" s="33">
        <v>26.25</v>
      </c>
      <c r="G746" s="29">
        <v>0</v>
      </c>
      <c r="H746" s="29">
        <v>0.5</v>
      </c>
      <c r="I746" s="35">
        <v>25.75</v>
      </c>
      <c r="J746" s="34">
        <v>10000</v>
      </c>
      <c r="K746" s="34">
        <v>262875</v>
      </c>
    </row>
    <row r="747" spans="1:11" hidden="1">
      <c r="A747" s="29" t="s">
        <v>138</v>
      </c>
      <c r="B747" s="32">
        <v>38936</v>
      </c>
      <c r="C747" s="29">
        <v>26.25</v>
      </c>
      <c r="D747" s="35">
        <v>26.25</v>
      </c>
      <c r="E747" s="35">
        <v>26</v>
      </c>
      <c r="F747" s="33">
        <v>26</v>
      </c>
      <c r="G747" s="29">
        <v>0</v>
      </c>
      <c r="H747" s="29">
        <v>-0.25</v>
      </c>
      <c r="I747" s="35">
        <v>26.25</v>
      </c>
      <c r="J747" s="34">
        <v>50000</v>
      </c>
      <c r="K747" s="34">
        <v>1309675</v>
      </c>
    </row>
    <row r="748" spans="1:11" hidden="1">
      <c r="A748" s="29" t="s">
        <v>138</v>
      </c>
      <c r="B748" s="32">
        <v>38937</v>
      </c>
      <c r="C748" s="29">
        <v>26.5</v>
      </c>
      <c r="D748" s="35">
        <v>26.5</v>
      </c>
      <c r="E748" s="35">
        <v>26</v>
      </c>
      <c r="F748" s="33">
        <v>26</v>
      </c>
      <c r="G748" s="29">
        <v>0</v>
      </c>
      <c r="H748" s="29">
        <v>0</v>
      </c>
      <c r="I748" s="35">
        <v>26</v>
      </c>
      <c r="J748" s="34">
        <v>16000</v>
      </c>
      <c r="K748" s="34">
        <v>416400</v>
      </c>
    </row>
    <row r="749" spans="1:11" hidden="1">
      <c r="A749" s="29" t="s">
        <v>138</v>
      </c>
      <c r="B749" s="32">
        <v>38939</v>
      </c>
      <c r="C749" s="29">
        <v>26</v>
      </c>
      <c r="D749" s="35">
        <v>26</v>
      </c>
      <c r="E749" s="35">
        <v>26</v>
      </c>
      <c r="F749" s="33">
        <v>26</v>
      </c>
      <c r="G749" s="29">
        <v>0</v>
      </c>
      <c r="H749" s="29">
        <v>0</v>
      </c>
      <c r="I749" s="35">
        <v>26</v>
      </c>
      <c r="J749" s="34">
        <v>2800</v>
      </c>
      <c r="K749" s="34">
        <v>72800</v>
      </c>
    </row>
    <row r="750" spans="1:11" hidden="1">
      <c r="A750" s="29" t="s">
        <v>138</v>
      </c>
      <c r="B750" s="32">
        <v>38940</v>
      </c>
      <c r="C750" s="29">
        <v>26.5</v>
      </c>
      <c r="D750" s="35">
        <v>26.5</v>
      </c>
      <c r="E750" s="35">
        <v>26</v>
      </c>
      <c r="F750" s="33">
        <v>26</v>
      </c>
      <c r="G750" s="29">
        <v>0</v>
      </c>
      <c r="H750" s="29">
        <v>0</v>
      </c>
      <c r="I750" s="35">
        <v>26</v>
      </c>
      <c r="J750" s="34">
        <v>25200</v>
      </c>
      <c r="K750" s="34">
        <v>661200</v>
      </c>
    </row>
    <row r="751" spans="1:11" hidden="1">
      <c r="A751" s="29" t="s">
        <v>138</v>
      </c>
      <c r="B751" s="32">
        <v>38943</v>
      </c>
      <c r="C751" s="29">
        <v>26.25</v>
      </c>
      <c r="D751" s="35">
        <v>26.25</v>
      </c>
      <c r="E751" s="35">
        <v>25</v>
      </c>
      <c r="F751" s="33">
        <v>25</v>
      </c>
      <c r="G751" s="29">
        <v>0</v>
      </c>
      <c r="H751" s="29">
        <v>-1</v>
      </c>
      <c r="I751" s="35">
        <v>26</v>
      </c>
      <c r="J751" s="34">
        <v>30000</v>
      </c>
      <c r="K751" s="34">
        <v>761500</v>
      </c>
    </row>
    <row r="752" spans="1:11" hidden="1">
      <c r="A752" s="29" t="s">
        <v>138</v>
      </c>
      <c r="B752" s="32">
        <v>38944</v>
      </c>
      <c r="C752" s="29">
        <v>25</v>
      </c>
      <c r="D752" s="35">
        <v>25.25</v>
      </c>
      <c r="E752" s="35">
        <v>25</v>
      </c>
      <c r="F752" s="33">
        <v>25</v>
      </c>
      <c r="G752" s="29">
        <v>0</v>
      </c>
      <c r="H752" s="29">
        <v>0</v>
      </c>
      <c r="I752" s="35">
        <v>25</v>
      </c>
      <c r="J752" s="34">
        <v>68000</v>
      </c>
      <c r="K752" s="34">
        <v>1701450</v>
      </c>
    </row>
    <row r="753" spans="1:11" hidden="1">
      <c r="A753" s="29" t="s">
        <v>138</v>
      </c>
      <c r="B753" s="32">
        <v>38945</v>
      </c>
      <c r="C753" s="29">
        <v>25</v>
      </c>
      <c r="D753" s="35">
        <v>25.75</v>
      </c>
      <c r="E753" s="35">
        <v>24.75</v>
      </c>
      <c r="F753" s="33">
        <v>24.75</v>
      </c>
      <c r="G753" s="29">
        <v>0</v>
      </c>
      <c r="H753" s="29">
        <v>-0.25</v>
      </c>
      <c r="I753" s="35">
        <v>25</v>
      </c>
      <c r="J753" s="34">
        <v>352400</v>
      </c>
      <c r="K753" s="34">
        <v>8806500</v>
      </c>
    </row>
    <row r="754" spans="1:11" hidden="1">
      <c r="A754" s="29" t="s">
        <v>138</v>
      </c>
      <c r="B754" s="32">
        <v>38946</v>
      </c>
      <c r="C754" s="29">
        <v>25.25</v>
      </c>
      <c r="D754" s="35">
        <v>25.25</v>
      </c>
      <c r="E754" s="35">
        <v>24.75</v>
      </c>
      <c r="F754" s="33">
        <v>24.75</v>
      </c>
      <c r="G754" s="29">
        <v>0</v>
      </c>
      <c r="H754" s="29">
        <v>0</v>
      </c>
      <c r="I754" s="35">
        <v>24.75</v>
      </c>
      <c r="J754" s="34">
        <v>22800</v>
      </c>
      <c r="K754" s="34">
        <v>571100</v>
      </c>
    </row>
    <row r="755" spans="1:11" hidden="1">
      <c r="A755" s="29" t="s">
        <v>138</v>
      </c>
      <c r="B755" s="32">
        <v>38947</v>
      </c>
      <c r="C755" s="29">
        <v>25</v>
      </c>
      <c r="D755" s="35">
        <v>25.5</v>
      </c>
      <c r="E755" s="35">
        <v>23.75</v>
      </c>
      <c r="F755" s="33">
        <v>23.75</v>
      </c>
      <c r="G755" s="29">
        <v>0</v>
      </c>
      <c r="H755" s="29">
        <v>-1</v>
      </c>
      <c r="I755" s="35">
        <v>24.75</v>
      </c>
      <c r="J755" s="34">
        <v>566000</v>
      </c>
      <c r="K755" s="34">
        <v>13628375</v>
      </c>
    </row>
    <row r="756" spans="1:11" hidden="1">
      <c r="A756" s="29" t="s">
        <v>138</v>
      </c>
      <c r="B756" s="32">
        <v>38950</v>
      </c>
      <c r="C756" s="29">
        <v>25.25</v>
      </c>
      <c r="D756" s="35">
        <v>25.25</v>
      </c>
      <c r="E756" s="35">
        <v>25.25</v>
      </c>
      <c r="F756" s="33">
        <v>25.25</v>
      </c>
      <c r="G756" s="29">
        <v>0</v>
      </c>
      <c r="H756" s="29">
        <v>1.5</v>
      </c>
      <c r="I756" s="35">
        <v>23.75</v>
      </c>
      <c r="J756" s="34">
        <v>800</v>
      </c>
      <c r="K756" s="34">
        <v>20200</v>
      </c>
    </row>
    <row r="757" spans="1:11" hidden="1">
      <c r="A757" s="29" t="s">
        <v>138</v>
      </c>
      <c r="B757" s="32">
        <v>38951</v>
      </c>
      <c r="C757" s="29">
        <v>24.75</v>
      </c>
      <c r="D757" s="35">
        <v>25.25</v>
      </c>
      <c r="E757" s="35">
        <v>24.75</v>
      </c>
      <c r="F757" s="33">
        <v>24.75</v>
      </c>
      <c r="G757" s="29">
        <v>0</v>
      </c>
      <c r="H757" s="29">
        <v>-0.5</v>
      </c>
      <c r="I757" s="35">
        <v>25.25</v>
      </c>
      <c r="J757" s="34">
        <v>16000</v>
      </c>
      <c r="K757" s="34">
        <v>397550</v>
      </c>
    </row>
    <row r="758" spans="1:11" hidden="1">
      <c r="A758" s="29" t="s">
        <v>138</v>
      </c>
      <c r="B758" s="32">
        <v>38952</v>
      </c>
      <c r="C758" s="29">
        <v>25</v>
      </c>
      <c r="D758" s="35">
        <v>25</v>
      </c>
      <c r="E758" s="35">
        <v>25</v>
      </c>
      <c r="F758" s="33">
        <v>25</v>
      </c>
      <c r="G758" s="29">
        <v>0</v>
      </c>
      <c r="H758" s="29">
        <v>0.25</v>
      </c>
      <c r="I758" s="35">
        <v>24.75</v>
      </c>
      <c r="J758" s="34">
        <v>64000</v>
      </c>
      <c r="K758" s="34">
        <v>1600000</v>
      </c>
    </row>
    <row r="759" spans="1:11" hidden="1">
      <c r="A759" s="29" t="s">
        <v>138</v>
      </c>
      <c r="B759" s="32">
        <v>38953</v>
      </c>
      <c r="C759" s="29">
        <v>25.25</v>
      </c>
      <c r="D759" s="35">
        <v>25.25</v>
      </c>
      <c r="E759" s="35">
        <v>25</v>
      </c>
      <c r="F759" s="33">
        <v>25</v>
      </c>
      <c r="G759" s="29">
        <v>0</v>
      </c>
      <c r="H759" s="29">
        <v>0</v>
      </c>
      <c r="I759" s="35">
        <v>25</v>
      </c>
      <c r="J759" s="34">
        <v>38400</v>
      </c>
      <c r="K759" s="34">
        <v>960825</v>
      </c>
    </row>
    <row r="760" spans="1:11" hidden="1">
      <c r="A760" s="29" t="s">
        <v>138</v>
      </c>
      <c r="B760" s="32">
        <v>38954</v>
      </c>
      <c r="C760" s="29">
        <v>25.25</v>
      </c>
      <c r="D760" s="35">
        <v>25.25</v>
      </c>
      <c r="E760" s="35">
        <v>25</v>
      </c>
      <c r="F760" s="33">
        <v>25</v>
      </c>
      <c r="G760" s="29">
        <v>0</v>
      </c>
      <c r="H760" s="29">
        <v>0</v>
      </c>
      <c r="I760" s="35">
        <v>25</v>
      </c>
      <c r="J760" s="34">
        <v>2400</v>
      </c>
      <c r="K760" s="34">
        <v>60100</v>
      </c>
    </row>
    <row r="761" spans="1:11" hidden="1">
      <c r="A761" s="29" t="s">
        <v>138</v>
      </c>
      <c r="B761" s="32">
        <v>38957</v>
      </c>
      <c r="C761" s="29">
        <v>25</v>
      </c>
      <c r="D761" s="35">
        <v>25.25</v>
      </c>
      <c r="E761" s="35">
        <v>25</v>
      </c>
      <c r="F761" s="33">
        <v>25.25</v>
      </c>
      <c r="G761" s="29">
        <v>0</v>
      </c>
      <c r="H761" s="29">
        <v>0.25</v>
      </c>
      <c r="I761" s="35">
        <v>25</v>
      </c>
      <c r="J761" s="34">
        <v>23200</v>
      </c>
      <c r="K761" s="34">
        <v>585450</v>
      </c>
    </row>
    <row r="762" spans="1:11" hidden="1">
      <c r="A762" s="29" t="s">
        <v>138</v>
      </c>
      <c r="B762" s="32">
        <v>38958</v>
      </c>
      <c r="C762" s="29">
        <v>26.25</v>
      </c>
      <c r="D762" s="35">
        <v>28.25</v>
      </c>
      <c r="E762" s="35">
        <v>26.25</v>
      </c>
      <c r="F762" s="33">
        <v>28</v>
      </c>
      <c r="G762" s="29">
        <v>0</v>
      </c>
      <c r="H762" s="29">
        <v>2.75</v>
      </c>
      <c r="I762" s="35">
        <v>25.25</v>
      </c>
      <c r="J762" s="34">
        <v>220800</v>
      </c>
      <c r="K762" s="34">
        <v>6113650</v>
      </c>
    </row>
    <row r="763" spans="1:11" hidden="1">
      <c r="A763" s="29" t="s">
        <v>138</v>
      </c>
      <c r="B763" s="32">
        <v>38959</v>
      </c>
      <c r="C763" s="29">
        <v>28.25</v>
      </c>
      <c r="D763" s="35">
        <v>29.5</v>
      </c>
      <c r="E763" s="35">
        <v>28</v>
      </c>
      <c r="F763" s="33">
        <v>29.25</v>
      </c>
      <c r="G763" s="29">
        <v>0</v>
      </c>
      <c r="H763" s="29">
        <v>1.25</v>
      </c>
      <c r="I763" s="35">
        <v>28</v>
      </c>
      <c r="J763" s="34">
        <v>420800</v>
      </c>
      <c r="K763" s="34">
        <v>12136875</v>
      </c>
    </row>
    <row r="764" spans="1:11" hidden="1">
      <c r="A764" s="29" t="s">
        <v>138</v>
      </c>
      <c r="B764" s="32">
        <v>38960</v>
      </c>
      <c r="C764" s="29">
        <v>29.25</v>
      </c>
      <c r="D764" s="35">
        <v>29.25</v>
      </c>
      <c r="E764" s="35">
        <v>28.75</v>
      </c>
      <c r="F764" s="33">
        <v>29</v>
      </c>
      <c r="G764" s="29">
        <v>0</v>
      </c>
      <c r="H764" s="29">
        <v>-0.25</v>
      </c>
      <c r="I764" s="35">
        <v>29.25</v>
      </c>
      <c r="J764" s="34">
        <v>92400</v>
      </c>
      <c r="K764" s="34">
        <v>2679425</v>
      </c>
    </row>
    <row r="765" spans="1:11" hidden="1">
      <c r="A765" s="29" t="s">
        <v>138</v>
      </c>
      <c r="B765" s="32">
        <v>38961</v>
      </c>
      <c r="C765" s="29">
        <v>29</v>
      </c>
      <c r="D765" s="35">
        <v>29</v>
      </c>
      <c r="E765" s="35">
        <v>28.75</v>
      </c>
      <c r="F765" s="33">
        <v>28.75</v>
      </c>
      <c r="G765" s="29">
        <v>0</v>
      </c>
      <c r="H765" s="29">
        <v>-0.25</v>
      </c>
      <c r="I765" s="35">
        <v>29</v>
      </c>
      <c r="J765" s="34">
        <v>238000</v>
      </c>
      <c r="K765" s="34">
        <v>6897800</v>
      </c>
    </row>
    <row r="766" spans="1:11" hidden="1">
      <c r="A766" s="29" t="s">
        <v>138</v>
      </c>
      <c r="B766" s="32">
        <v>38964</v>
      </c>
      <c r="C766" s="29">
        <v>28.75</v>
      </c>
      <c r="D766" s="35">
        <v>29</v>
      </c>
      <c r="E766" s="35">
        <v>28.75</v>
      </c>
      <c r="F766" s="33">
        <v>28.75</v>
      </c>
      <c r="G766" s="29">
        <v>0</v>
      </c>
      <c r="H766" s="29">
        <v>0</v>
      </c>
      <c r="I766" s="35">
        <v>28.75</v>
      </c>
      <c r="J766" s="34">
        <v>102000</v>
      </c>
      <c r="K766" s="34">
        <v>2955575</v>
      </c>
    </row>
    <row r="767" spans="1:11" hidden="1">
      <c r="A767" s="29" t="s">
        <v>138</v>
      </c>
      <c r="B767" s="32">
        <v>38965</v>
      </c>
      <c r="C767" s="29">
        <v>28.75</v>
      </c>
      <c r="D767" s="35">
        <v>28.75</v>
      </c>
      <c r="E767" s="35">
        <v>28</v>
      </c>
      <c r="F767" s="33">
        <v>28</v>
      </c>
      <c r="G767" s="29">
        <v>0</v>
      </c>
      <c r="H767" s="29">
        <v>-0.75</v>
      </c>
      <c r="I767" s="35">
        <v>28.75</v>
      </c>
      <c r="J767" s="34">
        <v>106000</v>
      </c>
      <c r="K767" s="34">
        <v>3042525</v>
      </c>
    </row>
    <row r="768" spans="1:11" hidden="1">
      <c r="A768" s="29" t="s">
        <v>138</v>
      </c>
      <c r="B768" s="32">
        <v>38966</v>
      </c>
      <c r="C768" s="29">
        <v>28.75</v>
      </c>
      <c r="D768" s="35">
        <v>28.75</v>
      </c>
      <c r="E768" s="35">
        <v>28.5</v>
      </c>
      <c r="F768" s="33">
        <v>28.5</v>
      </c>
      <c r="G768" s="29">
        <v>0</v>
      </c>
      <c r="H768" s="29">
        <v>0.5</v>
      </c>
      <c r="I768" s="35">
        <v>28</v>
      </c>
      <c r="J768" s="34">
        <v>29600</v>
      </c>
      <c r="K768" s="34">
        <v>850275</v>
      </c>
    </row>
    <row r="769" spans="1:11" hidden="1">
      <c r="A769" s="29" t="s">
        <v>138</v>
      </c>
      <c r="B769" s="32">
        <v>38968</v>
      </c>
      <c r="C769" s="29">
        <v>28.75</v>
      </c>
      <c r="D769" s="35">
        <v>29</v>
      </c>
      <c r="E769" s="35">
        <v>28.75</v>
      </c>
      <c r="F769" s="33">
        <v>29</v>
      </c>
      <c r="G769" s="29">
        <v>0</v>
      </c>
      <c r="H769" s="29">
        <v>0.5</v>
      </c>
      <c r="I769" s="35">
        <v>28.5</v>
      </c>
      <c r="J769" s="34">
        <v>146000</v>
      </c>
      <c r="K769" s="34">
        <v>4210600</v>
      </c>
    </row>
    <row r="770" spans="1:11" hidden="1">
      <c r="A770" s="29" t="s">
        <v>138</v>
      </c>
      <c r="B770" s="32">
        <v>38971</v>
      </c>
      <c r="C770" s="29">
        <v>29</v>
      </c>
      <c r="D770" s="35">
        <v>29</v>
      </c>
      <c r="E770" s="35">
        <v>28.5</v>
      </c>
      <c r="F770" s="33">
        <v>28.75</v>
      </c>
      <c r="G770" s="29">
        <v>0</v>
      </c>
      <c r="H770" s="29">
        <v>-0.25</v>
      </c>
      <c r="I770" s="35">
        <v>29</v>
      </c>
      <c r="J770" s="34">
        <v>36800</v>
      </c>
      <c r="K770" s="34">
        <v>1063125</v>
      </c>
    </row>
    <row r="771" spans="1:11" hidden="1">
      <c r="A771" s="29" t="s">
        <v>138</v>
      </c>
      <c r="B771" s="32">
        <v>38972</v>
      </c>
      <c r="C771" s="29">
        <v>29.25</v>
      </c>
      <c r="D771" s="35">
        <v>29.5</v>
      </c>
      <c r="E771" s="35">
        <v>29.25</v>
      </c>
      <c r="F771" s="33">
        <v>29.5</v>
      </c>
      <c r="G771" s="29">
        <v>0</v>
      </c>
      <c r="H771" s="29">
        <v>0.75</v>
      </c>
      <c r="I771" s="35">
        <v>28.75</v>
      </c>
      <c r="J771" s="34">
        <v>92400</v>
      </c>
      <c r="K771" s="34">
        <v>2728125</v>
      </c>
    </row>
    <row r="772" spans="1:11" hidden="1">
      <c r="A772" s="29" t="s">
        <v>138</v>
      </c>
      <c r="B772" s="32">
        <v>38973</v>
      </c>
      <c r="C772" s="29">
        <v>30</v>
      </c>
      <c r="D772" s="35">
        <v>30.75</v>
      </c>
      <c r="E772" s="35">
        <v>30</v>
      </c>
      <c r="F772" s="33">
        <v>30.75</v>
      </c>
      <c r="G772" s="29">
        <v>0</v>
      </c>
      <c r="H772" s="29">
        <v>1.25</v>
      </c>
      <c r="I772" s="35">
        <v>29.5</v>
      </c>
      <c r="J772" s="34">
        <v>600000</v>
      </c>
      <c r="K772" s="34">
        <v>18349675</v>
      </c>
    </row>
    <row r="773" spans="1:11" hidden="1">
      <c r="A773" s="29" t="s">
        <v>138</v>
      </c>
      <c r="B773" s="32">
        <v>38974</v>
      </c>
      <c r="C773" s="29">
        <v>31</v>
      </c>
      <c r="D773" s="35">
        <v>31.5</v>
      </c>
      <c r="E773" s="35">
        <v>31</v>
      </c>
      <c r="F773" s="33">
        <v>31.25</v>
      </c>
      <c r="G773" s="29">
        <v>0</v>
      </c>
      <c r="H773" s="29">
        <v>0.5</v>
      </c>
      <c r="I773" s="35">
        <v>30.75</v>
      </c>
      <c r="J773" s="34">
        <v>267200</v>
      </c>
      <c r="K773" s="34">
        <v>8375000</v>
      </c>
    </row>
    <row r="774" spans="1:11" hidden="1">
      <c r="A774" s="29" t="s">
        <v>138</v>
      </c>
      <c r="B774" s="32">
        <v>38975</v>
      </c>
      <c r="C774" s="29">
        <v>31.5</v>
      </c>
      <c r="D774" s="35">
        <v>31.5</v>
      </c>
      <c r="E774" s="35">
        <v>31</v>
      </c>
      <c r="F774" s="33">
        <v>31</v>
      </c>
      <c r="G774" s="29">
        <v>0</v>
      </c>
      <c r="H774" s="29">
        <v>-0.25</v>
      </c>
      <c r="I774" s="35">
        <v>31.25</v>
      </c>
      <c r="J774" s="34">
        <v>108400</v>
      </c>
      <c r="K774" s="34">
        <v>3394350</v>
      </c>
    </row>
    <row r="775" spans="1:11" hidden="1">
      <c r="A775" s="29" t="s">
        <v>138</v>
      </c>
      <c r="B775" s="32">
        <v>38978</v>
      </c>
      <c r="C775" s="29">
        <v>31</v>
      </c>
      <c r="D775" s="35">
        <v>31.25</v>
      </c>
      <c r="E775" s="35">
        <v>31</v>
      </c>
      <c r="F775" s="33">
        <v>31.25</v>
      </c>
      <c r="G775" s="29">
        <v>0</v>
      </c>
      <c r="H775" s="29">
        <v>0.25</v>
      </c>
      <c r="I775" s="35">
        <v>31</v>
      </c>
      <c r="J775" s="34">
        <v>27200</v>
      </c>
      <c r="K775" s="34">
        <v>849725</v>
      </c>
    </row>
    <row r="776" spans="1:11" hidden="1">
      <c r="A776" s="29" t="s">
        <v>138</v>
      </c>
      <c r="B776" s="32">
        <v>38979</v>
      </c>
      <c r="C776" s="29">
        <v>30.75</v>
      </c>
      <c r="D776" s="35">
        <v>30.75</v>
      </c>
      <c r="E776" s="35">
        <v>30.75</v>
      </c>
      <c r="F776" s="33">
        <v>30.75</v>
      </c>
      <c r="G776" s="29">
        <v>0</v>
      </c>
      <c r="H776" s="29">
        <v>-0.5</v>
      </c>
      <c r="I776" s="35">
        <v>31.25</v>
      </c>
      <c r="J776" s="34">
        <v>8800</v>
      </c>
      <c r="K776" s="34">
        <v>271650</v>
      </c>
    </row>
    <row r="777" spans="1:11" hidden="1">
      <c r="A777" s="29" t="s">
        <v>138</v>
      </c>
      <c r="B777" s="32">
        <v>38980</v>
      </c>
      <c r="C777" s="29">
        <v>31.25</v>
      </c>
      <c r="D777" s="35">
        <v>32.5</v>
      </c>
      <c r="E777" s="35">
        <v>31.25</v>
      </c>
      <c r="F777" s="33">
        <v>32.25</v>
      </c>
      <c r="G777" s="29">
        <v>0</v>
      </c>
      <c r="H777" s="29">
        <v>1.5</v>
      </c>
      <c r="I777" s="35">
        <v>30.75</v>
      </c>
      <c r="J777" s="34">
        <v>518400</v>
      </c>
      <c r="K777" s="34">
        <v>16612525</v>
      </c>
    </row>
    <row r="778" spans="1:11" hidden="1">
      <c r="A778" s="29" t="s">
        <v>138</v>
      </c>
      <c r="B778" s="32">
        <v>38981</v>
      </c>
      <c r="C778" s="29">
        <v>32</v>
      </c>
      <c r="D778" s="35">
        <v>32</v>
      </c>
      <c r="E778" s="35">
        <v>31.5</v>
      </c>
      <c r="F778" s="33">
        <v>31.5</v>
      </c>
      <c r="G778" s="29">
        <v>0</v>
      </c>
      <c r="H778" s="29">
        <v>-0.75</v>
      </c>
      <c r="I778" s="35">
        <v>32.25</v>
      </c>
      <c r="J778" s="34">
        <v>30000</v>
      </c>
      <c r="K778" s="34">
        <v>950350</v>
      </c>
    </row>
    <row r="779" spans="1:11" hidden="1">
      <c r="A779" s="29" t="s">
        <v>138</v>
      </c>
      <c r="B779" s="32">
        <v>38982</v>
      </c>
      <c r="C779" s="29">
        <v>31.5</v>
      </c>
      <c r="D779" s="35">
        <v>31.5</v>
      </c>
      <c r="E779" s="35">
        <v>31</v>
      </c>
      <c r="F779" s="33">
        <v>31</v>
      </c>
      <c r="G779" s="29">
        <v>0</v>
      </c>
      <c r="H779" s="29">
        <v>-0.5</v>
      </c>
      <c r="I779" s="35">
        <v>31.5</v>
      </c>
      <c r="J779" s="34">
        <v>36000</v>
      </c>
      <c r="K779" s="34">
        <v>1121075</v>
      </c>
    </row>
    <row r="780" spans="1:11" hidden="1">
      <c r="A780" s="29" t="s">
        <v>138</v>
      </c>
      <c r="B780" s="32">
        <v>38985</v>
      </c>
      <c r="C780" s="29">
        <v>31.25</v>
      </c>
      <c r="D780" s="35">
        <v>31.5</v>
      </c>
      <c r="E780" s="35">
        <v>30.75</v>
      </c>
      <c r="F780" s="33">
        <v>31.5</v>
      </c>
      <c r="G780" s="29">
        <v>0</v>
      </c>
      <c r="H780" s="29">
        <v>0.5</v>
      </c>
      <c r="I780" s="35">
        <v>31</v>
      </c>
      <c r="J780" s="34">
        <v>90000</v>
      </c>
      <c r="K780" s="34">
        <v>2824475</v>
      </c>
    </row>
    <row r="781" spans="1:11" hidden="1">
      <c r="A781" s="29" t="s">
        <v>138</v>
      </c>
      <c r="B781" s="32">
        <v>38986</v>
      </c>
      <c r="C781" s="29">
        <v>31.75</v>
      </c>
      <c r="D781" s="35">
        <v>31.75</v>
      </c>
      <c r="E781" s="35">
        <v>31.25</v>
      </c>
      <c r="F781" s="33">
        <v>31.25</v>
      </c>
      <c r="G781" s="29">
        <v>0</v>
      </c>
      <c r="H781" s="29">
        <v>-0.25</v>
      </c>
      <c r="I781" s="35">
        <v>31.5</v>
      </c>
      <c r="J781" s="34">
        <v>40400</v>
      </c>
      <c r="K781" s="34">
        <v>1270375</v>
      </c>
    </row>
    <row r="782" spans="1:11" hidden="1">
      <c r="A782" s="29" t="s">
        <v>138</v>
      </c>
      <c r="B782" s="32">
        <v>38987</v>
      </c>
      <c r="C782" s="29">
        <v>31.25</v>
      </c>
      <c r="D782" s="35">
        <v>32.5</v>
      </c>
      <c r="E782" s="35">
        <v>31.25</v>
      </c>
      <c r="F782" s="33">
        <v>32.25</v>
      </c>
      <c r="G782" s="29">
        <v>0</v>
      </c>
      <c r="H782" s="29">
        <v>1</v>
      </c>
      <c r="I782" s="35">
        <v>31.25</v>
      </c>
      <c r="J782" s="34">
        <v>234000</v>
      </c>
      <c r="K782" s="34">
        <v>7532350</v>
      </c>
    </row>
    <row r="783" spans="1:11" hidden="1">
      <c r="A783" s="29" t="s">
        <v>138</v>
      </c>
      <c r="B783" s="32">
        <v>38988</v>
      </c>
      <c r="C783" s="29">
        <v>32.75</v>
      </c>
      <c r="D783" s="35">
        <v>33.25</v>
      </c>
      <c r="E783" s="35">
        <v>32.5</v>
      </c>
      <c r="F783" s="33">
        <v>32.5</v>
      </c>
      <c r="G783" s="29">
        <v>0</v>
      </c>
      <c r="H783" s="29">
        <v>0.25</v>
      </c>
      <c r="I783" s="35">
        <v>32.25</v>
      </c>
      <c r="J783" s="34">
        <v>346800</v>
      </c>
      <c r="K783" s="34">
        <v>11504050</v>
      </c>
    </row>
    <row r="784" spans="1:11" hidden="1">
      <c r="A784" s="29" t="s">
        <v>138</v>
      </c>
      <c r="B784" s="32">
        <v>38989</v>
      </c>
      <c r="C784" s="29">
        <v>32.75</v>
      </c>
      <c r="D784" s="35">
        <v>32.75</v>
      </c>
      <c r="E784" s="35">
        <v>32.75</v>
      </c>
      <c r="F784" s="33">
        <v>32.75</v>
      </c>
      <c r="G784" s="29">
        <v>0</v>
      </c>
      <c r="H784" s="29">
        <v>0.25</v>
      </c>
      <c r="I784" s="35">
        <v>32.5</v>
      </c>
      <c r="J784" s="34">
        <v>45200</v>
      </c>
      <c r="K784" s="34">
        <v>1487750</v>
      </c>
    </row>
    <row r="785" spans="1:11" hidden="1">
      <c r="A785" s="29" t="s">
        <v>138</v>
      </c>
      <c r="B785" s="32">
        <v>38992</v>
      </c>
      <c r="C785" s="29">
        <v>33</v>
      </c>
      <c r="D785" s="35">
        <v>33.25</v>
      </c>
      <c r="E785" s="35">
        <v>32.75</v>
      </c>
      <c r="F785" s="33">
        <v>32.75</v>
      </c>
      <c r="G785" s="29">
        <v>0</v>
      </c>
      <c r="H785" s="29">
        <v>0</v>
      </c>
      <c r="I785" s="35">
        <v>32.75</v>
      </c>
      <c r="J785" s="34">
        <v>26400</v>
      </c>
      <c r="K785" s="34">
        <v>867350</v>
      </c>
    </row>
    <row r="786" spans="1:11" hidden="1">
      <c r="A786" s="29" t="s">
        <v>138</v>
      </c>
      <c r="B786" s="32">
        <v>38993</v>
      </c>
      <c r="C786" s="29">
        <v>32.5</v>
      </c>
      <c r="D786" s="35">
        <v>32.5</v>
      </c>
      <c r="E786" s="35">
        <v>32.5</v>
      </c>
      <c r="F786" s="33">
        <v>32.5</v>
      </c>
      <c r="G786" s="29">
        <v>0</v>
      </c>
      <c r="H786" s="29">
        <v>-0.25</v>
      </c>
      <c r="I786" s="35">
        <v>32.75</v>
      </c>
      <c r="J786" s="34">
        <v>83200</v>
      </c>
      <c r="K786" s="34">
        <v>2704050</v>
      </c>
    </row>
    <row r="787" spans="1:11" hidden="1">
      <c r="A787" s="29" t="s">
        <v>138</v>
      </c>
      <c r="B787" s="32">
        <v>38994</v>
      </c>
      <c r="C787" s="29">
        <v>32.5</v>
      </c>
      <c r="D787" s="35">
        <v>32.75</v>
      </c>
      <c r="E787" s="35">
        <v>32.5</v>
      </c>
      <c r="F787" s="33">
        <v>32.5</v>
      </c>
      <c r="G787" s="29">
        <v>0</v>
      </c>
      <c r="H787" s="29">
        <v>0</v>
      </c>
      <c r="I787" s="35">
        <v>32.5</v>
      </c>
      <c r="J787" s="34">
        <v>53200</v>
      </c>
      <c r="K787" s="34">
        <v>1733625</v>
      </c>
    </row>
    <row r="788" spans="1:11" hidden="1">
      <c r="A788" s="29" t="s">
        <v>138</v>
      </c>
      <c r="B788" s="32">
        <v>38995</v>
      </c>
      <c r="C788" s="29">
        <v>32.75</v>
      </c>
      <c r="D788" s="35">
        <v>33</v>
      </c>
      <c r="E788" s="35">
        <v>32.75</v>
      </c>
      <c r="F788" s="33">
        <v>32.75</v>
      </c>
      <c r="G788" s="29">
        <v>0</v>
      </c>
      <c r="H788" s="29">
        <v>0.25</v>
      </c>
      <c r="I788" s="35">
        <v>32.5</v>
      </c>
      <c r="J788" s="34">
        <v>67600</v>
      </c>
      <c r="K788" s="34">
        <v>2218100</v>
      </c>
    </row>
    <row r="789" spans="1:11" hidden="1">
      <c r="A789" s="29" t="s">
        <v>138</v>
      </c>
      <c r="B789" s="32">
        <v>38999</v>
      </c>
      <c r="C789" s="29">
        <v>33</v>
      </c>
      <c r="D789" s="35">
        <v>33.25</v>
      </c>
      <c r="E789" s="35">
        <v>33</v>
      </c>
      <c r="F789" s="33">
        <v>33</v>
      </c>
      <c r="G789" s="29">
        <v>0</v>
      </c>
      <c r="H789" s="29">
        <v>0.25</v>
      </c>
      <c r="I789" s="35">
        <v>32.75</v>
      </c>
      <c r="J789" s="34">
        <v>94800</v>
      </c>
      <c r="K789" s="34">
        <v>3137475</v>
      </c>
    </row>
    <row r="790" spans="1:11" hidden="1">
      <c r="A790" s="29" t="s">
        <v>138</v>
      </c>
      <c r="B790" s="32">
        <v>39000</v>
      </c>
      <c r="C790" s="29">
        <v>33.25</v>
      </c>
      <c r="D790" s="35">
        <v>33.25</v>
      </c>
      <c r="E790" s="35">
        <v>32.75</v>
      </c>
      <c r="F790" s="33">
        <v>32.75</v>
      </c>
      <c r="G790" s="29">
        <v>0</v>
      </c>
      <c r="H790" s="29">
        <v>-0.25</v>
      </c>
      <c r="I790" s="35">
        <v>33</v>
      </c>
      <c r="J790" s="34">
        <v>161600</v>
      </c>
      <c r="K790" s="34">
        <v>5360925</v>
      </c>
    </row>
    <row r="791" spans="1:11" hidden="1">
      <c r="A791" s="29" t="s">
        <v>138</v>
      </c>
      <c r="B791" s="32">
        <v>39001</v>
      </c>
      <c r="C791" s="29">
        <v>32.75</v>
      </c>
      <c r="D791" s="35">
        <v>32.75</v>
      </c>
      <c r="E791" s="35">
        <v>32.5</v>
      </c>
      <c r="F791" s="33">
        <v>32.75</v>
      </c>
      <c r="G791" s="29">
        <v>0</v>
      </c>
      <c r="H791" s="29">
        <v>0</v>
      </c>
      <c r="I791" s="35">
        <v>32.75</v>
      </c>
      <c r="J791" s="34">
        <v>124800</v>
      </c>
      <c r="K791" s="34">
        <v>4088500</v>
      </c>
    </row>
    <row r="792" spans="1:11" hidden="1">
      <c r="A792" s="29" t="s">
        <v>138</v>
      </c>
      <c r="B792" s="32">
        <v>39002</v>
      </c>
      <c r="C792" s="29">
        <v>32.5</v>
      </c>
      <c r="D792" s="35">
        <v>32.5</v>
      </c>
      <c r="E792" s="35">
        <v>32.5</v>
      </c>
      <c r="F792" s="33">
        <v>32.5</v>
      </c>
      <c r="G792" s="29">
        <v>0</v>
      </c>
      <c r="H792" s="29">
        <v>-0.25</v>
      </c>
      <c r="I792" s="35">
        <v>32.75</v>
      </c>
      <c r="J792" s="34">
        <v>20800</v>
      </c>
      <c r="K792" s="34">
        <v>676550</v>
      </c>
    </row>
    <row r="793" spans="1:11" hidden="1">
      <c r="A793" s="29" t="s">
        <v>138</v>
      </c>
      <c r="B793" s="32">
        <v>39003</v>
      </c>
      <c r="C793" s="29">
        <v>32.5</v>
      </c>
      <c r="D793" s="35">
        <v>32.5</v>
      </c>
      <c r="E793" s="35">
        <v>32.5</v>
      </c>
      <c r="F793" s="33">
        <v>32.5</v>
      </c>
      <c r="G793" s="29">
        <v>0</v>
      </c>
      <c r="H793" s="29">
        <v>0</v>
      </c>
      <c r="I793" s="35">
        <v>32.5</v>
      </c>
      <c r="J793" s="34">
        <v>51600</v>
      </c>
      <c r="K793" s="34">
        <v>1677700</v>
      </c>
    </row>
    <row r="794" spans="1:11" hidden="1">
      <c r="A794" s="29" t="s">
        <v>138</v>
      </c>
      <c r="B794" s="32">
        <v>39006</v>
      </c>
      <c r="C794" s="29">
        <v>32.75</v>
      </c>
      <c r="D794" s="35">
        <v>32.75</v>
      </c>
      <c r="E794" s="35">
        <v>32.75</v>
      </c>
      <c r="F794" s="33">
        <v>32.75</v>
      </c>
      <c r="G794" s="29">
        <v>0</v>
      </c>
      <c r="H794" s="29">
        <v>0.25</v>
      </c>
      <c r="I794" s="35">
        <v>32.5</v>
      </c>
      <c r="J794" s="34">
        <v>4000</v>
      </c>
      <c r="K794" s="34">
        <v>131000</v>
      </c>
    </row>
    <row r="795" spans="1:11" hidden="1">
      <c r="A795" s="29" t="s">
        <v>138</v>
      </c>
      <c r="B795" s="32">
        <v>39007</v>
      </c>
      <c r="C795" s="29">
        <v>31.75</v>
      </c>
      <c r="D795" s="35">
        <v>32.5</v>
      </c>
      <c r="E795" s="35">
        <v>31.75</v>
      </c>
      <c r="F795" s="33">
        <v>32.25</v>
      </c>
      <c r="G795" s="29">
        <v>0</v>
      </c>
      <c r="H795" s="29">
        <v>-0.5</v>
      </c>
      <c r="I795" s="35">
        <v>32.75</v>
      </c>
      <c r="J795" s="34">
        <v>5600</v>
      </c>
      <c r="K795" s="34">
        <v>180150</v>
      </c>
    </row>
    <row r="796" spans="1:11" hidden="1">
      <c r="A796" s="29" t="s">
        <v>138</v>
      </c>
      <c r="B796" s="32">
        <v>39008</v>
      </c>
      <c r="C796" s="29">
        <v>31.75</v>
      </c>
      <c r="D796" s="35">
        <v>32.75</v>
      </c>
      <c r="E796" s="35">
        <v>31.5</v>
      </c>
      <c r="F796" s="33">
        <v>32.5</v>
      </c>
      <c r="G796" s="29">
        <v>0</v>
      </c>
      <c r="H796" s="29">
        <v>0.25</v>
      </c>
      <c r="I796" s="35">
        <v>32.25</v>
      </c>
      <c r="J796" s="34">
        <v>34400</v>
      </c>
      <c r="K796" s="34">
        <v>1110625</v>
      </c>
    </row>
    <row r="797" spans="1:11" hidden="1">
      <c r="A797" s="29" t="s">
        <v>138</v>
      </c>
      <c r="B797" s="32">
        <v>39009</v>
      </c>
      <c r="C797" s="29">
        <v>32.75</v>
      </c>
      <c r="D797" s="35">
        <v>32.75</v>
      </c>
      <c r="E797" s="35">
        <v>32.75</v>
      </c>
      <c r="F797" s="33">
        <v>32.75</v>
      </c>
      <c r="G797" s="29">
        <v>0</v>
      </c>
      <c r="H797" s="29">
        <v>0.25</v>
      </c>
      <c r="I797" s="35">
        <v>32.5</v>
      </c>
      <c r="J797" s="34">
        <v>27200</v>
      </c>
      <c r="K797" s="34">
        <v>890850</v>
      </c>
    </row>
    <row r="798" spans="1:11" hidden="1">
      <c r="A798" s="29" t="s">
        <v>138</v>
      </c>
      <c r="B798" s="32">
        <v>39010</v>
      </c>
      <c r="C798" s="29">
        <v>32.75</v>
      </c>
      <c r="D798" s="35">
        <v>32.75</v>
      </c>
      <c r="E798" s="35">
        <v>32.75</v>
      </c>
      <c r="F798" s="33">
        <v>32.75</v>
      </c>
      <c r="G798" s="29">
        <v>0</v>
      </c>
      <c r="H798" s="29">
        <v>0</v>
      </c>
      <c r="I798" s="35">
        <v>32.75</v>
      </c>
      <c r="J798" s="34">
        <v>10000</v>
      </c>
      <c r="K798" s="34">
        <v>327875</v>
      </c>
    </row>
    <row r="799" spans="1:11" hidden="1">
      <c r="A799" s="29" t="s">
        <v>138</v>
      </c>
      <c r="B799" s="32">
        <v>39013</v>
      </c>
      <c r="C799" s="29">
        <v>33</v>
      </c>
      <c r="D799" s="35">
        <v>36</v>
      </c>
      <c r="E799" s="35">
        <v>33</v>
      </c>
      <c r="F799" s="33">
        <v>35</v>
      </c>
      <c r="G799" s="29">
        <v>0</v>
      </c>
      <c r="H799" s="29">
        <v>2.25</v>
      </c>
      <c r="I799" s="35">
        <v>32.75</v>
      </c>
      <c r="J799" s="34">
        <v>564000</v>
      </c>
      <c r="K799" s="34">
        <v>19783550</v>
      </c>
    </row>
    <row r="800" spans="1:11" hidden="1">
      <c r="A800" s="29" t="s">
        <v>138</v>
      </c>
      <c r="B800" s="32">
        <v>39015</v>
      </c>
      <c r="C800" s="29">
        <v>35.5</v>
      </c>
      <c r="D800" s="35">
        <v>36</v>
      </c>
      <c r="E800" s="35">
        <v>35</v>
      </c>
      <c r="F800" s="33">
        <v>35</v>
      </c>
      <c r="G800" s="29">
        <v>0</v>
      </c>
      <c r="H800" s="29">
        <v>0</v>
      </c>
      <c r="I800" s="35">
        <v>35</v>
      </c>
      <c r="J800" s="34">
        <v>25600</v>
      </c>
      <c r="K800" s="34">
        <v>902900</v>
      </c>
    </row>
    <row r="801" spans="1:11" hidden="1">
      <c r="A801" s="29" t="s">
        <v>138</v>
      </c>
      <c r="B801" s="32">
        <v>39016</v>
      </c>
      <c r="C801" s="29">
        <v>35.75</v>
      </c>
      <c r="D801" s="35">
        <v>35.75</v>
      </c>
      <c r="E801" s="35">
        <v>34.5</v>
      </c>
      <c r="F801" s="33">
        <v>34.75</v>
      </c>
      <c r="G801" s="29">
        <v>0</v>
      </c>
      <c r="H801" s="29">
        <v>-0.25</v>
      </c>
      <c r="I801" s="35">
        <v>35</v>
      </c>
      <c r="J801" s="34">
        <v>54000</v>
      </c>
      <c r="K801" s="34">
        <v>1898600</v>
      </c>
    </row>
    <row r="802" spans="1:11" hidden="1">
      <c r="A802" s="29" t="s">
        <v>138</v>
      </c>
      <c r="B802" s="32">
        <v>39017</v>
      </c>
      <c r="C802" s="29">
        <v>35</v>
      </c>
      <c r="D802" s="35">
        <v>35.75</v>
      </c>
      <c r="E802" s="35">
        <v>35</v>
      </c>
      <c r="F802" s="33">
        <v>35.75</v>
      </c>
      <c r="G802" s="29">
        <v>0</v>
      </c>
      <c r="H802" s="29">
        <v>1</v>
      </c>
      <c r="I802" s="35">
        <v>34.75</v>
      </c>
      <c r="J802" s="34">
        <v>176800</v>
      </c>
      <c r="K802" s="34">
        <v>6304775</v>
      </c>
    </row>
    <row r="803" spans="1:11" hidden="1">
      <c r="A803" s="29" t="s">
        <v>138</v>
      </c>
      <c r="B803" s="32">
        <v>39020</v>
      </c>
      <c r="C803" s="29">
        <v>34.75</v>
      </c>
      <c r="D803" s="35">
        <v>34.75</v>
      </c>
      <c r="E803" s="35">
        <v>33.75</v>
      </c>
      <c r="F803" s="33">
        <v>34</v>
      </c>
      <c r="G803" s="29">
        <v>0</v>
      </c>
      <c r="H803" s="29">
        <v>-1.75</v>
      </c>
      <c r="I803" s="35">
        <v>35.75</v>
      </c>
      <c r="J803" s="34">
        <v>66800</v>
      </c>
      <c r="K803" s="34">
        <v>2275525</v>
      </c>
    </row>
    <row r="804" spans="1:11" hidden="1">
      <c r="A804" s="29" t="s">
        <v>138</v>
      </c>
      <c r="B804" s="32">
        <v>39021</v>
      </c>
      <c r="C804" s="29">
        <v>34.75</v>
      </c>
      <c r="D804" s="35">
        <v>35</v>
      </c>
      <c r="E804" s="35">
        <v>33.75</v>
      </c>
      <c r="F804" s="33">
        <v>33.75</v>
      </c>
      <c r="G804" s="29">
        <v>0</v>
      </c>
      <c r="H804" s="29">
        <v>-0.25</v>
      </c>
      <c r="I804" s="35">
        <v>34</v>
      </c>
      <c r="J804" s="34">
        <v>80400</v>
      </c>
      <c r="K804" s="34">
        <v>2758825</v>
      </c>
    </row>
    <row r="805" spans="1:11" hidden="1">
      <c r="A805" s="29" t="s">
        <v>138</v>
      </c>
      <c r="B805" s="32">
        <v>39022</v>
      </c>
      <c r="C805" s="29">
        <v>34</v>
      </c>
      <c r="D805" s="35">
        <v>35</v>
      </c>
      <c r="E805" s="35">
        <v>34</v>
      </c>
      <c r="F805" s="33">
        <v>34.75</v>
      </c>
      <c r="G805" s="29">
        <v>0</v>
      </c>
      <c r="H805" s="29">
        <v>1</v>
      </c>
      <c r="I805" s="35">
        <v>33.75</v>
      </c>
      <c r="J805" s="34">
        <v>50400</v>
      </c>
      <c r="K805" s="34">
        <v>1752875</v>
      </c>
    </row>
    <row r="806" spans="1:11" hidden="1">
      <c r="A806" s="29" t="s">
        <v>138</v>
      </c>
      <c r="B806" s="32">
        <v>39023</v>
      </c>
      <c r="C806" s="29">
        <v>35</v>
      </c>
      <c r="D806" s="35">
        <v>35</v>
      </c>
      <c r="E806" s="35">
        <v>35</v>
      </c>
      <c r="F806" s="33">
        <v>35</v>
      </c>
      <c r="G806" s="29">
        <v>0</v>
      </c>
      <c r="H806" s="29">
        <v>0.25</v>
      </c>
      <c r="I806" s="35">
        <v>34.75</v>
      </c>
      <c r="J806" s="34">
        <v>92800</v>
      </c>
      <c r="K806" s="34">
        <v>3251150</v>
      </c>
    </row>
    <row r="807" spans="1:11" hidden="1">
      <c r="A807" s="29" t="s">
        <v>138</v>
      </c>
      <c r="B807" s="32">
        <v>39024</v>
      </c>
      <c r="C807" s="29">
        <v>35.25</v>
      </c>
      <c r="D807" s="35">
        <v>35.5</v>
      </c>
      <c r="E807" s="35">
        <v>35.25</v>
      </c>
      <c r="F807" s="33">
        <v>35.5</v>
      </c>
      <c r="G807" s="29">
        <v>0</v>
      </c>
      <c r="H807" s="29">
        <v>0.5</v>
      </c>
      <c r="I807" s="35">
        <v>35</v>
      </c>
      <c r="J807" s="34">
        <v>96400</v>
      </c>
      <c r="K807" s="34">
        <v>3425725</v>
      </c>
    </row>
    <row r="808" spans="1:11" hidden="1">
      <c r="A808" s="29" t="s">
        <v>138</v>
      </c>
      <c r="B808" s="32">
        <v>39027</v>
      </c>
      <c r="C808" s="29">
        <v>35.25</v>
      </c>
      <c r="D808" s="35">
        <v>35.5</v>
      </c>
      <c r="E808" s="35">
        <v>35.25</v>
      </c>
      <c r="F808" s="33">
        <v>35.5</v>
      </c>
      <c r="G808" s="29">
        <v>0</v>
      </c>
      <c r="H808" s="29">
        <v>0</v>
      </c>
      <c r="I808" s="35">
        <v>35.5</v>
      </c>
      <c r="J808" s="34">
        <v>30400</v>
      </c>
      <c r="K808" s="34">
        <v>1079550</v>
      </c>
    </row>
    <row r="809" spans="1:11" hidden="1">
      <c r="A809" s="29" t="s">
        <v>138</v>
      </c>
      <c r="B809" s="32">
        <v>39028</v>
      </c>
      <c r="C809" s="29">
        <v>35.5</v>
      </c>
      <c r="D809" s="35">
        <v>35.5</v>
      </c>
      <c r="E809" s="35">
        <v>35.25</v>
      </c>
      <c r="F809" s="33">
        <v>35.5</v>
      </c>
      <c r="G809" s="29">
        <v>0</v>
      </c>
      <c r="H809" s="29">
        <v>0</v>
      </c>
      <c r="I809" s="35">
        <v>35.5</v>
      </c>
      <c r="J809" s="34">
        <v>90400</v>
      </c>
      <c r="K809" s="34">
        <v>3210575</v>
      </c>
    </row>
    <row r="810" spans="1:11" hidden="1">
      <c r="A810" s="29" t="s">
        <v>138</v>
      </c>
      <c r="B810" s="32">
        <v>39029</v>
      </c>
      <c r="C810" s="29">
        <v>35.5</v>
      </c>
      <c r="D810" s="35">
        <v>35.75</v>
      </c>
      <c r="E810" s="35">
        <v>35.5</v>
      </c>
      <c r="F810" s="33">
        <v>35.75</v>
      </c>
      <c r="G810" s="29">
        <v>0</v>
      </c>
      <c r="H810" s="29">
        <v>0.25</v>
      </c>
      <c r="I810" s="35">
        <v>35.5</v>
      </c>
      <c r="J810" s="34">
        <v>175200</v>
      </c>
      <c r="K810" s="34">
        <v>6258275</v>
      </c>
    </row>
    <row r="811" spans="1:11" hidden="1">
      <c r="A811" s="29" t="s">
        <v>138</v>
      </c>
      <c r="B811" s="32">
        <v>39030</v>
      </c>
      <c r="C811" s="29">
        <v>35.5</v>
      </c>
      <c r="D811" s="35">
        <v>37</v>
      </c>
      <c r="E811" s="35">
        <v>35.5</v>
      </c>
      <c r="F811" s="33">
        <v>36.25</v>
      </c>
      <c r="G811" s="29">
        <v>0</v>
      </c>
      <c r="H811" s="29">
        <v>0.5</v>
      </c>
      <c r="I811" s="35">
        <v>35.75</v>
      </c>
      <c r="J811" s="34">
        <v>1103600</v>
      </c>
      <c r="K811" s="34">
        <v>40055000</v>
      </c>
    </row>
    <row r="812" spans="1:11" hidden="1">
      <c r="A812" s="29" t="s">
        <v>138</v>
      </c>
      <c r="B812" s="32">
        <v>39031</v>
      </c>
      <c r="C812" s="29">
        <v>36.5</v>
      </c>
      <c r="D812" s="35">
        <v>36.5</v>
      </c>
      <c r="E812" s="35">
        <v>35.75</v>
      </c>
      <c r="F812" s="33">
        <v>36</v>
      </c>
      <c r="G812" s="29">
        <v>0</v>
      </c>
      <c r="H812" s="29">
        <v>-0.25</v>
      </c>
      <c r="I812" s="35">
        <v>36.25</v>
      </c>
      <c r="J812" s="34">
        <v>72400</v>
      </c>
      <c r="K812" s="34">
        <v>2618200</v>
      </c>
    </row>
    <row r="813" spans="1:11" hidden="1">
      <c r="A813" s="29" t="s">
        <v>138</v>
      </c>
      <c r="B813" s="32">
        <v>39034</v>
      </c>
      <c r="C813" s="29">
        <v>36</v>
      </c>
      <c r="D813" s="35">
        <v>36.75</v>
      </c>
      <c r="E813" s="35">
        <v>36</v>
      </c>
      <c r="F813" s="33">
        <v>36.25</v>
      </c>
      <c r="G813" s="29">
        <v>0</v>
      </c>
      <c r="H813" s="29">
        <v>0.25</v>
      </c>
      <c r="I813" s="35">
        <v>36</v>
      </c>
      <c r="J813" s="34">
        <v>60800</v>
      </c>
      <c r="K813" s="34">
        <v>2208725</v>
      </c>
    </row>
    <row r="814" spans="1:11" hidden="1">
      <c r="A814" s="29" t="s">
        <v>138</v>
      </c>
      <c r="B814" s="32">
        <v>39035</v>
      </c>
      <c r="C814" s="29">
        <v>36.25</v>
      </c>
      <c r="D814" s="35">
        <v>36.75</v>
      </c>
      <c r="E814" s="35">
        <v>36.25</v>
      </c>
      <c r="F814" s="33">
        <v>36.25</v>
      </c>
      <c r="G814" s="29">
        <v>0</v>
      </c>
      <c r="H814" s="29">
        <v>0</v>
      </c>
      <c r="I814" s="35">
        <v>36.25</v>
      </c>
      <c r="J814" s="34">
        <v>163200</v>
      </c>
      <c r="K814" s="34">
        <v>5926450</v>
      </c>
    </row>
    <row r="815" spans="1:11" hidden="1">
      <c r="A815" s="29" t="s">
        <v>138</v>
      </c>
      <c r="B815" s="32">
        <v>39036</v>
      </c>
      <c r="C815" s="29">
        <v>36.75</v>
      </c>
      <c r="D815" s="35">
        <v>37.75</v>
      </c>
      <c r="E815" s="35">
        <v>36.75</v>
      </c>
      <c r="F815" s="33">
        <v>37.25</v>
      </c>
      <c r="G815" s="29">
        <v>0</v>
      </c>
      <c r="H815" s="29">
        <v>1</v>
      </c>
      <c r="I815" s="35">
        <v>36.25</v>
      </c>
      <c r="J815" s="34">
        <v>547600</v>
      </c>
      <c r="K815" s="34">
        <v>20480375</v>
      </c>
    </row>
    <row r="816" spans="1:11" hidden="1">
      <c r="A816" s="29" t="s">
        <v>138</v>
      </c>
      <c r="B816" s="32">
        <v>39037</v>
      </c>
      <c r="C816" s="29">
        <v>37.5</v>
      </c>
      <c r="D816" s="35">
        <v>37.5</v>
      </c>
      <c r="E816" s="35">
        <v>37</v>
      </c>
      <c r="F816" s="33">
        <v>37</v>
      </c>
      <c r="G816" s="29">
        <v>0</v>
      </c>
      <c r="H816" s="29">
        <v>-0.25</v>
      </c>
      <c r="I816" s="35">
        <v>37.25</v>
      </c>
      <c r="J816" s="34">
        <v>149200</v>
      </c>
      <c r="K816" s="34">
        <v>5564100</v>
      </c>
    </row>
    <row r="817" spans="1:11" hidden="1">
      <c r="A817" s="29" t="s">
        <v>138</v>
      </c>
      <c r="B817" s="32">
        <v>39038</v>
      </c>
      <c r="C817" s="29">
        <v>37.5</v>
      </c>
      <c r="D817" s="35">
        <v>37.75</v>
      </c>
      <c r="E817" s="35">
        <v>36.75</v>
      </c>
      <c r="F817" s="33">
        <v>37</v>
      </c>
      <c r="G817" s="29">
        <v>0</v>
      </c>
      <c r="H817" s="29">
        <v>0</v>
      </c>
      <c r="I817" s="35">
        <v>37</v>
      </c>
      <c r="J817" s="34">
        <v>258400</v>
      </c>
      <c r="K817" s="34">
        <v>9693075</v>
      </c>
    </row>
    <row r="818" spans="1:11" hidden="1">
      <c r="A818" s="29" t="s">
        <v>138</v>
      </c>
      <c r="B818" s="32">
        <v>39041</v>
      </c>
      <c r="C818" s="29">
        <v>37</v>
      </c>
      <c r="D818" s="35">
        <v>37.5</v>
      </c>
      <c r="E818" s="35">
        <v>36.75</v>
      </c>
      <c r="F818" s="33">
        <v>37.5</v>
      </c>
      <c r="G818" s="29">
        <v>0</v>
      </c>
      <c r="H818" s="29">
        <v>0.5</v>
      </c>
      <c r="I818" s="35">
        <v>37</v>
      </c>
      <c r="J818" s="34">
        <v>599200</v>
      </c>
      <c r="K818" s="34">
        <v>22433475</v>
      </c>
    </row>
    <row r="819" spans="1:11" hidden="1">
      <c r="A819" s="29" t="s">
        <v>138</v>
      </c>
      <c r="B819" s="32">
        <v>39042</v>
      </c>
      <c r="C819" s="29">
        <v>37.75</v>
      </c>
      <c r="D819" s="35">
        <v>37.75</v>
      </c>
      <c r="E819" s="35">
        <v>37.25</v>
      </c>
      <c r="F819" s="33">
        <v>37.5</v>
      </c>
      <c r="G819" s="29">
        <v>0</v>
      </c>
      <c r="H819" s="29">
        <v>0</v>
      </c>
      <c r="I819" s="35">
        <v>37.5</v>
      </c>
      <c r="J819" s="34">
        <v>49200</v>
      </c>
      <c r="K819" s="34">
        <v>1844400</v>
      </c>
    </row>
    <row r="820" spans="1:11" hidden="1">
      <c r="A820" s="29" t="s">
        <v>138</v>
      </c>
      <c r="B820" s="32">
        <v>39043</v>
      </c>
      <c r="C820" s="29">
        <v>37.5</v>
      </c>
      <c r="D820" s="35">
        <v>39.25</v>
      </c>
      <c r="E820" s="35">
        <v>37.5</v>
      </c>
      <c r="F820" s="33">
        <v>38.75</v>
      </c>
      <c r="G820" s="29">
        <v>0</v>
      </c>
      <c r="H820" s="29">
        <v>1.25</v>
      </c>
      <c r="I820" s="35">
        <v>37.5</v>
      </c>
      <c r="J820" s="34">
        <v>283200</v>
      </c>
      <c r="K820" s="34">
        <v>10930850</v>
      </c>
    </row>
    <row r="821" spans="1:11" hidden="1">
      <c r="A821" s="29" t="s">
        <v>138</v>
      </c>
      <c r="B821" s="32">
        <v>39044</v>
      </c>
      <c r="C821" s="29">
        <v>39.25</v>
      </c>
      <c r="D821" s="35">
        <v>50</v>
      </c>
      <c r="E821" s="35">
        <v>39.25</v>
      </c>
      <c r="F821" s="33">
        <v>46.25</v>
      </c>
      <c r="G821" s="29">
        <v>0</v>
      </c>
      <c r="H821" s="29">
        <v>7.5</v>
      </c>
      <c r="I821" s="35">
        <v>38.75</v>
      </c>
      <c r="J821" s="34">
        <v>1331600</v>
      </c>
      <c r="K821" s="34">
        <v>57654975</v>
      </c>
    </row>
    <row r="822" spans="1:11" hidden="1">
      <c r="A822" s="29" t="s">
        <v>138</v>
      </c>
      <c r="B822" s="32">
        <v>39045</v>
      </c>
      <c r="C822" s="29">
        <v>46.25</v>
      </c>
      <c r="D822" s="35">
        <v>46.5</v>
      </c>
      <c r="E822" s="35">
        <v>44.5</v>
      </c>
      <c r="F822" s="33">
        <v>44.75</v>
      </c>
      <c r="G822" s="29">
        <v>0</v>
      </c>
      <c r="H822" s="29">
        <v>-1.5</v>
      </c>
      <c r="I822" s="35">
        <v>46.25</v>
      </c>
      <c r="J822" s="34">
        <v>842800</v>
      </c>
      <c r="K822" s="34">
        <v>38159625</v>
      </c>
    </row>
    <row r="823" spans="1:11" hidden="1">
      <c r="A823" s="29" t="s">
        <v>138</v>
      </c>
      <c r="B823" s="32">
        <v>39048</v>
      </c>
      <c r="C823" s="29">
        <v>45</v>
      </c>
      <c r="D823" s="35">
        <v>45.25</v>
      </c>
      <c r="E823" s="35">
        <v>44.75</v>
      </c>
      <c r="F823" s="33">
        <v>45.25</v>
      </c>
      <c r="G823" s="29">
        <v>0</v>
      </c>
      <c r="H823" s="29">
        <v>0.5</v>
      </c>
      <c r="I823" s="35">
        <v>44.75</v>
      </c>
      <c r="J823" s="34">
        <v>157600</v>
      </c>
      <c r="K823" s="34">
        <v>7103550</v>
      </c>
    </row>
    <row r="824" spans="1:11" hidden="1">
      <c r="A824" s="29" t="s">
        <v>138</v>
      </c>
      <c r="B824" s="32">
        <v>39049</v>
      </c>
      <c r="C824" s="29">
        <v>45.25</v>
      </c>
      <c r="D824" s="35">
        <v>46</v>
      </c>
      <c r="E824" s="35">
        <v>45.25</v>
      </c>
      <c r="F824" s="33">
        <v>45.75</v>
      </c>
      <c r="G824" s="29">
        <v>0</v>
      </c>
      <c r="H824" s="29">
        <v>0.5</v>
      </c>
      <c r="I824" s="35">
        <v>45.25</v>
      </c>
      <c r="J824" s="34">
        <v>148000</v>
      </c>
      <c r="K824" s="34">
        <v>6775500</v>
      </c>
    </row>
    <row r="825" spans="1:11" hidden="1">
      <c r="A825" s="29" t="s">
        <v>138</v>
      </c>
      <c r="B825" s="32">
        <v>39050</v>
      </c>
      <c r="C825" s="29">
        <v>46</v>
      </c>
      <c r="D825" s="35">
        <v>47.5</v>
      </c>
      <c r="E825" s="35">
        <v>45.5</v>
      </c>
      <c r="F825" s="33">
        <v>47.25</v>
      </c>
      <c r="G825" s="29">
        <v>0</v>
      </c>
      <c r="H825" s="29">
        <v>1.5</v>
      </c>
      <c r="I825" s="35">
        <v>45.75</v>
      </c>
      <c r="J825" s="34">
        <v>769200</v>
      </c>
      <c r="K825" s="34">
        <v>35851850</v>
      </c>
    </row>
    <row r="826" spans="1:11" hidden="1">
      <c r="A826" s="29" t="s">
        <v>138</v>
      </c>
      <c r="B826" s="32">
        <v>39051</v>
      </c>
      <c r="C826" s="29">
        <v>47.75</v>
      </c>
      <c r="D826" s="35">
        <v>51.25</v>
      </c>
      <c r="E826" s="35">
        <v>47.75</v>
      </c>
      <c r="F826" s="33">
        <v>50.25</v>
      </c>
      <c r="G826" s="29">
        <v>0</v>
      </c>
      <c r="H826" s="29">
        <v>3</v>
      </c>
      <c r="I826" s="35">
        <v>47.25</v>
      </c>
      <c r="J826" s="34">
        <v>1825600</v>
      </c>
      <c r="K826" s="34">
        <v>91019750</v>
      </c>
    </row>
    <row r="827" spans="1:11" hidden="1">
      <c r="A827" s="29" t="s">
        <v>138</v>
      </c>
      <c r="B827" s="32">
        <v>39052</v>
      </c>
      <c r="C827" s="29">
        <v>52.5</v>
      </c>
      <c r="D827" s="35">
        <v>53.75</v>
      </c>
      <c r="E827" s="35">
        <v>50.5</v>
      </c>
      <c r="F827" s="33">
        <v>53.25</v>
      </c>
      <c r="G827" s="29">
        <v>0</v>
      </c>
      <c r="H827" s="29">
        <v>3</v>
      </c>
      <c r="I827" s="35">
        <v>50.25</v>
      </c>
      <c r="J827" s="34">
        <v>2006000</v>
      </c>
      <c r="K827" s="34">
        <v>105576900</v>
      </c>
    </row>
    <row r="828" spans="1:11" hidden="1">
      <c r="A828" s="29" t="s">
        <v>138</v>
      </c>
      <c r="B828" s="32">
        <v>39056</v>
      </c>
      <c r="C828" s="29">
        <v>52.5</v>
      </c>
      <c r="D828" s="35">
        <v>53.5</v>
      </c>
      <c r="E828" s="35">
        <v>50.5</v>
      </c>
      <c r="F828" s="33">
        <v>52</v>
      </c>
      <c r="G828" s="29">
        <v>0</v>
      </c>
      <c r="H828" s="29">
        <v>-1.25</v>
      </c>
      <c r="I828" s="35">
        <v>53.25</v>
      </c>
      <c r="J828" s="34">
        <v>430800</v>
      </c>
      <c r="K828" s="34">
        <v>22284800</v>
      </c>
    </row>
    <row r="829" spans="1:11" hidden="1">
      <c r="A829" s="29" t="s">
        <v>138</v>
      </c>
      <c r="B829" s="32">
        <v>39057</v>
      </c>
      <c r="C829" s="29">
        <v>52.5</v>
      </c>
      <c r="D829" s="35">
        <v>53</v>
      </c>
      <c r="E829" s="35">
        <v>52</v>
      </c>
      <c r="F829" s="33">
        <v>52.75</v>
      </c>
      <c r="G829" s="29">
        <v>0</v>
      </c>
      <c r="H829" s="29">
        <v>0.75</v>
      </c>
      <c r="I829" s="35">
        <v>52</v>
      </c>
      <c r="J829" s="34">
        <v>274000</v>
      </c>
      <c r="K829" s="34">
        <v>14448175</v>
      </c>
    </row>
    <row r="830" spans="1:11" hidden="1">
      <c r="A830" s="29" t="s">
        <v>138</v>
      </c>
      <c r="B830" s="32">
        <v>39058</v>
      </c>
      <c r="C830" s="29">
        <v>53.25</v>
      </c>
      <c r="D830" s="35">
        <v>53.5</v>
      </c>
      <c r="E830" s="35">
        <v>52.5</v>
      </c>
      <c r="F830" s="33">
        <v>52.75</v>
      </c>
      <c r="G830" s="29">
        <v>0</v>
      </c>
      <c r="H830" s="29">
        <v>0</v>
      </c>
      <c r="I830" s="35">
        <v>52.75</v>
      </c>
      <c r="J830" s="34">
        <v>232000</v>
      </c>
      <c r="K830" s="34">
        <v>12317400</v>
      </c>
    </row>
    <row r="831" spans="1:11" hidden="1">
      <c r="A831" s="29" t="s">
        <v>138</v>
      </c>
      <c r="B831" s="32">
        <v>39059</v>
      </c>
      <c r="C831" s="29">
        <v>52.5</v>
      </c>
      <c r="D831" s="35">
        <v>53.5</v>
      </c>
      <c r="E831" s="35">
        <v>52.5</v>
      </c>
      <c r="F831" s="33">
        <v>53.5</v>
      </c>
      <c r="G831" s="29">
        <v>0</v>
      </c>
      <c r="H831" s="29">
        <v>0.75</v>
      </c>
      <c r="I831" s="35">
        <v>52.75</v>
      </c>
      <c r="J831" s="34">
        <v>167600</v>
      </c>
      <c r="K831" s="34">
        <v>8957675</v>
      </c>
    </row>
    <row r="832" spans="1:11" hidden="1">
      <c r="A832" s="29" t="s">
        <v>138</v>
      </c>
      <c r="B832" s="32">
        <v>39062</v>
      </c>
      <c r="C832" s="29">
        <v>53</v>
      </c>
      <c r="D832" s="35">
        <v>53</v>
      </c>
      <c r="E832" s="35">
        <v>52.5</v>
      </c>
      <c r="F832" s="33">
        <v>52.5</v>
      </c>
      <c r="G832" s="29">
        <v>0</v>
      </c>
      <c r="H832" s="29">
        <v>-1</v>
      </c>
      <c r="I832" s="35">
        <v>53.5</v>
      </c>
      <c r="J832" s="34">
        <v>26800</v>
      </c>
      <c r="K832" s="34">
        <v>1410125</v>
      </c>
    </row>
    <row r="833" spans="1:11" hidden="1">
      <c r="A833" s="29" t="s">
        <v>138</v>
      </c>
      <c r="B833" s="32">
        <v>39063</v>
      </c>
      <c r="C833" s="29">
        <v>52.5</v>
      </c>
      <c r="D833" s="35">
        <v>52.5</v>
      </c>
      <c r="E833" s="35">
        <v>51.5</v>
      </c>
      <c r="F833" s="33">
        <v>52</v>
      </c>
      <c r="G833" s="29">
        <v>0</v>
      </c>
      <c r="H833" s="29">
        <v>-0.5</v>
      </c>
      <c r="I833" s="35">
        <v>52.5</v>
      </c>
      <c r="J833" s="34">
        <v>74400</v>
      </c>
      <c r="K833" s="34">
        <v>3874550</v>
      </c>
    </row>
    <row r="834" spans="1:11" hidden="1">
      <c r="A834" s="29" t="s">
        <v>138</v>
      </c>
      <c r="B834" s="32">
        <v>39064</v>
      </c>
      <c r="C834" s="29">
        <v>51.25</v>
      </c>
      <c r="D834" s="35">
        <v>51.25</v>
      </c>
      <c r="E834" s="35">
        <v>50.75</v>
      </c>
      <c r="F834" s="33">
        <v>50.75</v>
      </c>
      <c r="G834" s="29">
        <v>0</v>
      </c>
      <c r="H834" s="29">
        <v>-1.25</v>
      </c>
      <c r="I834" s="35">
        <v>52</v>
      </c>
      <c r="J834" s="34">
        <v>209600</v>
      </c>
      <c r="K834" s="34">
        <v>10656800</v>
      </c>
    </row>
    <row r="835" spans="1:11" hidden="1">
      <c r="A835" s="29" t="s">
        <v>138</v>
      </c>
      <c r="B835" s="32">
        <v>39065</v>
      </c>
      <c r="C835" s="29">
        <v>51.25</v>
      </c>
      <c r="D835" s="35">
        <v>52</v>
      </c>
      <c r="E835" s="35">
        <v>51.25</v>
      </c>
      <c r="F835" s="33">
        <v>51.75</v>
      </c>
      <c r="G835" s="29">
        <v>0</v>
      </c>
      <c r="H835" s="29">
        <v>1</v>
      </c>
      <c r="I835" s="35">
        <v>50.75</v>
      </c>
      <c r="J835" s="34">
        <v>22400</v>
      </c>
      <c r="K835" s="34">
        <v>1158800</v>
      </c>
    </row>
    <row r="836" spans="1:11" hidden="1">
      <c r="A836" s="29" t="s">
        <v>138</v>
      </c>
      <c r="B836" s="32">
        <v>39066</v>
      </c>
      <c r="C836" s="29">
        <v>51.75</v>
      </c>
      <c r="D836" s="35">
        <v>51.75</v>
      </c>
      <c r="E836" s="35">
        <v>51.25</v>
      </c>
      <c r="F836" s="33">
        <v>51.25</v>
      </c>
      <c r="G836" s="29">
        <v>0</v>
      </c>
      <c r="H836" s="29">
        <v>-0.5</v>
      </c>
      <c r="I836" s="35">
        <v>51.75</v>
      </c>
      <c r="J836" s="34">
        <v>1177200</v>
      </c>
      <c r="K836" s="34">
        <v>60333675</v>
      </c>
    </row>
    <row r="837" spans="1:11" hidden="1">
      <c r="A837" s="29" t="s">
        <v>138</v>
      </c>
      <c r="B837" s="32">
        <v>39069</v>
      </c>
      <c r="C837" s="29">
        <v>51.25</v>
      </c>
      <c r="D837" s="35">
        <v>52.5</v>
      </c>
      <c r="E837" s="35">
        <v>51.25</v>
      </c>
      <c r="F837" s="33">
        <v>52.25</v>
      </c>
      <c r="G837" s="29">
        <v>0</v>
      </c>
      <c r="H837" s="29">
        <v>1</v>
      </c>
      <c r="I837" s="35">
        <v>51.25</v>
      </c>
      <c r="J837" s="34">
        <v>834400</v>
      </c>
      <c r="K837" s="34">
        <v>42794550</v>
      </c>
    </row>
    <row r="838" spans="1:11" hidden="1">
      <c r="A838" s="29" t="s">
        <v>138</v>
      </c>
      <c r="B838" s="32">
        <v>39070</v>
      </c>
      <c r="C838" s="29">
        <v>51.25</v>
      </c>
      <c r="D838" s="35">
        <v>52</v>
      </c>
      <c r="E838" s="35">
        <v>51.25</v>
      </c>
      <c r="F838" s="33">
        <v>52</v>
      </c>
      <c r="G838" s="29">
        <v>0</v>
      </c>
      <c r="H838" s="29">
        <v>-0.25</v>
      </c>
      <c r="I838" s="35">
        <v>52.25</v>
      </c>
      <c r="J838" s="34">
        <v>4800</v>
      </c>
      <c r="K838" s="34">
        <v>249100</v>
      </c>
    </row>
    <row r="839" spans="1:11" hidden="1">
      <c r="A839" s="29" t="s">
        <v>138</v>
      </c>
      <c r="B839" s="32">
        <v>39071</v>
      </c>
      <c r="C839" s="29">
        <v>51.75</v>
      </c>
      <c r="D839" s="35">
        <v>53</v>
      </c>
      <c r="E839" s="35">
        <v>51.5</v>
      </c>
      <c r="F839" s="33">
        <v>52.75</v>
      </c>
      <c r="G839" s="29">
        <v>0</v>
      </c>
      <c r="H839" s="29">
        <v>0.75</v>
      </c>
      <c r="I839" s="35">
        <v>52</v>
      </c>
      <c r="J839" s="34">
        <v>1412800</v>
      </c>
      <c r="K839" s="34">
        <v>72892250</v>
      </c>
    </row>
    <row r="840" spans="1:11" hidden="1">
      <c r="A840" s="29" t="s">
        <v>138</v>
      </c>
      <c r="B840" s="32">
        <v>39072</v>
      </c>
      <c r="C840" s="29">
        <v>52.25</v>
      </c>
      <c r="D840" s="35">
        <v>53.5</v>
      </c>
      <c r="E840" s="35">
        <v>52.25</v>
      </c>
      <c r="F840" s="33">
        <v>53.25</v>
      </c>
      <c r="G840" s="29">
        <v>0</v>
      </c>
      <c r="H840" s="29">
        <v>0.5</v>
      </c>
      <c r="I840" s="35">
        <v>52.75</v>
      </c>
      <c r="J840" s="34">
        <v>21600</v>
      </c>
      <c r="K840" s="34">
        <v>1143550</v>
      </c>
    </row>
    <row r="841" spans="1:11" hidden="1">
      <c r="A841" s="29" t="s">
        <v>138</v>
      </c>
      <c r="B841" s="32">
        <v>39073</v>
      </c>
      <c r="C841" s="29">
        <v>53.25</v>
      </c>
      <c r="D841" s="35">
        <v>53.75</v>
      </c>
      <c r="E841" s="35">
        <v>53.25</v>
      </c>
      <c r="F841" s="33">
        <v>53.5</v>
      </c>
      <c r="G841" s="29">
        <v>0</v>
      </c>
      <c r="H841" s="29">
        <v>0.25</v>
      </c>
      <c r="I841" s="35">
        <v>53.25</v>
      </c>
      <c r="J841" s="34">
        <v>83200</v>
      </c>
      <c r="K841" s="34">
        <v>4459400</v>
      </c>
    </row>
    <row r="842" spans="1:11" hidden="1">
      <c r="A842" s="29" t="s">
        <v>138</v>
      </c>
      <c r="B842" s="32">
        <v>39077</v>
      </c>
      <c r="C842" s="29">
        <v>53.75</v>
      </c>
      <c r="D842" s="35">
        <v>53.75</v>
      </c>
      <c r="E842" s="35">
        <v>53.25</v>
      </c>
      <c r="F842" s="33">
        <v>53.25</v>
      </c>
      <c r="G842" s="29">
        <v>0</v>
      </c>
      <c r="H842" s="29">
        <v>-0.25</v>
      </c>
      <c r="I842" s="35">
        <v>53.5</v>
      </c>
      <c r="J842" s="34">
        <v>40400</v>
      </c>
      <c r="K842" s="34">
        <v>2154750</v>
      </c>
    </row>
    <row r="843" spans="1:11" hidden="1">
      <c r="A843" s="29" t="s">
        <v>138</v>
      </c>
      <c r="B843" s="32">
        <v>39078</v>
      </c>
      <c r="C843" s="29">
        <v>53.75</v>
      </c>
      <c r="D843" s="35">
        <v>53.75</v>
      </c>
      <c r="E843" s="35">
        <v>53.5</v>
      </c>
      <c r="F843" s="33">
        <v>53.5</v>
      </c>
      <c r="G843" s="29">
        <v>0</v>
      </c>
      <c r="H843" s="29">
        <v>0.25</v>
      </c>
      <c r="I843" s="35">
        <v>53.25</v>
      </c>
      <c r="J843" s="34">
        <v>96400</v>
      </c>
      <c r="K843" s="34">
        <v>5165250</v>
      </c>
    </row>
    <row r="844" spans="1:11" hidden="1">
      <c r="A844" s="29" t="s">
        <v>138</v>
      </c>
      <c r="B844" s="32">
        <v>39079</v>
      </c>
      <c r="C844" s="29">
        <v>53.5</v>
      </c>
      <c r="D844" s="35">
        <v>53.5</v>
      </c>
      <c r="E844" s="35">
        <v>53.25</v>
      </c>
      <c r="F844" s="33">
        <v>53.25</v>
      </c>
      <c r="G844" s="29">
        <v>0</v>
      </c>
      <c r="H844" s="29">
        <v>-0.25</v>
      </c>
      <c r="I844" s="35">
        <v>53.5</v>
      </c>
      <c r="J844" s="34">
        <v>42800</v>
      </c>
      <c r="K844" s="34">
        <v>2293475</v>
      </c>
    </row>
    <row r="845" spans="1:11" hidden="1">
      <c r="A845" s="29" t="s">
        <v>138</v>
      </c>
      <c r="B845" s="32">
        <v>39080</v>
      </c>
      <c r="C845" s="29">
        <v>53.25</v>
      </c>
      <c r="D845" s="35">
        <v>53.5</v>
      </c>
      <c r="E845" s="35">
        <v>53</v>
      </c>
      <c r="F845" s="33">
        <v>53</v>
      </c>
      <c r="G845" s="29">
        <v>0</v>
      </c>
      <c r="H845" s="29">
        <v>-0.25</v>
      </c>
      <c r="I845" s="35">
        <v>53.25</v>
      </c>
      <c r="J845" s="34">
        <v>54000</v>
      </c>
      <c r="K845" s="34">
        <v>2874575</v>
      </c>
    </row>
    <row r="846" spans="1:11" hidden="1">
      <c r="A846" s="29" t="s">
        <v>138</v>
      </c>
      <c r="B846" s="32">
        <v>39084</v>
      </c>
      <c r="C846" s="29">
        <v>53.5</v>
      </c>
      <c r="D846" s="35">
        <v>53.75</v>
      </c>
      <c r="E846" s="35">
        <v>53</v>
      </c>
      <c r="F846" s="33">
        <v>53</v>
      </c>
      <c r="G846" s="29">
        <v>0</v>
      </c>
      <c r="H846" s="29">
        <v>0</v>
      </c>
      <c r="I846" s="35">
        <v>53</v>
      </c>
      <c r="J846" s="34">
        <v>122000</v>
      </c>
      <c r="K846" s="34">
        <v>6544625</v>
      </c>
    </row>
    <row r="847" spans="1:11" hidden="1">
      <c r="A847" s="29" t="s">
        <v>138</v>
      </c>
      <c r="B847" s="32">
        <v>39086</v>
      </c>
      <c r="C847" s="29">
        <v>53.5</v>
      </c>
      <c r="D847" s="35">
        <v>54.5</v>
      </c>
      <c r="E847" s="35">
        <v>53.5</v>
      </c>
      <c r="F847" s="33">
        <v>54</v>
      </c>
      <c r="G847" s="29">
        <v>0</v>
      </c>
      <c r="H847" s="29">
        <v>1</v>
      </c>
      <c r="I847" s="35">
        <v>53</v>
      </c>
      <c r="J847" s="34">
        <v>731200</v>
      </c>
      <c r="K847" s="34">
        <v>39588400</v>
      </c>
    </row>
    <row r="848" spans="1:11" hidden="1">
      <c r="A848" s="29" t="s">
        <v>138</v>
      </c>
      <c r="B848" s="32">
        <v>39087</v>
      </c>
      <c r="C848" s="29">
        <v>54.25</v>
      </c>
      <c r="D848" s="35">
        <v>54.5</v>
      </c>
      <c r="E848" s="35">
        <v>54</v>
      </c>
      <c r="F848" s="33">
        <v>54.25</v>
      </c>
      <c r="G848" s="29">
        <v>0</v>
      </c>
      <c r="H848" s="29">
        <v>0.25</v>
      </c>
      <c r="I848" s="35">
        <v>54</v>
      </c>
      <c r="J848" s="34">
        <v>213200</v>
      </c>
      <c r="K848" s="34">
        <v>11566600</v>
      </c>
    </row>
    <row r="849" spans="1:11" hidden="1">
      <c r="A849" s="29" t="s">
        <v>138</v>
      </c>
      <c r="B849" s="32">
        <v>39090</v>
      </c>
      <c r="C849" s="29">
        <v>54.25</v>
      </c>
      <c r="D849" s="35">
        <v>55</v>
      </c>
      <c r="E849" s="35">
        <v>54.25</v>
      </c>
      <c r="F849" s="33">
        <v>54.5</v>
      </c>
      <c r="G849" s="29">
        <v>0</v>
      </c>
      <c r="H849" s="29">
        <v>0.25</v>
      </c>
      <c r="I849" s="35">
        <v>54.25</v>
      </c>
      <c r="J849" s="34">
        <v>266800</v>
      </c>
      <c r="K849" s="34">
        <v>14648975</v>
      </c>
    </row>
    <row r="850" spans="1:11" hidden="1">
      <c r="A850" s="29" t="s">
        <v>138</v>
      </c>
      <c r="B850" s="32">
        <v>39091</v>
      </c>
      <c r="C850" s="29">
        <v>55</v>
      </c>
      <c r="D850" s="35">
        <v>55</v>
      </c>
      <c r="E850" s="35">
        <v>54.5</v>
      </c>
      <c r="F850" s="33">
        <v>54.5</v>
      </c>
      <c r="G850" s="29">
        <v>0</v>
      </c>
      <c r="H850" s="29">
        <v>0</v>
      </c>
      <c r="I850" s="35">
        <v>54.5</v>
      </c>
      <c r="J850" s="34">
        <v>59200</v>
      </c>
      <c r="K850" s="34">
        <v>3240250</v>
      </c>
    </row>
    <row r="851" spans="1:11" hidden="1">
      <c r="A851" s="29" t="s">
        <v>138</v>
      </c>
      <c r="B851" s="32">
        <v>39092</v>
      </c>
      <c r="C851" s="29">
        <v>54.75</v>
      </c>
      <c r="D851" s="35">
        <v>54.75</v>
      </c>
      <c r="E851" s="35">
        <v>54.25</v>
      </c>
      <c r="F851" s="33">
        <v>54.5</v>
      </c>
      <c r="G851" s="29">
        <v>0</v>
      </c>
      <c r="H851" s="29">
        <v>0</v>
      </c>
      <c r="I851" s="35">
        <v>54.5</v>
      </c>
      <c r="J851" s="34">
        <v>86800</v>
      </c>
      <c r="K851" s="34">
        <v>4734200</v>
      </c>
    </row>
    <row r="852" spans="1:11" hidden="1">
      <c r="A852" s="29" t="s">
        <v>138</v>
      </c>
      <c r="B852" s="32">
        <v>39093</v>
      </c>
      <c r="C852" s="29">
        <v>54.5</v>
      </c>
      <c r="D852" s="35">
        <v>55.5</v>
      </c>
      <c r="E852" s="35">
        <v>54.5</v>
      </c>
      <c r="F852" s="33">
        <v>55.25</v>
      </c>
      <c r="G852" s="29">
        <v>0</v>
      </c>
      <c r="H852" s="29">
        <v>0.75</v>
      </c>
      <c r="I852" s="35">
        <v>54.5</v>
      </c>
      <c r="J852" s="34">
        <v>295200</v>
      </c>
      <c r="K852" s="34">
        <v>16245275</v>
      </c>
    </row>
    <row r="853" spans="1:11" hidden="1">
      <c r="A853" s="29" t="s">
        <v>138</v>
      </c>
      <c r="B853" s="32">
        <v>39094</v>
      </c>
      <c r="C853" s="29">
        <v>55.75</v>
      </c>
      <c r="D853" s="35">
        <v>57.25</v>
      </c>
      <c r="E853" s="35">
        <v>55.75</v>
      </c>
      <c r="F853" s="33">
        <v>56.25</v>
      </c>
      <c r="G853" s="29">
        <v>0</v>
      </c>
      <c r="H853" s="29">
        <v>1</v>
      </c>
      <c r="I853" s="35">
        <v>55.25</v>
      </c>
      <c r="J853" s="34">
        <v>687600</v>
      </c>
      <c r="K853" s="34">
        <v>39199875</v>
      </c>
    </row>
    <row r="854" spans="1:11" hidden="1">
      <c r="A854" s="29" t="s">
        <v>138</v>
      </c>
      <c r="B854" s="32">
        <v>39098</v>
      </c>
      <c r="C854" s="29">
        <v>57.25</v>
      </c>
      <c r="D854" s="35">
        <v>57.5</v>
      </c>
      <c r="E854" s="35">
        <v>57</v>
      </c>
      <c r="F854" s="33">
        <v>57.25</v>
      </c>
      <c r="G854" s="29">
        <v>0</v>
      </c>
      <c r="H854" s="29">
        <v>1</v>
      </c>
      <c r="I854" s="35">
        <v>56.25</v>
      </c>
      <c r="J854" s="34">
        <v>72800</v>
      </c>
      <c r="K854" s="34">
        <v>4173975</v>
      </c>
    </row>
    <row r="855" spans="1:11" hidden="1">
      <c r="A855" s="29" t="s">
        <v>138</v>
      </c>
      <c r="B855" s="32">
        <v>39099</v>
      </c>
      <c r="C855" s="29">
        <v>57.25</v>
      </c>
      <c r="D855" s="35">
        <v>57.25</v>
      </c>
      <c r="E855" s="35">
        <v>56.75</v>
      </c>
      <c r="F855" s="33">
        <v>57</v>
      </c>
      <c r="G855" s="29">
        <v>0</v>
      </c>
      <c r="H855" s="29">
        <v>-0.25</v>
      </c>
      <c r="I855" s="35">
        <v>57.25</v>
      </c>
      <c r="J855" s="34">
        <v>144000</v>
      </c>
      <c r="K855" s="34">
        <v>8213875</v>
      </c>
    </row>
    <row r="856" spans="1:11" hidden="1">
      <c r="A856" s="29" t="s">
        <v>138</v>
      </c>
      <c r="B856" s="32">
        <v>39100</v>
      </c>
      <c r="C856" s="29">
        <v>57</v>
      </c>
      <c r="D856" s="35">
        <v>58</v>
      </c>
      <c r="E856" s="35">
        <v>56.75</v>
      </c>
      <c r="F856" s="33">
        <v>58</v>
      </c>
      <c r="G856" s="29">
        <v>0</v>
      </c>
      <c r="H856" s="29">
        <v>1</v>
      </c>
      <c r="I856" s="35">
        <v>57</v>
      </c>
      <c r="J856" s="34">
        <v>311200</v>
      </c>
      <c r="K856" s="34">
        <v>17911700</v>
      </c>
    </row>
    <row r="857" spans="1:11" hidden="1">
      <c r="A857" s="29" t="s">
        <v>138</v>
      </c>
      <c r="B857" s="32">
        <v>39101</v>
      </c>
      <c r="C857" s="29">
        <v>58.25</v>
      </c>
      <c r="D857" s="35">
        <v>60</v>
      </c>
      <c r="E857" s="35">
        <v>57.25</v>
      </c>
      <c r="F857" s="33">
        <v>58</v>
      </c>
      <c r="G857" s="29">
        <v>0</v>
      </c>
      <c r="H857" s="29">
        <v>0</v>
      </c>
      <c r="I857" s="35">
        <v>58</v>
      </c>
      <c r="J857" s="34">
        <v>406000</v>
      </c>
      <c r="K857" s="34">
        <v>23510500</v>
      </c>
    </row>
    <row r="858" spans="1:11" hidden="1">
      <c r="A858" s="29" t="s">
        <v>138</v>
      </c>
      <c r="B858" s="32">
        <v>39104</v>
      </c>
      <c r="C858" s="29">
        <v>59.5</v>
      </c>
      <c r="D858" s="35">
        <v>61.25</v>
      </c>
      <c r="E858" s="35">
        <v>59</v>
      </c>
      <c r="F858" s="33">
        <v>59.5</v>
      </c>
      <c r="G858" s="29">
        <v>0</v>
      </c>
      <c r="H858" s="29">
        <v>1.5</v>
      </c>
      <c r="I858" s="35">
        <v>58</v>
      </c>
      <c r="J858" s="34">
        <v>484800</v>
      </c>
      <c r="K858" s="34">
        <v>28971225</v>
      </c>
    </row>
    <row r="859" spans="1:11" hidden="1">
      <c r="A859" s="29" t="s">
        <v>138</v>
      </c>
      <c r="B859" s="32">
        <v>39105</v>
      </c>
      <c r="C859" s="29">
        <v>59.75</v>
      </c>
      <c r="D859" s="35">
        <v>61</v>
      </c>
      <c r="E859" s="35">
        <v>59.75</v>
      </c>
      <c r="F859" s="33">
        <v>60.75</v>
      </c>
      <c r="G859" s="29">
        <v>0</v>
      </c>
      <c r="H859" s="29">
        <v>1.25</v>
      </c>
      <c r="I859" s="35">
        <v>59.5</v>
      </c>
      <c r="J859" s="34">
        <v>533200</v>
      </c>
      <c r="K859" s="34">
        <v>32198925</v>
      </c>
    </row>
    <row r="860" spans="1:11" hidden="1">
      <c r="A860" s="29" t="s">
        <v>138</v>
      </c>
      <c r="B860" s="32">
        <v>39106</v>
      </c>
      <c r="C860" s="29">
        <v>61.25</v>
      </c>
      <c r="D860" s="35">
        <v>61.5</v>
      </c>
      <c r="E860" s="35">
        <v>60.75</v>
      </c>
      <c r="F860" s="33">
        <v>61</v>
      </c>
      <c r="G860" s="29">
        <v>0</v>
      </c>
      <c r="H860" s="29">
        <v>0.25</v>
      </c>
      <c r="I860" s="35">
        <v>60.75</v>
      </c>
      <c r="J860" s="34">
        <v>358400</v>
      </c>
      <c r="K860" s="34">
        <v>21924050</v>
      </c>
    </row>
    <row r="861" spans="1:11" hidden="1">
      <c r="A861" s="29" t="s">
        <v>138</v>
      </c>
      <c r="B861" s="32">
        <v>39107</v>
      </c>
      <c r="C861" s="29">
        <v>61</v>
      </c>
      <c r="D861" s="35">
        <v>61.25</v>
      </c>
      <c r="E861" s="35">
        <v>61</v>
      </c>
      <c r="F861" s="33">
        <v>61.25</v>
      </c>
      <c r="G861" s="29">
        <v>0</v>
      </c>
      <c r="H861" s="29">
        <v>0.25</v>
      </c>
      <c r="I861" s="35">
        <v>61</v>
      </c>
      <c r="J861" s="34">
        <v>255200</v>
      </c>
      <c r="K861" s="34">
        <v>15618700</v>
      </c>
    </row>
    <row r="862" spans="1:11" hidden="1">
      <c r="A862" s="29" t="s">
        <v>138</v>
      </c>
      <c r="B862" s="32">
        <v>39108</v>
      </c>
      <c r="C862" s="29">
        <v>61.25</v>
      </c>
      <c r="D862" s="35">
        <v>61.25</v>
      </c>
      <c r="E862" s="35">
        <v>61</v>
      </c>
      <c r="F862" s="33">
        <v>61.25</v>
      </c>
      <c r="G862" s="29">
        <v>0</v>
      </c>
      <c r="H862" s="29">
        <v>0</v>
      </c>
      <c r="I862" s="35">
        <v>61.25</v>
      </c>
      <c r="J862" s="34">
        <v>94000</v>
      </c>
      <c r="K862" s="34">
        <v>5760900</v>
      </c>
    </row>
    <row r="863" spans="1:11" hidden="1">
      <c r="A863" s="29" t="s">
        <v>138</v>
      </c>
      <c r="B863" s="32">
        <v>39111</v>
      </c>
      <c r="C863" s="29">
        <v>61.75</v>
      </c>
      <c r="D863" s="35">
        <v>62.25</v>
      </c>
      <c r="E863" s="35">
        <v>61.25</v>
      </c>
      <c r="F863" s="33">
        <v>61.25</v>
      </c>
      <c r="G863" s="29">
        <v>0</v>
      </c>
      <c r="H863" s="29">
        <v>0</v>
      </c>
      <c r="I863" s="35">
        <v>61.25</v>
      </c>
      <c r="J863" s="34">
        <v>130000</v>
      </c>
      <c r="K863" s="34">
        <v>7986400</v>
      </c>
    </row>
    <row r="864" spans="1:11" hidden="1">
      <c r="A864" s="29" t="s">
        <v>138</v>
      </c>
      <c r="B864" s="32">
        <v>39112</v>
      </c>
      <c r="C864" s="29">
        <v>61.25</v>
      </c>
      <c r="D864" s="35">
        <v>61.75</v>
      </c>
      <c r="E864" s="35">
        <v>61</v>
      </c>
      <c r="F864" s="33">
        <v>61.25</v>
      </c>
      <c r="G864" s="29">
        <v>0</v>
      </c>
      <c r="H864" s="29">
        <v>0</v>
      </c>
      <c r="I864" s="35">
        <v>61.25</v>
      </c>
      <c r="J864" s="34">
        <v>109600</v>
      </c>
      <c r="K864" s="34">
        <v>6713825</v>
      </c>
    </row>
    <row r="865" spans="1:11" hidden="1">
      <c r="A865" s="29" t="s">
        <v>138</v>
      </c>
      <c r="B865" s="32">
        <v>39113</v>
      </c>
      <c r="C865" s="29">
        <v>61.25</v>
      </c>
      <c r="D865" s="35">
        <v>62.5</v>
      </c>
      <c r="E865" s="35">
        <v>61.25</v>
      </c>
      <c r="F865" s="33">
        <v>61.75</v>
      </c>
      <c r="G865" s="29">
        <v>0</v>
      </c>
      <c r="H865" s="29">
        <v>0.5</v>
      </c>
      <c r="I865" s="35">
        <v>61.25</v>
      </c>
      <c r="J865" s="34">
        <v>70000</v>
      </c>
      <c r="K865" s="34">
        <v>4326725</v>
      </c>
    </row>
    <row r="866" spans="1:11" hidden="1">
      <c r="A866" s="29" t="s">
        <v>138</v>
      </c>
      <c r="B866" s="32">
        <v>39115</v>
      </c>
      <c r="C866" s="29">
        <v>61.75</v>
      </c>
      <c r="D866" s="35">
        <v>63.25</v>
      </c>
      <c r="E866" s="35">
        <v>61.75</v>
      </c>
      <c r="F866" s="33">
        <v>62.75</v>
      </c>
      <c r="G866" s="29">
        <v>0</v>
      </c>
      <c r="H866" s="29">
        <v>1</v>
      </c>
      <c r="I866" s="35">
        <v>61.75</v>
      </c>
      <c r="J866" s="34">
        <v>328000</v>
      </c>
      <c r="K866" s="34">
        <v>20515050</v>
      </c>
    </row>
    <row r="867" spans="1:11" hidden="1">
      <c r="A867" s="29" t="s">
        <v>138</v>
      </c>
      <c r="B867" s="32">
        <v>39119</v>
      </c>
      <c r="C867" s="29">
        <v>63.75</v>
      </c>
      <c r="D867" s="35">
        <v>64</v>
      </c>
      <c r="E867" s="35">
        <v>63.25</v>
      </c>
      <c r="F867" s="33">
        <v>63.5</v>
      </c>
      <c r="G867" s="29">
        <v>0</v>
      </c>
      <c r="H867" s="29">
        <v>0.75</v>
      </c>
      <c r="I867" s="35">
        <v>62.75</v>
      </c>
      <c r="J867" s="34">
        <v>193200</v>
      </c>
      <c r="K867" s="34">
        <v>12304425</v>
      </c>
    </row>
    <row r="868" spans="1:11" hidden="1">
      <c r="A868" s="29" t="s">
        <v>138</v>
      </c>
      <c r="B868" s="32">
        <v>39120</v>
      </c>
      <c r="C868" s="29">
        <v>63.5</v>
      </c>
      <c r="D868" s="35">
        <v>63.75</v>
      </c>
      <c r="E868" s="35">
        <v>62.5</v>
      </c>
      <c r="F868" s="33">
        <v>63.25</v>
      </c>
      <c r="G868" s="29">
        <v>0</v>
      </c>
      <c r="H868" s="29">
        <v>-0.25</v>
      </c>
      <c r="I868" s="35">
        <v>63.5</v>
      </c>
      <c r="J868" s="34">
        <v>250400</v>
      </c>
      <c r="K868" s="34">
        <v>15929375</v>
      </c>
    </row>
    <row r="869" spans="1:11" hidden="1">
      <c r="A869" s="29" t="s">
        <v>138</v>
      </c>
      <c r="B869" s="32">
        <v>39121</v>
      </c>
      <c r="C869" s="29">
        <v>62.75</v>
      </c>
      <c r="D869" s="35">
        <v>63.5</v>
      </c>
      <c r="E869" s="35">
        <v>62</v>
      </c>
      <c r="F869" s="33">
        <v>62.75</v>
      </c>
      <c r="G869" s="29">
        <v>0</v>
      </c>
      <c r="H869" s="29">
        <v>-0.5</v>
      </c>
      <c r="I869" s="35">
        <v>63.25</v>
      </c>
      <c r="J869" s="34">
        <v>508800</v>
      </c>
      <c r="K869" s="34">
        <v>31979575</v>
      </c>
    </row>
    <row r="870" spans="1:11" hidden="1">
      <c r="A870" s="29" t="s">
        <v>138</v>
      </c>
      <c r="B870" s="32">
        <v>39122</v>
      </c>
      <c r="C870" s="29">
        <v>62.75</v>
      </c>
      <c r="D870" s="35">
        <v>73.75</v>
      </c>
      <c r="E870" s="35">
        <v>62.75</v>
      </c>
      <c r="F870" s="33">
        <v>71.5</v>
      </c>
      <c r="G870" s="29">
        <v>0</v>
      </c>
      <c r="H870" s="29">
        <v>-54.25</v>
      </c>
      <c r="I870" s="35">
        <v>125.75</v>
      </c>
      <c r="J870" s="34">
        <v>889200</v>
      </c>
      <c r="K870" s="34">
        <v>62162975</v>
      </c>
    </row>
    <row r="871" spans="1:11" hidden="1">
      <c r="A871" s="29" t="s">
        <v>138</v>
      </c>
      <c r="B871" s="32">
        <v>39125</v>
      </c>
      <c r="C871" s="29">
        <v>72.5</v>
      </c>
      <c r="D871" s="35">
        <v>75.5</v>
      </c>
      <c r="E871" s="35">
        <v>72.25</v>
      </c>
      <c r="F871" s="33">
        <v>74.5</v>
      </c>
      <c r="G871" s="29">
        <v>0</v>
      </c>
      <c r="H871" s="29">
        <v>3</v>
      </c>
      <c r="I871" s="35">
        <v>71.5</v>
      </c>
      <c r="J871" s="34">
        <v>384600</v>
      </c>
      <c r="K871" s="34">
        <v>28675075</v>
      </c>
    </row>
    <row r="872" spans="1:11" hidden="1">
      <c r="A872" s="29" t="s">
        <v>138</v>
      </c>
      <c r="B872" s="32">
        <v>39126</v>
      </c>
      <c r="C872" s="29">
        <v>75</v>
      </c>
      <c r="D872" s="35">
        <v>77.5</v>
      </c>
      <c r="E872" s="35">
        <v>74.75</v>
      </c>
      <c r="F872" s="33">
        <v>76.75</v>
      </c>
      <c r="G872" s="29">
        <v>0</v>
      </c>
      <c r="H872" s="29">
        <v>2.25</v>
      </c>
      <c r="I872" s="35">
        <v>74.5</v>
      </c>
      <c r="J872" s="34">
        <v>248800</v>
      </c>
      <c r="K872" s="34">
        <v>19075525</v>
      </c>
    </row>
    <row r="873" spans="1:11" hidden="1">
      <c r="A873" s="29" t="s">
        <v>138</v>
      </c>
      <c r="B873" s="32">
        <v>39127</v>
      </c>
      <c r="C873" s="29">
        <v>77</v>
      </c>
      <c r="D873" s="35">
        <v>77</v>
      </c>
      <c r="E873" s="35">
        <v>75</v>
      </c>
      <c r="F873" s="33">
        <v>75.5</v>
      </c>
      <c r="G873" s="29">
        <v>0</v>
      </c>
      <c r="H873" s="29">
        <v>-1.25</v>
      </c>
      <c r="I873" s="35">
        <v>76.75</v>
      </c>
      <c r="J873" s="34">
        <v>98400</v>
      </c>
      <c r="K873" s="34">
        <v>7465375</v>
      </c>
    </row>
    <row r="874" spans="1:11" hidden="1">
      <c r="A874" s="29" t="s">
        <v>138</v>
      </c>
      <c r="B874" s="32">
        <v>39128</v>
      </c>
      <c r="C874" s="29">
        <v>75</v>
      </c>
      <c r="D874" s="35">
        <v>75</v>
      </c>
      <c r="E874" s="35">
        <v>74</v>
      </c>
      <c r="F874" s="33">
        <v>74</v>
      </c>
      <c r="G874" s="29">
        <v>0</v>
      </c>
      <c r="H874" s="29">
        <v>-1.5</v>
      </c>
      <c r="I874" s="35">
        <v>75.5</v>
      </c>
      <c r="J874" s="34">
        <v>121600</v>
      </c>
      <c r="K874" s="34">
        <v>9046900</v>
      </c>
    </row>
    <row r="875" spans="1:11" hidden="1">
      <c r="A875" s="29" t="s">
        <v>138</v>
      </c>
      <c r="B875" s="32">
        <v>39132</v>
      </c>
      <c r="C875" s="29">
        <v>74</v>
      </c>
      <c r="D875" s="35">
        <v>74</v>
      </c>
      <c r="E875" s="35">
        <v>71.5</v>
      </c>
      <c r="F875" s="33">
        <v>72.5</v>
      </c>
      <c r="G875" s="29">
        <v>0</v>
      </c>
      <c r="H875" s="29">
        <v>-1.5</v>
      </c>
      <c r="I875" s="35">
        <v>74</v>
      </c>
      <c r="J875" s="34">
        <v>59600</v>
      </c>
      <c r="K875" s="34">
        <v>4337100</v>
      </c>
    </row>
    <row r="876" spans="1:11" hidden="1">
      <c r="A876" s="29" t="s">
        <v>138</v>
      </c>
      <c r="B876" s="32">
        <v>39133</v>
      </c>
      <c r="C876" s="29">
        <v>72.5</v>
      </c>
      <c r="D876" s="35">
        <v>74</v>
      </c>
      <c r="E876" s="35">
        <v>72.5</v>
      </c>
      <c r="F876" s="33">
        <v>72.75</v>
      </c>
      <c r="G876" s="29">
        <v>0</v>
      </c>
      <c r="H876" s="29">
        <v>0.25</v>
      </c>
      <c r="I876" s="35">
        <v>72.5</v>
      </c>
      <c r="J876" s="34">
        <v>210800</v>
      </c>
      <c r="K876" s="34">
        <v>15304350</v>
      </c>
    </row>
    <row r="877" spans="1:11" hidden="1">
      <c r="A877" s="29" t="s">
        <v>138</v>
      </c>
      <c r="B877" s="32">
        <v>39134</v>
      </c>
      <c r="C877" s="29">
        <v>72.5</v>
      </c>
      <c r="D877" s="35">
        <v>73</v>
      </c>
      <c r="E877" s="35">
        <v>72.5</v>
      </c>
      <c r="F877" s="33">
        <v>72.5</v>
      </c>
      <c r="G877" s="29">
        <v>0</v>
      </c>
      <c r="H877" s="29">
        <v>-0.25</v>
      </c>
      <c r="I877" s="35">
        <v>72.75</v>
      </c>
      <c r="J877" s="34">
        <v>59600</v>
      </c>
      <c r="K877" s="34">
        <v>4323875</v>
      </c>
    </row>
    <row r="878" spans="1:11" hidden="1">
      <c r="A878" s="29" t="s">
        <v>138</v>
      </c>
      <c r="B878" s="32">
        <v>39135</v>
      </c>
      <c r="C878" s="29">
        <v>72.5</v>
      </c>
      <c r="D878" s="35">
        <v>73.5</v>
      </c>
      <c r="E878" s="35">
        <v>72.5</v>
      </c>
      <c r="F878" s="33">
        <v>73.5</v>
      </c>
      <c r="G878" s="29">
        <v>0</v>
      </c>
      <c r="H878" s="29">
        <v>1</v>
      </c>
      <c r="I878" s="35">
        <v>72.5</v>
      </c>
      <c r="J878" s="34">
        <v>66600</v>
      </c>
      <c r="K878" s="34">
        <v>4846425</v>
      </c>
    </row>
    <row r="879" spans="1:11" hidden="1">
      <c r="A879" s="29" t="s">
        <v>138</v>
      </c>
      <c r="B879" s="32">
        <v>39136</v>
      </c>
      <c r="C879" s="29">
        <v>74</v>
      </c>
      <c r="D879" s="35">
        <v>74</v>
      </c>
      <c r="E879" s="35">
        <v>73.5</v>
      </c>
      <c r="F879" s="33">
        <v>74</v>
      </c>
      <c r="G879" s="29">
        <v>0</v>
      </c>
      <c r="H879" s="29">
        <v>0.5</v>
      </c>
      <c r="I879" s="35">
        <v>73.5</v>
      </c>
      <c r="J879" s="34">
        <v>35800</v>
      </c>
      <c r="K879" s="34">
        <v>2641175</v>
      </c>
    </row>
    <row r="880" spans="1:11" hidden="1">
      <c r="A880" s="29" t="s">
        <v>138</v>
      </c>
      <c r="B880" s="32">
        <v>39139</v>
      </c>
      <c r="C880" s="29">
        <v>73.5</v>
      </c>
      <c r="D880" s="35">
        <v>75.75</v>
      </c>
      <c r="E880" s="35">
        <v>73.5</v>
      </c>
      <c r="F880" s="33">
        <v>75</v>
      </c>
      <c r="G880" s="29">
        <v>0</v>
      </c>
      <c r="H880" s="29">
        <v>1</v>
      </c>
      <c r="I880" s="35">
        <v>74</v>
      </c>
      <c r="J880" s="34">
        <v>309800</v>
      </c>
      <c r="K880" s="34">
        <v>23236275</v>
      </c>
    </row>
    <row r="881" spans="1:11" hidden="1">
      <c r="A881" s="29" t="s">
        <v>138</v>
      </c>
      <c r="B881" s="32">
        <v>39140</v>
      </c>
      <c r="C881" s="29">
        <v>75</v>
      </c>
      <c r="D881" s="35">
        <v>75.25</v>
      </c>
      <c r="E881" s="35">
        <v>75</v>
      </c>
      <c r="F881" s="33">
        <v>75</v>
      </c>
      <c r="G881" s="29">
        <v>0</v>
      </c>
      <c r="H881" s="29">
        <v>0</v>
      </c>
      <c r="I881" s="35">
        <v>75</v>
      </c>
      <c r="J881" s="34">
        <v>40800</v>
      </c>
      <c r="K881" s="34">
        <v>3060150</v>
      </c>
    </row>
    <row r="882" spans="1:11" hidden="1">
      <c r="A882" s="29" t="s">
        <v>138</v>
      </c>
      <c r="B882" s="32">
        <v>39141</v>
      </c>
      <c r="C882" s="29">
        <v>74</v>
      </c>
      <c r="D882" s="35">
        <v>74</v>
      </c>
      <c r="E882" s="35">
        <v>73.5</v>
      </c>
      <c r="F882" s="33">
        <v>73.5</v>
      </c>
      <c r="G882" s="29">
        <v>0</v>
      </c>
      <c r="H882" s="29">
        <v>-1.5</v>
      </c>
      <c r="I882" s="35">
        <v>75</v>
      </c>
      <c r="J882" s="34">
        <v>95400</v>
      </c>
      <c r="K882" s="34">
        <v>7044075</v>
      </c>
    </row>
    <row r="883" spans="1:11" hidden="1">
      <c r="A883" s="29" t="s">
        <v>138</v>
      </c>
      <c r="B883" s="32">
        <v>39142</v>
      </c>
      <c r="C883" s="29">
        <v>74</v>
      </c>
      <c r="D883" s="35">
        <v>74.75</v>
      </c>
      <c r="E883" s="35">
        <v>73.5</v>
      </c>
      <c r="F883" s="33">
        <v>73.5</v>
      </c>
      <c r="G883" s="29">
        <v>0</v>
      </c>
      <c r="H883" s="29">
        <v>0</v>
      </c>
      <c r="I883" s="35">
        <v>73.5</v>
      </c>
      <c r="J883" s="34">
        <v>75600</v>
      </c>
      <c r="K883" s="34">
        <v>5588325</v>
      </c>
    </row>
    <row r="884" spans="1:11" hidden="1">
      <c r="A884" s="29" t="s">
        <v>138</v>
      </c>
      <c r="B884" s="32">
        <v>39143</v>
      </c>
      <c r="C884" s="29">
        <v>73.75</v>
      </c>
      <c r="D884" s="35">
        <v>74.25</v>
      </c>
      <c r="E884" s="35">
        <v>73.75</v>
      </c>
      <c r="F884" s="33">
        <v>74</v>
      </c>
      <c r="G884" s="29">
        <v>0</v>
      </c>
      <c r="H884" s="29">
        <v>0.5</v>
      </c>
      <c r="I884" s="35">
        <v>73.5</v>
      </c>
      <c r="J884" s="34">
        <v>57400</v>
      </c>
      <c r="K884" s="34">
        <v>4248325</v>
      </c>
    </row>
    <row r="885" spans="1:11" hidden="1">
      <c r="A885" s="29" t="s">
        <v>138</v>
      </c>
      <c r="B885" s="32">
        <v>39146</v>
      </c>
      <c r="C885" s="29">
        <v>74</v>
      </c>
      <c r="D885" s="35">
        <v>74</v>
      </c>
      <c r="E885" s="35">
        <v>73.5</v>
      </c>
      <c r="F885" s="33">
        <v>73.75</v>
      </c>
      <c r="G885" s="29">
        <v>0</v>
      </c>
      <c r="H885" s="29">
        <v>-0.25</v>
      </c>
      <c r="I885" s="35">
        <v>74</v>
      </c>
      <c r="J885" s="34">
        <v>9200</v>
      </c>
      <c r="K885" s="34">
        <v>679850</v>
      </c>
    </row>
    <row r="886" spans="1:11" hidden="1">
      <c r="A886" s="29" t="s">
        <v>138</v>
      </c>
      <c r="B886" s="32">
        <v>39147</v>
      </c>
      <c r="C886" s="29">
        <v>73</v>
      </c>
      <c r="D886" s="35">
        <v>73</v>
      </c>
      <c r="E886" s="35">
        <v>70.5</v>
      </c>
      <c r="F886" s="33">
        <v>72</v>
      </c>
      <c r="G886" s="29">
        <v>0</v>
      </c>
      <c r="H886" s="29">
        <v>-1.75</v>
      </c>
      <c r="I886" s="35">
        <v>73.75</v>
      </c>
      <c r="J886" s="34">
        <v>64200</v>
      </c>
      <c r="K886" s="34">
        <v>4625875</v>
      </c>
    </row>
    <row r="887" spans="1:11" hidden="1">
      <c r="A887" s="29" t="s">
        <v>138</v>
      </c>
      <c r="B887" s="32">
        <v>39148</v>
      </c>
      <c r="C887" s="29">
        <v>72</v>
      </c>
      <c r="D887" s="35">
        <v>72.5</v>
      </c>
      <c r="E887" s="35">
        <v>71.5</v>
      </c>
      <c r="F887" s="33">
        <v>71.5</v>
      </c>
      <c r="G887" s="29">
        <v>0</v>
      </c>
      <c r="H887" s="29">
        <v>-0.5</v>
      </c>
      <c r="I887" s="35">
        <v>72</v>
      </c>
      <c r="J887" s="34">
        <v>79600</v>
      </c>
      <c r="K887" s="34">
        <v>5693650</v>
      </c>
    </row>
    <row r="888" spans="1:11" hidden="1">
      <c r="A888" s="29" t="s">
        <v>138</v>
      </c>
      <c r="B888" s="32">
        <v>39149</v>
      </c>
      <c r="C888" s="29">
        <v>70.5</v>
      </c>
      <c r="D888" s="35">
        <v>71</v>
      </c>
      <c r="E888" s="35">
        <v>69</v>
      </c>
      <c r="F888" s="33">
        <v>69.75</v>
      </c>
      <c r="G888" s="29">
        <v>0</v>
      </c>
      <c r="H888" s="29">
        <v>-1.75</v>
      </c>
      <c r="I888" s="35">
        <v>71.5</v>
      </c>
      <c r="J888" s="34">
        <v>41600</v>
      </c>
      <c r="K888" s="34">
        <v>2892000</v>
      </c>
    </row>
    <row r="889" spans="1:11" hidden="1">
      <c r="A889" s="29" t="s">
        <v>138</v>
      </c>
      <c r="B889" s="32">
        <v>39150</v>
      </c>
      <c r="C889" s="29">
        <v>70.75</v>
      </c>
      <c r="D889" s="35">
        <v>71.75</v>
      </c>
      <c r="E889" s="35">
        <v>69.5</v>
      </c>
      <c r="F889" s="33">
        <v>69.5</v>
      </c>
      <c r="G889" s="29">
        <v>0</v>
      </c>
      <c r="H889" s="29">
        <v>-0.25</v>
      </c>
      <c r="I889" s="35">
        <v>69.75</v>
      </c>
      <c r="J889" s="34">
        <v>90400</v>
      </c>
      <c r="K889" s="34">
        <v>6316050</v>
      </c>
    </row>
    <row r="890" spans="1:11" hidden="1">
      <c r="A890" s="29" t="s">
        <v>138</v>
      </c>
      <c r="B890" s="32">
        <v>39153</v>
      </c>
      <c r="C890" s="29">
        <v>69.5</v>
      </c>
      <c r="D890" s="35">
        <v>69.5</v>
      </c>
      <c r="E890" s="35">
        <v>68.5</v>
      </c>
      <c r="F890" s="33">
        <v>68.5</v>
      </c>
      <c r="G890" s="29">
        <v>0</v>
      </c>
      <c r="H890" s="29">
        <v>-1</v>
      </c>
      <c r="I890" s="35">
        <v>69.5</v>
      </c>
      <c r="J890" s="34">
        <v>7200</v>
      </c>
      <c r="K890" s="34">
        <v>497300</v>
      </c>
    </row>
    <row r="891" spans="1:11" hidden="1">
      <c r="A891" s="29" t="s">
        <v>138</v>
      </c>
      <c r="B891" s="32">
        <v>39154</v>
      </c>
      <c r="C891" s="29">
        <v>69</v>
      </c>
      <c r="D891" s="35">
        <v>69</v>
      </c>
      <c r="E891" s="35">
        <v>67.5</v>
      </c>
      <c r="F891" s="33">
        <v>67.5</v>
      </c>
      <c r="G891" s="29">
        <v>0</v>
      </c>
      <c r="H891" s="29">
        <v>-1</v>
      </c>
      <c r="I891" s="35">
        <v>68.5</v>
      </c>
      <c r="J891" s="34">
        <v>17800</v>
      </c>
      <c r="K891" s="34">
        <v>1208375</v>
      </c>
    </row>
    <row r="892" spans="1:11" hidden="1">
      <c r="A892" s="29" t="s">
        <v>138</v>
      </c>
      <c r="B892" s="32">
        <v>39155</v>
      </c>
      <c r="C892" s="29">
        <v>68</v>
      </c>
      <c r="D892" s="35">
        <v>68</v>
      </c>
      <c r="E892" s="35">
        <v>64</v>
      </c>
      <c r="F892" s="33">
        <v>65</v>
      </c>
      <c r="G892" s="29">
        <v>0</v>
      </c>
      <c r="H892" s="29">
        <v>-2.5</v>
      </c>
      <c r="I892" s="35">
        <v>67.5</v>
      </c>
      <c r="J892" s="34">
        <v>15200</v>
      </c>
      <c r="K892" s="34">
        <v>996075</v>
      </c>
    </row>
    <row r="893" spans="1:11" hidden="1">
      <c r="A893" s="29" t="s">
        <v>138</v>
      </c>
      <c r="B893" s="32">
        <v>39156</v>
      </c>
      <c r="C893" s="29">
        <v>66.5</v>
      </c>
      <c r="D893" s="35">
        <v>66.5</v>
      </c>
      <c r="E893" s="35">
        <v>63</v>
      </c>
      <c r="F893" s="33">
        <v>65</v>
      </c>
      <c r="G893" s="29">
        <v>0</v>
      </c>
      <c r="H893" s="29">
        <v>0</v>
      </c>
      <c r="I893" s="35">
        <v>65</v>
      </c>
      <c r="J893" s="34">
        <v>46400</v>
      </c>
      <c r="K893" s="34">
        <v>2991625</v>
      </c>
    </row>
    <row r="894" spans="1:11" hidden="1">
      <c r="A894" s="29" t="s">
        <v>138</v>
      </c>
      <c r="B894" s="32">
        <v>39157</v>
      </c>
      <c r="C894" s="29">
        <v>66.5</v>
      </c>
      <c r="D894" s="35">
        <v>68</v>
      </c>
      <c r="E894" s="35">
        <v>66.5</v>
      </c>
      <c r="F894" s="33">
        <v>66.5</v>
      </c>
      <c r="G894" s="29">
        <v>0</v>
      </c>
      <c r="H894" s="29">
        <v>1.5</v>
      </c>
      <c r="I894" s="35">
        <v>65</v>
      </c>
      <c r="J894" s="34">
        <v>20600</v>
      </c>
      <c r="K894" s="34">
        <v>1376400</v>
      </c>
    </row>
    <row r="895" spans="1:11" hidden="1">
      <c r="A895" s="29" t="s">
        <v>138</v>
      </c>
      <c r="B895" s="32">
        <v>39160</v>
      </c>
      <c r="C895" s="29">
        <v>66.75</v>
      </c>
      <c r="D895" s="35">
        <v>68</v>
      </c>
      <c r="E895" s="35">
        <v>66.75</v>
      </c>
      <c r="F895" s="33">
        <v>67.5</v>
      </c>
      <c r="G895" s="29">
        <v>0</v>
      </c>
      <c r="H895" s="29">
        <v>1</v>
      </c>
      <c r="I895" s="35">
        <v>66.5</v>
      </c>
      <c r="J895" s="34">
        <v>67800</v>
      </c>
      <c r="K895" s="34">
        <v>4575450</v>
      </c>
    </row>
    <row r="896" spans="1:11" hidden="1">
      <c r="A896" s="29" t="s">
        <v>138</v>
      </c>
      <c r="B896" s="32">
        <v>39161</v>
      </c>
      <c r="C896" s="29">
        <v>80</v>
      </c>
      <c r="D896" s="35">
        <v>81</v>
      </c>
      <c r="E896" s="35">
        <v>76.75</v>
      </c>
      <c r="F896" s="33">
        <v>77</v>
      </c>
      <c r="G896" s="29">
        <v>0</v>
      </c>
      <c r="H896" s="29">
        <v>9.5</v>
      </c>
      <c r="I896" s="35">
        <v>67.5</v>
      </c>
      <c r="J896" s="34">
        <v>584000</v>
      </c>
      <c r="K896" s="34">
        <v>45611125</v>
      </c>
    </row>
    <row r="897" spans="1:11" hidden="1">
      <c r="A897" s="29" t="s">
        <v>138</v>
      </c>
      <c r="B897" s="32">
        <v>39162</v>
      </c>
      <c r="C897" s="29">
        <v>77.5</v>
      </c>
      <c r="D897" s="35">
        <v>77.75</v>
      </c>
      <c r="E897" s="35">
        <v>76.5</v>
      </c>
      <c r="F897" s="33">
        <v>77</v>
      </c>
      <c r="G897" s="29">
        <v>0</v>
      </c>
      <c r="H897" s="29">
        <v>0</v>
      </c>
      <c r="I897" s="35">
        <v>77</v>
      </c>
      <c r="J897" s="34">
        <v>241000</v>
      </c>
      <c r="K897" s="34">
        <v>18637025</v>
      </c>
    </row>
    <row r="898" spans="1:11" hidden="1">
      <c r="A898" s="29" t="s">
        <v>138</v>
      </c>
      <c r="B898" s="32">
        <v>39163</v>
      </c>
      <c r="C898" s="29">
        <v>76</v>
      </c>
      <c r="D898" s="35">
        <v>77</v>
      </c>
      <c r="E898" s="35">
        <v>76</v>
      </c>
      <c r="F898" s="33">
        <v>76.5</v>
      </c>
      <c r="G898" s="29">
        <v>0</v>
      </c>
      <c r="H898" s="29">
        <v>-0.5</v>
      </c>
      <c r="I898" s="35">
        <v>77</v>
      </c>
      <c r="J898" s="34">
        <v>43200</v>
      </c>
      <c r="K898" s="34">
        <v>3305225</v>
      </c>
    </row>
    <row r="899" spans="1:11" hidden="1">
      <c r="A899" s="29" t="s">
        <v>138</v>
      </c>
      <c r="B899" s="32">
        <v>39164</v>
      </c>
      <c r="C899" s="29">
        <v>76.25</v>
      </c>
      <c r="D899" s="35">
        <v>77</v>
      </c>
      <c r="E899" s="35">
        <v>76.25</v>
      </c>
      <c r="F899" s="33">
        <v>76.5</v>
      </c>
      <c r="G899" s="29">
        <v>0</v>
      </c>
      <c r="H899" s="29">
        <v>0</v>
      </c>
      <c r="I899" s="35">
        <v>76.5</v>
      </c>
      <c r="J899" s="34">
        <v>37000</v>
      </c>
      <c r="K899" s="34">
        <v>2843250</v>
      </c>
    </row>
    <row r="900" spans="1:11" hidden="1">
      <c r="A900" s="29" t="s">
        <v>138</v>
      </c>
      <c r="B900" s="32">
        <v>39167</v>
      </c>
      <c r="C900" s="29">
        <v>75</v>
      </c>
      <c r="D900" s="35">
        <v>76.5</v>
      </c>
      <c r="E900" s="35">
        <v>75</v>
      </c>
      <c r="F900" s="33">
        <v>76</v>
      </c>
      <c r="G900" s="29">
        <v>0</v>
      </c>
      <c r="H900" s="29">
        <v>-0.5</v>
      </c>
      <c r="I900" s="35">
        <v>76.5</v>
      </c>
      <c r="J900" s="34">
        <v>28400</v>
      </c>
      <c r="K900" s="34">
        <v>2153025</v>
      </c>
    </row>
    <row r="901" spans="1:11" hidden="1">
      <c r="A901" s="29" t="s">
        <v>138</v>
      </c>
      <c r="B901" s="32">
        <v>39168</v>
      </c>
      <c r="C901" s="29">
        <v>75.25</v>
      </c>
      <c r="D901" s="35">
        <v>76</v>
      </c>
      <c r="E901" s="35">
        <v>75</v>
      </c>
      <c r="F901" s="33">
        <v>76</v>
      </c>
      <c r="G901" s="29">
        <v>0</v>
      </c>
      <c r="H901" s="29">
        <v>0</v>
      </c>
      <c r="I901" s="35">
        <v>76</v>
      </c>
      <c r="J901" s="34">
        <v>8400</v>
      </c>
      <c r="K901" s="34">
        <v>633200</v>
      </c>
    </row>
    <row r="902" spans="1:11" hidden="1">
      <c r="A902" s="29" t="s">
        <v>138</v>
      </c>
      <c r="B902" s="32">
        <v>39169</v>
      </c>
      <c r="C902" s="29">
        <v>76.25</v>
      </c>
      <c r="D902" s="35">
        <v>76.25</v>
      </c>
      <c r="E902" s="35">
        <v>74.5</v>
      </c>
      <c r="F902" s="33">
        <v>74.5</v>
      </c>
      <c r="G902" s="29">
        <v>0</v>
      </c>
      <c r="H902" s="29">
        <v>-1.5</v>
      </c>
      <c r="I902" s="35">
        <v>76</v>
      </c>
      <c r="J902" s="34">
        <v>183800</v>
      </c>
      <c r="K902" s="34">
        <v>13738275</v>
      </c>
    </row>
    <row r="903" spans="1:11" hidden="1">
      <c r="A903" s="29" t="s">
        <v>138</v>
      </c>
      <c r="B903" s="32">
        <v>39170</v>
      </c>
      <c r="C903" s="29">
        <v>74</v>
      </c>
      <c r="D903" s="35">
        <v>74.5</v>
      </c>
      <c r="E903" s="35">
        <v>74</v>
      </c>
      <c r="F903" s="33">
        <v>74.5</v>
      </c>
      <c r="G903" s="29">
        <v>0</v>
      </c>
      <c r="H903" s="29">
        <v>0</v>
      </c>
      <c r="I903" s="35">
        <v>74.5</v>
      </c>
      <c r="J903" s="34">
        <v>52200</v>
      </c>
      <c r="K903" s="34">
        <v>3884825</v>
      </c>
    </row>
    <row r="904" spans="1:11" hidden="1">
      <c r="A904" s="29" t="s">
        <v>138</v>
      </c>
      <c r="B904" s="32">
        <v>39171</v>
      </c>
      <c r="C904" s="29">
        <v>74</v>
      </c>
      <c r="D904" s="35">
        <v>74</v>
      </c>
      <c r="E904" s="35">
        <v>71.5</v>
      </c>
      <c r="F904" s="33">
        <v>72</v>
      </c>
      <c r="G904" s="29">
        <v>0</v>
      </c>
      <c r="H904" s="29">
        <v>-2.5</v>
      </c>
      <c r="I904" s="35">
        <v>74.5</v>
      </c>
      <c r="J904" s="34">
        <v>153000</v>
      </c>
      <c r="K904" s="34">
        <v>11076075</v>
      </c>
    </row>
    <row r="905" spans="1:11" hidden="1">
      <c r="A905" s="29" t="s">
        <v>138</v>
      </c>
      <c r="B905" s="32">
        <v>39175</v>
      </c>
      <c r="C905" s="29">
        <v>72</v>
      </c>
      <c r="D905" s="35">
        <v>72</v>
      </c>
      <c r="E905" s="35">
        <v>70</v>
      </c>
      <c r="F905" s="33">
        <v>70.5</v>
      </c>
      <c r="G905" s="29">
        <v>0</v>
      </c>
      <c r="H905" s="29">
        <v>-1.5</v>
      </c>
      <c r="I905" s="35">
        <v>72</v>
      </c>
      <c r="J905" s="34">
        <v>119600</v>
      </c>
      <c r="K905" s="34">
        <v>8421800</v>
      </c>
    </row>
    <row r="906" spans="1:11" hidden="1">
      <c r="A906" s="29" t="s">
        <v>138</v>
      </c>
      <c r="B906" s="32">
        <v>39176</v>
      </c>
      <c r="C906" s="29">
        <v>71.5</v>
      </c>
      <c r="D906" s="35">
        <v>71.5</v>
      </c>
      <c r="E906" s="35">
        <v>71</v>
      </c>
      <c r="F906" s="33">
        <v>71</v>
      </c>
      <c r="G906" s="29">
        <v>0</v>
      </c>
      <c r="H906" s="29">
        <v>0.5</v>
      </c>
      <c r="I906" s="35">
        <v>70.5</v>
      </c>
      <c r="J906" s="34">
        <v>30400</v>
      </c>
      <c r="K906" s="34">
        <v>2159225</v>
      </c>
    </row>
    <row r="907" spans="1:11" hidden="1">
      <c r="A907" s="29" t="s">
        <v>138</v>
      </c>
      <c r="B907" s="32">
        <v>39177</v>
      </c>
      <c r="C907" s="29">
        <v>71</v>
      </c>
      <c r="D907" s="35">
        <v>72.25</v>
      </c>
      <c r="E907" s="35">
        <v>71</v>
      </c>
      <c r="F907" s="33">
        <v>72</v>
      </c>
      <c r="G907" s="29">
        <v>0</v>
      </c>
      <c r="H907" s="29">
        <v>1</v>
      </c>
      <c r="I907" s="35">
        <v>71</v>
      </c>
      <c r="J907" s="34">
        <v>12000</v>
      </c>
      <c r="K907" s="34">
        <v>856275</v>
      </c>
    </row>
    <row r="908" spans="1:11" hidden="1">
      <c r="A908" s="29" t="s">
        <v>138</v>
      </c>
      <c r="B908" s="32">
        <v>39181</v>
      </c>
      <c r="C908" s="29">
        <v>72.5</v>
      </c>
      <c r="D908" s="35">
        <v>73.25</v>
      </c>
      <c r="E908" s="35">
        <v>72.5</v>
      </c>
      <c r="F908" s="33">
        <v>73</v>
      </c>
      <c r="G908" s="29">
        <v>0</v>
      </c>
      <c r="H908" s="29">
        <v>1</v>
      </c>
      <c r="I908" s="35">
        <v>72</v>
      </c>
      <c r="J908" s="34">
        <v>19800</v>
      </c>
      <c r="K908" s="34">
        <v>1441300</v>
      </c>
    </row>
    <row r="909" spans="1:11" hidden="1">
      <c r="A909" s="29" t="s">
        <v>138</v>
      </c>
      <c r="B909" s="32">
        <v>39182</v>
      </c>
      <c r="C909" s="29">
        <v>73</v>
      </c>
      <c r="D909" s="35">
        <v>74.75</v>
      </c>
      <c r="E909" s="35">
        <v>73</v>
      </c>
      <c r="F909" s="33">
        <v>74.5</v>
      </c>
      <c r="G909" s="29">
        <v>0</v>
      </c>
      <c r="H909" s="29">
        <v>1.5</v>
      </c>
      <c r="I909" s="35">
        <v>73</v>
      </c>
      <c r="J909" s="34">
        <v>32400</v>
      </c>
      <c r="K909" s="34">
        <v>2390575</v>
      </c>
    </row>
    <row r="910" spans="1:11" hidden="1">
      <c r="A910" s="29" t="s">
        <v>138</v>
      </c>
      <c r="B910" s="32">
        <v>39183</v>
      </c>
      <c r="C910" s="29">
        <v>75</v>
      </c>
      <c r="D910" s="35">
        <v>77</v>
      </c>
      <c r="E910" s="35">
        <v>75</v>
      </c>
      <c r="F910" s="33">
        <v>76.75</v>
      </c>
      <c r="G910" s="29">
        <v>0</v>
      </c>
      <c r="H910" s="29">
        <v>2.25</v>
      </c>
      <c r="I910" s="35">
        <v>74.5</v>
      </c>
      <c r="J910" s="34">
        <v>80000</v>
      </c>
      <c r="K910" s="34">
        <v>6104700</v>
      </c>
    </row>
    <row r="911" spans="1:11" hidden="1">
      <c r="A911" s="29" t="s">
        <v>138</v>
      </c>
      <c r="B911" s="32">
        <v>39188</v>
      </c>
      <c r="C911" s="29">
        <v>77.5</v>
      </c>
      <c r="D911" s="35">
        <v>79.5</v>
      </c>
      <c r="E911" s="35">
        <v>77.25</v>
      </c>
      <c r="F911" s="33">
        <v>78.25</v>
      </c>
      <c r="G911" s="29">
        <v>0</v>
      </c>
      <c r="H911" s="29">
        <v>1.5</v>
      </c>
      <c r="I911" s="35">
        <v>76.75</v>
      </c>
      <c r="J911" s="34">
        <v>54200</v>
      </c>
      <c r="K911" s="34">
        <v>4219850</v>
      </c>
    </row>
    <row r="912" spans="1:11" hidden="1">
      <c r="A912" s="29" t="s">
        <v>138</v>
      </c>
      <c r="B912" s="32">
        <v>39189</v>
      </c>
      <c r="C912" s="29">
        <v>79</v>
      </c>
      <c r="D912" s="35">
        <v>79.5</v>
      </c>
      <c r="E912" s="35">
        <v>78</v>
      </c>
      <c r="F912" s="33">
        <v>78.25</v>
      </c>
      <c r="G912" s="29">
        <v>0</v>
      </c>
      <c r="H912" s="29">
        <v>0</v>
      </c>
      <c r="I912" s="35">
        <v>78.25</v>
      </c>
      <c r="J912" s="34">
        <v>157800</v>
      </c>
      <c r="K912" s="34">
        <v>12427775</v>
      </c>
    </row>
    <row r="913" spans="1:11" hidden="1">
      <c r="A913" s="29" t="s">
        <v>138</v>
      </c>
      <c r="B913" s="32">
        <v>39191</v>
      </c>
      <c r="C913" s="29">
        <v>78.25</v>
      </c>
      <c r="D913" s="35">
        <v>78.25</v>
      </c>
      <c r="E913" s="35">
        <v>76.5</v>
      </c>
      <c r="F913" s="33">
        <v>77</v>
      </c>
      <c r="G913" s="29">
        <v>0</v>
      </c>
      <c r="H913" s="29">
        <v>-1.25</v>
      </c>
      <c r="I913" s="35">
        <v>78.25</v>
      </c>
      <c r="J913" s="34">
        <v>40400</v>
      </c>
      <c r="K913" s="34">
        <v>3124900</v>
      </c>
    </row>
    <row r="914" spans="1:11" hidden="1">
      <c r="A914" s="29" t="s">
        <v>138</v>
      </c>
      <c r="B914" s="32">
        <v>39192</v>
      </c>
      <c r="C914" s="29">
        <v>76.5</v>
      </c>
      <c r="D914" s="35">
        <v>76.5</v>
      </c>
      <c r="E914" s="35">
        <v>75.5</v>
      </c>
      <c r="F914" s="33">
        <v>75.5</v>
      </c>
      <c r="G914" s="29">
        <v>0</v>
      </c>
      <c r="H914" s="29">
        <v>-1.5</v>
      </c>
      <c r="I914" s="35">
        <v>77</v>
      </c>
      <c r="J914" s="34">
        <v>425400</v>
      </c>
      <c r="K914" s="34">
        <v>32123650</v>
      </c>
    </row>
    <row r="915" spans="1:11" hidden="1">
      <c r="A915" s="29" t="s">
        <v>138</v>
      </c>
      <c r="B915" s="32">
        <v>39195</v>
      </c>
      <c r="C915" s="29">
        <v>76.5</v>
      </c>
      <c r="D915" s="35">
        <v>77</v>
      </c>
      <c r="E915" s="35">
        <v>75.5</v>
      </c>
      <c r="F915" s="33">
        <v>75.75</v>
      </c>
      <c r="G915" s="29">
        <v>0</v>
      </c>
      <c r="H915" s="29">
        <v>0.25</v>
      </c>
      <c r="I915" s="35">
        <v>75.5</v>
      </c>
      <c r="J915" s="34">
        <v>6000</v>
      </c>
      <c r="K915" s="34">
        <v>457350</v>
      </c>
    </row>
    <row r="916" spans="1:11" hidden="1">
      <c r="A916" s="29" t="s">
        <v>138</v>
      </c>
      <c r="B916" s="32">
        <v>39196</v>
      </c>
      <c r="C916" s="29">
        <v>76</v>
      </c>
      <c r="D916" s="35">
        <v>76</v>
      </c>
      <c r="E916" s="35">
        <v>75.25</v>
      </c>
      <c r="F916" s="33">
        <v>75.5</v>
      </c>
      <c r="G916" s="29">
        <v>0</v>
      </c>
      <c r="H916" s="29">
        <v>-0.25</v>
      </c>
      <c r="I916" s="35">
        <v>75.75</v>
      </c>
      <c r="J916" s="34">
        <v>9200</v>
      </c>
      <c r="K916" s="34">
        <v>695000</v>
      </c>
    </row>
    <row r="917" spans="1:11" hidden="1">
      <c r="A917" s="29" t="s">
        <v>138</v>
      </c>
      <c r="B917" s="32">
        <v>39197</v>
      </c>
      <c r="C917" s="29">
        <v>75.5</v>
      </c>
      <c r="D917" s="35">
        <v>76.25</v>
      </c>
      <c r="E917" s="35">
        <v>75.5</v>
      </c>
      <c r="F917" s="33">
        <v>76</v>
      </c>
      <c r="G917" s="29">
        <v>0</v>
      </c>
      <c r="H917" s="29">
        <v>0.5</v>
      </c>
      <c r="I917" s="35">
        <v>75.5</v>
      </c>
      <c r="J917" s="34">
        <v>12400</v>
      </c>
      <c r="K917" s="34">
        <v>940750</v>
      </c>
    </row>
    <row r="918" spans="1:11" hidden="1">
      <c r="A918" s="29" t="s">
        <v>138</v>
      </c>
      <c r="B918" s="32">
        <v>39198</v>
      </c>
      <c r="C918" s="29">
        <v>76</v>
      </c>
      <c r="D918" s="35">
        <v>77.75</v>
      </c>
      <c r="E918" s="35">
        <v>76</v>
      </c>
      <c r="F918" s="33">
        <v>77.5</v>
      </c>
      <c r="G918" s="29">
        <v>0</v>
      </c>
      <c r="H918" s="29">
        <v>1.5</v>
      </c>
      <c r="I918" s="35">
        <v>76</v>
      </c>
      <c r="J918" s="34">
        <v>85000</v>
      </c>
      <c r="K918" s="34">
        <v>6523325</v>
      </c>
    </row>
    <row r="919" spans="1:11" hidden="1">
      <c r="A919" s="29" t="s">
        <v>138</v>
      </c>
      <c r="B919" s="32">
        <v>39199</v>
      </c>
      <c r="C919" s="29">
        <v>77.25</v>
      </c>
      <c r="D919" s="35">
        <v>77.5</v>
      </c>
      <c r="E919" s="35">
        <v>76.5</v>
      </c>
      <c r="F919" s="33">
        <v>77.5</v>
      </c>
      <c r="G919" s="29">
        <v>0</v>
      </c>
      <c r="H919" s="29">
        <v>0</v>
      </c>
      <c r="I919" s="35">
        <v>77.5</v>
      </c>
      <c r="J919" s="34">
        <v>28800</v>
      </c>
      <c r="K919" s="34">
        <v>2231400</v>
      </c>
    </row>
    <row r="920" spans="1:11" hidden="1">
      <c r="A920" s="29" t="s">
        <v>138</v>
      </c>
      <c r="B920" s="32">
        <v>39202</v>
      </c>
      <c r="C920" s="29">
        <v>77</v>
      </c>
      <c r="D920" s="35">
        <v>77</v>
      </c>
      <c r="E920" s="35">
        <v>75.75</v>
      </c>
      <c r="F920" s="33">
        <v>76.25</v>
      </c>
      <c r="G920" s="29">
        <v>0</v>
      </c>
      <c r="H920" s="29">
        <v>-1.25</v>
      </c>
      <c r="I920" s="35">
        <v>77.5</v>
      </c>
      <c r="J920" s="34">
        <v>22200</v>
      </c>
      <c r="K920" s="34">
        <v>1690750</v>
      </c>
    </row>
    <row r="921" spans="1:11" hidden="1">
      <c r="A921" s="29" t="s">
        <v>138</v>
      </c>
      <c r="B921" s="32">
        <v>39205</v>
      </c>
      <c r="C921" s="29">
        <v>75.75</v>
      </c>
      <c r="D921" s="35">
        <v>77</v>
      </c>
      <c r="E921" s="35">
        <v>75.75</v>
      </c>
      <c r="F921" s="33">
        <v>76</v>
      </c>
      <c r="G921" s="29">
        <v>0</v>
      </c>
      <c r="H921" s="29">
        <v>-0.25</v>
      </c>
      <c r="I921" s="35">
        <v>76.25</v>
      </c>
      <c r="J921" s="34">
        <v>13800</v>
      </c>
      <c r="K921" s="34">
        <v>1053475</v>
      </c>
    </row>
    <row r="922" spans="1:11" hidden="1">
      <c r="A922" s="29" t="s">
        <v>138</v>
      </c>
      <c r="B922" s="32">
        <v>39206</v>
      </c>
      <c r="C922" s="29">
        <v>76.75</v>
      </c>
      <c r="D922" s="35">
        <v>76.75</v>
      </c>
      <c r="E922" s="35">
        <v>75.75</v>
      </c>
      <c r="F922" s="33">
        <v>76</v>
      </c>
      <c r="G922" s="29">
        <v>0</v>
      </c>
      <c r="H922" s="29">
        <v>0</v>
      </c>
      <c r="I922" s="35">
        <v>76</v>
      </c>
      <c r="J922" s="34">
        <v>129000</v>
      </c>
      <c r="K922" s="34">
        <v>9803925</v>
      </c>
    </row>
    <row r="923" spans="1:11" hidden="1">
      <c r="A923" s="29" t="s">
        <v>138</v>
      </c>
      <c r="B923" s="32">
        <v>39209</v>
      </c>
      <c r="C923" s="29">
        <v>76.25</v>
      </c>
      <c r="D923" s="35">
        <v>76.25</v>
      </c>
      <c r="E923" s="35">
        <v>75</v>
      </c>
      <c r="F923" s="33">
        <v>75</v>
      </c>
      <c r="G923" s="29">
        <v>0</v>
      </c>
      <c r="H923" s="29">
        <v>-1</v>
      </c>
      <c r="I923" s="35">
        <v>76</v>
      </c>
      <c r="J923" s="34">
        <v>141400</v>
      </c>
      <c r="K923" s="34">
        <v>10616650</v>
      </c>
    </row>
    <row r="924" spans="1:11" hidden="1">
      <c r="A924" s="29" t="s">
        <v>138</v>
      </c>
      <c r="B924" s="32">
        <v>39210</v>
      </c>
      <c r="C924" s="29">
        <v>75</v>
      </c>
      <c r="D924" s="35">
        <v>75</v>
      </c>
      <c r="E924" s="35">
        <v>74</v>
      </c>
      <c r="F924" s="33">
        <v>74.25</v>
      </c>
      <c r="G924" s="29">
        <v>0</v>
      </c>
      <c r="H924" s="29">
        <v>-0.75</v>
      </c>
      <c r="I924" s="35">
        <v>75</v>
      </c>
      <c r="J924" s="34">
        <v>100000</v>
      </c>
      <c r="K924" s="34">
        <v>7449750</v>
      </c>
    </row>
    <row r="925" spans="1:11" hidden="1">
      <c r="A925" s="29" t="s">
        <v>138</v>
      </c>
      <c r="B925" s="32">
        <v>39211</v>
      </c>
      <c r="C925" s="29">
        <v>74.5</v>
      </c>
      <c r="D925" s="35">
        <v>74.5</v>
      </c>
      <c r="E925" s="35">
        <v>73</v>
      </c>
      <c r="F925" s="33">
        <v>73.5</v>
      </c>
      <c r="G925" s="29">
        <v>0</v>
      </c>
      <c r="H925" s="29">
        <v>-0.75</v>
      </c>
      <c r="I925" s="35">
        <v>74.25</v>
      </c>
      <c r="J925" s="34">
        <v>63000</v>
      </c>
      <c r="K925" s="34">
        <v>4643800</v>
      </c>
    </row>
    <row r="926" spans="1:11" hidden="1">
      <c r="A926" s="29" t="s">
        <v>138</v>
      </c>
      <c r="B926" s="32">
        <v>39212</v>
      </c>
      <c r="C926" s="29">
        <v>73</v>
      </c>
      <c r="D926" s="35">
        <v>73.25</v>
      </c>
      <c r="E926" s="35">
        <v>72</v>
      </c>
      <c r="F926" s="33">
        <v>72.5</v>
      </c>
      <c r="G926" s="29">
        <v>0</v>
      </c>
      <c r="H926" s="29">
        <v>-1</v>
      </c>
      <c r="I926" s="35">
        <v>73.5</v>
      </c>
      <c r="J926" s="34">
        <v>312000</v>
      </c>
      <c r="K926" s="34">
        <v>22706575</v>
      </c>
    </row>
    <row r="927" spans="1:11" hidden="1">
      <c r="A927" s="29" t="s">
        <v>138</v>
      </c>
      <c r="B927" s="32">
        <v>39213</v>
      </c>
      <c r="C927" s="29">
        <v>72</v>
      </c>
      <c r="D927" s="35">
        <v>74</v>
      </c>
      <c r="E927" s="35">
        <v>70</v>
      </c>
      <c r="F927" s="33">
        <v>70.75</v>
      </c>
      <c r="G927" s="29">
        <v>0</v>
      </c>
      <c r="H927" s="29">
        <v>-1.75</v>
      </c>
      <c r="I927" s="35">
        <v>72.5</v>
      </c>
      <c r="J927" s="34">
        <v>785800</v>
      </c>
      <c r="K927" s="34">
        <v>56648400</v>
      </c>
    </row>
    <row r="928" spans="1:11" hidden="1">
      <c r="A928" s="29" t="s">
        <v>138</v>
      </c>
      <c r="B928" s="32">
        <v>39216</v>
      </c>
      <c r="C928" s="29">
        <v>72.5</v>
      </c>
      <c r="D928" s="35">
        <v>74.5</v>
      </c>
      <c r="E928" s="35">
        <v>71</v>
      </c>
      <c r="F928" s="33">
        <v>71.25</v>
      </c>
      <c r="G928" s="29">
        <v>0</v>
      </c>
      <c r="H928" s="29">
        <v>0.5</v>
      </c>
      <c r="I928" s="35">
        <v>70.75</v>
      </c>
      <c r="J928" s="34">
        <v>29000</v>
      </c>
      <c r="K928" s="34">
        <v>2072775</v>
      </c>
    </row>
    <row r="929" spans="1:11" hidden="1">
      <c r="A929" s="29" t="s">
        <v>138</v>
      </c>
      <c r="B929" s="32">
        <v>39217</v>
      </c>
      <c r="C929" s="29">
        <v>70</v>
      </c>
      <c r="D929" s="35">
        <v>71.5</v>
      </c>
      <c r="E929" s="35">
        <v>68.75</v>
      </c>
      <c r="F929" s="33">
        <v>69</v>
      </c>
      <c r="G929" s="29">
        <v>0</v>
      </c>
      <c r="H929" s="29">
        <v>-2.25</v>
      </c>
      <c r="I929" s="35">
        <v>71.25</v>
      </c>
      <c r="J929" s="34">
        <v>101200</v>
      </c>
      <c r="K929" s="34">
        <v>7130750</v>
      </c>
    </row>
    <row r="930" spans="1:11" hidden="1">
      <c r="A930" s="29" t="s">
        <v>138</v>
      </c>
      <c r="B930" s="32">
        <v>39218</v>
      </c>
      <c r="C930" s="29">
        <v>70</v>
      </c>
      <c r="D930" s="35">
        <v>70</v>
      </c>
      <c r="E930" s="35">
        <v>66</v>
      </c>
      <c r="F930" s="33">
        <v>67.5</v>
      </c>
      <c r="G930" s="29">
        <v>0</v>
      </c>
      <c r="H930" s="29">
        <v>-1.5</v>
      </c>
      <c r="I930" s="35">
        <v>69</v>
      </c>
      <c r="J930" s="34">
        <v>163600</v>
      </c>
      <c r="K930" s="34">
        <v>11154400</v>
      </c>
    </row>
    <row r="931" spans="1:11" hidden="1">
      <c r="A931" s="29" t="s">
        <v>138</v>
      </c>
      <c r="B931" s="32">
        <v>39219</v>
      </c>
      <c r="C931" s="29">
        <v>65.5</v>
      </c>
      <c r="D931" s="35">
        <v>66.5</v>
      </c>
      <c r="E931" s="35">
        <v>60.75</v>
      </c>
      <c r="F931" s="33">
        <v>64.5</v>
      </c>
      <c r="G931" s="29">
        <v>0</v>
      </c>
      <c r="H931" s="29">
        <v>-3</v>
      </c>
      <c r="I931" s="35">
        <v>67.5</v>
      </c>
      <c r="J931" s="34">
        <v>97000</v>
      </c>
      <c r="K931" s="34">
        <v>6206450</v>
      </c>
    </row>
    <row r="932" spans="1:11" hidden="1">
      <c r="A932" s="29" t="s">
        <v>138</v>
      </c>
      <c r="B932" s="32">
        <v>39220</v>
      </c>
      <c r="C932" s="29">
        <v>67.5</v>
      </c>
      <c r="D932" s="35">
        <v>68</v>
      </c>
      <c r="E932" s="35">
        <v>64</v>
      </c>
      <c r="F932" s="33">
        <v>67</v>
      </c>
      <c r="G932" s="29">
        <v>0</v>
      </c>
      <c r="H932" s="29">
        <v>2.5</v>
      </c>
      <c r="I932" s="35">
        <v>64.5</v>
      </c>
      <c r="J932" s="34">
        <v>159400</v>
      </c>
      <c r="K932" s="34">
        <v>10577575</v>
      </c>
    </row>
    <row r="933" spans="1:11" hidden="1">
      <c r="A933" s="29" t="s">
        <v>138</v>
      </c>
      <c r="B933" s="32">
        <v>39223</v>
      </c>
      <c r="C933" s="29">
        <v>69</v>
      </c>
      <c r="D933" s="35">
        <v>69.5</v>
      </c>
      <c r="E933" s="35">
        <v>68.5</v>
      </c>
      <c r="F933" s="33">
        <v>69</v>
      </c>
      <c r="G933" s="29">
        <v>0</v>
      </c>
      <c r="H933" s="29">
        <v>2</v>
      </c>
      <c r="I933" s="35">
        <v>67</v>
      </c>
      <c r="J933" s="34">
        <v>28400</v>
      </c>
      <c r="K933" s="34">
        <v>1968175</v>
      </c>
    </row>
    <row r="934" spans="1:11" hidden="1">
      <c r="A934" s="29" t="s">
        <v>138</v>
      </c>
      <c r="B934" s="32">
        <v>39224</v>
      </c>
      <c r="C934" s="29">
        <v>67</v>
      </c>
      <c r="D934" s="35">
        <v>67</v>
      </c>
      <c r="E934" s="35">
        <v>66</v>
      </c>
      <c r="F934" s="33">
        <v>66.25</v>
      </c>
      <c r="G934" s="29">
        <v>0</v>
      </c>
      <c r="H934" s="29">
        <v>-2.75</v>
      </c>
      <c r="I934" s="35">
        <v>69</v>
      </c>
      <c r="J934" s="34">
        <v>25400</v>
      </c>
      <c r="K934" s="34">
        <v>1681675</v>
      </c>
    </row>
    <row r="935" spans="1:11" hidden="1">
      <c r="A935" s="29" t="s">
        <v>138</v>
      </c>
      <c r="B935" s="32">
        <v>39225</v>
      </c>
      <c r="C935" s="29">
        <v>66.25</v>
      </c>
      <c r="D935" s="35">
        <v>66.25</v>
      </c>
      <c r="E935" s="35">
        <v>66</v>
      </c>
      <c r="F935" s="33">
        <v>66.25</v>
      </c>
      <c r="G935" s="29">
        <v>0</v>
      </c>
      <c r="H935" s="29">
        <v>0</v>
      </c>
      <c r="I935" s="35">
        <v>66.25</v>
      </c>
      <c r="J935" s="34">
        <v>6000</v>
      </c>
      <c r="K935" s="34">
        <v>397250</v>
      </c>
    </row>
    <row r="936" spans="1:11" hidden="1">
      <c r="A936" s="29" t="s">
        <v>138</v>
      </c>
      <c r="B936" s="32">
        <v>39226</v>
      </c>
      <c r="C936" s="29">
        <v>65</v>
      </c>
      <c r="D936" s="35">
        <v>67.5</v>
      </c>
      <c r="E936" s="35">
        <v>65</v>
      </c>
      <c r="F936" s="33">
        <v>66</v>
      </c>
      <c r="G936" s="29">
        <v>0</v>
      </c>
      <c r="H936" s="29">
        <v>-0.25</v>
      </c>
      <c r="I936" s="35">
        <v>66.25</v>
      </c>
      <c r="J936" s="34">
        <v>54000</v>
      </c>
      <c r="K936" s="34">
        <v>3588950</v>
      </c>
    </row>
    <row r="937" spans="1:11" hidden="1">
      <c r="A937" s="29" t="s">
        <v>138</v>
      </c>
      <c r="B937" s="32">
        <v>39227</v>
      </c>
      <c r="C937" s="29">
        <v>66</v>
      </c>
      <c r="D937" s="35">
        <v>66.5</v>
      </c>
      <c r="E937" s="35">
        <v>66</v>
      </c>
      <c r="F937" s="33">
        <v>66</v>
      </c>
      <c r="G937" s="29">
        <v>0</v>
      </c>
      <c r="H937" s="29">
        <v>0</v>
      </c>
      <c r="I937" s="35">
        <v>66</v>
      </c>
      <c r="J937" s="34">
        <v>112600</v>
      </c>
      <c r="K937" s="34">
        <v>7432150</v>
      </c>
    </row>
    <row r="938" spans="1:11" hidden="1">
      <c r="A938" s="29" t="s">
        <v>138</v>
      </c>
      <c r="B938" s="32">
        <v>39230</v>
      </c>
      <c r="C938" s="29">
        <v>65.25</v>
      </c>
      <c r="D938" s="35">
        <v>66</v>
      </c>
      <c r="E938" s="35">
        <v>65.25</v>
      </c>
      <c r="F938" s="33">
        <v>66</v>
      </c>
      <c r="G938" s="29">
        <v>0</v>
      </c>
      <c r="H938" s="29">
        <v>0</v>
      </c>
      <c r="I938" s="35">
        <v>66</v>
      </c>
      <c r="J938" s="34">
        <v>65400</v>
      </c>
      <c r="K938" s="34">
        <v>4315750</v>
      </c>
    </row>
    <row r="939" spans="1:11" hidden="1">
      <c r="A939" s="29" t="s">
        <v>138</v>
      </c>
      <c r="B939" s="32">
        <v>39231</v>
      </c>
      <c r="C939" s="29">
        <v>65</v>
      </c>
      <c r="D939" s="35">
        <v>65</v>
      </c>
      <c r="E939" s="35">
        <v>64.5</v>
      </c>
      <c r="F939" s="33">
        <v>65</v>
      </c>
      <c r="G939" s="29">
        <v>0</v>
      </c>
      <c r="H939" s="29">
        <v>-1</v>
      </c>
      <c r="I939" s="35">
        <v>66</v>
      </c>
      <c r="J939" s="34">
        <v>13600</v>
      </c>
      <c r="K939" s="34">
        <v>883700</v>
      </c>
    </row>
    <row r="940" spans="1:11" hidden="1">
      <c r="A940" s="29" t="s">
        <v>138</v>
      </c>
      <c r="B940" s="32">
        <v>39232</v>
      </c>
      <c r="C940" s="29">
        <v>65</v>
      </c>
      <c r="D940" s="35">
        <v>66</v>
      </c>
      <c r="E940" s="35">
        <v>64.5</v>
      </c>
      <c r="F940" s="33">
        <v>65</v>
      </c>
      <c r="G940" s="29">
        <v>0</v>
      </c>
      <c r="H940" s="29">
        <v>0</v>
      </c>
      <c r="I940" s="35">
        <v>65</v>
      </c>
      <c r="J940" s="34">
        <v>82800</v>
      </c>
      <c r="K940" s="34">
        <v>5447975</v>
      </c>
    </row>
    <row r="941" spans="1:11" hidden="1">
      <c r="A941" s="29" t="s">
        <v>138</v>
      </c>
      <c r="B941" s="32">
        <v>39234</v>
      </c>
      <c r="C941" s="29">
        <v>65</v>
      </c>
      <c r="D941" s="35">
        <v>65</v>
      </c>
      <c r="E941" s="35">
        <v>63.5</v>
      </c>
      <c r="F941" s="33">
        <v>63.75</v>
      </c>
      <c r="G941" s="29">
        <v>0</v>
      </c>
      <c r="H941" s="29">
        <v>-1.25</v>
      </c>
      <c r="I941" s="35">
        <v>65</v>
      </c>
      <c r="J941" s="34">
        <v>218800</v>
      </c>
      <c r="K941" s="34">
        <v>14196125</v>
      </c>
    </row>
    <row r="942" spans="1:11" hidden="1">
      <c r="A942" s="29" t="s">
        <v>138</v>
      </c>
      <c r="B942" s="32">
        <v>39237</v>
      </c>
      <c r="C942" s="29">
        <v>63</v>
      </c>
      <c r="D942" s="35">
        <v>63</v>
      </c>
      <c r="E942" s="35">
        <v>61.5</v>
      </c>
      <c r="F942" s="33">
        <v>62</v>
      </c>
      <c r="G942" s="29">
        <v>0</v>
      </c>
      <c r="H942" s="29">
        <v>-1.75</v>
      </c>
      <c r="I942" s="35">
        <v>63.75</v>
      </c>
      <c r="J942" s="34">
        <v>37400</v>
      </c>
      <c r="K942" s="34">
        <v>2316375</v>
      </c>
    </row>
    <row r="943" spans="1:11" hidden="1">
      <c r="A943" s="29" t="s">
        <v>138</v>
      </c>
      <c r="B943" s="32">
        <v>39238</v>
      </c>
      <c r="C943" s="29">
        <v>62.5</v>
      </c>
      <c r="D943" s="35">
        <v>62.5</v>
      </c>
      <c r="E943" s="35">
        <v>62.5</v>
      </c>
      <c r="F943" s="33">
        <v>62.5</v>
      </c>
      <c r="G943" s="29">
        <v>0</v>
      </c>
      <c r="H943" s="29">
        <v>0.5</v>
      </c>
      <c r="I943" s="35">
        <v>62</v>
      </c>
      <c r="J943" s="34">
        <v>78000</v>
      </c>
      <c r="K943" s="34">
        <v>4875000</v>
      </c>
    </row>
    <row r="944" spans="1:11" hidden="1">
      <c r="A944" s="29" t="s">
        <v>138</v>
      </c>
      <c r="B944" s="32">
        <v>39239</v>
      </c>
      <c r="C944" s="29">
        <v>62.5</v>
      </c>
      <c r="D944" s="35">
        <v>63.5</v>
      </c>
      <c r="E944" s="35">
        <v>62.5</v>
      </c>
      <c r="F944" s="33">
        <v>63.5</v>
      </c>
      <c r="G944" s="29">
        <v>0</v>
      </c>
      <c r="H944" s="29">
        <v>1</v>
      </c>
      <c r="I944" s="35">
        <v>62.5</v>
      </c>
      <c r="J944" s="34">
        <v>18400</v>
      </c>
      <c r="K944" s="34">
        <v>1155175</v>
      </c>
    </row>
    <row r="945" spans="1:11" hidden="1">
      <c r="A945" s="29" t="s">
        <v>138</v>
      </c>
      <c r="B945" s="32">
        <v>39240</v>
      </c>
      <c r="C945" s="29">
        <v>63.5</v>
      </c>
      <c r="D945" s="35">
        <v>64</v>
      </c>
      <c r="E945" s="35">
        <v>63.5</v>
      </c>
      <c r="F945" s="33">
        <v>64</v>
      </c>
      <c r="G945" s="29">
        <v>0</v>
      </c>
      <c r="H945" s="29">
        <v>0.5</v>
      </c>
      <c r="I945" s="35">
        <v>63.5</v>
      </c>
      <c r="J945" s="34">
        <v>2000</v>
      </c>
      <c r="K945" s="34">
        <v>127700</v>
      </c>
    </row>
    <row r="946" spans="1:11" hidden="1">
      <c r="A946" s="29" t="s">
        <v>138</v>
      </c>
      <c r="B946" s="32">
        <v>39241</v>
      </c>
      <c r="C946" s="29">
        <v>64</v>
      </c>
      <c r="D946" s="35">
        <v>64.25</v>
      </c>
      <c r="E946" s="35">
        <v>63.5</v>
      </c>
      <c r="F946" s="33">
        <v>64.25</v>
      </c>
      <c r="G946" s="29">
        <v>0</v>
      </c>
      <c r="H946" s="29">
        <v>0.25</v>
      </c>
      <c r="I946" s="35">
        <v>64</v>
      </c>
      <c r="J946" s="34">
        <v>22000</v>
      </c>
      <c r="K946" s="34">
        <v>1409100</v>
      </c>
    </row>
    <row r="947" spans="1:11" hidden="1">
      <c r="A947" s="29" t="s">
        <v>138</v>
      </c>
      <c r="B947" s="32">
        <v>39244</v>
      </c>
      <c r="C947" s="29">
        <v>64</v>
      </c>
      <c r="D947" s="35">
        <v>64</v>
      </c>
      <c r="E947" s="35">
        <v>63.5</v>
      </c>
      <c r="F947" s="33">
        <v>63.5</v>
      </c>
      <c r="G947" s="29">
        <v>0</v>
      </c>
      <c r="H947" s="29">
        <v>-0.75</v>
      </c>
      <c r="I947" s="35">
        <v>64.25</v>
      </c>
      <c r="J947" s="34">
        <v>106800</v>
      </c>
      <c r="K947" s="34">
        <v>6785200</v>
      </c>
    </row>
    <row r="948" spans="1:11" hidden="1">
      <c r="A948" s="29" t="s">
        <v>138</v>
      </c>
      <c r="B948" s="32">
        <v>39245</v>
      </c>
      <c r="C948" s="29">
        <v>63.5</v>
      </c>
      <c r="D948" s="35">
        <v>64</v>
      </c>
      <c r="E948" s="35">
        <v>63.5</v>
      </c>
      <c r="F948" s="33">
        <v>64</v>
      </c>
      <c r="G948" s="29">
        <v>0</v>
      </c>
      <c r="H948" s="29">
        <v>0.5</v>
      </c>
      <c r="I948" s="35">
        <v>63.5</v>
      </c>
      <c r="J948" s="34">
        <v>68200</v>
      </c>
      <c r="K948" s="34">
        <v>4331300</v>
      </c>
    </row>
    <row r="949" spans="1:11" hidden="1">
      <c r="A949" s="29" t="s">
        <v>138</v>
      </c>
      <c r="B949" s="32">
        <v>39246</v>
      </c>
      <c r="C949" s="29">
        <v>64</v>
      </c>
      <c r="D949" s="35">
        <v>64</v>
      </c>
      <c r="E949" s="35">
        <v>64</v>
      </c>
      <c r="F949" s="33">
        <v>64</v>
      </c>
      <c r="G949" s="29">
        <v>0</v>
      </c>
      <c r="H949" s="29">
        <v>0</v>
      </c>
      <c r="I949" s="35">
        <v>64</v>
      </c>
      <c r="J949" s="34">
        <v>6200</v>
      </c>
      <c r="K949" s="34">
        <v>396900</v>
      </c>
    </row>
    <row r="950" spans="1:11" hidden="1">
      <c r="A950" s="29" t="s">
        <v>138</v>
      </c>
      <c r="B950" s="32">
        <v>39247</v>
      </c>
      <c r="C950" s="29">
        <v>65</v>
      </c>
      <c r="D950" s="35">
        <v>65</v>
      </c>
      <c r="E950" s="35">
        <v>64.5</v>
      </c>
      <c r="F950" s="33">
        <v>64.5</v>
      </c>
      <c r="G950" s="29">
        <v>0</v>
      </c>
      <c r="H950" s="29">
        <v>0.5</v>
      </c>
      <c r="I950" s="35">
        <v>64</v>
      </c>
      <c r="J950" s="34">
        <v>3400</v>
      </c>
      <c r="K950" s="34">
        <v>219950</v>
      </c>
    </row>
    <row r="951" spans="1:11" hidden="1">
      <c r="A951" s="29" t="s">
        <v>138</v>
      </c>
      <c r="B951" s="32">
        <v>39248</v>
      </c>
      <c r="C951" s="29">
        <v>64.5</v>
      </c>
      <c r="D951" s="35">
        <v>65</v>
      </c>
      <c r="E951" s="35">
        <v>64.25</v>
      </c>
      <c r="F951" s="33">
        <v>64.5</v>
      </c>
      <c r="G951" s="29">
        <v>0</v>
      </c>
      <c r="H951" s="29">
        <v>0</v>
      </c>
      <c r="I951" s="35">
        <v>64.5</v>
      </c>
      <c r="J951" s="34">
        <v>5400</v>
      </c>
      <c r="K951" s="34">
        <v>350150</v>
      </c>
    </row>
    <row r="952" spans="1:11" hidden="1">
      <c r="A952" s="29" t="s">
        <v>138</v>
      </c>
      <c r="B952" s="32">
        <v>39251</v>
      </c>
      <c r="C952" s="29">
        <v>65</v>
      </c>
      <c r="D952" s="35">
        <v>65.25</v>
      </c>
      <c r="E952" s="35">
        <v>65</v>
      </c>
      <c r="F952" s="33">
        <v>65</v>
      </c>
      <c r="G952" s="29">
        <v>0</v>
      </c>
      <c r="H952" s="29">
        <v>0.5</v>
      </c>
      <c r="I952" s="35">
        <v>64.5</v>
      </c>
      <c r="J952" s="34">
        <v>50200</v>
      </c>
      <c r="K952" s="34">
        <v>3263050</v>
      </c>
    </row>
    <row r="953" spans="1:11" hidden="1">
      <c r="A953" s="29" t="s">
        <v>138</v>
      </c>
      <c r="B953" s="32">
        <v>39252</v>
      </c>
      <c r="C953" s="29">
        <v>65</v>
      </c>
      <c r="D953" s="35">
        <v>65.25</v>
      </c>
      <c r="E953" s="35">
        <v>65</v>
      </c>
      <c r="F953" s="33">
        <v>65.25</v>
      </c>
      <c r="G953" s="29">
        <v>0</v>
      </c>
      <c r="H953" s="29">
        <v>0.25</v>
      </c>
      <c r="I953" s="35">
        <v>65</v>
      </c>
      <c r="J953" s="34">
        <v>28400</v>
      </c>
      <c r="K953" s="34">
        <v>1846325</v>
      </c>
    </row>
    <row r="954" spans="1:11" hidden="1">
      <c r="A954" s="29" t="s">
        <v>138</v>
      </c>
      <c r="B954" s="32">
        <v>39253</v>
      </c>
      <c r="C954" s="29">
        <v>65.5</v>
      </c>
      <c r="D954" s="35">
        <v>69.5</v>
      </c>
      <c r="E954" s="35">
        <v>65.5</v>
      </c>
      <c r="F954" s="33">
        <v>69</v>
      </c>
      <c r="G954" s="29">
        <v>0</v>
      </c>
      <c r="H954" s="29">
        <v>3.75</v>
      </c>
      <c r="I954" s="35">
        <v>65.25</v>
      </c>
      <c r="J954" s="34">
        <v>558400</v>
      </c>
      <c r="K954" s="34">
        <v>37737300</v>
      </c>
    </row>
    <row r="955" spans="1:11" hidden="1">
      <c r="A955" s="29" t="s">
        <v>138</v>
      </c>
      <c r="B955" s="32">
        <v>39254</v>
      </c>
      <c r="C955" s="29">
        <v>69.5</v>
      </c>
      <c r="D955" s="35">
        <v>69.5</v>
      </c>
      <c r="E955" s="35">
        <v>68</v>
      </c>
      <c r="F955" s="33">
        <v>68</v>
      </c>
      <c r="G955" s="29">
        <v>0</v>
      </c>
      <c r="H955" s="29">
        <v>-1</v>
      </c>
      <c r="I955" s="35">
        <v>69</v>
      </c>
      <c r="J955" s="34">
        <v>27600</v>
      </c>
      <c r="K955" s="34">
        <v>1879200</v>
      </c>
    </row>
    <row r="956" spans="1:11" hidden="1">
      <c r="A956" s="29" t="s">
        <v>138</v>
      </c>
      <c r="B956" s="32">
        <v>39255</v>
      </c>
      <c r="C956" s="29">
        <v>68.25</v>
      </c>
      <c r="D956" s="35">
        <v>68.25</v>
      </c>
      <c r="E956" s="35">
        <v>67.5</v>
      </c>
      <c r="F956" s="33">
        <v>68</v>
      </c>
      <c r="G956" s="29">
        <v>0</v>
      </c>
      <c r="H956" s="29">
        <v>0</v>
      </c>
      <c r="I956" s="35">
        <v>68</v>
      </c>
      <c r="J956" s="34">
        <v>17200</v>
      </c>
      <c r="K956" s="34">
        <v>1169075</v>
      </c>
    </row>
    <row r="957" spans="1:11" hidden="1">
      <c r="A957" s="29" t="s">
        <v>138</v>
      </c>
      <c r="B957" s="32">
        <v>39258</v>
      </c>
      <c r="C957" s="29">
        <v>67.5</v>
      </c>
      <c r="D957" s="35">
        <v>67.5</v>
      </c>
      <c r="E957" s="35">
        <v>66.5</v>
      </c>
      <c r="F957" s="33">
        <v>66.75</v>
      </c>
      <c r="G957" s="29">
        <v>0</v>
      </c>
      <c r="H957" s="29">
        <v>-1.25</v>
      </c>
      <c r="I957" s="35">
        <v>68</v>
      </c>
      <c r="J957" s="34">
        <v>4600</v>
      </c>
      <c r="K957" s="34">
        <v>310225</v>
      </c>
    </row>
    <row r="958" spans="1:11" hidden="1">
      <c r="A958" s="29" t="s">
        <v>138</v>
      </c>
      <c r="B958" s="32">
        <v>39259</v>
      </c>
      <c r="C958" s="29">
        <v>67</v>
      </c>
      <c r="D958" s="35">
        <v>67</v>
      </c>
      <c r="E958" s="35">
        <v>66.75</v>
      </c>
      <c r="F958" s="33">
        <v>67</v>
      </c>
      <c r="G958" s="29">
        <v>0</v>
      </c>
      <c r="H958" s="29">
        <v>0.25</v>
      </c>
      <c r="I958" s="35">
        <v>66.75</v>
      </c>
      <c r="J958" s="34">
        <v>23600</v>
      </c>
      <c r="K958" s="34">
        <v>1580400</v>
      </c>
    </row>
    <row r="959" spans="1:11" hidden="1">
      <c r="A959" s="29" t="s">
        <v>138</v>
      </c>
      <c r="B959" s="32">
        <v>39260</v>
      </c>
      <c r="C959" s="29">
        <v>66.75</v>
      </c>
      <c r="D959" s="35">
        <v>67</v>
      </c>
      <c r="E959" s="35">
        <v>66.5</v>
      </c>
      <c r="F959" s="33">
        <v>66.5</v>
      </c>
      <c r="G959" s="29">
        <v>0</v>
      </c>
      <c r="H959" s="29">
        <v>-0.5</v>
      </c>
      <c r="I959" s="35">
        <v>67</v>
      </c>
      <c r="J959" s="34">
        <v>92600</v>
      </c>
      <c r="K959" s="34">
        <v>6173425</v>
      </c>
    </row>
    <row r="960" spans="1:11" hidden="1">
      <c r="A960" s="29" t="s">
        <v>138</v>
      </c>
      <c r="B960" s="32">
        <v>39261</v>
      </c>
      <c r="C960" s="29">
        <v>66</v>
      </c>
      <c r="D960" s="35">
        <v>66.5</v>
      </c>
      <c r="E960" s="35">
        <v>66</v>
      </c>
      <c r="F960" s="33">
        <v>66.25</v>
      </c>
      <c r="G960" s="29">
        <v>0</v>
      </c>
      <c r="H960" s="29">
        <v>-0.25</v>
      </c>
      <c r="I960" s="35">
        <v>66.5</v>
      </c>
      <c r="J960" s="34">
        <v>40000</v>
      </c>
      <c r="K960" s="34">
        <v>2659125</v>
      </c>
    </row>
    <row r="961" spans="1:11" hidden="1">
      <c r="A961" s="29" t="s">
        <v>138</v>
      </c>
      <c r="B961" s="32">
        <v>39262</v>
      </c>
      <c r="C961" s="29">
        <v>66</v>
      </c>
      <c r="D961" s="35">
        <v>68.75</v>
      </c>
      <c r="E961" s="35">
        <v>66</v>
      </c>
      <c r="F961" s="33">
        <v>66.75</v>
      </c>
      <c r="G961" s="29">
        <v>0</v>
      </c>
      <c r="H961" s="29">
        <v>0.5</v>
      </c>
      <c r="I961" s="35">
        <v>66.25</v>
      </c>
      <c r="J961" s="34">
        <v>89200</v>
      </c>
      <c r="K961" s="34">
        <v>5949500</v>
      </c>
    </row>
    <row r="962" spans="1:11" hidden="1">
      <c r="A962" s="29" t="s">
        <v>138</v>
      </c>
      <c r="B962" s="32">
        <v>39265</v>
      </c>
      <c r="C962" s="29">
        <v>67.5</v>
      </c>
      <c r="D962" s="35">
        <v>67.5</v>
      </c>
      <c r="E962" s="35">
        <v>66.5</v>
      </c>
      <c r="F962" s="33">
        <v>66.5</v>
      </c>
      <c r="G962" s="29">
        <v>0</v>
      </c>
      <c r="H962" s="29">
        <v>-0.25</v>
      </c>
      <c r="I962" s="35">
        <v>66.75</v>
      </c>
      <c r="J962" s="34">
        <v>72200</v>
      </c>
      <c r="K962" s="34">
        <v>4814075</v>
      </c>
    </row>
    <row r="963" spans="1:11" hidden="1">
      <c r="A963" s="29" t="s">
        <v>138</v>
      </c>
      <c r="B963" s="32">
        <v>39266</v>
      </c>
      <c r="C963" s="29">
        <v>67</v>
      </c>
      <c r="D963" s="35">
        <v>67.5</v>
      </c>
      <c r="E963" s="35">
        <v>66.75</v>
      </c>
      <c r="F963" s="33">
        <v>67.5</v>
      </c>
      <c r="G963" s="29">
        <v>0</v>
      </c>
      <c r="H963" s="29">
        <v>1</v>
      </c>
      <c r="I963" s="35">
        <v>66.5</v>
      </c>
      <c r="J963" s="34">
        <v>30800</v>
      </c>
      <c r="K963" s="34">
        <v>2077450</v>
      </c>
    </row>
    <row r="964" spans="1:11" hidden="1">
      <c r="A964" s="29" t="s">
        <v>138</v>
      </c>
      <c r="B964" s="32">
        <v>39267</v>
      </c>
      <c r="C964" s="29">
        <v>67.25</v>
      </c>
      <c r="D964" s="35">
        <v>67.5</v>
      </c>
      <c r="E964" s="35">
        <v>67</v>
      </c>
      <c r="F964" s="33">
        <v>67</v>
      </c>
      <c r="G964" s="29">
        <v>0</v>
      </c>
      <c r="H964" s="29">
        <v>-0.5</v>
      </c>
      <c r="I964" s="35">
        <v>67.5</v>
      </c>
      <c r="J964" s="34">
        <v>194200</v>
      </c>
      <c r="K964" s="34">
        <v>13071525</v>
      </c>
    </row>
    <row r="965" spans="1:11" hidden="1">
      <c r="A965" s="29" t="s">
        <v>138</v>
      </c>
      <c r="B965" s="32">
        <v>39268</v>
      </c>
      <c r="C965" s="29">
        <v>66.75</v>
      </c>
      <c r="D965" s="35">
        <v>66.75</v>
      </c>
      <c r="E965" s="35">
        <v>66.25</v>
      </c>
      <c r="F965" s="33">
        <v>66.5</v>
      </c>
      <c r="G965" s="29">
        <v>0</v>
      </c>
      <c r="H965" s="29">
        <v>-0.5</v>
      </c>
      <c r="I965" s="35">
        <v>67</v>
      </c>
      <c r="J965" s="34">
        <v>144400</v>
      </c>
      <c r="K965" s="34">
        <v>9607575</v>
      </c>
    </row>
    <row r="966" spans="1:11" hidden="1">
      <c r="A966" s="29" t="s">
        <v>138</v>
      </c>
      <c r="B966" s="32">
        <v>39269</v>
      </c>
      <c r="C966" s="29">
        <v>66.5</v>
      </c>
      <c r="D966" s="35">
        <v>66.5</v>
      </c>
      <c r="E966" s="35">
        <v>66.25</v>
      </c>
      <c r="F966" s="33">
        <v>66.5</v>
      </c>
      <c r="G966" s="29">
        <v>0</v>
      </c>
      <c r="H966" s="29">
        <v>0</v>
      </c>
      <c r="I966" s="35">
        <v>66.5</v>
      </c>
      <c r="J966" s="34">
        <v>52600</v>
      </c>
      <c r="K966" s="34">
        <v>3497775</v>
      </c>
    </row>
    <row r="967" spans="1:11" hidden="1">
      <c r="A967" s="29" t="s">
        <v>138</v>
      </c>
      <c r="B967" s="32">
        <v>39272</v>
      </c>
      <c r="C967" s="29">
        <v>66.5</v>
      </c>
      <c r="D967" s="35">
        <v>66.5</v>
      </c>
      <c r="E967" s="35">
        <v>66.25</v>
      </c>
      <c r="F967" s="33">
        <v>66.5</v>
      </c>
      <c r="G967" s="29">
        <v>0</v>
      </c>
      <c r="H967" s="29">
        <v>0</v>
      </c>
      <c r="I967" s="35">
        <v>66.5</v>
      </c>
      <c r="J967" s="34">
        <v>4600</v>
      </c>
      <c r="K967" s="34">
        <v>305850</v>
      </c>
    </row>
    <row r="968" spans="1:11" hidden="1">
      <c r="A968" s="29" t="s">
        <v>138</v>
      </c>
      <c r="B968" s="32">
        <v>39273</v>
      </c>
      <c r="C968" s="29">
        <v>66.5</v>
      </c>
      <c r="D968" s="35">
        <v>66.5</v>
      </c>
      <c r="E968" s="35">
        <v>65</v>
      </c>
      <c r="F968" s="33">
        <v>65</v>
      </c>
      <c r="G968" s="29">
        <v>0</v>
      </c>
      <c r="H968" s="29">
        <v>-1.5</v>
      </c>
      <c r="I968" s="35">
        <v>66.5</v>
      </c>
      <c r="J968" s="34">
        <v>62000</v>
      </c>
      <c r="K968" s="34">
        <v>4074050</v>
      </c>
    </row>
    <row r="969" spans="1:11" hidden="1">
      <c r="A969" s="29" t="s">
        <v>138</v>
      </c>
      <c r="B969" s="32">
        <v>39274</v>
      </c>
      <c r="C969" s="29">
        <v>66.25</v>
      </c>
      <c r="D969" s="35">
        <v>66.25</v>
      </c>
      <c r="E969" s="35">
        <v>65</v>
      </c>
      <c r="F969" s="33">
        <v>65</v>
      </c>
      <c r="G969" s="29">
        <v>0</v>
      </c>
      <c r="H969" s="29">
        <v>0</v>
      </c>
      <c r="I969" s="35">
        <v>65</v>
      </c>
      <c r="J969" s="34">
        <v>3800</v>
      </c>
      <c r="K969" s="34">
        <v>249000</v>
      </c>
    </row>
    <row r="970" spans="1:11" hidden="1">
      <c r="A970" s="29" t="s">
        <v>138</v>
      </c>
      <c r="B970" s="32">
        <v>39275</v>
      </c>
      <c r="C970" s="29">
        <v>64.5</v>
      </c>
      <c r="D970" s="35">
        <v>66</v>
      </c>
      <c r="E970" s="35">
        <v>64.25</v>
      </c>
      <c r="F970" s="33">
        <v>65</v>
      </c>
      <c r="G970" s="29">
        <v>0</v>
      </c>
      <c r="H970" s="29">
        <v>0</v>
      </c>
      <c r="I970" s="35">
        <v>65</v>
      </c>
      <c r="J970" s="34">
        <v>8600</v>
      </c>
      <c r="K970" s="34">
        <v>558350</v>
      </c>
    </row>
    <row r="971" spans="1:11" hidden="1">
      <c r="A971" s="29" t="s">
        <v>138</v>
      </c>
      <c r="B971" s="32">
        <v>39276</v>
      </c>
      <c r="C971" s="29">
        <v>65</v>
      </c>
      <c r="D971" s="35">
        <v>65</v>
      </c>
      <c r="E971" s="35">
        <v>64.75</v>
      </c>
      <c r="F971" s="33">
        <v>64.75</v>
      </c>
      <c r="G971" s="29">
        <v>0</v>
      </c>
      <c r="H971" s="29">
        <v>-0.25</v>
      </c>
      <c r="I971" s="35">
        <v>65</v>
      </c>
      <c r="J971" s="34">
        <v>1200</v>
      </c>
      <c r="K971" s="34">
        <v>77875</v>
      </c>
    </row>
    <row r="972" spans="1:11" hidden="1">
      <c r="A972" s="29" t="s">
        <v>138</v>
      </c>
      <c r="B972" s="32">
        <v>39279</v>
      </c>
      <c r="C972" s="29">
        <v>64</v>
      </c>
      <c r="D972" s="35">
        <v>64</v>
      </c>
      <c r="E972" s="35">
        <v>62.5</v>
      </c>
      <c r="F972" s="33">
        <v>62.5</v>
      </c>
      <c r="G972" s="29">
        <v>0</v>
      </c>
      <c r="H972" s="29">
        <v>-2.25</v>
      </c>
      <c r="I972" s="35">
        <v>64.75</v>
      </c>
      <c r="J972" s="34">
        <v>36000</v>
      </c>
      <c r="K972" s="34">
        <v>2253500</v>
      </c>
    </row>
    <row r="973" spans="1:11" hidden="1">
      <c r="A973" s="29" t="s">
        <v>138</v>
      </c>
      <c r="B973" s="32">
        <v>39280</v>
      </c>
      <c r="C973" s="29">
        <v>62.5</v>
      </c>
      <c r="D973" s="35">
        <v>64</v>
      </c>
      <c r="E973" s="35">
        <v>61</v>
      </c>
      <c r="F973" s="33">
        <v>62.5</v>
      </c>
      <c r="G973" s="29">
        <v>0</v>
      </c>
      <c r="H973" s="29">
        <v>0</v>
      </c>
      <c r="I973" s="35">
        <v>62.5</v>
      </c>
      <c r="J973" s="34">
        <v>13400</v>
      </c>
      <c r="K973" s="34">
        <v>825175</v>
      </c>
    </row>
    <row r="974" spans="1:11" hidden="1">
      <c r="A974" s="29" t="s">
        <v>138</v>
      </c>
      <c r="B974" s="32">
        <v>39281</v>
      </c>
      <c r="C974" s="29">
        <v>64</v>
      </c>
      <c r="D974" s="35">
        <v>64</v>
      </c>
      <c r="E974" s="35">
        <v>64</v>
      </c>
      <c r="F974" s="33">
        <v>64</v>
      </c>
      <c r="G974" s="29">
        <v>0</v>
      </c>
      <c r="H974" s="29">
        <v>1.5</v>
      </c>
      <c r="I974" s="35">
        <v>62.5</v>
      </c>
      <c r="J974" s="34">
        <v>200</v>
      </c>
      <c r="K974" s="34">
        <v>12825</v>
      </c>
    </row>
    <row r="975" spans="1:11" hidden="1">
      <c r="A975" s="29" t="s">
        <v>138</v>
      </c>
      <c r="B975" s="32">
        <v>39282</v>
      </c>
      <c r="C975" s="29">
        <v>62.5</v>
      </c>
      <c r="D975" s="35">
        <v>63.25</v>
      </c>
      <c r="E975" s="35">
        <v>60.5</v>
      </c>
      <c r="F975" s="33">
        <v>62.25</v>
      </c>
      <c r="G975" s="29">
        <v>0</v>
      </c>
      <c r="H975" s="29">
        <v>-1.75</v>
      </c>
      <c r="I975" s="35">
        <v>64</v>
      </c>
      <c r="J975" s="34">
        <v>26200</v>
      </c>
      <c r="K975" s="34">
        <v>1605575</v>
      </c>
    </row>
    <row r="976" spans="1:11" hidden="1">
      <c r="A976" s="29" t="s">
        <v>138</v>
      </c>
      <c r="B976" s="32">
        <v>39283</v>
      </c>
      <c r="C976" s="29">
        <v>62</v>
      </c>
      <c r="D976" s="35">
        <v>63.5</v>
      </c>
      <c r="E976" s="35">
        <v>62</v>
      </c>
      <c r="F976" s="33">
        <v>63.5</v>
      </c>
      <c r="G976" s="29">
        <v>0</v>
      </c>
      <c r="H976" s="29">
        <v>1.25</v>
      </c>
      <c r="I976" s="35">
        <v>62.25</v>
      </c>
      <c r="J976" s="34">
        <v>22000</v>
      </c>
      <c r="K976" s="34">
        <v>1392475</v>
      </c>
    </row>
    <row r="977" spans="1:11" hidden="1">
      <c r="A977" s="29" t="s">
        <v>138</v>
      </c>
      <c r="B977" s="32">
        <v>39286</v>
      </c>
      <c r="C977" s="29">
        <v>63</v>
      </c>
      <c r="D977" s="35">
        <v>64</v>
      </c>
      <c r="E977" s="35">
        <v>63</v>
      </c>
      <c r="F977" s="33">
        <v>63.75</v>
      </c>
      <c r="G977" s="29">
        <v>0</v>
      </c>
      <c r="H977" s="29">
        <v>0.25</v>
      </c>
      <c r="I977" s="35">
        <v>63.5</v>
      </c>
      <c r="J977" s="34">
        <v>4200</v>
      </c>
      <c r="K977" s="34">
        <v>267025</v>
      </c>
    </row>
    <row r="978" spans="1:11" hidden="1">
      <c r="A978" s="29" t="s">
        <v>138</v>
      </c>
      <c r="B978" s="32">
        <v>39287</v>
      </c>
      <c r="C978" s="29">
        <v>63.5</v>
      </c>
      <c r="D978" s="35">
        <v>64.25</v>
      </c>
      <c r="E978" s="35">
        <v>63</v>
      </c>
      <c r="F978" s="33">
        <v>63.5</v>
      </c>
      <c r="G978" s="29">
        <v>0</v>
      </c>
      <c r="H978" s="29">
        <v>-0.25</v>
      </c>
      <c r="I978" s="35">
        <v>63.75</v>
      </c>
      <c r="J978" s="34">
        <v>12800</v>
      </c>
      <c r="K978" s="34">
        <v>812900</v>
      </c>
    </row>
    <row r="979" spans="1:11" hidden="1">
      <c r="A979" s="29" t="s">
        <v>138</v>
      </c>
      <c r="B979" s="32">
        <v>39288</v>
      </c>
      <c r="C979" s="29">
        <v>63.5</v>
      </c>
      <c r="D979" s="35">
        <v>64.25</v>
      </c>
      <c r="E979" s="35">
        <v>63.25</v>
      </c>
      <c r="F979" s="33">
        <v>64.25</v>
      </c>
      <c r="G979" s="29">
        <v>0</v>
      </c>
      <c r="H979" s="29">
        <v>0.75</v>
      </c>
      <c r="I979" s="35">
        <v>63.5</v>
      </c>
      <c r="J979" s="34">
        <v>3000</v>
      </c>
      <c r="K979" s="34">
        <v>191200</v>
      </c>
    </row>
    <row r="980" spans="1:11" hidden="1">
      <c r="A980" s="29" t="s">
        <v>138</v>
      </c>
      <c r="B980" s="32">
        <v>39289</v>
      </c>
      <c r="C980" s="29">
        <v>63.5</v>
      </c>
      <c r="D980" s="35">
        <v>64.5</v>
      </c>
      <c r="E980" s="35">
        <v>63.5</v>
      </c>
      <c r="F980" s="33">
        <v>64.25</v>
      </c>
      <c r="G980" s="29">
        <v>0</v>
      </c>
      <c r="H980" s="29">
        <v>0</v>
      </c>
      <c r="I980" s="35">
        <v>64.25</v>
      </c>
      <c r="J980" s="34">
        <v>6200</v>
      </c>
      <c r="K980" s="34">
        <v>397475</v>
      </c>
    </row>
    <row r="981" spans="1:11" hidden="1">
      <c r="A981" s="29" t="s">
        <v>138</v>
      </c>
      <c r="B981" s="32">
        <v>39290</v>
      </c>
      <c r="C981" s="29">
        <v>64</v>
      </c>
      <c r="D981" s="35">
        <v>64.75</v>
      </c>
      <c r="E981" s="35">
        <v>64</v>
      </c>
      <c r="F981" s="33">
        <v>64</v>
      </c>
      <c r="G981" s="29">
        <v>0</v>
      </c>
      <c r="H981" s="29">
        <v>-0.25</v>
      </c>
      <c r="I981" s="35">
        <v>64.25</v>
      </c>
      <c r="J981" s="34">
        <v>4600</v>
      </c>
      <c r="K981" s="34">
        <v>294700</v>
      </c>
    </row>
    <row r="982" spans="1:11" hidden="1">
      <c r="A982" s="29" t="s">
        <v>138</v>
      </c>
      <c r="B982" s="32">
        <v>39293</v>
      </c>
      <c r="C982" s="29">
        <v>64</v>
      </c>
      <c r="D982" s="35">
        <v>64</v>
      </c>
      <c r="E982" s="35">
        <v>64</v>
      </c>
      <c r="F982" s="33">
        <v>64</v>
      </c>
      <c r="G982" s="29">
        <v>0</v>
      </c>
      <c r="H982" s="29">
        <v>0</v>
      </c>
      <c r="I982" s="35">
        <v>64</v>
      </c>
      <c r="J982" s="34">
        <v>800</v>
      </c>
      <c r="K982" s="34">
        <v>51200</v>
      </c>
    </row>
    <row r="983" spans="1:11" hidden="1">
      <c r="A983" s="29" t="s">
        <v>138</v>
      </c>
      <c r="B983" s="32">
        <v>39294</v>
      </c>
      <c r="C983" s="29">
        <v>63.5</v>
      </c>
      <c r="D983" s="35">
        <v>64.25</v>
      </c>
      <c r="E983" s="35">
        <v>63.5</v>
      </c>
      <c r="F983" s="33">
        <v>64</v>
      </c>
      <c r="G983" s="29">
        <v>0</v>
      </c>
      <c r="H983" s="29">
        <v>0</v>
      </c>
      <c r="I983" s="35">
        <v>64</v>
      </c>
      <c r="J983" s="34">
        <v>24400</v>
      </c>
      <c r="K983" s="34">
        <v>1561275</v>
      </c>
    </row>
    <row r="984" spans="1:11" hidden="1">
      <c r="A984" s="29" t="s">
        <v>138</v>
      </c>
      <c r="B984" s="32">
        <v>39295</v>
      </c>
      <c r="C984" s="29">
        <v>63.5</v>
      </c>
      <c r="D984" s="35">
        <v>63.5</v>
      </c>
      <c r="E984" s="35">
        <v>63.5</v>
      </c>
      <c r="F984" s="33">
        <v>63.5</v>
      </c>
      <c r="G984" s="29">
        <v>0</v>
      </c>
      <c r="H984" s="29">
        <v>-0.5</v>
      </c>
      <c r="I984" s="35">
        <v>64</v>
      </c>
      <c r="J984" s="34">
        <v>1200</v>
      </c>
      <c r="K984" s="34">
        <v>76225</v>
      </c>
    </row>
    <row r="985" spans="1:11" hidden="1">
      <c r="A985" s="29" t="s">
        <v>138</v>
      </c>
      <c r="B985" s="32">
        <v>39296</v>
      </c>
      <c r="C985" s="29">
        <v>64</v>
      </c>
      <c r="D985" s="35">
        <v>64</v>
      </c>
      <c r="E985" s="35">
        <v>63.5</v>
      </c>
      <c r="F985" s="33">
        <v>63.5</v>
      </c>
      <c r="G985" s="29">
        <v>0</v>
      </c>
      <c r="H985" s="29">
        <v>0</v>
      </c>
      <c r="I985" s="35">
        <v>63.5</v>
      </c>
      <c r="J985" s="34">
        <v>1800</v>
      </c>
      <c r="K985" s="34">
        <v>115100</v>
      </c>
    </row>
    <row r="986" spans="1:11" hidden="1">
      <c r="A986" s="29" t="s">
        <v>138</v>
      </c>
      <c r="B986" s="32">
        <v>39297</v>
      </c>
      <c r="C986" s="29">
        <v>64</v>
      </c>
      <c r="D986" s="35">
        <v>64</v>
      </c>
      <c r="E986" s="35">
        <v>63.5</v>
      </c>
      <c r="F986" s="33">
        <v>63.5</v>
      </c>
      <c r="G986" s="29">
        <v>0</v>
      </c>
      <c r="H986" s="29">
        <v>0</v>
      </c>
      <c r="I986" s="35">
        <v>63.5</v>
      </c>
      <c r="J986" s="34">
        <v>6200</v>
      </c>
      <c r="K986" s="34">
        <v>394200</v>
      </c>
    </row>
    <row r="987" spans="1:11" hidden="1">
      <c r="A987" s="29" t="s">
        <v>138</v>
      </c>
      <c r="B987" s="32">
        <v>39300</v>
      </c>
      <c r="C987" s="29">
        <v>63.25</v>
      </c>
      <c r="D987" s="35">
        <v>63.5</v>
      </c>
      <c r="E987" s="35">
        <v>63.25</v>
      </c>
      <c r="F987" s="33">
        <v>63.25</v>
      </c>
      <c r="G987" s="29">
        <v>0</v>
      </c>
      <c r="H987" s="29">
        <v>-0.25</v>
      </c>
      <c r="I987" s="35">
        <v>63.5</v>
      </c>
      <c r="J987" s="34">
        <v>3400</v>
      </c>
      <c r="K987" s="34">
        <v>215725</v>
      </c>
    </row>
    <row r="988" spans="1:11" hidden="1">
      <c r="A988" s="29" t="s">
        <v>138</v>
      </c>
      <c r="B988" s="32">
        <v>39301</v>
      </c>
      <c r="C988" s="29">
        <v>63</v>
      </c>
      <c r="D988" s="35">
        <v>63</v>
      </c>
      <c r="E988" s="35">
        <v>62.5</v>
      </c>
      <c r="F988" s="33">
        <v>62.75</v>
      </c>
      <c r="G988" s="29">
        <v>0</v>
      </c>
      <c r="H988" s="29">
        <v>-0.5</v>
      </c>
      <c r="I988" s="35">
        <v>63.25</v>
      </c>
      <c r="J988" s="34">
        <v>2600</v>
      </c>
      <c r="K988" s="34">
        <v>163700</v>
      </c>
    </row>
    <row r="989" spans="1:11" hidden="1">
      <c r="A989" s="29" t="s">
        <v>138</v>
      </c>
      <c r="B989" s="32">
        <v>39302</v>
      </c>
      <c r="C989" s="29">
        <v>62.5</v>
      </c>
      <c r="D989" s="35">
        <v>62.5</v>
      </c>
      <c r="E989" s="35">
        <v>62.5</v>
      </c>
      <c r="F989" s="33">
        <v>62.5</v>
      </c>
      <c r="G989" s="29">
        <v>0</v>
      </c>
      <c r="H989" s="29">
        <v>-0.25</v>
      </c>
      <c r="I989" s="35">
        <v>62.75</v>
      </c>
      <c r="J989" s="34">
        <v>2200</v>
      </c>
      <c r="K989" s="34">
        <v>137500</v>
      </c>
    </row>
    <row r="990" spans="1:11" hidden="1">
      <c r="A990" s="29" t="s">
        <v>138</v>
      </c>
      <c r="B990" s="32">
        <v>39303</v>
      </c>
      <c r="C990" s="29">
        <v>62</v>
      </c>
      <c r="D990" s="35">
        <v>62.25</v>
      </c>
      <c r="E990" s="35">
        <v>61.5</v>
      </c>
      <c r="F990" s="33">
        <v>62.25</v>
      </c>
      <c r="G990" s="29">
        <v>0</v>
      </c>
      <c r="H990" s="29">
        <v>-0.25</v>
      </c>
      <c r="I990" s="35">
        <v>62.5</v>
      </c>
      <c r="J990" s="34">
        <v>3200</v>
      </c>
      <c r="K990" s="34">
        <v>198475</v>
      </c>
    </row>
    <row r="991" spans="1:11" hidden="1">
      <c r="A991" s="29" t="s">
        <v>138</v>
      </c>
      <c r="B991" s="32">
        <v>39304</v>
      </c>
      <c r="C991" s="29">
        <v>62.5</v>
      </c>
      <c r="D991" s="35">
        <v>62.5</v>
      </c>
      <c r="E991" s="35">
        <v>62</v>
      </c>
      <c r="F991" s="33">
        <v>62.25</v>
      </c>
      <c r="G991" s="29">
        <v>0</v>
      </c>
      <c r="H991" s="29">
        <v>0</v>
      </c>
      <c r="I991" s="35">
        <v>62.25</v>
      </c>
      <c r="J991" s="34">
        <v>4200</v>
      </c>
      <c r="K991" s="34">
        <v>261250</v>
      </c>
    </row>
    <row r="992" spans="1:11" hidden="1">
      <c r="A992" s="29" t="s">
        <v>138</v>
      </c>
      <c r="B992" s="32">
        <v>39307</v>
      </c>
      <c r="C992" s="29">
        <v>62.25</v>
      </c>
      <c r="D992" s="35">
        <v>62.25</v>
      </c>
      <c r="E992" s="35">
        <v>61.5</v>
      </c>
      <c r="F992" s="33">
        <v>61.5</v>
      </c>
      <c r="G992" s="29">
        <v>0</v>
      </c>
      <c r="H992" s="29">
        <v>-0.75</v>
      </c>
      <c r="I992" s="35">
        <v>62.25</v>
      </c>
      <c r="J992" s="34">
        <v>15800</v>
      </c>
      <c r="K992" s="34">
        <v>973500</v>
      </c>
    </row>
    <row r="993" spans="1:11" hidden="1">
      <c r="A993" s="29" t="s">
        <v>138</v>
      </c>
      <c r="B993" s="32">
        <v>39308</v>
      </c>
      <c r="C993" s="29">
        <v>61.5</v>
      </c>
      <c r="D993" s="35">
        <v>61.5</v>
      </c>
      <c r="E993" s="35">
        <v>59.75</v>
      </c>
      <c r="F993" s="33">
        <v>60</v>
      </c>
      <c r="G993" s="29">
        <v>0</v>
      </c>
      <c r="H993" s="29">
        <v>-1.5</v>
      </c>
      <c r="I993" s="35">
        <v>61.5</v>
      </c>
      <c r="J993" s="34">
        <v>85400</v>
      </c>
      <c r="K993" s="34">
        <v>5133050</v>
      </c>
    </row>
    <row r="994" spans="1:11" hidden="1">
      <c r="A994" s="29" t="s">
        <v>138</v>
      </c>
      <c r="B994" s="32">
        <v>39309</v>
      </c>
      <c r="C994" s="29">
        <v>60.75</v>
      </c>
      <c r="D994" s="35">
        <v>60.75</v>
      </c>
      <c r="E994" s="35">
        <v>60</v>
      </c>
      <c r="F994" s="33">
        <v>60</v>
      </c>
      <c r="G994" s="29">
        <v>0</v>
      </c>
      <c r="H994" s="29">
        <v>0</v>
      </c>
      <c r="I994" s="35">
        <v>60</v>
      </c>
      <c r="J994" s="34">
        <v>800</v>
      </c>
      <c r="K994" s="34">
        <v>48175</v>
      </c>
    </row>
    <row r="995" spans="1:11" hidden="1">
      <c r="A995" s="29" t="s">
        <v>138</v>
      </c>
      <c r="B995" s="32">
        <v>39310</v>
      </c>
      <c r="C995" s="29">
        <v>61</v>
      </c>
      <c r="D995" s="35">
        <v>61</v>
      </c>
      <c r="E995" s="35">
        <v>59.5</v>
      </c>
      <c r="F995" s="33">
        <v>59.75</v>
      </c>
      <c r="G995" s="29">
        <v>0</v>
      </c>
      <c r="H995" s="29">
        <v>-0.25</v>
      </c>
      <c r="I995" s="35">
        <v>60</v>
      </c>
      <c r="J995" s="34">
        <v>72600</v>
      </c>
      <c r="K995" s="34">
        <v>4353925</v>
      </c>
    </row>
    <row r="996" spans="1:11" hidden="1">
      <c r="A996" s="29" t="s">
        <v>138</v>
      </c>
      <c r="B996" s="32">
        <v>39311</v>
      </c>
      <c r="C996" s="29">
        <v>59.5</v>
      </c>
      <c r="D996" s="35">
        <v>60</v>
      </c>
      <c r="E996" s="35">
        <v>59.25</v>
      </c>
      <c r="F996" s="33">
        <v>60</v>
      </c>
      <c r="G996" s="29">
        <v>0</v>
      </c>
      <c r="H996" s="29">
        <v>0.25</v>
      </c>
      <c r="I996" s="35">
        <v>59.75</v>
      </c>
      <c r="J996" s="34">
        <v>16200</v>
      </c>
      <c r="K996" s="34">
        <v>970875</v>
      </c>
    </row>
    <row r="997" spans="1:11" hidden="1">
      <c r="A997" s="29" t="s">
        <v>138</v>
      </c>
      <c r="B997" s="32">
        <v>39314</v>
      </c>
      <c r="C997" s="29">
        <v>59.75</v>
      </c>
      <c r="D997" s="35">
        <v>59.75</v>
      </c>
      <c r="E997" s="35">
        <v>59.5</v>
      </c>
      <c r="F997" s="33">
        <v>59.5</v>
      </c>
      <c r="G997" s="29">
        <v>0</v>
      </c>
      <c r="H997" s="29">
        <v>-0.5</v>
      </c>
      <c r="I997" s="35">
        <v>60</v>
      </c>
      <c r="J997" s="34">
        <v>3000</v>
      </c>
      <c r="K997" s="34">
        <v>179000</v>
      </c>
    </row>
    <row r="998" spans="1:11" hidden="1">
      <c r="A998" s="29" t="s">
        <v>138</v>
      </c>
      <c r="B998" s="32">
        <v>39315</v>
      </c>
      <c r="C998" s="29">
        <v>59.75</v>
      </c>
      <c r="D998" s="35">
        <v>59.75</v>
      </c>
      <c r="E998" s="35">
        <v>59</v>
      </c>
      <c r="F998" s="33">
        <v>59.25</v>
      </c>
      <c r="G998" s="29">
        <v>0</v>
      </c>
      <c r="H998" s="29">
        <v>-0.25</v>
      </c>
      <c r="I998" s="35">
        <v>59.5</v>
      </c>
      <c r="J998" s="34">
        <v>13800</v>
      </c>
      <c r="K998" s="34">
        <v>819450</v>
      </c>
    </row>
    <row r="999" spans="1:11" hidden="1">
      <c r="A999" s="29" t="s">
        <v>138</v>
      </c>
      <c r="B999" s="32">
        <v>39316</v>
      </c>
      <c r="C999" s="29">
        <v>60</v>
      </c>
      <c r="D999" s="35">
        <v>60</v>
      </c>
      <c r="E999" s="35">
        <v>59.25</v>
      </c>
      <c r="F999" s="33">
        <v>59.25</v>
      </c>
      <c r="G999" s="29">
        <v>0</v>
      </c>
      <c r="H999" s="29">
        <v>0</v>
      </c>
      <c r="I999" s="35">
        <v>59.25</v>
      </c>
      <c r="J999" s="34">
        <v>16600</v>
      </c>
      <c r="K999" s="34">
        <v>993600</v>
      </c>
    </row>
    <row r="1000" spans="1:11" hidden="1">
      <c r="A1000" s="29" t="s">
        <v>138</v>
      </c>
      <c r="B1000" s="32">
        <v>39317</v>
      </c>
      <c r="C1000" s="29">
        <v>59.5</v>
      </c>
      <c r="D1000" s="35">
        <v>59.5</v>
      </c>
      <c r="E1000" s="35">
        <v>59</v>
      </c>
      <c r="F1000" s="33">
        <v>59.5</v>
      </c>
      <c r="G1000" s="29">
        <v>0</v>
      </c>
      <c r="H1000" s="29">
        <v>0.25</v>
      </c>
      <c r="I1000" s="35">
        <v>59.25</v>
      </c>
      <c r="J1000" s="34">
        <v>9400</v>
      </c>
      <c r="K1000" s="34">
        <v>556450</v>
      </c>
    </row>
    <row r="1001" spans="1:11" hidden="1">
      <c r="A1001" s="29" t="s">
        <v>138</v>
      </c>
      <c r="B1001" s="32">
        <v>39321</v>
      </c>
      <c r="C1001" s="29">
        <v>59.5</v>
      </c>
      <c r="D1001" s="35">
        <v>59.75</v>
      </c>
      <c r="E1001" s="35">
        <v>58.5</v>
      </c>
      <c r="F1001" s="33">
        <v>59</v>
      </c>
      <c r="G1001" s="29">
        <v>0</v>
      </c>
      <c r="H1001" s="29">
        <v>-0.5</v>
      </c>
      <c r="I1001" s="35">
        <v>59.5</v>
      </c>
      <c r="J1001" s="34">
        <v>11800</v>
      </c>
      <c r="K1001" s="34">
        <v>695350</v>
      </c>
    </row>
    <row r="1002" spans="1:11" hidden="1">
      <c r="A1002" s="29" t="s">
        <v>138</v>
      </c>
      <c r="B1002" s="32">
        <v>39323</v>
      </c>
      <c r="C1002" s="29">
        <v>59</v>
      </c>
      <c r="D1002" s="35">
        <v>59</v>
      </c>
      <c r="E1002" s="35">
        <v>59</v>
      </c>
      <c r="F1002" s="33">
        <v>59</v>
      </c>
      <c r="G1002" s="29">
        <v>0</v>
      </c>
      <c r="H1002" s="29">
        <v>0</v>
      </c>
      <c r="I1002" s="35">
        <v>59</v>
      </c>
      <c r="J1002" s="34">
        <v>9800</v>
      </c>
      <c r="K1002" s="34">
        <v>578250</v>
      </c>
    </row>
    <row r="1003" spans="1:11" hidden="1">
      <c r="A1003" s="29" t="s">
        <v>138</v>
      </c>
      <c r="B1003" s="32">
        <v>39324</v>
      </c>
      <c r="C1003" s="29">
        <v>59.75</v>
      </c>
      <c r="D1003" s="35">
        <v>59.75</v>
      </c>
      <c r="E1003" s="35">
        <v>59</v>
      </c>
      <c r="F1003" s="33">
        <v>59</v>
      </c>
      <c r="G1003" s="29">
        <v>0</v>
      </c>
      <c r="H1003" s="29">
        <v>0</v>
      </c>
      <c r="I1003" s="35">
        <v>59</v>
      </c>
      <c r="J1003" s="34">
        <v>12000</v>
      </c>
      <c r="K1003" s="34">
        <v>710175</v>
      </c>
    </row>
    <row r="1004" spans="1:11" hidden="1">
      <c r="A1004" s="29" t="s">
        <v>138</v>
      </c>
      <c r="B1004" s="32">
        <v>39325</v>
      </c>
      <c r="C1004" s="29">
        <v>58.75</v>
      </c>
      <c r="D1004" s="35">
        <v>58.75</v>
      </c>
      <c r="E1004" s="35">
        <v>58.5</v>
      </c>
      <c r="F1004" s="33">
        <v>58.5</v>
      </c>
      <c r="G1004" s="29">
        <v>0</v>
      </c>
      <c r="H1004" s="29">
        <v>-0.5</v>
      </c>
      <c r="I1004" s="35">
        <v>59</v>
      </c>
      <c r="J1004" s="34">
        <v>3400</v>
      </c>
      <c r="K1004" s="34">
        <v>198950</v>
      </c>
    </row>
    <row r="1005" spans="1:11" hidden="1">
      <c r="A1005" s="29" t="s">
        <v>138</v>
      </c>
      <c r="B1005" s="32">
        <v>39328</v>
      </c>
      <c r="C1005" s="29">
        <v>57.5</v>
      </c>
      <c r="D1005" s="35">
        <v>58.25</v>
      </c>
      <c r="E1005" s="35">
        <v>55</v>
      </c>
      <c r="F1005" s="33">
        <v>55</v>
      </c>
      <c r="G1005" s="29">
        <v>0</v>
      </c>
      <c r="H1005" s="29">
        <v>-3.5</v>
      </c>
      <c r="I1005" s="35">
        <v>58.5</v>
      </c>
      <c r="J1005" s="34">
        <v>65800</v>
      </c>
      <c r="K1005" s="34">
        <v>3733500</v>
      </c>
    </row>
    <row r="1006" spans="1:11" hidden="1">
      <c r="A1006" s="29" t="s">
        <v>138</v>
      </c>
      <c r="B1006" s="32">
        <v>39329</v>
      </c>
      <c r="C1006" s="29">
        <v>55</v>
      </c>
      <c r="D1006" s="35">
        <v>56.25</v>
      </c>
      <c r="E1006" s="35">
        <v>55</v>
      </c>
      <c r="F1006" s="33">
        <v>55.25</v>
      </c>
      <c r="G1006" s="29">
        <v>0</v>
      </c>
      <c r="H1006" s="29">
        <v>0.25</v>
      </c>
      <c r="I1006" s="35">
        <v>55</v>
      </c>
      <c r="J1006" s="34">
        <v>183400</v>
      </c>
      <c r="K1006" s="34">
        <v>10155625</v>
      </c>
    </row>
    <row r="1007" spans="1:11" hidden="1">
      <c r="A1007" s="29" t="s">
        <v>138</v>
      </c>
      <c r="B1007" s="32">
        <v>39330</v>
      </c>
      <c r="C1007" s="29">
        <v>56</v>
      </c>
      <c r="D1007" s="35">
        <v>56</v>
      </c>
      <c r="E1007" s="35">
        <v>54.75</v>
      </c>
      <c r="F1007" s="33">
        <v>54.75</v>
      </c>
      <c r="G1007" s="29">
        <v>0</v>
      </c>
      <c r="H1007" s="29">
        <v>-0.5</v>
      </c>
      <c r="I1007" s="35">
        <v>55.25</v>
      </c>
      <c r="J1007" s="34">
        <v>119200</v>
      </c>
      <c r="K1007" s="34">
        <v>6561225</v>
      </c>
    </row>
    <row r="1008" spans="1:11" hidden="1">
      <c r="A1008" s="29" t="s">
        <v>138</v>
      </c>
      <c r="B1008" s="32">
        <v>39331</v>
      </c>
      <c r="C1008" s="29">
        <v>55</v>
      </c>
      <c r="D1008" s="35">
        <v>56</v>
      </c>
      <c r="E1008" s="35">
        <v>54.5</v>
      </c>
      <c r="F1008" s="33">
        <v>54.75</v>
      </c>
      <c r="G1008" s="29">
        <v>0</v>
      </c>
      <c r="H1008" s="29">
        <v>0</v>
      </c>
      <c r="I1008" s="35">
        <v>54.75</v>
      </c>
      <c r="J1008" s="34">
        <v>398400</v>
      </c>
      <c r="K1008" s="34">
        <v>21858975</v>
      </c>
    </row>
    <row r="1009" spans="1:11" hidden="1">
      <c r="A1009" s="29" t="s">
        <v>138</v>
      </c>
      <c r="B1009" s="32">
        <v>39332</v>
      </c>
      <c r="C1009" s="29">
        <v>55</v>
      </c>
      <c r="D1009" s="35">
        <v>55</v>
      </c>
      <c r="E1009" s="35">
        <v>54.5</v>
      </c>
      <c r="F1009" s="33">
        <v>55</v>
      </c>
      <c r="G1009" s="29">
        <v>0</v>
      </c>
      <c r="H1009" s="29">
        <v>0.25</v>
      </c>
      <c r="I1009" s="35">
        <v>54.75</v>
      </c>
      <c r="J1009" s="34">
        <v>13400</v>
      </c>
      <c r="K1009" s="34">
        <v>732550</v>
      </c>
    </row>
    <row r="1010" spans="1:11" hidden="1">
      <c r="A1010" s="29" t="s">
        <v>138</v>
      </c>
      <c r="B1010" s="32">
        <v>39335</v>
      </c>
      <c r="C1010" s="29">
        <v>55</v>
      </c>
      <c r="D1010" s="35">
        <v>56</v>
      </c>
      <c r="E1010" s="35">
        <v>55</v>
      </c>
      <c r="F1010" s="33">
        <v>56</v>
      </c>
      <c r="G1010" s="29">
        <v>0</v>
      </c>
      <c r="H1010" s="29">
        <v>1</v>
      </c>
      <c r="I1010" s="35">
        <v>55</v>
      </c>
      <c r="J1010" s="34">
        <v>6200</v>
      </c>
      <c r="K1010" s="34">
        <v>344950</v>
      </c>
    </row>
    <row r="1011" spans="1:11" hidden="1">
      <c r="A1011" s="29" t="s">
        <v>138</v>
      </c>
      <c r="B1011" s="32">
        <v>39336</v>
      </c>
      <c r="C1011" s="29">
        <v>56.25</v>
      </c>
      <c r="D1011" s="35">
        <v>56.25</v>
      </c>
      <c r="E1011" s="35">
        <v>54.5</v>
      </c>
      <c r="F1011" s="33">
        <v>55</v>
      </c>
      <c r="G1011" s="29">
        <v>0</v>
      </c>
      <c r="H1011" s="29">
        <v>-1</v>
      </c>
      <c r="I1011" s="35">
        <v>56</v>
      </c>
      <c r="J1011" s="34">
        <v>137800</v>
      </c>
      <c r="K1011" s="34">
        <v>7584600</v>
      </c>
    </row>
    <row r="1012" spans="1:11" hidden="1">
      <c r="A1012" s="29" t="s">
        <v>138</v>
      </c>
      <c r="B1012" s="32">
        <v>39337</v>
      </c>
      <c r="C1012" s="29">
        <v>55</v>
      </c>
      <c r="D1012" s="35">
        <v>56.75</v>
      </c>
      <c r="E1012" s="35">
        <v>55</v>
      </c>
      <c r="F1012" s="33">
        <v>56.75</v>
      </c>
      <c r="G1012" s="29">
        <v>0</v>
      </c>
      <c r="H1012" s="29">
        <v>1.75</v>
      </c>
      <c r="I1012" s="35">
        <v>55</v>
      </c>
      <c r="J1012" s="34">
        <v>110400</v>
      </c>
      <c r="K1012" s="34">
        <v>6126025</v>
      </c>
    </row>
    <row r="1013" spans="1:11" hidden="1">
      <c r="A1013" s="29" t="s">
        <v>138</v>
      </c>
      <c r="B1013" s="32">
        <v>39338</v>
      </c>
      <c r="C1013" s="29">
        <v>56.5</v>
      </c>
      <c r="D1013" s="35">
        <v>57.25</v>
      </c>
      <c r="E1013" s="35">
        <v>56.5</v>
      </c>
      <c r="F1013" s="33">
        <v>56.75</v>
      </c>
      <c r="G1013" s="29">
        <v>0</v>
      </c>
      <c r="H1013" s="29">
        <v>0</v>
      </c>
      <c r="I1013" s="35">
        <v>56.75</v>
      </c>
      <c r="J1013" s="34">
        <v>34200</v>
      </c>
      <c r="K1013" s="34">
        <v>1947050</v>
      </c>
    </row>
    <row r="1014" spans="1:11" hidden="1">
      <c r="A1014" s="29" t="s">
        <v>138</v>
      </c>
      <c r="B1014" s="32">
        <v>39339</v>
      </c>
      <c r="C1014" s="29">
        <v>57</v>
      </c>
      <c r="D1014" s="35">
        <v>57</v>
      </c>
      <c r="E1014" s="35">
        <v>57</v>
      </c>
      <c r="F1014" s="33">
        <v>57</v>
      </c>
      <c r="G1014" s="29">
        <v>0</v>
      </c>
      <c r="H1014" s="29">
        <v>0.25</v>
      </c>
      <c r="I1014" s="35">
        <v>56.75</v>
      </c>
      <c r="J1014" s="34">
        <v>13600</v>
      </c>
      <c r="K1014" s="34">
        <v>775200</v>
      </c>
    </row>
    <row r="1015" spans="1:11" hidden="1">
      <c r="A1015" s="29" t="s">
        <v>138</v>
      </c>
      <c r="B1015" s="32">
        <v>39342</v>
      </c>
      <c r="C1015" s="29">
        <v>57</v>
      </c>
      <c r="D1015" s="35">
        <v>58</v>
      </c>
      <c r="E1015" s="35">
        <v>57</v>
      </c>
      <c r="F1015" s="33">
        <v>57.5</v>
      </c>
      <c r="G1015" s="29">
        <v>0</v>
      </c>
      <c r="H1015" s="29">
        <v>0.5</v>
      </c>
      <c r="I1015" s="35">
        <v>57</v>
      </c>
      <c r="J1015" s="34">
        <v>57800</v>
      </c>
      <c r="K1015" s="34">
        <v>3326150</v>
      </c>
    </row>
    <row r="1016" spans="1:11" hidden="1">
      <c r="A1016" s="29" t="s">
        <v>138</v>
      </c>
      <c r="B1016" s="32">
        <v>39343</v>
      </c>
      <c r="C1016" s="29">
        <v>57.5</v>
      </c>
      <c r="D1016" s="35">
        <v>58</v>
      </c>
      <c r="E1016" s="35">
        <v>56.5</v>
      </c>
      <c r="F1016" s="33">
        <v>56.5</v>
      </c>
      <c r="G1016" s="29">
        <v>0</v>
      </c>
      <c r="H1016" s="29">
        <v>-1</v>
      </c>
      <c r="I1016" s="35">
        <v>57.5</v>
      </c>
      <c r="J1016" s="34">
        <v>119800</v>
      </c>
      <c r="K1016" s="34">
        <v>6773050</v>
      </c>
    </row>
    <row r="1017" spans="1:11" hidden="1">
      <c r="A1017" s="29" t="s">
        <v>138</v>
      </c>
      <c r="B1017" s="32">
        <v>39344</v>
      </c>
      <c r="C1017" s="29">
        <v>56.25</v>
      </c>
      <c r="D1017" s="35">
        <v>56.25</v>
      </c>
      <c r="E1017" s="35">
        <v>55.25</v>
      </c>
      <c r="F1017" s="33">
        <v>55.25</v>
      </c>
      <c r="G1017" s="29">
        <v>0</v>
      </c>
      <c r="H1017" s="29">
        <v>-1.25</v>
      </c>
      <c r="I1017" s="35">
        <v>56.5</v>
      </c>
      <c r="J1017" s="34">
        <v>11800</v>
      </c>
      <c r="K1017" s="34">
        <v>661950</v>
      </c>
    </row>
    <row r="1018" spans="1:11" hidden="1">
      <c r="A1018" s="29" t="s">
        <v>138</v>
      </c>
      <c r="B1018" s="32">
        <v>39345</v>
      </c>
      <c r="C1018" s="29">
        <v>55.5</v>
      </c>
      <c r="D1018" s="35">
        <v>55.5</v>
      </c>
      <c r="E1018" s="35">
        <v>55.25</v>
      </c>
      <c r="F1018" s="33">
        <v>55.25</v>
      </c>
      <c r="G1018" s="29">
        <v>0</v>
      </c>
      <c r="H1018" s="29">
        <v>0</v>
      </c>
      <c r="I1018" s="35">
        <v>55.25</v>
      </c>
      <c r="J1018" s="34">
        <v>2000</v>
      </c>
      <c r="K1018" s="34">
        <v>110900</v>
      </c>
    </row>
    <row r="1019" spans="1:11" hidden="1">
      <c r="A1019" s="29" t="s">
        <v>138</v>
      </c>
      <c r="B1019" s="32">
        <v>39346</v>
      </c>
      <c r="C1019" s="29">
        <v>55.5</v>
      </c>
      <c r="D1019" s="35">
        <v>56.25</v>
      </c>
      <c r="E1019" s="35">
        <v>55.25</v>
      </c>
      <c r="F1019" s="33">
        <v>55.5</v>
      </c>
      <c r="G1019" s="29">
        <v>0</v>
      </c>
      <c r="H1019" s="29">
        <v>0.25</v>
      </c>
      <c r="I1019" s="35">
        <v>55.25</v>
      </c>
      <c r="J1019" s="34">
        <v>11400</v>
      </c>
      <c r="K1019" s="34">
        <v>632950</v>
      </c>
    </row>
    <row r="1020" spans="1:11" hidden="1">
      <c r="A1020" s="29" t="s">
        <v>138</v>
      </c>
      <c r="B1020" s="32">
        <v>39349</v>
      </c>
      <c r="C1020" s="29">
        <v>55.5</v>
      </c>
      <c r="D1020" s="35">
        <v>55.5</v>
      </c>
      <c r="E1020" s="35">
        <v>55</v>
      </c>
      <c r="F1020" s="33">
        <v>55.25</v>
      </c>
      <c r="G1020" s="29">
        <v>0</v>
      </c>
      <c r="H1020" s="29">
        <v>-0.25</v>
      </c>
      <c r="I1020" s="35">
        <v>55.5</v>
      </c>
      <c r="J1020" s="34">
        <v>17400</v>
      </c>
      <c r="K1020" s="34">
        <v>963650</v>
      </c>
    </row>
    <row r="1021" spans="1:11" hidden="1">
      <c r="A1021" s="29" t="s">
        <v>138</v>
      </c>
      <c r="B1021" s="32">
        <v>39350</v>
      </c>
      <c r="C1021" s="29">
        <v>55.5</v>
      </c>
      <c r="D1021" s="35">
        <v>55.5</v>
      </c>
      <c r="E1021" s="35">
        <v>55</v>
      </c>
      <c r="F1021" s="33">
        <v>55.25</v>
      </c>
      <c r="G1021" s="29">
        <v>0</v>
      </c>
      <c r="H1021" s="29">
        <v>0</v>
      </c>
      <c r="I1021" s="35">
        <v>55.25</v>
      </c>
      <c r="J1021" s="34">
        <v>6400</v>
      </c>
      <c r="K1021" s="34">
        <v>355125</v>
      </c>
    </row>
    <row r="1022" spans="1:11" hidden="1">
      <c r="A1022" s="29" t="s">
        <v>138</v>
      </c>
      <c r="B1022" s="32">
        <v>39352</v>
      </c>
      <c r="C1022" s="29">
        <v>55.25</v>
      </c>
      <c r="D1022" s="35">
        <v>56.5</v>
      </c>
      <c r="E1022" s="35">
        <v>55</v>
      </c>
      <c r="F1022" s="33">
        <v>56.25</v>
      </c>
      <c r="G1022" s="29">
        <v>0</v>
      </c>
      <c r="H1022" s="29">
        <v>1</v>
      </c>
      <c r="I1022" s="35">
        <v>55.25</v>
      </c>
      <c r="J1022" s="34">
        <v>23400</v>
      </c>
      <c r="K1022" s="34">
        <v>1314525</v>
      </c>
    </row>
    <row r="1023" spans="1:11" hidden="1">
      <c r="A1023" s="29" t="s">
        <v>138</v>
      </c>
      <c r="B1023" s="32">
        <v>39353</v>
      </c>
      <c r="C1023" s="29">
        <v>55</v>
      </c>
      <c r="D1023" s="35">
        <v>56</v>
      </c>
      <c r="E1023" s="35">
        <v>55</v>
      </c>
      <c r="F1023" s="33">
        <v>55.75</v>
      </c>
      <c r="G1023" s="29">
        <v>0</v>
      </c>
      <c r="H1023" s="29">
        <v>-0.5</v>
      </c>
      <c r="I1023" s="35">
        <v>56.25</v>
      </c>
      <c r="J1023" s="34">
        <v>11200</v>
      </c>
      <c r="K1023" s="34">
        <v>618700</v>
      </c>
    </row>
    <row r="1024" spans="1:11" hidden="1">
      <c r="A1024" s="29" t="s">
        <v>138</v>
      </c>
      <c r="B1024" s="32">
        <v>39356</v>
      </c>
      <c r="C1024" s="29">
        <v>56.25</v>
      </c>
      <c r="D1024" s="35">
        <v>56.5</v>
      </c>
      <c r="E1024" s="35">
        <v>56</v>
      </c>
      <c r="F1024" s="33">
        <v>56.5</v>
      </c>
      <c r="G1024" s="29">
        <v>0</v>
      </c>
      <c r="H1024" s="29">
        <v>0.75</v>
      </c>
      <c r="I1024" s="35">
        <v>55.75</v>
      </c>
      <c r="J1024" s="34">
        <v>23000</v>
      </c>
      <c r="K1024" s="34">
        <v>1295350</v>
      </c>
    </row>
    <row r="1025" spans="1:11" hidden="1">
      <c r="A1025" s="29" t="s">
        <v>138</v>
      </c>
      <c r="B1025" s="32">
        <v>39357</v>
      </c>
      <c r="C1025" s="29">
        <v>56.5</v>
      </c>
      <c r="D1025" s="35">
        <v>56.75</v>
      </c>
      <c r="E1025" s="35">
        <v>56.5</v>
      </c>
      <c r="F1025" s="33">
        <v>56.5</v>
      </c>
      <c r="G1025" s="29">
        <v>0</v>
      </c>
      <c r="H1025" s="29">
        <v>0</v>
      </c>
      <c r="I1025" s="35">
        <v>56.5</v>
      </c>
      <c r="J1025" s="34">
        <v>11600</v>
      </c>
      <c r="K1025" s="34">
        <v>656725</v>
      </c>
    </row>
    <row r="1026" spans="1:11" hidden="1">
      <c r="A1026" s="29" t="s">
        <v>138</v>
      </c>
      <c r="B1026" s="32">
        <v>39358</v>
      </c>
      <c r="C1026" s="29">
        <v>56.5</v>
      </c>
      <c r="D1026" s="35">
        <v>57</v>
      </c>
      <c r="E1026" s="35">
        <v>56.5</v>
      </c>
      <c r="F1026" s="33">
        <v>56.75</v>
      </c>
      <c r="G1026" s="29">
        <v>0</v>
      </c>
      <c r="H1026" s="29">
        <v>0.25</v>
      </c>
      <c r="I1026" s="35">
        <v>56.5</v>
      </c>
      <c r="J1026" s="34">
        <v>12000</v>
      </c>
      <c r="K1026" s="34">
        <v>681125</v>
      </c>
    </row>
    <row r="1027" spans="1:11" hidden="1">
      <c r="A1027" s="29" t="s">
        <v>138</v>
      </c>
      <c r="B1027" s="32">
        <v>39359</v>
      </c>
      <c r="C1027" s="29">
        <v>56.75</v>
      </c>
      <c r="D1027" s="35">
        <v>56.75</v>
      </c>
      <c r="E1027" s="35">
        <v>56.5</v>
      </c>
      <c r="F1027" s="33">
        <v>56.5</v>
      </c>
      <c r="G1027" s="29">
        <v>0</v>
      </c>
      <c r="H1027" s="29">
        <v>-0.25</v>
      </c>
      <c r="I1027" s="35">
        <v>56.75</v>
      </c>
      <c r="J1027" s="34">
        <v>13200</v>
      </c>
      <c r="K1027" s="34">
        <v>745950</v>
      </c>
    </row>
    <row r="1028" spans="1:11" hidden="1">
      <c r="A1028" s="29" t="s">
        <v>138</v>
      </c>
      <c r="B1028" s="32">
        <v>39360</v>
      </c>
      <c r="C1028" s="29">
        <v>56</v>
      </c>
      <c r="D1028" s="35">
        <v>56.25</v>
      </c>
      <c r="E1028" s="35">
        <v>56</v>
      </c>
      <c r="F1028" s="33">
        <v>56</v>
      </c>
      <c r="G1028" s="29">
        <v>0</v>
      </c>
      <c r="H1028" s="29">
        <v>-0.5</v>
      </c>
      <c r="I1028" s="35">
        <v>56.5</v>
      </c>
      <c r="J1028" s="34">
        <v>1800</v>
      </c>
      <c r="K1028" s="34">
        <v>101125</v>
      </c>
    </row>
    <row r="1029" spans="1:11" hidden="1">
      <c r="A1029" s="29" t="s">
        <v>138</v>
      </c>
      <c r="B1029" s="32">
        <v>39363</v>
      </c>
      <c r="C1029" s="29">
        <v>56</v>
      </c>
      <c r="D1029" s="35">
        <v>56</v>
      </c>
      <c r="E1029" s="35">
        <v>55.5</v>
      </c>
      <c r="F1029" s="33">
        <v>55.5</v>
      </c>
      <c r="G1029" s="29">
        <v>0</v>
      </c>
      <c r="H1029" s="29">
        <v>-0.5</v>
      </c>
      <c r="I1029" s="35">
        <v>56</v>
      </c>
      <c r="J1029" s="34">
        <v>6600</v>
      </c>
      <c r="K1029" s="34">
        <v>368350</v>
      </c>
    </row>
    <row r="1030" spans="1:11" hidden="1">
      <c r="A1030" s="29" t="s">
        <v>138</v>
      </c>
      <c r="B1030" s="32">
        <v>39364</v>
      </c>
      <c r="C1030" s="29">
        <v>56</v>
      </c>
      <c r="D1030" s="35">
        <v>56</v>
      </c>
      <c r="E1030" s="35">
        <v>55.25</v>
      </c>
      <c r="F1030" s="33">
        <v>55.25</v>
      </c>
      <c r="G1030" s="29">
        <v>0</v>
      </c>
      <c r="H1030" s="29">
        <v>-0.25</v>
      </c>
      <c r="I1030" s="35">
        <v>55.5</v>
      </c>
      <c r="J1030" s="34">
        <v>9400</v>
      </c>
      <c r="K1030" s="34">
        <v>520300</v>
      </c>
    </row>
    <row r="1031" spans="1:11" hidden="1">
      <c r="A1031" s="29" t="s">
        <v>138</v>
      </c>
      <c r="B1031" s="32">
        <v>39365</v>
      </c>
      <c r="C1031" s="29">
        <v>55.25</v>
      </c>
      <c r="D1031" s="35">
        <v>55.25</v>
      </c>
      <c r="E1031" s="35">
        <v>55.25</v>
      </c>
      <c r="F1031" s="33">
        <v>55.25</v>
      </c>
      <c r="G1031" s="29">
        <v>0</v>
      </c>
      <c r="H1031" s="29">
        <v>0</v>
      </c>
      <c r="I1031" s="35">
        <v>55.25</v>
      </c>
      <c r="J1031" s="34">
        <v>14400</v>
      </c>
      <c r="K1031" s="34">
        <v>796150</v>
      </c>
    </row>
    <row r="1032" spans="1:11" hidden="1">
      <c r="A1032" s="29" t="s">
        <v>138</v>
      </c>
      <c r="B1032" s="32">
        <v>39366</v>
      </c>
      <c r="C1032" s="29">
        <v>55</v>
      </c>
      <c r="D1032" s="35">
        <v>55.5</v>
      </c>
      <c r="E1032" s="35">
        <v>54.75</v>
      </c>
      <c r="F1032" s="33">
        <v>55</v>
      </c>
      <c r="G1032" s="29">
        <v>0</v>
      </c>
      <c r="H1032" s="29">
        <v>-0.25</v>
      </c>
      <c r="I1032" s="35">
        <v>55.25</v>
      </c>
      <c r="J1032" s="34">
        <v>19600</v>
      </c>
      <c r="K1032" s="34">
        <v>1083350</v>
      </c>
    </row>
    <row r="1033" spans="1:11" hidden="1">
      <c r="A1033" s="29" t="s">
        <v>138</v>
      </c>
      <c r="B1033" s="32">
        <v>39367</v>
      </c>
      <c r="C1033" s="29">
        <v>55</v>
      </c>
      <c r="D1033" s="35">
        <v>55.5</v>
      </c>
      <c r="E1033" s="35">
        <v>55</v>
      </c>
      <c r="F1033" s="33">
        <v>55</v>
      </c>
      <c r="G1033" s="29">
        <v>0</v>
      </c>
      <c r="H1033" s="29">
        <v>0</v>
      </c>
      <c r="I1033" s="35">
        <v>55</v>
      </c>
      <c r="J1033" s="34">
        <v>6200</v>
      </c>
      <c r="K1033" s="34">
        <v>341100</v>
      </c>
    </row>
    <row r="1034" spans="1:11" hidden="1">
      <c r="A1034" s="29" t="s">
        <v>138</v>
      </c>
      <c r="B1034" s="32">
        <v>39370</v>
      </c>
      <c r="C1034" s="29">
        <v>55.5</v>
      </c>
      <c r="D1034" s="35">
        <v>55.5</v>
      </c>
      <c r="E1034" s="35">
        <v>55</v>
      </c>
      <c r="F1034" s="33">
        <v>55</v>
      </c>
      <c r="G1034" s="29">
        <v>0</v>
      </c>
      <c r="H1034" s="29">
        <v>0</v>
      </c>
      <c r="I1034" s="35">
        <v>55</v>
      </c>
      <c r="J1034" s="34">
        <v>10200</v>
      </c>
      <c r="K1034" s="34">
        <v>563925</v>
      </c>
    </row>
    <row r="1035" spans="1:11" hidden="1">
      <c r="A1035" s="29" t="s">
        <v>138</v>
      </c>
      <c r="B1035" s="32">
        <v>39371</v>
      </c>
      <c r="C1035" s="29">
        <v>55</v>
      </c>
      <c r="D1035" s="35">
        <v>55.5</v>
      </c>
      <c r="E1035" s="35">
        <v>55</v>
      </c>
      <c r="F1035" s="33">
        <v>55.25</v>
      </c>
      <c r="G1035" s="29">
        <v>0</v>
      </c>
      <c r="H1035" s="29">
        <v>0.25</v>
      </c>
      <c r="I1035" s="35">
        <v>55</v>
      </c>
      <c r="J1035" s="34">
        <v>8800</v>
      </c>
      <c r="K1035" s="34">
        <v>486475</v>
      </c>
    </row>
    <row r="1036" spans="1:11" hidden="1">
      <c r="A1036" s="29" t="s">
        <v>138</v>
      </c>
      <c r="B1036" s="32">
        <v>39372</v>
      </c>
      <c r="C1036" s="29">
        <v>55.25</v>
      </c>
      <c r="D1036" s="35">
        <v>55.5</v>
      </c>
      <c r="E1036" s="35">
        <v>55</v>
      </c>
      <c r="F1036" s="33">
        <v>55</v>
      </c>
      <c r="G1036" s="29">
        <v>0</v>
      </c>
      <c r="H1036" s="29">
        <v>-0.25</v>
      </c>
      <c r="I1036" s="35">
        <v>55.25</v>
      </c>
      <c r="J1036" s="34">
        <v>7400</v>
      </c>
      <c r="K1036" s="34">
        <v>408500</v>
      </c>
    </row>
    <row r="1037" spans="1:11" hidden="1">
      <c r="A1037" s="29" t="s">
        <v>138</v>
      </c>
      <c r="B1037" s="32">
        <v>39373</v>
      </c>
      <c r="C1037" s="29">
        <v>55</v>
      </c>
      <c r="D1037" s="35">
        <v>55.25</v>
      </c>
      <c r="E1037" s="35">
        <v>55</v>
      </c>
      <c r="F1037" s="33">
        <v>55</v>
      </c>
      <c r="G1037" s="29">
        <v>0</v>
      </c>
      <c r="H1037" s="29">
        <v>0</v>
      </c>
      <c r="I1037" s="35">
        <v>55</v>
      </c>
      <c r="J1037" s="34">
        <v>70800</v>
      </c>
      <c r="K1037" s="34">
        <v>3895000</v>
      </c>
    </row>
    <row r="1038" spans="1:11" hidden="1">
      <c r="A1038" s="29" t="s">
        <v>138</v>
      </c>
      <c r="B1038" s="32">
        <v>39374</v>
      </c>
      <c r="C1038" s="29">
        <v>55</v>
      </c>
      <c r="D1038" s="35">
        <v>55</v>
      </c>
      <c r="E1038" s="35">
        <v>55</v>
      </c>
      <c r="F1038" s="33">
        <v>55</v>
      </c>
      <c r="G1038" s="29">
        <v>0</v>
      </c>
      <c r="H1038" s="29">
        <v>0</v>
      </c>
      <c r="I1038" s="35">
        <v>55</v>
      </c>
      <c r="J1038" s="34">
        <v>59600</v>
      </c>
      <c r="K1038" s="34">
        <v>3278025</v>
      </c>
    </row>
    <row r="1039" spans="1:11" hidden="1">
      <c r="A1039" s="29" t="s">
        <v>138</v>
      </c>
      <c r="B1039" s="32">
        <v>39377</v>
      </c>
      <c r="C1039" s="29">
        <v>55.5</v>
      </c>
      <c r="D1039" s="35">
        <v>55.5</v>
      </c>
      <c r="E1039" s="35">
        <v>54</v>
      </c>
      <c r="F1039" s="33">
        <v>54.75</v>
      </c>
      <c r="G1039" s="29">
        <v>0</v>
      </c>
      <c r="H1039" s="29">
        <v>-0.25</v>
      </c>
      <c r="I1039" s="35">
        <v>55</v>
      </c>
      <c r="J1039" s="34">
        <v>17000</v>
      </c>
      <c r="K1039" s="34">
        <v>933100</v>
      </c>
    </row>
    <row r="1040" spans="1:11" hidden="1">
      <c r="A1040" s="29" t="s">
        <v>138</v>
      </c>
      <c r="B1040" s="32">
        <v>39378</v>
      </c>
      <c r="C1040" s="29">
        <v>54.5</v>
      </c>
      <c r="D1040" s="35">
        <v>55</v>
      </c>
      <c r="E1040" s="35">
        <v>54.5</v>
      </c>
      <c r="F1040" s="33">
        <v>54.5</v>
      </c>
      <c r="G1040" s="29">
        <v>0</v>
      </c>
      <c r="H1040" s="29">
        <v>-0.25</v>
      </c>
      <c r="I1040" s="35">
        <v>54.75</v>
      </c>
      <c r="J1040" s="34">
        <v>13800</v>
      </c>
      <c r="K1040" s="34">
        <v>757125</v>
      </c>
    </row>
    <row r="1041" spans="1:11" hidden="1">
      <c r="A1041" s="29" t="s">
        <v>138</v>
      </c>
      <c r="B1041" s="32">
        <v>39379</v>
      </c>
      <c r="C1041" s="29">
        <v>55</v>
      </c>
      <c r="D1041" s="35">
        <v>55</v>
      </c>
      <c r="E1041" s="35">
        <v>54.25</v>
      </c>
      <c r="F1041" s="33">
        <v>54.25</v>
      </c>
      <c r="G1041" s="29">
        <v>0</v>
      </c>
      <c r="H1041" s="29">
        <v>-0.25</v>
      </c>
      <c r="I1041" s="35">
        <v>54.5</v>
      </c>
      <c r="J1041" s="34">
        <v>24000</v>
      </c>
      <c r="K1041" s="34">
        <v>1310050</v>
      </c>
    </row>
    <row r="1042" spans="1:11" hidden="1">
      <c r="A1042" s="29" t="s">
        <v>138</v>
      </c>
      <c r="B1042" s="32">
        <v>39381</v>
      </c>
      <c r="C1042" s="29">
        <v>55</v>
      </c>
      <c r="D1042" s="35">
        <v>55</v>
      </c>
      <c r="E1042" s="35">
        <v>54</v>
      </c>
      <c r="F1042" s="33">
        <v>54.5</v>
      </c>
      <c r="G1042" s="29">
        <v>0</v>
      </c>
      <c r="H1042" s="29">
        <v>0.25</v>
      </c>
      <c r="I1042" s="35">
        <v>54.25</v>
      </c>
      <c r="J1042" s="34">
        <v>10600</v>
      </c>
      <c r="K1042" s="34">
        <v>575175</v>
      </c>
    </row>
    <row r="1043" spans="1:11" hidden="1">
      <c r="A1043" s="29" t="s">
        <v>138</v>
      </c>
      <c r="B1043" s="32">
        <v>39384</v>
      </c>
      <c r="C1043" s="29">
        <v>54.5</v>
      </c>
      <c r="D1043" s="35">
        <v>54.5</v>
      </c>
      <c r="E1043" s="35">
        <v>54.5</v>
      </c>
      <c r="F1043" s="33">
        <v>54.5</v>
      </c>
      <c r="G1043" s="29">
        <v>0</v>
      </c>
      <c r="H1043" s="29">
        <v>0</v>
      </c>
      <c r="I1043" s="35">
        <v>54.5</v>
      </c>
      <c r="J1043" s="34">
        <v>48200</v>
      </c>
      <c r="K1043" s="34">
        <v>2626900</v>
      </c>
    </row>
    <row r="1044" spans="1:11" hidden="1">
      <c r="A1044" s="29" t="s">
        <v>138</v>
      </c>
      <c r="B1044" s="32">
        <v>39385</v>
      </c>
      <c r="C1044" s="29">
        <v>54.5</v>
      </c>
      <c r="D1044" s="35">
        <v>54.5</v>
      </c>
      <c r="E1044" s="35">
        <v>54.25</v>
      </c>
      <c r="F1044" s="33">
        <v>54.25</v>
      </c>
      <c r="G1044" s="29">
        <v>0</v>
      </c>
      <c r="H1044" s="29">
        <v>-0.25</v>
      </c>
      <c r="I1044" s="35">
        <v>54.5</v>
      </c>
      <c r="J1044" s="34">
        <v>12400</v>
      </c>
      <c r="K1044" s="34">
        <v>675675</v>
      </c>
    </row>
    <row r="1045" spans="1:11" hidden="1">
      <c r="A1045" s="29" t="s">
        <v>138</v>
      </c>
      <c r="B1045" s="32">
        <v>39386</v>
      </c>
      <c r="C1045" s="29">
        <v>54.5</v>
      </c>
      <c r="D1045" s="35">
        <v>57.25</v>
      </c>
      <c r="E1045" s="35">
        <v>54.25</v>
      </c>
      <c r="F1045" s="33">
        <v>55.25</v>
      </c>
      <c r="G1045" s="29">
        <v>0</v>
      </c>
      <c r="H1045" s="29">
        <v>1</v>
      </c>
      <c r="I1045" s="35">
        <v>54.25</v>
      </c>
      <c r="J1045" s="34">
        <v>17400</v>
      </c>
      <c r="K1045" s="34">
        <v>957100</v>
      </c>
    </row>
    <row r="1046" spans="1:11" hidden="1">
      <c r="A1046" s="29" t="s">
        <v>138</v>
      </c>
      <c r="B1046" s="32">
        <v>39387</v>
      </c>
      <c r="C1046" s="29">
        <v>55.25</v>
      </c>
      <c r="D1046" s="35">
        <v>55.5</v>
      </c>
      <c r="E1046" s="35">
        <v>55</v>
      </c>
      <c r="F1046" s="33">
        <v>55.25</v>
      </c>
      <c r="G1046" s="29">
        <v>0</v>
      </c>
      <c r="H1046" s="29">
        <v>0</v>
      </c>
      <c r="I1046" s="35">
        <v>55.25</v>
      </c>
      <c r="J1046" s="34">
        <v>4600</v>
      </c>
      <c r="K1046" s="34">
        <v>254875</v>
      </c>
    </row>
    <row r="1047" spans="1:11" hidden="1">
      <c r="A1047" s="29" t="s">
        <v>138</v>
      </c>
      <c r="B1047" s="32">
        <v>39388</v>
      </c>
      <c r="C1047" s="29">
        <v>55</v>
      </c>
      <c r="D1047" s="35">
        <v>55.5</v>
      </c>
      <c r="E1047" s="35">
        <v>55</v>
      </c>
      <c r="F1047" s="33">
        <v>55.5</v>
      </c>
      <c r="G1047" s="29">
        <v>0</v>
      </c>
      <c r="H1047" s="29">
        <v>0.25</v>
      </c>
      <c r="I1047" s="35">
        <v>55.25</v>
      </c>
      <c r="J1047" s="34">
        <v>12600</v>
      </c>
      <c r="K1047" s="34">
        <v>698000</v>
      </c>
    </row>
    <row r="1048" spans="1:11" hidden="1">
      <c r="A1048" s="29" t="s">
        <v>138</v>
      </c>
      <c r="B1048" s="32">
        <v>39391</v>
      </c>
      <c r="C1048" s="29">
        <v>55.5</v>
      </c>
      <c r="D1048" s="35">
        <v>55.5</v>
      </c>
      <c r="E1048" s="35">
        <v>55</v>
      </c>
      <c r="F1048" s="33">
        <v>55</v>
      </c>
      <c r="G1048" s="29">
        <v>0</v>
      </c>
      <c r="H1048" s="29">
        <v>-0.5</v>
      </c>
      <c r="I1048" s="35">
        <v>55.5</v>
      </c>
      <c r="J1048" s="34">
        <v>31800</v>
      </c>
      <c r="K1048" s="34">
        <v>1752100</v>
      </c>
    </row>
    <row r="1049" spans="1:11" hidden="1">
      <c r="A1049" s="29" t="s">
        <v>138</v>
      </c>
      <c r="B1049" s="32">
        <v>39392</v>
      </c>
      <c r="C1049" s="29">
        <v>55.5</v>
      </c>
      <c r="D1049" s="35">
        <v>55.5</v>
      </c>
      <c r="E1049" s="35">
        <v>54.5</v>
      </c>
      <c r="F1049" s="33">
        <v>54.5</v>
      </c>
      <c r="G1049" s="29">
        <v>0</v>
      </c>
      <c r="H1049" s="29">
        <v>-0.5</v>
      </c>
      <c r="I1049" s="35">
        <v>55</v>
      </c>
      <c r="J1049" s="34">
        <v>5800</v>
      </c>
      <c r="K1049" s="34">
        <v>316825</v>
      </c>
    </row>
    <row r="1050" spans="1:11" hidden="1">
      <c r="A1050" s="29" t="s">
        <v>138</v>
      </c>
      <c r="B1050" s="32">
        <v>39393</v>
      </c>
      <c r="C1050" s="29">
        <v>54.5</v>
      </c>
      <c r="D1050" s="35">
        <v>54.5</v>
      </c>
      <c r="E1050" s="35">
        <v>54.5</v>
      </c>
      <c r="F1050" s="33">
        <v>54.5</v>
      </c>
      <c r="G1050" s="29">
        <v>0</v>
      </c>
      <c r="H1050" s="29">
        <v>0</v>
      </c>
      <c r="I1050" s="35">
        <v>54.5</v>
      </c>
      <c r="J1050" s="34">
        <v>20000</v>
      </c>
      <c r="K1050" s="34">
        <v>1092500</v>
      </c>
    </row>
    <row r="1051" spans="1:11" hidden="1">
      <c r="A1051" s="29" t="s">
        <v>138</v>
      </c>
      <c r="B1051" s="32">
        <v>39395</v>
      </c>
      <c r="C1051" s="29">
        <v>55</v>
      </c>
      <c r="D1051" s="35">
        <v>55.5</v>
      </c>
      <c r="E1051" s="35">
        <v>55</v>
      </c>
      <c r="F1051" s="33">
        <v>55</v>
      </c>
      <c r="G1051" s="29">
        <v>0</v>
      </c>
      <c r="H1051" s="29">
        <v>0.5</v>
      </c>
      <c r="I1051" s="35">
        <v>54.5</v>
      </c>
      <c r="J1051" s="34">
        <v>53600</v>
      </c>
      <c r="K1051" s="34">
        <v>2948400</v>
      </c>
    </row>
    <row r="1052" spans="1:11" hidden="1">
      <c r="A1052" s="29" t="s">
        <v>138</v>
      </c>
      <c r="B1052" s="32">
        <v>39398</v>
      </c>
      <c r="C1052" s="29">
        <v>55</v>
      </c>
      <c r="D1052" s="35">
        <v>55</v>
      </c>
      <c r="E1052" s="35">
        <v>55</v>
      </c>
      <c r="F1052" s="33">
        <v>55</v>
      </c>
      <c r="G1052" s="29">
        <v>0</v>
      </c>
      <c r="H1052" s="29">
        <v>0</v>
      </c>
      <c r="I1052" s="35">
        <v>55</v>
      </c>
      <c r="J1052" s="34">
        <v>7200</v>
      </c>
      <c r="K1052" s="34">
        <v>396000</v>
      </c>
    </row>
    <row r="1053" spans="1:11" hidden="1">
      <c r="A1053" s="29" t="s">
        <v>138</v>
      </c>
      <c r="B1053" s="32">
        <v>39399</v>
      </c>
      <c r="C1053" s="29">
        <v>55</v>
      </c>
      <c r="D1053" s="35">
        <v>55</v>
      </c>
      <c r="E1053" s="35">
        <v>55</v>
      </c>
      <c r="F1053" s="33">
        <v>55</v>
      </c>
      <c r="G1053" s="29">
        <v>0</v>
      </c>
      <c r="H1053" s="29">
        <v>0</v>
      </c>
      <c r="I1053" s="35">
        <v>55</v>
      </c>
      <c r="J1053" s="34">
        <v>800</v>
      </c>
      <c r="K1053" s="34">
        <v>44000</v>
      </c>
    </row>
    <row r="1054" spans="1:11" hidden="1">
      <c r="A1054" s="29" t="s">
        <v>138</v>
      </c>
      <c r="B1054" s="32">
        <v>39400</v>
      </c>
      <c r="C1054" s="29">
        <v>54.5</v>
      </c>
      <c r="D1054" s="35">
        <v>54.5</v>
      </c>
      <c r="E1054" s="35">
        <v>53</v>
      </c>
      <c r="F1054" s="33">
        <v>53.5</v>
      </c>
      <c r="G1054" s="29">
        <v>0</v>
      </c>
      <c r="H1054" s="29">
        <v>-1.5</v>
      </c>
      <c r="I1054" s="35">
        <v>55</v>
      </c>
      <c r="J1054" s="34">
        <v>13600</v>
      </c>
      <c r="K1054" s="34">
        <v>729925</v>
      </c>
    </row>
    <row r="1055" spans="1:11" hidden="1">
      <c r="A1055" s="29" t="s">
        <v>138</v>
      </c>
      <c r="B1055" s="32">
        <v>39401</v>
      </c>
      <c r="C1055" s="29">
        <v>54.25</v>
      </c>
      <c r="D1055" s="35">
        <v>55</v>
      </c>
      <c r="E1055" s="35">
        <v>54.25</v>
      </c>
      <c r="F1055" s="33">
        <v>54.75</v>
      </c>
      <c r="G1055" s="29">
        <v>0</v>
      </c>
      <c r="H1055" s="29">
        <v>1.25</v>
      </c>
      <c r="I1055" s="35">
        <v>53.5</v>
      </c>
      <c r="J1055" s="34">
        <v>3000</v>
      </c>
      <c r="K1055" s="34">
        <v>164450</v>
      </c>
    </row>
    <row r="1056" spans="1:11" hidden="1">
      <c r="A1056" s="29" t="s">
        <v>138</v>
      </c>
      <c r="B1056" s="32">
        <v>39402</v>
      </c>
      <c r="C1056" s="29">
        <v>54.5</v>
      </c>
      <c r="D1056" s="35">
        <v>54.5</v>
      </c>
      <c r="E1056" s="35">
        <v>53.5</v>
      </c>
      <c r="F1056" s="33">
        <v>53.5</v>
      </c>
      <c r="G1056" s="29">
        <v>0</v>
      </c>
      <c r="H1056" s="29">
        <v>-1.25</v>
      </c>
      <c r="I1056" s="35">
        <v>54.75</v>
      </c>
      <c r="J1056" s="34">
        <v>4200</v>
      </c>
      <c r="K1056" s="34">
        <v>225900</v>
      </c>
    </row>
    <row r="1057" spans="1:11" hidden="1">
      <c r="A1057" s="29" t="s">
        <v>138</v>
      </c>
      <c r="B1057" s="32">
        <v>39405</v>
      </c>
      <c r="C1057" s="29">
        <v>54</v>
      </c>
      <c r="D1057" s="35">
        <v>54</v>
      </c>
      <c r="E1057" s="35">
        <v>54</v>
      </c>
      <c r="F1057" s="33">
        <v>54</v>
      </c>
      <c r="G1057" s="29">
        <v>0</v>
      </c>
      <c r="H1057" s="29">
        <v>0.5</v>
      </c>
      <c r="I1057" s="35">
        <v>53.5</v>
      </c>
      <c r="J1057" s="34">
        <v>200</v>
      </c>
      <c r="K1057" s="34">
        <v>10800</v>
      </c>
    </row>
    <row r="1058" spans="1:11" hidden="1">
      <c r="A1058" s="29" t="s">
        <v>138</v>
      </c>
      <c r="B1058" s="32">
        <v>39406</v>
      </c>
      <c r="C1058" s="29">
        <v>53.5</v>
      </c>
      <c r="D1058" s="35">
        <v>53.5</v>
      </c>
      <c r="E1058" s="35">
        <v>53</v>
      </c>
      <c r="F1058" s="33">
        <v>53</v>
      </c>
      <c r="G1058" s="29">
        <v>0</v>
      </c>
      <c r="H1058" s="29">
        <v>-1</v>
      </c>
      <c r="I1058" s="35">
        <v>54</v>
      </c>
      <c r="J1058" s="34">
        <v>3400</v>
      </c>
      <c r="K1058" s="34">
        <v>180400</v>
      </c>
    </row>
    <row r="1059" spans="1:11" hidden="1">
      <c r="A1059" s="29" t="s">
        <v>138</v>
      </c>
      <c r="B1059" s="32">
        <v>39407</v>
      </c>
      <c r="C1059" s="29">
        <v>52.75</v>
      </c>
      <c r="D1059" s="35">
        <v>53.25</v>
      </c>
      <c r="E1059" s="35">
        <v>52.75</v>
      </c>
      <c r="F1059" s="33">
        <v>53</v>
      </c>
      <c r="G1059" s="29">
        <v>0</v>
      </c>
      <c r="H1059" s="29">
        <v>0</v>
      </c>
      <c r="I1059" s="35">
        <v>53</v>
      </c>
      <c r="J1059" s="34">
        <v>400</v>
      </c>
      <c r="K1059" s="34">
        <v>21250</v>
      </c>
    </row>
    <row r="1060" spans="1:11" hidden="1">
      <c r="A1060" s="29" t="s">
        <v>138</v>
      </c>
      <c r="B1060" s="32">
        <v>39408</v>
      </c>
      <c r="C1060" s="29">
        <v>53.5</v>
      </c>
      <c r="D1060" s="35">
        <v>53.5</v>
      </c>
      <c r="E1060" s="35">
        <v>53</v>
      </c>
      <c r="F1060" s="33">
        <v>53</v>
      </c>
      <c r="G1060" s="29">
        <v>0</v>
      </c>
      <c r="H1060" s="29">
        <v>0</v>
      </c>
      <c r="I1060" s="35">
        <v>53</v>
      </c>
      <c r="J1060" s="34">
        <v>5000</v>
      </c>
      <c r="K1060" s="34">
        <v>265125</v>
      </c>
    </row>
    <row r="1061" spans="1:11" hidden="1">
      <c r="A1061" s="29" t="s">
        <v>138</v>
      </c>
      <c r="B1061" s="32">
        <v>39409</v>
      </c>
      <c r="C1061" s="29">
        <v>53</v>
      </c>
      <c r="D1061" s="35">
        <v>53</v>
      </c>
      <c r="E1061" s="35">
        <v>51.5</v>
      </c>
      <c r="F1061" s="33">
        <v>51.5</v>
      </c>
      <c r="G1061" s="29">
        <v>0</v>
      </c>
      <c r="H1061" s="29">
        <v>-1.5</v>
      </c>
      <c r="I1061" s="35">
        <v>53</v>
      </c>
      <c r="J1061" s="34">
        <v>53200</v>
      </c>
      <c r="K1061" s="34">
        <v>2790300</v>
      </c>
    </row>
    <row r="1062" spans="1:11" hidden="1">
      <c r="A1062" s="29" t="s">
        <v>138</v>
      </c>
      <c r="B1062" s="32">
        <v>39412</v>
      </c>
      <c r="C1062" s="29">
        <v>51.5</v>
      </c>
      <c r="D1062" s="35">
        <v>51.5</v>
      </c>
      <c r="E1062" s="35">
        <v>49.5</v>
      </c>
      <c r="F1062" s="33">
        <v>49.5</v>
      </c>
      <c r="G1062" s="29">
        <v>0</v>
      </c>
      <c r="H1062" s="29">
        <v>-2</v>
      </c>
      <c r="I1062" s="35">
        <v>51.5</v>
      </c>
      <c r="J1062" s="34">
        <v>40000</v>
      </c>
      <c r="K1062" s="34">
        <v>1990825</v>
      </c>
    </row>
    <row r="1063" spans="1:11" hidden="1">
      <c r="A1063" s="29" t="s">
        <v>138</v>
      </c>
      <c r="B1063" s="32">
        <v>39413</v>
      </c>
      <c r="C1063" s="29">
        <v>49.5</v>
      </c>
      <c r="D1063" s="35">
        <v>50</v>
      </c>
      <c r="E1063" s="35">
        <v>49.5</v>
      </c>
      <c r="F1063" s="33">
        <v>49.5</v>
      </c>
      <c r="G1063" s="29">
        <v>0</v>
      </c>
      <c r="H1063" s="29">
        <v>0</v>
      </c>
      <c r="I1063" s="35">
        <v>49.5</v>
      </c>
      <c r="J1063" s="34">
        <v>5800</v>
      </c>
      <c r="K1063" s="34">
        <v>288800</v>
      </c>
    </row>
    <row r="1064" spans="1:11" hidden="1">
      <c r="A1064" s="29" t="s">
        <v>138</v>
      </c>
      <c r="B1064" s="32">
        <v>39414</v>
      </c>
      <c r="C1064" s="29">
        <v>49.5</v>
      </c>
      <c r="D1064" s="35">
        <v>49.5</v>
      </c>
      <c r="E1064" s="35">
        <v>49.25</v>
      </c>
      <c r="F1064" s="33">
        <v>49.25</v>
      </c>
      <c r="G1064" s="29">
        <v>0</v>
      </c>
      <c r="H1064" s="29">
        <v>-0.25</v>
      </c>
      <c r="I1064" s="35">
        <v>49.5</v>
      </c>
      <c r="J1064" s="34">
        <v>5600</v>
      </c>
      <c r="K1064" s="34">
        <v>276375</v>
      </c>
    </row>
    <row r="1065" spans="1:11" hidden="1">
      <c r="A1065" s="29" t="s">
        <v>138</v>
      </c>
      <c r="B1065" s="32">
        <v>39415</v>
      </c>
      <c r="C1065" s="29">
        <v>49</v>
      </c>
      <c r="D1065" s="35">
        <v>50</v>
      </c>
      <c r="E1065" s="35">
        <v>49</v>
      </c>
      <c r="F1065" s="33">
        <v>49.25</v>
      </c>
      <c r="G1065" s="29">
        <v>0</v>
      </c>
      <c r="H1065" s="29">
        <v>0</v>
      </c>
      <c r="I1065" s="35">
        <v>49.25</v>
      </c>
      <c r="J1065" s="34">
        <v>10200</v>
      </c>
      <c r="K1065" s="34">
        <v>503525</v>
      </c>
    </row>
    <row r="1066" spans="1:11" hidden="1">
      <c r="A1066" s="29" t="s">
        <v>138</v>
      </c>
      <c r="B1066" s="32">
        <v>39416</v>
      </c>
      <c r="C1066" s="29">
        <v>49.25</v>
      </c>
      <c r="D1066" s="35">
        <v>49.25</v>
      </c>
      <c r="E1066" s="35">
        <v>49</v>
      </c>
      <c r="F1066" s="33">
        <v>49.25</v>
      </c>
      <c r="G1066" s="29">
        <v>0</v>
      </c>
      <c r="H1066" s="29">
        <v>0</v>
      </c>
      <c r="I1066" s="35">
        <v>49.25</v>
      </c>
      <c r="J1066" s="34">
        <v>1200</v>
      </c>
      <c r="K1066" s="34">
        <v>59050</v>
      </c>
    </row>
    <row r="1067" spans="1:11" hidden="1">
      <c r="A1067" s="29" t="s">
        <v>138</v>
      </c>
      <c r="B1067" s="32">
        <v>39419</v>
      </c>
      <c r="C1067" s="29">
        <v>48.5</v>
      </c>
      <c r="D1067" s="35">
        <v>49.75</v>
      </c>
      <c r="E1067" s="35">
        <v>48.5</v>
      </c>
      <c r="F1067" s="33">
        <v>48.5</v>
      </c>
      <c r="G1067" s="29">
        <v>0</v>
      </c>
      <c r="H1067" s="29">
        <v>-0.75</v>
      </c>
      <c r="I1067" s="35">
        <v>49.25</v>
      </c>
      <c r="J1067" s="34">
        <v>10400</v>
      </c>
      <c r="K1067" s="34">
        <v>509225</v>
      </c>
    </row>
    <row r="1068" spans="1:11" hidden="1">
      <c r="A1068" s="29" t="s">
        <v>138</v>
      </c>
      <c r="B1068" s="32">
        <v>39420</v>
      </c>
      <c r="C1068" s="29">
        <v>48.5</v>
      </c>
      <c r="D1068" s="35">
        <v>49.5</v>
      </c>
      <c r="E1068" s="35">
        <v>48.5</v>
      </c>
      <c r="F1068" s="33">
        <v>48.75</v>
      </c>
      <c r="G1068" s="29">
        <v>0</v>
      </c>
      <c r="H1068" s="29">
        <v>0.25</v>
      </c>
      <c r="I1068" s="35">
        <v>48.5</v>
      </c>
      <c r="J1068" s="34">
        <v>7200</v>
      </c>
      <c r="K1068" s="34">
        <v>351025</v>
      </c>
    </row>
    <row r="1069" spans="1:11" hidden="1">
      <c r="A1069" s="29" t="s">
        <v>138</v>
      </c>
      <c r="B1069" s="32">
        <v>39421</v>
      </c>
      <c r="C1069" s="29">
        <v>48.5</v>
      </c>
      <c r="D1069" s="35">
        <v>48.5</v>
      </c>
      <c r="E1069" s="35">
        <v>47.5</v>
      </c>
      <c r="F1069" s="33">
        <v>47.75</v>
      </c>
      <c r="G1069" s="29">
        <v>0</v>
      </c>
      <c r="H1069" s="29">
        <v>-1</v>
      </c>
      <c r="I1069" s="35">
        <v>48.75</v>
      </c>
      <c r="J1069" s="34">
        <v>68200</v>
      </c>
      <c r="K1069" s="34">
        <v>3255125</v>
      </c>
    </row>
    <row r="1070" spans="1:11" hidden="1">
      <c r="A1070" s="29" t="s">
        <v>138</v>
      </c>
      <c r="B1070" s="32">
        <v>39422</v>
      </c>
      <c r="C1070" s="29">
        <v>47</v>
      </c>
      <c r="D1070" s="35">
        <v>48</v>
      </c>
      <c r="E1070" s="35">
        <v>47</v>
      </c>
      <c r="F1070" s="33">
        <v>47.5</v>
      </c>
      <c r="G1070" s="29">
        <v>0</v>
      </c>
      <c r="H1070" s="29">
        <v>-0.25</v>
      </c>
      <c r="I1070" s="35">
        <v>47.75</v>
      </c>
      <c r="J1070" s="34">
        <v>17400</v>
      </c>
      <c r="K1070" s="34">
        <v>828300</v>
      </c>
    </row>
    <row r="1071" spans="1:11" hidden="1">
      <c r="A1071" s="29" t="s">
        <v>138</v>
      </c>
      <c r="B1071" s="32">
        <v>39423</v>
      </c>
      <c r="C1071" s="29">
        <v>48</v>
      </c>
      <c r="D1071" s="35">
        <v>48</v>
      </c>
      <c r="E1071" s="35">
        <v>47.5</v>
      </c>
      <c r="F1071" s="33">
        <v>47.5</v>
      </c>
      <c r="G1071" s="29">
        <v>0</v>
      </c>
      <c r="H1071" s="29">
        <v>0</v>
      </c>
      <c r="I1071" s="35">
        <v>47.5</v>
      </c>
      <c r="J1071" s="34">
        <v>9400</v>
      </c>
      <c r="K1071" s="34">
        <v>446975</v>
      </c>
    </row>
    <row r="1072" spans="1:11" hidden="1">
      <c r="A1072" s="29" t="s">
        <v>138</v>
      </c>
      <c r="B1072" s="32">
        <v>39426</v>
      </c>
      <c r="C1072" s="29">
        <v>47.25</v>
      </c>
      <c r="D1072" s="35">
        <v>48.25</v>
      </c>
      <c r="E1072" s="35">
        <v>47.25</v>
      </c>
      <c r="F1072" s="33">
        <v>47.5</v>
      </c>
      <c r="G1072" s="29">
        <v>0</v>
      </c>
      <c r="H1072" s="29">
        <v>0</v>
      </c>
      <c r="I1072" s="35">
        <v>47.5</v>
      </c>
      <c r="J1072" s="34">
        <v>6600</v>
      </c>
      <c r="K1072" s="34">
        <v>313750</v>
      </c>
    </row>
    <row r="1073" spans="1:11" hidden="1">
      <c r="A1073" s="29" t="s">
        <v>138</v>
      </c>
      <c r="B1073" s="32">
        <v>39427</v>
      </c>
      <c r="C1073" s="29">
        <v>47.5</v>
      </c>
      <c r="D1073" s="35">
        <v>48</v>
      </c>
      <c r="E1073" s="35">
        <v>47.5</v>
      </c>
      <c r="F1073" s="33">
        <v>47.75</v>
      </c>
      <c r="G1073" s="29">
        <v>0</v>
      </c>
      <c r="H1073" s="29">
        <v>0.25</v>
      </c>
      <c r="I1073" s="35">
        <v>47.5</v>
      </c>
      <c r="J1073" s="34">
        <v>4200</v>
      </c>
      <c r="K1073" s="34">
        <v>199975</v>
      </c>
    </row>
    <row r="1074" spans="1:11" hidden="1">
      <c r="A1074" s="29" t="s">
        <v>138</v>
      </c>
      <c r="B1074" s="32">
        <v>39428</v>
      </c>
      <c r="C1074" s="29">
        <v>47.5</v>
      </c>
      <c r="D1074" s="35">
        <v>48</v>
      </c>
      <c r="E1074" s="35">
        <v>47.5</v>
      </c>
      <c r="F1074" s="33">
        <v>48</v>
      </c>
      <c r="G1074" s="29">
        <v>0</v>
      </c>
      <c r="H1074" s="29">
        <v>0.25</v>
      </c>
      <c r="I1074" s="35">
        <v>47.75</v>
      </c>
      <c r="J1074" s="34">
        <v>15000</v>
      </c>
      <c r="K1074" s="34">
        <v>714200</v>
      </c>
    </row>
    <row r="1075" spans="1:11" hidden="1">
      <c r="A1075" s="29" t="s">
        <v>138</v>
      </c>
      <c r="B1075" s="32">
        <v>39429</v>
      </c>
      <c r="C1075" s="29">
        <v>47.75</v>
      </c>
      <c r="D1075" s="35">
        <v>50.75</v>
      </c>
      <c r="E1075" s="35">
        <v>46.5</v>
      </c>
      <c r="F1075" s="33">
        <v>47.5</v>
      </c>
      <c r="G1075" s="29">
        <v>0</v>
      </c>
      <c r="H1075" s="29">
        <v>-0.5</v>
      </c>
      <c r="I1075" s="35">
        <v>48</v>
      </c>
      <c r="J1075" s="34">
        <v>30800</v>
      </c>
      <c r="K1075" s="34">
        <v>1464875</v>
      </c>
    </row>
    <row r="1076" spans="1:11" hidden="1">
      <c r="A1076" s="29" t="s">
        <v>138</v>
      </c>
      <c r="B1076" s="32">
        <v>39430</v>
      </c>
      <c r="C1076" s="29">
        <v>46.75</v>
      </c>
      <c r="D1076" s="35">
        <v>47.25</v>
      </c>
      <c r="E1076" s="35">
        <v>46.75</v>
      </c>
      <c r="F1076" s="33">
        <v>46.75</v>
      </c>
      <c r="G1076" s="29">
        <v>0</v>
      </c>
      <c r="H1076" s="29">
        <v>-0.75</v>
      </c>
      <c r="I1076" s="35">
        <v>47.5</v>
      </c>
      <c r="J1076" s="34">
        <v>103400</v>
      </c>
      <c r="K1076" s="34">
        <v>4834425</v>
      </c>
    </row>
    <row r="1077" spans="1:11" hidden="1">
      <c r="A1077" s="29" t="s">
        <v>138</v>
      </c>
      <c r="B1077" s="32">
        <v>39433</v>
      </c>
      <c r="C1077" s="29">
        <v>46.75</v>
      </c>
      <c r="D1077" s="35">
        <v>49.75</v>
      </c>
      <c r="E1077" s="35">
        <v>46.5</v>
      </c>
      <c r="F1077" s="33">
        <v>46.5</v>
      </c>
      <c r="G1077" s="29">
        <v>0</v>
      </c>
      <c r="H1077" s="29">
        <v>-0.25</v>
      </c>
      <c r="I1077" s="35">
        <v>46.75</v>
      </c>
      <c r="J1077" s="34">
        <v>16800</v>
      </c>
      <c r="K1077" s="34">
        <v>799400</v>
      </c>
    </row>
    <row r="1078" spans="1:11" hidden="1">
      <c r="A1078" s="29" t="s">
        <v>138</v>
      </c>
      <c r="B1078" s="32">
        <v>39434</v>
      </c>
      <c r="C1078" s="29">
        <v>47</v>
      </c>
      <c r="D1078" s="35">
        <v>47</v>
      </c>
      <c r="E1078" s="35">
        <v>46</v>
      </c>
      <c r="F1078" s="33">
        <v>46.25</v>
      </c>
      <c r="G1078" s="29">
        <v>0</v>
      </c>
      <c r="H1078" s="29">
        <v>-0.25</v>
      </c>
      <c r="I1078" s="35">
        <v>46.5</v>
      </c>
      <c r="J1078" s="34">
        <v>39800</v>
      </c>
      <c r="K1078" s="34">
        <v>1837175</v>
      </c>
    </row>
    <row r="1079" spans="1:11" hidden="1">
      <c r="A1079" s="29" t="s">
        <v>138</v>
      </c>
      <c r="B1079" s="32">
        <v>39435</v>
      </c>
      <c r="C1079" s="29">
        <v>46.75</v>
      </c>
      <c r="D1079" s="35">
        <v>46.75</v>
      </c>
      <c r="E1079" s="35">
        <v>45.5</v>
      </c>
      <c r="F1079" s="33">
        <v>45.5</v>
      </c>
      <c r="G1079" s="29">
        <v>0</v>
      </c>
      <c r="H1079" s="29">
        <v>-0.75</v>
      </c>
      <c r="I1079" s="35">
        <v>46.25</v>
      </c>
      <c r="J1079" s="34">
        <v>28600</v>
      </c>
      <c r="K1079" s="34">
        <v>1314525</v>
      </c>
    </row>
    <row r="1080" spans="1:11" hidden="1">
      <c r="A1080" s="29" t="s">
        <v>138</v>
      </c>
      <c r="B1080" s="32">
        <v>39436</v>
      </c>
      <c r="C1080" s="29">
        <v>45.5</v>
      </c>
      <c r="D1080" s="35">
        <v>46</v>
      </c>
      <c r="E1080" s="35">
        <v>45.25</v>
      </c>
      <c r="F1080" s="33">
        <v>45.25</v>
      </c>
      <c r="G1080" s="29">
        <v>0</v>
      </c>
      <c r="H1080" s="29">
        <v>-0.25</v>
      </c>
      <c r="I1080" s="35">
        <v>45.5</v>
      </c>
      <c r="J1080" s="34">
        <v>32800</v>
      </c>
      <c r="K1080" s="34">
        <v>1493250</v>
      </c>
    </row>
    <row r="1081" spans="1:11" hidden="1">
      <c r="A1081" s="29" t="s">
        <v>138</v>
      </c>
      <c r="B1081" s="32">
        <v>39440</v>
      </c>
      <c r="C1081" s="29">
        <v>46.5</v>
      </c>
      <c r="D1081" s="35">
        <v>46.5</v>
      </c>
      <c r="E1081" s="35">
        <v>46.25</v>
      </c>
      <c r="F1081" s="33">
        <v>46.25</v>
      </c>
      <c r="G1081" s="29">
        <v>0</v>
      </c>
      <c r="H1081" s="29">
        <v>1</v>
      </c>
      <c r="I1081" s="35">
        <v>45.25</v>
      </c>
      <c r="J1081" s="34">
        <v>17800</v>
      </c>
      <c r="K1081" s="34">
        <v>824850</v>
      </c>
    </row>
    <row r="1082" spans="1:11" hidden="1">
      <c r="A1082" s="29" t="s">
        <v>138</v>
      </c>
      <c r="B1082" s="32">
        <v>39442</v>
      </c>
      <c r="C1082" s="29">
        <v>46.25</v>
      </c>
      <c r="D1082" s="35">
        <v>46.25</v>
      </c>
      <c r="E1082" s="35">
        <v>45.25</v>
      </c>
      <c r="F1082" s="33">
        <v>45.5</v>
      </c>
      <c r="G1082" s="29">
        <v>0</v>
      </c>
      <c r="H1082" s="29">
        <v>-0.75</v>
      </c>
      <c r="I1082" s="35">
        <v>46.25</v>
      </c>
      <c r="J1082" s="34">
        <v>8000</v>
      </c>
      <c r="K1082" s="34">
        <v>365350</v>
      </c>
    </row>
    <row r="1083" spans="1:11" hidden="1">
      <c r="A1083" s="29" t="s">
        <v>138</v>
      </c>
      <c r="B1083" s="32">
        <v>39443</v>
      </c>
      <c r="C1083" s="29">
        <v>45.25</v>
      </c>
      <c r="D1083" s="35">
        <v>47</v>
      </c>
      <c r="E1083" s="35">
        <v>45</v>
      </c>
      <c r="F1083" s="33">
        <v>46.5</v>
      </c>
      <c r="G1083" s="29">
        <v>0</v>
      </c>
      <c r="H1083" s="29">
        <v>1</v>
      </c>
      <c r="I1083" s="35">
        <v>45.5</v>
      </c>
      <c r="J1083" s="34">
        <v>43600</v>
      </c>
      <c r="K1083" s="34">
        <v>1968000</v>
      </c>
    </row>
    <row r="1084" spans="1:11" hidden="1">
      <c r="A1084" s="29" t="s">
        <v>138</v>
      </c>
      <c r="B1084" s="32">
        <v>39444</v>
      </c>
      <c r="C1084" s="29">
        <v>46</v>
      </c>
      <c r="D1084" s="35">
        <v>47.5</v>
      </c>
      <c r="E1084" s="35">
        <v>46</v>
      </c>
      <c r="F1084" s="33">
        <v>47.25</v>
      </c>
      <c r="G1084" s="29">
        <v>0</v>
      </c>
      <c r="H1084" s="29">
        <v>0.75</v>
      </c>
      <c r="I1084" s="35">
        <v>46.5</v>
      </c>
      <c r="J1084" s="34">
        <v>2800</v>
      </c>
      <c r="K1084" s="34">
        <v>129775</v>
      </c>
    </row>
    <row r="1085" spans="1:11" hidden="1">
      <c r="A1085" s="29" t="s">
        <v>138</v>
      </c>
      <c r="B1085" s="32">
        <v>39447</v>
      </c>
      <c r="C1085" s="29">
        <v>48.25</v>
      </c>
      <c r="D1085" s="35">
        <v>48.25</v>
      </c>
      <c r="E1085" s="35">
        <v>46.25</v>
      </c>
      <c r="F1085" s="33">
        <v>47.25</v>
      </c>
      <c r="G1085" s="29">
        <v>0</v>
      </c>
      <c r="H1085" s="29">
        <v>0</v>
      </c>
      <c r="I1085" s="35">
        <v>47.25</v>
      </c>
      <c r="J1085" s="34">
        <v>7800</v>
      </c>
      <c r="K1085" s="34">
        <v>368925</v>
      </c>
    </row>
    <row r="1086" spans="1:11" hidden="1">
      <c r="A1086" s="29" t="s">
        <v>138</v>
      </c>
      <c r="B1086" s="32">
        <v>39449</v>
      </c>
      <c r="C1086" s="29">
        <v>46.5</v>
      </c>
      <c r="D1086" s="35">
        <v>46.5</v>
      </c>
      <c r="E1086" s="35">
        <v>46.5</v>
      </c>
      <c r="F1086" s="33">
        <v>46.5</v>
      </c>
      <c r="G1086" s="29">
        <v>0</v>
      </c>
      <c r="H1086" s="29">
        <v>-0.75</v>
      </c>
      <c r="I1086" s="35">
        <v>47.25</v>
      </c>
      <c r="J1086" s="34">
        <v>12000</v>
      </c>
      <c r="K1086" s="34">
        <v>558125</v>
      </c>
    </row>
    <row r="1087" spans="1:11" hidden="1">
      <c r="A1087" s="29" t="s">
        <v>138</v>
      </c>
      <c r="B1087" s="32">
        <v>39450</v>
      </c>
      <c r="C1087" s="29">
        <v>46.25</v>
      </c>
      <c r="D1087" s="35">
        <v>47</v>
      </c>
      <c r="E1087" s="35">
        <v>46</v>
      </c>
      <c r="F1087" s="33">
        <v>46.25</v>
      </c>
      <c r="G1087" s="29">
        <v>0</v>
      </c>
      <c r="H1087" s="29">
        <v>-0.25</v>
      </c>
      <c r="I1087" s="35">
        <v>46.5</v>
      </c>
      <c r="J1087" s="34">
        <v>5200</v>
      </c>
      <c r="K1087" s="34">
        <v>240475</v>
      </c>
    </row>
    <row r="1088" spans="1:11" hidden="1">
      <c r="A1088" s="29" t="s">
        <v>138</v>
      </c>
      <c r="B1088" s="32">
        <v>39451</v>
      </c>
      <c r="C1088" s="29">
        <v>45.75</v>
      </c>
      <c r="D1088" s="35">
        <v>46.25</v>
      </c>
      <c r="E1088" s="35">
        <v>45</v>
      </c>
      <c r="F1088" s="33">
        <v>45</v>
      </c>
      <c r="G1088" s="29">
        <v>0</v>
      </c>
      <c r="H1088" s="29">
        <v>-1.25</v>
      </c>
      <c r="I1088" s="35">
        <v>46.25</v>
      </c>
      <c r="J1088" s="34">
        <v>15400</v>
      </c>
      <c r="K1088" s="34">
        <v>699100</v>
      </c>
    </row>
    <row r="1089" spans="1:11" hidden="1">
      <c r="A1089" s="29" t="s">
        <v>138</v>
      </c>
      <c r="B1089" s="32">
        <v>39454</v>
      </c>
      <c r="C1089" s="29">
        <v>45</v>
      </c>
      <c r="D1089" s="35">
        <v>45</v>
      </c>
      <c r="E1089" s="35">
        <v>44</v>
      </c>
      <c r="F1089" s="33">
        <v>44.25</v>
      </c>
      <c r="G1089" s="29">
        <v>0</v>
      </c>
      <c r="H1089" s="29">
        <v>-0.75</v>
      </c>
      <c r="I1089" s="35">
        <v>45</v>
      </c>
      <c r="J1089" s="34">
        <v>8400</v>
      </c>
      <c r="K1089" s="34">
        <v>373500</v>
      </c>
    </row>
    <row r="1090" spans="1:11" hidden="1">
      <c r="A1090" s="29" t="s">
        <v>138</v>
      </c>
      <c r="B1090" s="32">
        <v>39455</v>
      </c>
      <c r="C1090" s="29">
        <v>44.25</v>
      </c>
      <c r="D1090" s="35">
        <v>44.25</v>
      </c>
      <c r="E1090" s="35">
        <v>42.5</v>
      </c>
      <c r="F1090" s="33">
        <v>42.5</v>
      </c>
      <c r="G1090" s="29">
        <v>0</v>
      </c>
      <c r="H1090" s="29">
        <v>-1.75</v>
      </c>
      <c r="I1090" s="35">
        <v>44.25</v>
      </c>
      <c r="J1090" s="34">
        <v>61800</v>
      </c>
      <c r="K1090" s="34">
        <v>2647625</v>
      </c>
    </row>
    <row r="1091" spans="1:11" hidden="1">
      <c r="A1091" s="29" t="s">
        <v>138</v>
      </c>
      <c r="B1091" s="32">
        <v>39456</v>
      </c>
      <c r="C1091" s="29">
        <v>43.5</v>
      </c>
      <c r="D1091" s="35">
        <v>43.5</v>
      </c>
      <c r="E1091" s="35">
        <v>41.25</v>
      </c>
      <c r="F1091" s="33">
        <v>41.5</v>
      </c>
      <c r="G1091" s="29">
        <v>0</v>
      </c>
      <c r="H1091" s="29">
        <v>-1</v>
      </c>
      <c r="I1091" s="35">
        <v>42.5</v>
      </c>
      <c r="J1091" s="34">
        <v>78400</v>
      </c>
      <c r="K1091" s="34">
        <v>3295500</v>
      </c>
    </row>
    <row r="1092" spans="1:11" hidden="1">
      <c r="A1092" s="29" t="s">
        <v>138</v>
      </c>
      <c r="B1092" s="32">
        <v>39457</v>
      </c>
      <c r="C1092" s="29">
        <v>42.5</v>
      </c>
      <c r="D1092" s="35">
        <v>44.5</v>
      </c>
      <c r="E1092" s="35">
        <v>42.5</v>
      </c>
      <c r="F1092" s="33">
        <v>44</v>
      </c>
      <c r="G1092" s="29">
        <v>0</v>
      </c>
      <c r="H1092" s="29">
        <v>2.5</v>
      </c>
      <c r="I1092" s="35">
        <v>41.5</v>
      </c>
      <c r="J1092" s="34">
        <v>28800</v>
      </c>
      <c r="K1092" s="34">
        <v>1238575</v>
      </c>
    </row>
    <row r="1093" spans="1:11" hidden="1">
      <c r="A1093" s="29" t="s">
        <v>138</v>
      </c>
      <c r="B1093" s="32">
        <v>39458</v>
      </c>
      <c r="C1093" s="29">
        <v>44.75</v>
      </c>
      <c r="D1093" s="35">
        <v>44.75</v>
      </c>
      <c r="E1093" s="35">
        <v>44.75</v>
      </c>
      <c r="F1093" s="33">
        <v>44.75</v>
      </c>
      <c r="G1093" s="29">
        <v>0</v>
      </c>
      <c r="H1093" s="29">
        <v>0.75</v>
      </c>
      <c r="I1093" s="35">
        <v>44</v>
      </c>
      <c r="J1093" s="34">
        <v>6000</v>
      </c>
      <c r="K1093" s="34">
        <v>268500</v>
      </c>
    </row>
    <row r="1094" spans="1:11" hidden="1">
      <c r="A1094" s="29" t="s">
        <v>138</v>
      </c>
      <c r="B1094" s="32">
        <v>39461</v>
      </c>
      <c r="C1094" s="29">
        <v>44.75</v>
      </c>
      <c r="D1094" s="35">
        <v>44.75</v>
      </c>
      <c r="E1094" s="35">
        <v>42.5</v>
      </c>
      <c r="F1094" s="33">
        <v>43.5</v>
      </c>
      <c r="G1094" s="29">
        <v>0</v>
      </c>
      <c r="H1094" s="29">
        <v>-1.25</v>
      </c>
      <c r="I1094" s="35">
        <v>44.75</v>
      </c>
      <c r="J1094" s="34">
        <v>5000</v>
      </c>
      <c r="K1094" s="34">
        <v>220125</v>
      </c>
    </row>
    <row r="1095" spans="1:11" hidden="1">
      <c r="A1095" s="29" t="s">
        <v>138</v>
      </c>
      <c r="B1095" s="32">
        <v>39463</v>
      </c>
      <c r="C1095" s="29">
        <v>42.5</v>
      </c>
      <c r="D1095" s="35">
        <v>42.5</v>
      </c>
      <c r="E1095" s="35">
        <v>41.5</v>
      </c>
      <c r="F1095" s="33">
        <v>42</v>
      </c>
      <c r="G1095" s="29">
        <v>0</v>
      </c>
      <c r="H1095" s="29">
        <v>-1.5</v>
      </c>
      <c r="I1095" s="35">
        <v>43.5</v>
      </c>
      <c r="J1095" s="34">
        <v>15400</v>
      </c>
      <c r="K1095" s="34">
        <v>652300</v>
      </c>
    </row>
    <row r="1096" spans="1:11" hidden="1">
      <c r="A1096" s="29" t="s">
        <v>138</v>
      </c>
      <c r="B1096" s="32">
        <v>39464</v>
      </c>
      <c r="C1096" s="29">
        <v>41.5</v>
      </c>
      <c r="D1096" s="35">
        <v>42.25</v>
      </c>
      <c r="E1096" s="35">
        <v>41.5</v>
      </c>
      <c r="F1096" s="33">
        <v>41.75</v>
      </c>
      <c r="G1096" s="29">
        <v>0</v>
      </c>
      <c r="H1096" s="29">
        <v>-0.25</v>
      </c>
      <c r="I1096" s="35">
        <v>42</v>
      </c>
      <c r="J1096" s="34">
        <v>5200</v>
      </c>
      <c r="K1096" s="34">
        <v>216450</v>
      </c>
    </row>
    <row r="1097" spans="1:11" hidden="1">
      <c r="A1097" s="29" t="s">
        <v>138</v>
      </c>
      <c r="B1097" s="32">
        <v>39465</v>
      </c>
      <c r="C1097" s="29">
        <v>42.25</v>
      </c>
      <c r="D1097" s="35">
        <v>42.25</v>
      </c>
      <c r="E1097" s="35">
        <v>41.5</v>
      </c>
      <c r="F1097" s="33">
        <v>42</v>
      </c>
      <c r="G1097" s="29">
        <v>0</v>
      </c>
      <c r="H1097" s="29">
        <v>0.25</v>
      </c>
      <c r="I1097" s="35">
        <v>41.75</v>
      </c>
      <c r="J1097" s="34">
        <v>3800</v>
      </c>
      <c r="K1097" s="34">
        <v>159750</v>
      </c>
    </row>
    <row r="1098" spans="1:11" hidden="1">
      <c r="A1098" s="29" t="s">
        <v>138</v>
      </c>
      <c r="B1098" s="32">
        <v>39468</v>
      </c>
      <c r="C1098" s="29">
        <v>42.5</v>
      </c>
      <c r="D1098" s="35">
        <v>42.5</v>
      </c>
      <c r="E1098" s="35">
        <v>41.5</v>
      </c>
      <c r="F1098" s="33">
        <v>41.5</v>
      </c>
      <c r="G1098" s="29">
        <v>0</v>
      </c>
      <c r="H1098" s="29">
        <v>-0.5</v>
      </c>
      <c r="I1098" s="35">
        <v>42</v>
      </c>
      <c r="J1098" s="34">
        <v>16400</v>
      </c>
      <c r="K1098" s="34">
        <v>684300</v>
      </c>
    </row>
    <row r="1099" spans="1:11" hidden="1">
      <c r="A1099" s="29" t="s">
        <v>138</v>
      </c>
      <c r="B1099" s="32">
        <v>39470</v>
      </c>
      <c r="C1099" s="29">
        <v>42.5</v>
      </c>
      <c r="D1099" s="35">
        <v>43.75</v>
      </c>
      <c r="E1099" s="35">
        <v>41</v>
      </c>
      <c r="F1099" s="33">
        <v>43.25</v>
      </c>
      <c r="G1099" s="29">
        <v>0</v>
      </c>
      <c r="H1099" s="29">
        <v>1.75</v>
      </c>
      <c r="I1099" s="35">
        <v>41.5</v>
      </c>
      <c r="J1099" s="34">
        <v>29600</v>
      </c>
      <c r="K1099" s="34">
        <v>1252350</v>
      </c>
    </row>
    <row r="1100" spans="1:11" hidden="1">
      <c r="A1100" s="29" t="s">
        <v>138</v>
      </c>
      <c r="B1100" s="32">
        <v>39471</v>
      </c>
      <c r="C1100" s="29">
        <v>43.75</v>
      </c>
      <c r="D1100" s="35">
        <v>43.75</v>
      </c>
      <c r="E1100" s="35">
        <v>42.5</v>
      </c>
      <c r="F1100" s="33">
        <v>43.25</v>
      </c>
      <c r="G1100" s="29">
        <v>0</v>
      </c>
      <c r="H1100" s="29">
        <v>0</v>
      </c>
      <c r="I1100" s="35">
        <v>43.25</v>
      </c>
      <c r="J1100" s="34">
        <v>3200</v>
      </c>
      <c r="K1100" s="34">
        <v>136475</v>
      </c>
    </row>
    <row r="1101" spans="1:11" hidden="1">
      <c r="A1101" s="29" t="s">
        <v>138</v>
      </c>
      <c r="B1101" s="32">
        <v>39472</v>
      </c>
      <c r="C1101" s="29">
        <v>42.5</v>
      </c>
      <c r="D1101" s="35">
        <v>43.25</v>
      </c>
      <c r="E1101" s="35">
        <v>42.5</v>
      </c>
      <c r="F1101" s="33">
        <v>43.25</v>
      </c>
      <c r="G1101" s="29">
        <v>0</v>
      </c>
      <c r="H1101" s="29">
        <v>0</v>
      </c>
      <c r="I1101" s="35">
        <v>43.25</v>
      </c>
      <c r="J1101" s="34">
        <v>1200</v>
      </c>
      <c r="K1101" s="34">
        <v>51300</v>
      </c>
    </row>
    <row r="1102" spans="1:11" hidden="1">
      <c r="A1102" s="29" t="s">
        <v>138</v>
      </c>
      <c r="B1102" s="32">
        <v>39475</v>
      </c>
      <c r="C1102" s="29">
        <v>42.5</v>
      </c>
      <c r="D1102" s="35">
        <v>42.5</v>
      </c>
      <c r="E1102" s="35">
        <v>42.5</v>
      </c>
      <c r="F1102" s="33">
        <v>42.5</v>
      </c>
      <c r="G1102" s="29">
        <v>0</v>
      </c>
      <c r="H1102" s="29">
        <v>-0.75</v>
      </c>
      <c r="I1102" s="35">
        <v>43.25</v>
      </c>
      <c r="J1102" s="34">
        <v>4200</v>
      </c>
      <c r="K1102" s="34">
        <v>178550</v>
      </c>
    </row>
    <row r="1103" spans="1:11" hidden="1">
      <c r="A1103" s="29" t="s">
        <v>138</v>
      </c>
      <c r="B1103" s="32">
        <v>39476</v>
      </c>
      <c r="C1103" s="29">
        <v>43.25</v>
      </c>
      <c r="D1103" s="35">
        <v>43.5</v>
      </c>
      <c r="E1103" s="35">
        <v>43.25</v>
      </c>
      <c r="F1103" s="33">
        <v>43.25</v>
      </c>
      <c r="G1103" s="29">
        <v>0</v>
      </c>
      <c r="H1103" s="29">
        <v>0.75</v>
      </c>
      <c r="I1103" s="35">
        <v>42.5</v>
      </c>
      <c r="J1103" s="34">
        <v>12400</v>
      </c>
      <c r="K1103" s="34">
        <v>538900</v>
      </c>
    </row>
    <row r="1104" spans="1:11" hidden="1">
      <c r="A1104" s="29" t="s">
        <v>138</v>
      </c>
      <c r="B1104" s="32">
        <v>39477</v>
      </c>
      <c r="C1104" s="29">
        <v>43.75</v>
      </c>
      <c r="D1104" s="35">
        <v>43.75</v>
      </c>
      <c r="E1104" s="35">
        <v>42.75</v>
      </c>
      <c r="F1104" s="33">
        <v>43.5</v>
      </c>
      <c r="G1104" s="29">
        <v>0</v>
      </c>
      <c r="H1104" s="29">
        <v>0.25</v>
      </c>
      <c r="I1104" s="35">
        <v>43.25</v>
      </c>
      <c r="J1104" s="34">
        <v>4600</v>
      </c>
      <c r="K1104" s="34">
        <v>198100</v>
      </c>
    </row>
    <row r="1105" spans="1:11" hidden="1">
      <c r="A1105" s="29" t="s">
        <v>138</v>
      </c>
      <c r="B1105" s="32">
        <v>39478</v>
      </c>
      <c r="C1105" s="29">
        <v>43.75</v>
      </c>
      <c r="D1105" s="35">
        <v>46</v>
      </c>
      <c r="E1105" s="35">
        <v>43.75</v>
      </c>
      <c r="F1105" s="33">
        <v>45</v>
      </c>
      <c r="G1105" s="29">
        <v>0</v>
      </c>
      <c r="H1105" s="29">
        <v>1.5</v>
      </c>
      <c r="I1105" s="35">
        <v>43.5</v>
      </c>
      <c r="J1105" s="34">
        <v>33400</v>
      </c>
      <c r="K1105" s="34">
        <v>1488325</v>
      </c>
    </row>
    <row r="1106" spans="1:11" hidden="1">
      <c r="A1106" s="29" t="s">
        <v>138</v>
      </c>
      <c r="B1106" s="32">
        <v>39479</v>
      </c>
      <c r="C1106" s="29">
        <v>45</v>
      </c>
      <c r="D1106" s="35">
        <v>54.25</v>
      </c>
      <c r="E1106" s="35">
        <v>45</v>
      </c>
      <c r="F1106" s="33">
        <v>50</v>
      </c>
      <c r="G1106" s="29">
        <v>0</v>
      </c>
      <c r="H1106" s="29">
        <v>5</v>
      </c>
      <c r="I1106" s="35">
        <v>45</v>
      </c>
      <c r="J1106" s="34">
        <v>402800</v>
      </c>
      <c r="K1106" s="34">
        <v>20481850</v>
      </c>
    </row>
    <row r="1107" spans="1:11" hidden="1">
      <c r="A1107" s="29" t="s">
        <v>138</v>
      </c>
      <c r="B1107" s="32">
        <v>39483</v>
      </c>
      <c r="C1107" s="29">
        <v>52</v>
      </c>
      <c r="D1107" s="35">
        <v>52</v>
      </c>
      <c r="E1107" s="35">
        <v>49</v>
      </c>
      <c r="F1107" s="33">
        <v>49.5</v>
      </c>
      <c r="G1107" s="29">
        <v>0</v>
      </c>
      <c r="H1107" s="29">
        <v>-0.5</v>
      </c>
      <c r="I1107" s="35">
        <v>50</v>
      </c>
      <c r="J1107" s="34">
        <v>21400</v>
      </c>
      <c r="K1107" s="34">
        <v>1077875</v>
      </c>
    </row>
    <row r="1108" spans="1:11" hidden="1">
      <c r="A1108" s="29" t="s">
        <v>138</v>
      </c>
      <c r="B1108" s="32">
        <v>39484</v>
      </c>
      <c r="C1108" s="29">
        <v>49.5</v>
      </c>
      <c r="D1108" s="35">
        <v>50</v>
      </c>
      <c r="E1108" s="35">
        <v>49.5</v>
      </c>
      <c r="F1108" s="33">
        <v>50</v>
      </c>
      <c r="G1108" s="29">
        <v>0</v>
      </c>
      <c r="H1108" s="29">
        <v>0.5</v>
      </c>
      <c r="I1108" s="35">
        <v>49.5</v>
      </c>
      <c r="J1108" s="34">
        <v>10000</v>
      </c>
      <c r="K1108" s="34">
        <v>495500</v>
      </c>
    </row>
    <row r="1109" spans="1:11" hidden="1">
      <c r="A1109" s="29" t="s">
        <v>138</v>
      </c>
      <c r="B1109" s="32">
        <v>39485</v>
      </c>
      <c r="C1109" s="29">
        <v>50</v>
      </c>
      <c r="D1109" s="35">
        <v>50</v>
      </c>
      <c r="E1109" s="35">
        <v>49.5</v>
      </c>
      <c r="F1109" s="33">
        <v>49.5</v>
      </c>
      <c r="G1109" s="29">
        <v>0</v>
      </c>
      <c r="H1109" s="29">
        <v>-0.5</v>
      </c>
      <c r="I1109" s="35">
        <v>50</v>
      </c>
      <c r="J1109" s="34">
        <v>13600</v>
      </c>
      <c r="K1109" s="34">
        <v>678800</v>
      </c>
    </row>
    <row r="1110" spans="1:11" hidden="1">
      <c r="A1110" s="29" t="s">
        <v>138</v>
      </c>
      <c r="B1110" s="32">
        <v>39486</v>
      </c>
      <c r="C1110" s="29">
        <v>50</v>
      </c>
      <c r="D1110" s="35">
        <v>50</v>
      </c>
      <c r="E1110" s="35">
        <v>49.5</v>
      </c>
      <c r="F1110" s="33">
        <v>49.5</v>
      </c>
      <c r="G1110" s="29">
        <v>0</v>
      </c>
      <c r="H1110" s="29">
        <v>0</v>
      </c>
      <c r="I1110" s="35">
        <v>49.5</v>
      </c>
      <c r="J1110" s="34">
        <v>1400</v>
      </c>
      <c r="K1110" s="34">
        <v>69500</v>
      </c>
    </row>
    <row r="1111" spans="1:11" hidden="1">
      <c r="A1111" s="29" t="s">
        <v>138</v>
      </c>
      <c r="B1111" s="32">
        <v>39489</v>
      </c>
      <c r="C1111" s="29">
        <v>49.5</v>
      </c>
      <c r="D1111" s="35">
        <v>49.5</v>
      </c>
      <c r="E1111" s="35">
        <v>49.5</v>
      </c>
      <c r="F1111" s="33">
        <v>49.5</v>
      </c>
      <c r="G1111" s="29">
        <v>0</v>
      </c>
      <c r="H1111" s="29">
        <v>0</v>
      </c>
      <c r="I1111" s="35">
        <v>49.5</v>
      </c>
      <c r="J1111" s="34">
        <v>4400</v>
      </c>
      <c r="K1111" s="34">
        <v>217800</v>
      </c>
    </row>
    <row r="1112" spans="1:11" hidden="1">
      <c r="A1112" s="29" t="s">
        <v>138</v>
      </c>
      <c r="B1112" s="32">
        <v>39490</v>
      </c>
      <c r="C1112" s="29">
        <v>49.5</v>
      </c>
      <c r="D1112" s="35">
        <v>50</v>
      </c>
      <c r="E1112" s="35">
        <v>49.5</v>
      </c>
      <c r="F1112" s="33">
        <v>49.5</v>
      </c>
      <c r="G1112" s="29">
        <v>0</v>
      </c>
      <c r="H1112" s="29">
        <v>0</v>
      </c>
      <c r="I1112" s="35">
        <v>49.5</v>
      </c>
      <c r="J1112" s="34">
        <v>9000</v>
      </c>
      <c r="K1112" s="34">
        <v>449100</v>
      </c>
    </row>
    <row r="1113" spans="1:11" hidden="1">
      <c r="A1113" s="29" t="s">
        <v>138</v>
      </c>
      <c r="B1113" s="32">
        <v>39491</v>
      </c>
      <c r="C1113" s="29">
        <v>49.5</v>
      </c>
      <c r="D1113" s="35">
        <v>49.5</v>
      </c>
      <c r="E1113" s="35">
        <v>49.25</v>
      </c>
      <c r="F1113" s="33">
        <v>49.25</v>
      </c>
      <c r="G1113" s="29">
        <v>0</v>
      </c>
      <c r="H1113" s="29">
        <v>-0.25</v>
      </c>
      <c r="I1113" s="35">
        <v>49.5</v>
      </c>
      <c r="J1113" s="34">
        <v>11600</v>
      </c>
      <c r="K1113" s="34">
        <v>573025</v>
      </c>
    </row>
    <row r="1114" spans="1:11" hidden="1">
      <c r="A1114" s="29" t="s">
        <v>138</v>
      </c>
      <c r="B1114" s="32">
        <v>39492</v>
      </c>
      <c r="C1114" s="29">
        <v>49.25</v>
      </c>
      <c r="D1114" s="35">
        <v>49.75</v>
      </c>
      <c r="E1114" s="35">
        <v>49.25</v>
      </c>
      <c r="F1114" s="33">
        <v>49.25</v>
      </c>
      <c r="G1114" s="29">
        <v>0</v>
      </c>
      <c r="H1114" s="29">
        <v>0</v>
      </c>
      <c r="I1114" s="35">
        <v>49.25</v>
      </c>
      <c r="J1114" s="34">
        <v>5800</v>
      </c>
      <c r="K1114" s="34">
        <v>286100</v>
      </c>
    </row>
    <row r="1115" spans="1:11" hidden="1">
      <c r="A1115" s="29" t="s">
        <v>138</v>
      </c>
      <c r="B1115" s="32">
        <v>39493</v>
      </c>
      <c r="C1115" s="29">
        <v>50</v>
      </c>
      <c r="D1115" s="35">
        <v>50</v>
      </c>
      <c r="E1115" s="35">
        <v>49</v>
      </c>
      <c r="F1115" s="33">
        <v>49</v>
      </c>
      <c r="G1115" s="29">
        <v>0</v>
      </c>
      <c r="H1115" s="29">
        <v>-0.25</v>
      </c>
      <c r="I1115" s="35">
        <v>49.25</v>
      </c>
      <c r="J1115" s="34">
        <v>28000</v>
      </c>
      <c r="K1115" s="34">
        <v>1384050</v>
      </c>
    </row>
    <row r="1116" spans="1:11" hidden="1">
      <c r="A1116" s="29" t="s">
        <v>138</v>
      </c>
      <c r="B1116" s="32">
        <v>39496</v>
      </c>
      <c r="C1116" s="29">
        <v>49</v>
      </c>
      <c r="D1116" s="35">
        <v>49.5</v>
      </c>
      <c r="E1116" s="35">
        <v>49</v>
      </c>
      <c r="F1116" s="33">
        <v>49.25</v>
      </c>
      <c r="G1116" s="29">
        <v>0</v>
      </c>
      <c r="H1116" s="29">
        <v>0.25</v>
      </c>
      <c r="I1116" s="35">
        <v>49</v>
      </c>
      <c r="J1116" s="34">
        <v>3400</v>
      </c>
      <c r="K1116" s="34">
        <v>167150</v>
      </c>
    </row>
    <row r="1117" spans="1:11" hidden="1">
      <c r="A1117" s="29" t="s">
        <v>138</v>
      </c>
      <c r="B1117" s="32">
        <v>39497</v>
      </c>
      <c r="C1117" s="29">
        <v>49</v>
      </c>
      <c r="D1117" s="35">
        <v>49.25</v>
      </c>
      <c r="E1117" s="35">
        <v>48.5</v>
      </c>
      <c r="F1117" s="33">
        <v>49</v>
      </c>
      <c r="G1117" s="29">
        <v>0</v>
      </c>
      <c r="H1117" s="29">
        <v>-0.25</v>
      </c>
      <c r="I1117" s="35">
        <v>49.25</v>
      </c>
      <c r="J1117" s="34">
        <v>12000</v>
      </c>
      <c r="K1117" s="34">
        <v>587025</v>
      </c>
    </row>
    <row r="1118" spans="1:11" hidden="1">
      <c r="A1118" s="29" t="s">
        <v>138</v>
      </c>
      <c r="B1118" s="32">
        <v>39499</v>
      </c>
      <c r="C1118" s="29">
        <v>49</v>
      </c>
      <c r="D1118" s="35">
        <v>49</v>
      </c>
      <c r="E1118" s="35">
        <v>48.5</v>
      </c>
      <c r="F1118" s="33">
        <v>48.75</v>
      </c>
      <c r="G1118" s="29">
        <v>0</v>
      </c>
      <c r="H1118" s="29">
        <v>-0.25</v>
      </c>
      <c r="I1118" s="35">
        <v>49</v>
      </c>
      <c r="J1118" s="34">
        <v>6600</v>
      </c>
      <c r="K1118" s="34">
        <v>321550</v>
      </c>
    </row>
    <row r="1119" spans="1:11" hidden="1">
      <c r="A1119" s="29" t="s">
        <v>138</v>
      </c>
      <c r="B1119" s="32">
        <v>39500</v>
      </c>
      <c r="C1119" s="29">
        <v>48.75</v>
      </c>
      <c r="D1119" s="35">
        <v>48.75</v>
      </c>
      <c r="E1119" s="35">
        <v>48</v>
      </c>
      <c r="F1119" s="33">
        <v>48</v>
      </c>
      <c r="G1119" s="29">
        <v>0</v>
      </c>
      <c r="H1119" s="29">
        <v>-0.75</v>
      </c>
      <c r="I1119" s="35">
        <v>48.75</v>
      </c>
      <c r="J1119" s="34">
        <v>17000</v>
      </c>
      <c r="K1119" s="34">
        <v>818475</v>
      </c>
    </row>
    <row r="1120" spans="1:11" hidden="1">
      <c r="A1120" s="29" t="s">
        <v>138</v>
      </c>
      <c r="B1120" s="32">
        <v>39503</v>
      </c>
      <c r="C1120" s="29">
        <v>48.75</v>
      </c>
      <c r="D1120" s="35">
        <v>49.5</v>
      </c>
      <c r="E1120" s="35">
        <v>48.75</v>
      </c>
      <c r="F1120" s="33">
        <v>49</v>
      </c>
      <c r="G1120" s="29">
        <v>0</v>
      </c>
      <c r="H1120" s="29">
        <v>1</v>
      </c>
      <c r="I1120" s="35">
        <v>48</v>
      </c>
      <c r="J1120" s="34">
        <v>204800</v>
      </c>
      <c r="K1120" s="34">
        <v>10045750</v>
      </c>
    </row>
    <row r="1121" spans="1:11" hidden="1">
      <c r="A1121" s="29" t="s">
        <v>138</v>
      </c>
      <c r="B1121" s="32">
        <v>39504</v>
      </c>
      <c r="C1121" s="29">
        <v>49.5</v>
      </c>
      <c r="D1121" s="35">
        <v>49.5</v>
      </c>
      <c r="E1121" s="35">
        <v>48.5</v>
      </c>
      <c r="F1121" s="33">
        <v>48.75</v>
      </c>
      <c r="G1121" s="29">
        <v>0</v>
      </c>
      <c r="H1121" s="29">
        <v>-0.25</v>
      </c>
      <c r="I1121" s="35">
        <v>49</v>
      </c>
      <c r="J1121" s="34">
        <v>6200</v>
      </c>
      <c r="K1121" s="34">
        <v>303400</v>
      </c>
    </row>
    <row r="1122" spans="1:11" hidden="1">
      <c r="A1122" s="29" t="s">
        <v>138</v>
      </c>
      <c r="B1122" s="32">
        <v>39505</v>
      </c>
      <c r="C1122" s="29">
        <v>48.5</v>
      </c>
      <c r="D1122" s="35">
        <v>48.5</v>
      </c>
      <c r="E1122" s="35">
        <v>48.25</v>
      </c>
      <c r="F1122" s="33">
        <v>48.25</v>
      </c>
      <c r="G1122" s="29">
        <v>0</v>
      </c>
      <c r="H1122" s="29">
        <v>-0.5</v>
      </c>
      <c r="I1122" s="35">
        <v>48.75</v>
      </c>
      <c r="J1122" s="34">
        <v>7000</v>
      </c>
      <c r="K1122" s="34">
        <v>338700</v>
      </c>
    </row>
    <row r="1123" spans="1:11" hidden="1">
      <c r="A1123" s="29" t="s">
        <v>138</v>
      </c>
      <c r="B1123" s="32">
        <v>39506</v>
      </c>
      <c r="C1123" s="29">
        <v>48.5</v>
      </c>
      <c r="D1123" s="35">
        <v>48.5</v>
      </c>
      <c r="E1123" s="35">
        <v>47.5</v>
      </c>
      <c r="F1123" s="33">
        <v>47.75</v>
      </c>
      <c r="G1123" s="29">
        <v>0</v>
      </c>
      <c r="H1123" s="29">
        <v>-0.5</v>
      </c>
      <c r="I1123" s="35">
        <v>48.25</v>
      </c>
      <c r="J1123" s="34">
        <v>67600</v>
      </c>
      <c r="K1123" s="34">
        <v>3264250</v>
      </c>
    </row>
    <row r="1124" spans="1:11" hidden="1">
      <c r="A1124" s="29" t="s">
        <v>138</v>
      </c>
      <c r="B1124" s="32">
        <v>39507</v>
      </c>
      <c r="C1124" s="29">
        <v>48.5</v>
      </c>
      <c r="D1124" s="35">
        <v>49</v>
      </c>
      <c r="E1124" s="35">
        <v>48.5</v>
      </c>
      <c r="F1124" s="33">
        <v>48.75</v>
      </c>
      <c r="G1124" s="29">
        <v>0</v>
      </c>
      <c r="H1124" s="29">
        <v>1</v>
      </c>
      <c r="I1124" s="35">
        <v>47.75</v>
      </c>
      <c r="J1124" s="34">
        <v>7000</v>
      </c>
      <c r="K1124" s="34">
        <v>341675</v>
      </c>
    </row>
    <row r="1125" spans="1:11" hidden="1">
      <c r="A1125" s="29" t="s">
        <v>138</v>
      </c>
      <c r="B1125" s="32">
        <v>39510</v>
      </c>
      <c r="C1125" s="29">
        <v>48</v>
      </c>
      <c r="D1125" s="35">
        <v>48.75</v>
      </c>
      <c r="E1125" s="35">
        <v>47.5</v>
      </c>
      <c r="F1125" s="33">
        <v>48</v>
      </c>
      <c r="G1125" s="29">
        <v>0</v>
      </c>
      <c r="H1125" s="29">
        <v>-0.75</v>
      </c>
      <c r="I1125" s="35">
        <v>48.75</v>
      </c>
      <c r="J1125" s="34">
        <v>14200</v>
      </c>
      <c r="K1125" s="34">
        <v>682600</v>
      </c>
    </row>
    <row r="1126" spans="1:11" hidden="1">
      <c r="A1126" s="29" t="s">
        <v>138</v>
      </c>
      <c r="B1126" s="32">
        <v>39511</v>
      </c>
      <c r="C1126" s="29">
        <v>47.5</v>
      </c>
      <c r="D1126" s="35">
        <v>48</v>
      </c>
      <c r="E1126" s="35">
        <v>47.5</v>
      </c>
      <c r="F1126" s="33">
        <v>48</v>
      </c>
      <c r="G1126" s="29">
        <v>0</v>
      </c>
      <c r="H1126" s="29">
        <v>0</v>
      </c>
      <c r="I1126" s="35">
        <v>48</v>
      </c>
      <c r="J1126" s="34">
        <v>75200</v>
      </c>
      <c r="K1126" s="34">
        <v>3604450</v>
      </c>
    </row>
    <row r="1127" spans="1:11" hidden="1">
      <c r="A1127" s="29" t="s">
        <v>138</v>
      </c>
      <c r="B1127" s="32">
        <v>39512</v>
      </c>
      <c r="C1127" s="29">
        <v>48</v>
      </c>
      <c r="D1127" s="35">
        <v>48.25</v>
      </c>
      <c r="E1127" s="35">
        <v>48</v>
      </c>
      <c r="F1127" s="33">
        <v>48</v>
      </c>
      <c r="G1127" s="29">
        <v>0</v>
      </c>
      <c r="H1127" s="29">
        <v>0</v>
      </c>
      <c r="I1127" s="35">
        <v>48</v>
      </c>
      <c r="J1127" s="34">
        <v>46400</v>
      </c>
      <c r="K1127" s="34">
        <v>2229625</v>
      </c>
    </row>
    <row r="1128" spans="1:11" hidden="1">
      <c r="A1128" s="29" t="s">
        <v>138</v>
      </c>
      <c r="B1128" s="32">
        <v>39514</v>
      </c>
      <c r="C1128" s="29">
        <v>49</v>
      </c>
      <c r="D1128" s="35">
        <v>49.75</v>
      </c>
      <c r="E1128" s="35">
        <v>48</v>
      </c>
      <c r="F1128" s="33">
        <v>48.5</v>
      </c>
      <c r="G1128" s="29">
        <v>0</v>
      </c>
      <c r="H1128" s="29">
        <v>0.5</v>
      </c>
      <c r="I1128" s="35">
        <v>48</v>
      </c>
      <c r="J1128" s="34">
        <v>127200</v>
      </c>
      <c r="K1128" s="34">
        <v>6187475</v>
      </c>
    </row>
    <row r="1129" spans="1:11" hidden="1">
      <c r="A1129" s="29" t="s">
        <v>138</v>
      </c>
      <c r="B1129" s="32">
        <v>39517</v>
      </c>
      <c r="C1129" s="29">
        <v>49.75</v>
      </c>
      <c r="D1129" s="35">
        <v>49.75</v>
      </c>
      <c r="E1129" s="35">
        <v>48</v>
      </c>
      <c r="F1129" s="33">
        <v>48</v>
      </c>
      <c r="G1129" s="29">
        <v>0</v>
      </c>
      <c r="H1129" s="29">
        <v>-0.5</v>
      </c>
      <c r="I1129" s="35">
        <v>48.5</v>
      </c>
      <c r="J1129" s="34">
        <v>48800</v>
      </c>
      <c r="K1129" s="34">
        <v>2346100</v>
      </c>
    </row>
    <row r="1130" spans="1:11" hidden="1">
      <c r="A1130" s="29" t="s">
        <v>138</v>
      </c>
      <c r="B1130" s="32">
        <v>39518</v>
      </c>
      <c r="C1130" s="29">
        <v>50</v>
      </c>
      <c r="D1130" s="35">
        <v>51</v>
      </c>
      <c r="E1130" s="35">
        <v>49</v>
      </c>
      <c r="F1130" s="33">
        <v>49.75</v>
      </c>
      <c r="G1130" s="29">
        <v>0</v>
      </c>
      <c r="H1130" s="29">
        <v>1.75</v>
      </c>
      <c r="I1130" s="35">
        <v>48</v>
      </c>
      <c r="J1130" s="34">
        <v>22200</v>
      </c>
      <c r="K1130" s="34">
        <v>1112875</v>
      </c>
    </row>
    <row r="1131" spans="1:11" hidden="1">
      <c r="A1131" s="29" t="s">
        <v>138</v>
      </c>
      <c r="B1131" s="32">
        <v>39519</v>
      </c>
      <c r="C1131" s="29">
        <v>49</v>
      </c>
      <c r="D1131" s="35">
        <v>51.5</v>
      </c>
      <c r="E1131" s="35">
        <v>49</v>
      </c>
      <c r="F1131" s="33">
        <v>51.25</v>
      </c>
      <c r="G1131" s="29">
        <v>0</v>
      </c>
      <c r="H1131" s="29">
        <v>1.5</v>
      </c>
      <c r="I1131" s="35">
        <v>49.75</v>
      </c>
      <c r="J1131" s="34">
        <v>142200</v>
      </c>
      <c r="K1131" s="34">
        <v>7198375</v>
      </c>
    </row>
    <row r="1132" spans="1:11" hidden="1">
      <c r="A1132" s="29" t="s">
        <v>138</v>
      </c>
      <c r="B1132" s="32">
        <v>39520</v>
      </c>
      <c r="C1132" s="29">
        <v>51</v>
      </c>
      <c r="D1132" s="35">
        <v>52.5</v>
      </c>
      <c r="E1132" s="35">
        <v>50.5</v>
      </c>
      <c r="F1132" s="33">
        <v>52.25</v>
      </c>
      <c r="G1132" s="29">
        <v>0</v>
      </c>
      <c r="H1132" s="29">
        <v>1</v>
      </c>
      <c r="I1132" s="35">
        <v>51.25</v>
      </c>
      <c r="J1132" s="34">
        <v>260400</v>
      </c>
      <c r="K1132" s="34">
        <v>13545025</v>
      </c>
    </row>
    <row r="1133" spans="1:11" hidden="1">
      <c r="A1133" s="29" t="s">
        <v>138</v>
      </c>
      <c r="B1133" s="32">
        <v>39521</v>
      </c>
      <c r="C1133" s="29">
        <v>52</v>
      </c>
      <c r="D1133" s="35">
        <v>52.75</v>
      </c>
      <c r="E1133" s="35">
        <v>51.75</v>
      </c>
      <c r="F1133" s="33">
        <v>52</v>
      </c>
      <c r="G1133" s="29">
        <v>0</v>
      </c>
      <c r="H1133" s="29">
        <v>-0.25</v>
      </c>
      <c r="I1133" s="35">
        <v>52.25</v>
      </c>
      <c r="J1133" s="34">
        <v>177200</v>
      </c>
      <c r="K1133" s="34">
        <v>9216125</v>
      </c>
    </row>
    <row r="1134" spans="1:11" hidden="1">
      <c r="A1134" s="29" t="s">
        <v>138</v>
      </c>
      <c r="B1134" s="32">
        <v>39534</v>
      </c>
      <c r="C1134" s="29">
        <v>48.25</v>
      </c>
      <c r="D1134" s="35">
        <v>48.5</v>
      </c>
      <c r="E1134" s="35">
        <v>45</v>
      </c>
      <c r="F1134" s="33">
        <v>45.25</v>
      </c>
      <c r="G1134" s="29">
        <v>0</v>
      </c>
      <c r="H1134" s="29">
        <v>58.75</v>
      </c>
      <c r="I1134" s="35">
        <v>104</v>
      </c>
      <c r="J1134" s="34">
        <v>133100</v>
      </c>
      <c r="K1134" s="34">
        <v>6283425</v>
      </c>
    </row>
    <row r="1135" spans="1:11" hidden="1">
      <c r="A1135" s="29" t="s">
        <v>138</v>
      </c>
      <c r="B1135" s="32">
        <v>39535</v>
      </c>
      <c r="C1135" s="29">
        <v>47.5</v>
      </c>
      <c r="D1135" s="35">
        <v>47.5</v>
      </c>
      <c r="E1135" s="35">
        <v>46</v>
      </c>
      <c r="F1135" s="33">
        <v>46</v>
      </c>
      <c r="G1135" s="29">
        <v>0</v>
      </c>
      <c r="H1135" s="29">
        <v>-0.75</v>
      </c>
      <c r="I1135" s="35">
        <v>45.25</v>
      </c>
      <c r="J1135" s="34">
        <v>16100</v>
      </c>
      <c r="K1135" s="34">
        <v>754075</v>
      </c>
    </row>
    <row r="1136" spans="1:11" hidden="1">
      <c r="A1136" s="29" t="s">
        <v>138</v>
      </c>
      <c r="B1136" s="32">
        <v>39538</v>
      </c>
      <c r="C1136" s="29">
        <v>47</v>
      </c>
      <c r="D1136" s="35">
        <v>47</v>
      </c>
      <c r="E1136" s="35">
        <v>46</v>
      </c>
      <c r="F1136" s="33">
        <v>46</v>
      </c>
      <c r="G1136" s="29">
        <v>0</v>
      </c>
      <c r="H1136" s="29">
        <v>0</v>
      </c>
      <c r="I1136" s="35">
        <v>46</v>
      </c>
      <c r="J1136" s="34">
        <v>49300</v>
      </c>
      <c r="K1136" s="34">
        <v>2280925</v>
      </c>
    </row>
    <row r="1137" spans="1:11" hidden="1">
      <c r="A1137" s="29" t="s">
        <v>138</v>
      </c>
      <c r="B1137" s="32">
        <v>39539</v>
      </c>
      <c r="C1137" s="29">
        <v>46.25</v>
      </c>
      <c r="D1137" s="35">
        <v>47.5</v>
      </c>
      <c r="E1137" s="35">
        <v>46</v>
      </c>
      <c r="F1137" s="33">
        <v>46.25</v>
      </c>
      <c r="G1137" s="29">
        <v>0</v>
      </c>
      <c r="H1137" s="29">
        <v>-0.25</v>
      </c>
      <c r="I1137" s="35">
        <v>46</v>
      </c>
      <c r="J1137" s="34">
        <v>36300</v>
      </c>
      <c r="K1137" s="34">
        <v>1687325</v>
      </c>
    </row>
    <row r="1138" spans="1:11" hidden="1">
      <c r="A1138" s="29" t="s">
        <v>138</v>
      </c>
      <c r="B1138" s="32">
        <v>39540</v>
      </c>
      <c r="C1138" s="29">
        <v>46.25</v>
      </c>
      <c r="D1138" s="35">
        <v>46.25</v>
      </c>
      <c r="E1138" s="35">
        <v>46</v>
      </c>
      <c r="F1138" s="33">
        <v>46</v>
      </c>
      <c r="G1138" s="29">
        <v>0</v>
      </c>
      <c r="H1138" s="29">
        <v>0.25</v>
      </c>
      <c r="I1138" s="35">
        <v>46.25</v>
      </c>
      <c r="J1138" s="34">
        <v>7800</v>
      </c>
      <c r="K1138" s="34">
        <v>359025</v>
      </c>
    </row>
    <row r="1139" spans="1:11" hidden="1">
      <c r="A1139" s="29" t="s">
        <v>138</v>
      </c>
      <c r="B1139" s="32">
        <v>39541</v>
      </c>
      <c r="C1139" s="29">
        <v>46</v>
      </c>
      <c r="D1139" s="35">
        <v>46</v>
      </c>
      <c r="E1139" s="35">
        <v>44</v>
      </c>
      <c r="F1139" s="33">
        <v>44.25</v>
      </c>
      <c r="G1139" s="29">
        <v>0</v>
      </c>
      <c r="H1139" s="29">
        <v>1.75</v>
      </c>
      <c r="I1139" s="35">
        <v>46</v>
      </c>
      <c r="J1139" s="34">
        <v>43100</v>
      </c>
      <c r="K1139" s="34">
        <v>1932425</v>
      </c>
    </row>
    <row r="1140" spans="1:11" hidden="1">
      <c r="A1140" s="29" t="s">
        <v>138</v>
      </c>
      <c r="B1140" s="32">
        <v>39542</v>
      </c>
      <c r="C1140" s="29">
        <v>45</v>
      </c>
      <c r="D1140" s="35">
        <v>45</v>
      </c>
      <c r="E1140" s="35">
        <v>44</v>
      </c>
      <c r="F1140" s="33">
        <v>44.25</v>
      </c>
      <c r="G1140" s="29">
        <v>0</v>
      </c>
      <c r="H1140" s="29">
        <v>0</v>
      </c>
      <c r="I1140" s="35">
        <v>44.25</v>
      </c>
      <c r="J1140" s="34">
        <v>16500</v>
      </c>
      <c r="K1140" s="34">
        <v>728375</v>
      </c>
    </row>
    <row r="1141" spans="1:11" hidden="1">
      <c r="A1141" s="29" t="s">
        <v>138</v>
      </c>
      <c r="B1141" s="32">
        <v>39545</v>
      </c>
      <c r="C1141" s="29">
        <v>44</v>
      </c>
      <c r="D1141" s="35">
        <v>44</v>
      </c>
      <c r="E1141" s="35">
        <v>43</v>
      </c>
      <c r="F1141" s="33">
        <v>43.25</v>
      </c>
      <c r="G1141" s="29">
        <v>0</v>
      </c>
      <c r="H1141" s="29">
        <v>1</v>
      </c>
      <c r="I1141" s="35">
        <v>44.25</v>
      </c>
      <c r="J1141" s="34">
        <v>17900</v>
      </c>
      <c r="K1141" s="34">
        <v>771925</v>
      </c>
    </row>
    <row r="1142" spans="1:11" hidden="1">
      <c r="A1142" s="29" t="s">
        <v>138</v>
      </c>
      <c r="B1142" s="32">
        <v>39546</v>
      </c>
      <c r="C1142" s="29">
        <v>43.25</v>
      </c>
      <c r="D1142" s="35">
        <v>43.75</v>
      </c>
      <c r="E1142" s="35">
        <v>42.75</v>
      </c>
      <c r="F1142" s="33">
        <v>43</v>
      </c>
      <c r="G1142" s="29">
        <v>0</v>
      </c>
      <c r="H1142" s="29">
        <v>0.25</v>
      </c>
      <c r="I1142" s="35">
        <v>43.25</v>
      </c>
      <c r="J1142" s="34">
        <v>34700</v>
      </c>
      <c r="K1142" s="34">
        <v>1496275</v>
      </c>
    </row>
    <row r="1143" spans="1:11" hidden="1">
      <c r="A1143" s="29" t="s">
        <v>138</v>
      </c>
      <c r="B1143" s="32">
        <v>39547</v>
      </c>
      <c r="C1143" s="29">
        <v>43.25</v>
      </c>
      <c r="D1143" s="35">
        <v>43.75</v>
      </c>
      <c r="E1143" s="35">
        <v>43</v>
      </c>
      <c r="F1143" s="33">
        <v>43.25</v>
      </c>
      <c r="G1143" s="29">
        <v>0</v>
      </c>
      <c r="H1143" s="29">
        <v>-0.25</v>
      </c>
      <c r="I1143" s="35">
        <v>43</v>
      </c>
      <c r="J1143" s="34">
        <v>2800</v>
      </c>
      <c r="K1143" s="34">
        <v>121275</v>
      </c>
    </row>
    <row r="1144" spans="1:11" hidden="1">
      <c r="A1144" s="29" t="s">
        <v>138</v>
      </c>
      <c r="B1144" s="32">
        <v>39548</v>
      </c>
      <c r="C1144" s="29">
        <v>43.5</v>
      </c>
      <c r="D1144" s="35">
        <v>43.5</v>
      </c>
      <c r="E1144" s="35">
        <v>43</v>
      </c>
      <c r="F1144" s="33">
        <v>43.5</v>
      </c>
      <c r="G1144" s="29">
        <v>0</v>
      </c>
      <c r="H1144" s="29">
        <v>-0.25</v>
      </c>
      <c r="I1144" s="35">
        <v>43.25</v>
      </c>
      <c r="J1144" s="34">
        <v>29200</v>
      </c>
      <c r="K1144" s="34">
        <v>1267600</v>
      </c>
    </row>
    <row r="1145" spans="1:11" hidden="1">
      <c r="A1145" s="29" t="s">
        <v>138</v>
      </c>
      <c r="B1145" s="32">
        <v>39553</v>
      </c>
      <c r="C1145" s="29">
        <v>43.5</v>
      </c>
      <c r="D1145" s="35">
        <v>45</v>
      </c>
      <c r="E1145" s="35">
        <v>43.5</v>
      </c>
      <c r="F1145" s="33">
        <v>43.5</v>
      </c>
      <c r="G1145" s="29">
        <v>0</v>
      </c>
      <c r="H1145" s="29">
        <v>0</v>
      </c>
      <c r="I1145" s="35">
        <v>43.5</v>
      </c>
      <c r="J1145" s="34">
        <v>3600</v>
      </c>
      <c r="K1145" s="34">
        <v>156750</v>
      </c>
    </row>
    <row r="1146" spans="1:11" hidden="1">
      <c r="A1146" s="29" t="s">
        <v>138</v>
      </c>
      <c r="B1146" s="32">
        <v>39554</v>
      </c>
      <c r="C1146" s="29">
        <v>43.25</v>
      </c>
      <c r="D1146" s="35">
        <v>46</v>
      </c>
      <c r="E1146" s="35">
        <v>43.25</v>
      </c>
      <c r="F1146" s="33">
        <v>45.5</v>
      </c>
      <c r="G1146" s="29">
        <v>0</v>
      </c>
      <c r="H1146" s="29">
        <v>-2</v>
      </c>
      <c r="I1146" s="35">
        <v>43.5</v>
      </c>
      <c r="J1146" s="34">
        <v>33600</v>
      </c>
      <c r="K1146" s="34">
        <v>1542425</v>
      </c>
    </row>
    <row r="1147" spans="1:11" hidden="1">
      <c r="A1147" s="29" t="s">
        <v>138</v>
      </c>
      <c r="B1147" s="32">
        <v>39555</v>
      </c>
      <c r="C1147" s="29">
        <v>45.5</v>
      </c>
      <c r="D1147" s="35">
        <v>45.5</v>
      </c>
      <c r="E1147" s="35">
        <v>45.5</v>
      </c>
      <c r="F1147" s="33">
        <v>45.5</v>
      </c>
      <c r="G1147" s="29">
        <v>0</v>
      </c>
      <c r="H1147" s="29">
        <v>0</v>
      </c>
      <c r="I1147" s="35">
        <v>45.5</v>
      </c>
      <c r="J1147" s="34">
        <v>1200</v>
      </c>
      <c r="K1147" s="34">
        <v>54600</v>
      </c>
    </row>
    <row r="1148" spans="1:11" hidden="1">
      <c r="A1148" s="29" t="s">
        <v>138</v>
      </c>
      <c r="B1148" s="32">
        <v>39559</v>
      </c>
      <c r="C1148" s="29">
        <v>44.5</v>
      </c>
      <c r="D1148" s="35">
        <v>44.5</v>
      </c>
      <c r="E1148" s="35">
        <v>43.5</v>
      </c>
      <c r="F1148" s="33">
        <v>44</v>
      </c>
      <c r="G1148" s="29">
        <v>0</v>
      </c>
      <c r="H1148" s="29">
        <v>1.5</v>
      </c>
      <c r="I1148" s="35">
        <v>45.5</v>
      </c>
      <c r="J1148" s="34">
        <v>208300</v>
      </c>
      <c r="K1148" s="34">
        <v>9161950</v>
      </c>
    </row>
    <row r="1149" spans="1:11" hidden="1">
      <c r="A1149" s="29" t="s">
        <v>138</v>
      </c>
      <c r="B1149" s="32">
        <v>39560</v>
      </c>
      <c r="C1149" s="29">
        <v>44</v>
      </c>
      <c r="D1149" s="35">
        <v>44.5</v>
      </c>
      <c r="E1149" s="35">
        <v>43.75</v>
      </c>
      <c r="F1149" s="33">
        <v>44</v>
      </c>
      <c r="G1149" s="29">
        <v>0</v>
      </c>
      <c r="H1149" s="29">
        <v>0</v>
      </c>
      <c r="I1149" s="35">
        <v>44</v>
      </c>
      <c r="J1149" s="34">
        <v>64400</v>
      </c>
      <c r="K1149" s="34">
        <v>2833825</v>
      </c>
    </row>
    <row r="1150" spans="1:11" hidden="1">
      <c r="A1150" s="29" t="s">
        <v>138</v>
      </c>
      <c r="B1150" s="32">
        <v>39561</v>
      </c>
      <c r="C1150" s="29">
        <v>44</v>
      </c>
      <c r="D1150" s="35">
        <v>44</v>
      </c>
      <c r="E1150" s="35">
        <v>43.5</v>
      </c>
      <c r="F1150" s="33">
        <v>43.5</v>
      </c>
      <c r="G1150" s="29">
        <v>0</v>
      </c>
      <c r="H1150" s="29">
        <v>0.5</v>
      </c>
      <c r="I1150" s="35">
        <v>44</v>
      </c>
      <c r="J1150" s="34">
        <v>57500</v>
      </c>
      <c r="K1150" s="34">
        <v>2517925</v>
      </c>
    </row>
    <row r="1151" spans="1:11" hidden="1">
      <c r="A1151" s="29" t="s">
        <v>138</v>
      </c>
      <c r="B1151" s="32">
        <v>39562</v>
      </c>
      <c r="C1151" s="29">
        <v>43.5</v>
      </c>
      <c r="D1151" s="35">
        <v>43.5</v>
      </c>
      <c r="E1151" s="35">
        <v>43</v>
      </c>
      <c r="F1151" s="33">
        <v>43</v>
      </c>
      <c r="G1151" s="29">
        <v>0</v>
      </c>
      <c r="H1151" s="29">
        <v>0.5</v>
      </c>
      <c r="I1151" s="35">
        <v>43.5</v>
      </c>
      <c r="J1151" s="34">
        <v>23600</v>
      </c>
      <c r="K1151" s="34">
        <v>1015800</v>
      </c>
    </row>
    <row r="1152" spans="1:11" hidden="1">
      <c r="A1152" s="29" t="s">
        <v>138</v>
      </c>
      <c r="B1152" s="32">
        <v>39563</v>
      </c>
      <c r="C1152" s="29">
        <v>43</v>
      </c>
      <c r="D1152" s="35">
        <v>43</v>
      </c>
      <c r="E1152" s="35">
        <v>43</v>
      </c>
      <c r="F1152" s="33">
        <v>43</v>
      </c>
      <c r="G1152" s="29">
        <v>0</v>
      </c>
      <c r="H1152" s="29">
        <v>0</v>
      </c>
      <c r="I1152" s="35">
        <v>43</v>
      </c>
      <c r="J1152" s="34">
        <v>8800</v>
      </c>
      <c r="K1152" s="34">
        <v>378400</v>
      </c>
    </row>
    <row r="1153" spans="1:11" hidden="1">
      <c r="A1153" s="29" t="s">
        <v>138</v>
      </c>
      <c r="B1153" s="32">
        <v>39566</v>
      </c>
      <c r="C1153" s="29">
        <v>43</v>
      </c>
      <c r="D1153" s="35">
        <v>43</v>
      </c>
      <c r="E1153" s="35">
        <v>42</v>
      </c>
      <c r="F1153" s="33">
        <v>42.25</v>
      </c>
      <c r="G1153" s="29">
        <v>0</v>
      </c>
      <c r="H1153" s="29">
        <v>0.75</v>
      </c>
      <c r="I1153" s="35">
        <v>43</v>
      </c>
      <c r="J1153" s="34">
        <v>76200</v>
      </c>
      <c r="K1153" s="34">
        <v>3230325</v>
      </c>
    </row>
    <row r="1154" spans="1:11" hidden="1">
      <c r="A1154" s="29" t="s">
        <v>138</v>
      </c>
      <c r="B1154" s="32">
        <v>39567</v>
      </c>
      <c r="C1154" s="29">
        <v>42.25</v>
      </c>
      <c r="D1154" s="35">
        <v>42.75</v>
      </c>
      <c r="E1154" s="35">
        <v>41.75</v>
      </c>
      <c r="F1154" s="33">
        <v>42</v>
      </c>
      <c r="G1154" s="29">
        <v>0</v>
      </c>
      <c r="H1154" s="29">
        <v>0.25</v>
      </c>
      <c r="I1154" s="35">
        <v>42.25</v>
      </c>
      <c r="J1154" s="34">
        <v>12900</v>
      </c>
      <c r="K1154" s="34">
        <v>541925</v>
      </c>
    </row>
    <row r="1155" spans="1:11" hidden="1">
      <c r="A1155" s="29" t="s">
        <v>138</v>
      </c>
      <c r="B1155" s="32">
        <v>39568</v>
      </c>
      <c r="C1155" s="29">
        <v>42</v>
      </c>
      <c r="D1155" s="35">
        <v>42.75</v>
      </c>
      <c r="E1155" s="35">
        <v>41.75</v>
      </c>
      <c r="F1155" s="33">
        <v>42</v>
      </c>
      <c r="G1155" s="29">
        <v>0</v>
      </c>
      <c r="H1155" s="29">
        <v>0</v>
      </c>
      <c r="I1155" s="35">
        <v>42</v>
      </c>
      <c r="J1155" s="34">
        <v>28500</v>
      </c>
      <c r="K1155" s="34">
        <v>1200450</v>
      </c>
    </row>
    <row r="1156" spans="1:11" hidden="1">
      <c r="A1156" s="29" t="s">
        <v>138</v>
      </c>
      <c r="B1156" s="32">
        <v>39570</v>
      </c>
      <c r="C1156" s="29">
        <v>42.75</v>
      </c>
      <c r="D1156" s="35">
        <v>42.75</v>
      </c>
      <c r="E1156" s="35">
        <v>42</v>
      </c>
      <c r="F1156" s="33">
        <v>42</v>
      </c>
      <c r="G1156" s="29">
        <v>0</v>
      </c>
      <c r="H1156" s="29">
        <v>0</v>
      </c>
      <c r="I1156" s="35">
        <v>42</v>
      </c>
      <c r="J1156" s="34">
        <v>26300</v>
      </c>
      <c r="K1156" s="34">
        <v>1110225</v>
      </c>
    </row>
    <row r="1157" spans="1:11" hidden="1">
      <c r="A1157" s="29" t="s">
        <v>138</v>
      </c>
      <c r="B1157" s="32">
        <v>39573</v>
      </c>
      <c r="C1157" s="29">
        <v>42</v>
      </c>
      <c r="D1157" s="35">
        <v>42</v>
      </c>
      <c r="E1157" s="35">
        <v>41.5</v>
      </c>
      <c r="F1157" s="33">
        <v>41.5</v>
      </c>
      <c r="G1157" s="29">
        <v>0</v>
      </c>
      <c r="H1157" s="29">
        <v>0.5</v>
      </c>
      <c r="I1157" s="35">
        <v>42</v>
      </c>
      <c r="J1157" s="34">
        <v>12300</v>
      </c>
      <c r="K1157" s="34">
        <v>511975</v>
      </c>
    </row>
    <row r="1158" spans="1:11" hidden="1">
      <c r="A1158" s="29" t="s">
        <v>138</v>
      </c>
      <c r="B1158" s="32">
        <v>39574</v>
      </c>
      <c r="C1158" s="29">
        <v>41.5</v>
      </c>
      <c r="D1158" s="35">
        <v>41.5</v>
      </c>
      <c r="E1158" s="35">
        <v>41.5</v>
      </c>
      <c r="F1158" s="33">
        <v>41.5</v>
      </c>
      <c r="G1158" s="29">
        <v>0</v>
      </c>
      <c r="H1158" s="29">
        <v>0</v>
      </c>
      <c r="I1158" s="35">
        <v>41.5</v>
      </c>
      <c r="J1158" s="34">
        <v>10300</v>
      </c>
      <c r="K1158" s="34">
        <v>427450</v>
      </c>
    </row>
    <row r="1159" spans="1:11" hidden="1">
      <c r="A1159" s="29" t="s">
        <v>138</v>
      </c>
      <c r="B1159" s="32">
        <v>39575</v>
      </c>
      <c r="C1159" s="29">
        <v>41.25</v>
      </c>
      <c r="D1159" s="35">
        <v>41.5</v>
      </c>
      <c r="E1159" s="35">
        <v>40.5</v>
      </c>
      <c r="F1159" s="33">
        <v>41.25</v>
      </c>
      <c r="G1159" s="29">
        <v>0</v>
      </c>
      <c r="H1159" s="29">
        <v>0.25</v>
      </c>
      <c r="I1159" s="35">
        <v>41.5</v>
      </c>
      <c r="J1159" s="34">
        <v>28600</v>
      </c>
      <c r="K1159" s="34">
        <v>1178100</v>
      </c>
    </row>
    <row r="1160" spans="1:11" hidden="1">
      <c r="A1160" s="29" t="s">
        <v>138</v>
      </c>
      <c r="B1160" s="32">
        <v>39576</v>
      </c>
      <c r="C1160" s="29">
        <v>40.75</v>
      </c>
      <c r="D1160" s="35">
        <v>41</v>
      </c>
      <c r="E1160" s="35">
        <v>40.5</v>
      </c>
      <c r="F1160" s="33">
        <v>41</v>
      </c>
      <c r="G1160" s="29">
        <v>0</v>
      </c>
      <c r="H1160" s="29">
        <v>0.25</v>
      </c>
      <c r="I1160" s="35">
        <v>41.25</v>
      </c>
      <c r="J1160" s="34">
        <v>1300</v>
      </c>
      <c r="K1160" s="34">
        <v>53150</v>
      </c>
    </row>
    <row r="1161" spans="1:11" hidden="1">
      <c r="A1161" s="29" t="s">
        <v>138</v>
      </c>
      <c r="B1161" s="32">
        <v>39577</v>
      </c>
      <c r="C1161" s="29">
        <v>41.75</v>
      </c>
      <c r="D1161" s="35">
        <v>42.5</v>
      </c>
      <c r="E1161" s="35">
        <v>41</v>
      </c>
      <c r="F1161" s="33">
        <v>42</v>
      </c>
      <c r="G1161" s="29">
        <v>0</v>
      </c>
      <c r="H1161" s="29">
        <v>-1</v>
      </c>
      <c r="I1161" s="35">
        <v>41</v>
      </c>
      <c r="J1161" s="34">
        <v>40800</v>
      </c>
      <c r="K1161" s="34">
        <v>1703850</v>
      </c>
    </row>
    <row r="1162" spans="1:11" hidden="1">
      <c r="A1162" s="29" t="s">
        <v>138</v>
      </c>
      <c r="B1162" s="32">
        <v>39580</v>
      </c>
      <c r="C1162" s="29">
        <v>42</v>
      </c>
      <c r="D1162" s="35">
        <v>43.75</v>
      </c>
      <c r="E1162" s="35">
        <v>41.5</v>
      </c>
      <c r="F1162" s="33">
        <v>41.75</v>
      </c>
      <c r="G1162" s="29">
        <v>0</v>
      </c>
      <c r="H1162" s="29">
        <v>0.25</v>
      </c>
      <c r="I1162" s="35">
        <v>42</v>
      </c>
      <c r="J1162" s="34">
        <v>17100</v>
      </c>
      <c r="K1162" s="34">
        <v>717575</v>
      </c>
    </row>
    <row r="1163" spans="1:11" hidden="1">
      <c r="A1163" s="29" t="s">
        <v>138</v>
      </c>
      <c r="B1163" s="32">
        <v>39581</v>
      </c>
      <c r="C1163" s="29">
        <v>42</v>
      </c>
      <c r="D1163" s="35">
        <v>43</v>
      </c>
      <c r="E1163" s="35">
        <v>41.5</v>
      </c>
      <c r="F1163" s="33">
        <v>41.5</v>
      </c>
      <c r="G1163" s="29">
        <v>0</v>
      </c>
      <c r="H1163" s="29">
        <v>0.25</v>
      </c>
      <c r="I1163" s="35">
        <v>41.75</v>
      </c>
      <c r="J1163" s="34">
        <v>10200</v>
      </c>
      <c r="K1163" s="34">
        <v>428425</v>
      </c>
    </row>
    <row r="1164" spans="1:11" hidden="1">
      <c r="A1164" s="29" t="s">
        <v>138</v>
      </c>
      <c r="B1164" s="32">
        <v>39582</v>
      </c>
      <c r="C1164" s="29">
        <v>41.5</v>
      </c>
      <c r="D1164" s="35">
        <v>41.75</v>
      </c>
      <c r="E1164" s="35">
        <v>41</v>
      </c>
      <c r="F1164" s="33">
        <v>41</v>
      </c>
      <c r="G1164" s="29">
        <v>0</v>
      </c>
      <c r="H1164" s="29">
        <v>0.5</v>
      </c>
      <c r="I1164" s="35">
        <v>41.5</v>
      </c>
      <c r="J1164" s="34">
        <v>30400</v>
      </c>
      <c r="K1164" s="34">
        <v>1249000</v>
      </c>
    </row>
    <row r="1165" spans="1:11" hidden="1">
      <c r="A1165" s="29" t="s">
        <v>138</v>
      </c>
      <c r="B1165" s="32">
        <v>39583</v>
      </c>
      <c r="C1165" s="29">
        <v>41.5</v>
      </c>
      <c r="D1165" s="35">
        <v>41.5</v>
      </c>
      <c r="E1165" s="35">
        <v>40</v>
      </c>
      <c r="F1165" s="33">
        <v>40</v>
      </c>
      <c r="G1165" s="29">
        <v>0</v>
      </c>
      <c r="H1165" s="29">
        <v>1</v>
      </c>
      <c r="I1165" s="35">
        <v>41</v>
      </c>
      <c r="J1165" s="34">
        <v>43400</v>
      </c>
      <c r="K1165" s="34">
        <v>1741400</v>
      </c>
    </row>
    <row r="1166" spans="1:11" hidden="1">
      <c r="A1166" s="29" t="s">
        <v>138</v>
      </c>
      <c r="B1166" s="32">
        <v>39584</v>
      </c>
      <c r="C1166" s="29">
        <v>40</v>
      </c>
      <c r="D1166" s="35">
        <v>40.75</v>
      </c>
      <c r="E1166" s="35">
        <v>40</v>
      </c>
      <c r="F1166" s="33">
        <v>40</v>
      </c>
      <c r="G1166" s="29">
        <v>0</v>
      </c>
      <c r="H1166" s="29">
        <v>0</v>
      </c>
      <c r="I1166" s="35">
        <v>40</v>
      </c>
      <c r="J1166" s="34">
        <v>22100</v>
      </c>
      <c r="K1166" s="34">
        <v>885275</v>
      </c>
    </row>
    <row r="1167" spans="1:11" hidden="1">
      <c r="A1167" s="29" t="s">
        <v>138</v>
      </c>
      <c r="B1167" s="32">
        <v>39589</v>
      </c>
      <c r="C1167" s="29">
        <v>41</v>
      </c>
      <c r="D1167" s="35">
        <v>41</v>
      </c>
      <c r="E1167" s="35">
        <v>40</v>
      </c>
      <c r="F1167" s="33">
        <v>40</v>
      </c>
      <c r="G1167" s="29">
        <v>0</v>
      </c>
      <c r="H1167" s="29">
        <v>0</v>
      </c>
      <c r="I1167" s="35">
        <v>40</v>
      </c>
      <c r="J1167" s="34">
        <v>111300</v>
      </c>
      <c r="K1167" s="34">
        <v>4552750</v>
      </c>
    </row>
    <row r="1168" spans="1:11" hidden="1">
      <c r="A1168" s="29" t="s">
        <v>138</v>
      </c>
      <c r="B1168" s="32">
        <v>39590</v>
      </c>
      <c r="C1168" s="29">
        <v>40</v>
      </c>
      <c r="D1168" s="35">
        <v>40.75</v>
      </c>
      <c r="E1168" s="35">
        <v>39.75</v>
      </c>
      <c r="F1168" s="33">
        <v>40</v>
      </c>
      <c r="G1168" s="29">
        <v>0</v>
      </c>
      <c r="H1168" s="29">
        <v>0</v>
      </c>
      <c r="I1168" s="35">
        <v>40</v>
      </c>
      <c r="J1168" s="34">
        <v>34800</v>
      </c>
      <c r="K1168" s="34">
        <v>1392250</v>
      </c>
    </row>
    <row r="1169" spans="1:11" hidden="1">
      <c r="A1169" s="29" t="s">
        <v>138</v>
      </c>
      <c r="B1169" s="32">
        <v>39591</v>
      </c>
      <c r="C1169" s="29">
        <v>40</v>
      </c>
      <c r="D1169" s="35">
        <v>40</v>
      </c>
      <c r="E1169" s="35">
        <v>39.75</v>
      </c>
      <c r="F1169" s="33">
        <v>39.75</v>
      </c>
      <c r="G1169" s="29">
        <v>0</v>
      </c>
      <c r="H1169" s="29">
        <v>0.25</v>
      </c>
      <c r="I1169" s="35">
        <v>40</v>
      </c>
      <c r="J1169" s="34">
        <v>4700</v>
      </c>
      <c r="K1169" s="34">
        <v>187225</v>
      </c>
    </row>
    <row r="1170" spans="1:11" hidden="1">
      <c r="A1170" s="29" t="s">
        <v>138</v>
      </c>
      <c r="B1170" s="32">
        <v>39594</v>
      </c>
      <c r="C1170" s="29">
        <v>40</v>
      </c>
      <c r="D1170" s="35">
        <v>40</v>
      </c>
      <c r="E1170" s="35">
        <v>39.75</v>
      </c>
      <c r="F1170" s="33">
        <v>39.75</v>
      </c>
      <c r="G1170" s="29">
        <v>0</v>
      </c>
      <c r="H1170" s="29">
        <v>0</v>
      </c>
      <c r="I1170" s="35">
        <v>39.75</v>
      </c>
      <c r="J1170" s="34">
        <v>4500</v>
      </c>
      <c r="K1170" s="34">
        <v>179450</v>
      </c>
    </row>
    <row r="1171" spans="1:11" hidden="1">
      <c r="A1171" s="29" t="s">
        <v>138</v>
      </c>
      <c r="B1171" s="32">
        <v>39595</v>
      </c>
      <c r="C1171" s="29">
        <v>39.75</v>
      </c>
      <c r="D1171" s="35">
        <v>39.75</v>
      </c>
      <c r="E1171" s="35">
        <v>39</v>
      </c>
      <c r="F1171" s="33">
        <v>39</v>
      </c>
      <c r="G1171" s="29">
        <v>0</v>
      </c>
      <c r="H1171" s="29">
        <v>0.75</v>
      </c>
      <c r="I1171" s="35">
        <v>39.75</v>
      </c>
      <c r="J1171" s="34">
        <v>11800</v>
      </c>
      <c r="K1171" s="34">
        <v>461375</v>
      </c>
    </row>
    <row r="1172" spans="1:11" hidden="1">
      <c r="A1172" s="29" t="s">
        <v>138</v>
      </c>
      <c r="B1172" s="32">
        <v>39596</v>
      </c>
      <c r="C1172" s="29">
        <v>38.75</v>
      </c>
      <c r="D1172" s="35">
        <v>38.75</v>
      </c>
      <c r="E1172" s="35">
        <v>37</v>
      </c>
      <c r="F1172" s="33">
        <v>38.25</v>
      </c>
      <c r="G1172" s="29">
        <v>0</v>
      </c>
      <c r="H1172" s="29">
        <v>0.75</v>
      </c>
      <c r="I1172" s="35">
        <v>39</v>
      </c>
      <c r="J1172" s="34">
        <v>7600</v>
      </c>
      <c r="K1172" s="34">
        <v>288150</v>
      </c>
    </row>
    <row r="1173" spans="1:11" hidden="1">
      <c r="A1173" s="29" t="s">
        <v>138</v>
      </c>
      <c r="B1173" s="32">
        <v>39597</v>
      </c>
      <c r="C1173" s="29">
        <v>38</v>
      </c>
      <c r="D1173" s="35">
        <v>38.25</v>
      </c>
      <c r="E1173" s="35">
        <v>38</v>
      </c>
      <c r="F1173" s="33">
        <v>38</v>
      </c>
      <c r="G1173" s="29">
        <v>0</v>
      </c>
      <c r="H1173" s="29">
        <v>0.25</v>
      </c>
      <c r="I1173" s="35">
        <v>38.25</v>
      </c>
      <c r="J1173" s="34">
        <v>17000</v>
      </c>
      <c r="K1173" s="34">
        <v>646050</v>
      </c>
    </row>
    <row r="1174" spans="1:11" hidden="1">
      <c r="A1174" s="29" t="s">
        <v>138</v>
      </c>
      <c r="B1174" s="32">
        <v>39598</v>
      </c>
      <c r="C1174" s="29">
        <v>37.75</v>
      </c>
      <c r="D1174" s="35">
        <v>39</v>
      </c>
      <c r="E1174" s="35">
        <v>37.75</v>
      </c>
      <c r="F1174" s="33">
        <v>38</v>
      </c>
      <c r="G1174" s="29">
        <v>0</v>
      </c>
      <c r="H1174" s="29">
        <v>0</v>
      </c>
      <c r="I1174" s="35">
        <v>38</v>
      </c>
      <c r="J1174" s="34">
        <v>79300</v>
      </c>
      <c r="K1174" s="34">
        <v>3016225</v>
      </c>
    </row>
    <row r="1175" spans="1:11" hidden="1">
      <c r="A1175" s="29" t="s">
        <v>138</v>
      </c>
      <c r="B1175" s="32">
        <v>39601</v>
      </c>
      <c r="C1175" s="29">
        <v>38</v>
      </c>
      <c r="D1175" s="35">
        <v>38</v>
      </c>
      <c r="E1175" s="35">
        <v>37.5</v>
      </c>
      <c r="F1175" s="33">
        <v>37.5</v>
      </c>
      <c r="G1175" s="29">
        <v>0</v>
      </c>
      <c r="H1175" s="29">
        <v>0.5</v>
      </c>
      <c r="I1175" s="35">
        <v>38</v>
      </c>
      <c r="J1175" s="34">
        <v>9900</v>
      </c>
      <c r="K1175" s="34">
        <v>373325</v>
      </c>
    </row>
    <row r="1176" spans="1:11" hidden="1">
      <c r="A1176" s="29" t="s">
        <v>138</v>
      </c>
      <c r="B1176" s="32">
        <v>39602</v>
      </c>
      <c r="C1176" s="29">
        <v>38</v>
      </c>
      <c r="D1176" s="35">
        <v>38</v>
      </c>
      <c r="E1176" s="35">
        <v>37</v>
      </c>
      <c r="F1176" s="33">
        <v>37.5</v>
      </c>
      <c r="G1176" s="29">
        <v>0</v>
      </c>
      <c r="H1176" s="29">
        <v>0</v>
      </c>
      <c r="I1176" s="35">
        <v>37.5</v>
      </c>
      <c r="J1176" s="34">
        <v>17400</v>
      </c>
      <c r="K1176" s="34">
        <v>651050</v>
      </c>
    </row>
    <row r="1177" spans="1:11" hidden="1">
      <c r="A1177" s="29" t="s">
        <v>138</v>
      </c>
      <c r="B1177" s="32">
        <v>39603</v>
      </c>
      <c r="C1177" s="29">
        <v>37.5</v>
      </c>
      <c r="D1177" s="35">
        <v>38</v>
      </c>
      <c r="E1177" s="35">
        <v>36.5</v>
      </c>
      <c r="F1177" s="33">
        <v>36.5</v>
      </c>
      <c r="G1177" s="29">
        <v>0</v>
      </c>
      <c r="H1177" s="29">
        <v>1</v>
      </c>
      <c r="I1177" s="35">
        <v>37.5</v>
      </c>
      <c r="J1177" s="34">
        <v>17900</v>
      </c>
      <c r="K1177" s="34">
        <v>666900</v>
      </c>
    </row>
    <row r="1178" spans="1:11" hidden="1">
      <c r="A1178" s="29" t="s">
        <v>138</v>
      </c>
      <c r="B1178" s="32">
        <v>39604</v>
      </c>
      <c r="C1178" s="29">
        <v>36.5</v>
      </c>
      <c r="D1178" s="35">
        <v>37</v>
      </c>
      <c r="E1178" s="35">
        <v>36</v>
      </c>
      <c r="F1178" s="33">
        <v>36</v>
      </c>
      <c r="G1178" s="29">
        <v>0</v>
      </c>
      <c r="H1178" s="29">
        <v>0.5</v>
      </c>
      <c r="I1178" s="35">
        <v>36.5</v>
      </c>
      <c r="J1178" s="34">
        <v>21900</v>
      </c>
      <c r="K1178" s="34">
        <v>798050</v>
      </c>
    </row>
    <row r="1179" spans="1:11" hidden="1">
      <c r="A1179" s="29" t="s">
        <v>138</v>
      </c>
      <c r="B1179" s="32">
        <v>39605</v>
      </c>
      <c r="C1179" s="29">
        <v>36.75</v>
      </c>
      <c r="D1179" s="35">
        <v>36.75</v>
      </c>
      <c r="E1179" s="35">
        <v>35.75</v>
      </c>
      <c r="F1179" s="33">
        <v>36</v>
      </c>
      <c r="G1179" s="29">
        <v>0</v>
      </c>
      <c r="H1179" s="29">
        <v>0</v>
      </c>
      <c r="I1179" s="35">
        <v>36</v>
      </c>
      <c r="J1179" s="34">
        <v>10900</v>
      </c>
      <c r="K1179" s="34">
        <v>392525</v>
      </c>
    </row>
    <row r="1180" spans="1:11" hidden="1">
      <c r="A1180" s="29" t="s">
        <v>138</v>
      </c>
      <c r="B1180" s="32">
        <v>39608</v>
      </c>
      <c r="C1180" s="29">
        <v>36.5</v>
      </c>
      <c r="D1180" s="35">
        <v>36.5</v>
      </c>
      <c r="E1180" s="35">
        <v>35.25</v>
      </c>
      <c r="F1180" s="33">
        <v>35.5</v>
      </c>
      <c r="G1180" s="29">
        <v>0</v>
      </c>
      <c r="H1180" s="29">
        <v>0.5</v>
      </c>
      <c r="I1180" s="35">
        <v>36</v>
      </c>
      <c r="J1180" s="34">
        <v>4400</v>
      </c>
      <c r="K1180" s="34">
        <v>156700</v>
      </c>
    </row>
    <row r="1181" spans="1:11" hidden="1">
      <c r="A1181" s="29" t="s">
        <v>138</v>
      </c>
      <c r="B1181" s="32">
        <v>39609</v>
      </c>
      <c r="C1181" s="29">
        <v>35.75</v>
      </c>
      <c r="D1181" s="35">
        <v>36</v>
      </c>
      <c r="E1181" s="35">
        <v>35</v>
      </c>
      <c r="F1181" s="33">
        <v>35</v>
      </c>
      <c r="G1181" s="29">
        <v>0</v>
      </c>
      <c r="H1181" s="29">
        <v>0.5</v>
      </c>
      <c r="I1181" s="35">
        <v>35.5</v>
      </c>
      <c r="J1181" s="34">
        <v>14500</v>
      </c>
      <c r="K1181" s="34">
        <v>509100</v>
      </c>
    </row>
    <row r="1182" spans="1:11" hidden="1">
      <c r="A1182" s="29" t="s">
        <v>138</v>
      </c>
      <c r="B1182" s="32">
        <v>39610</v>
      </c>
      <c r="C1182" s="29">
        <v>35</v>
      </c>
      <c r="D1182" s="35">
        <v>35.75</v>
      </c>
      <c r="E1182" s="35">
        <v>35</v>
      </c>
      <c r="F1182" s="33">
        <v>35</v>
      </c>
      <c r="G1182" s="29">
        <v>0</v>
      </c>
      <c r="H1182" s="29">
        <v>0</v>
      </c>
      <c r="I1182" s="35">
        <v>35</v>
      </c>
      <c r="J1182" s="34">
        <v>32100</v>
      </c>
      <c r="K1182" s="34">
        <v>1123650</v>
      </c>
    </row>
    <row r="1183" spans="1:11" hidden="1">
      <c r="A1183" s="29" t="s">
        <v>138</v>
      </c>
      <c r="B1183" s="32">
        <v>39611</v>
      </c>
      <c r="C1183" s="29">
        <v>35.25</v>
      </c>
      <c r="D1183" s="35">
        <v>35.25</v>
      </c>
      <c r="E1183" s="35">
        <v>34.25</v>
      </c>
      <c r="F1183" s="33">
        <v>34.5</v>
      </c>
      <c r="G1183" s="29">
        <v>0</v>
      </c>
      <c r="H1183" s="29">
        <v>0.5</v>
      </c>
      <c r="I1183" s="35">
        <v>35</v>
      </c>
      <c r="J1183" s="34">
        <v>7500</v>
      </c>
      <c r="K1183" s="34">
        <v>261125</v>
      </c>
    </row>
    <row r="1184" spans="1:11" hidden="1">
      <c r="A1184" s="29" t="s">
        <v>138</v>
      </c>
      <c r="B1184" s="32">
        <v>39612</v>
      </c>
      <c r="C1184" s="29">
        <v>34.75</v>
      </c>
      <c r="D1184" s="35">
        <v>34.75</v>
      </c>
      <c r="E1184" s="35">
        <v>34</v>
      </c>
      <c r="F1184" s="33">
        <v>34</v>
      </c>
      <c r="G1184" s="29">
        <v>0</v>
      </c>
      <c r="H1184" s="29">
        <v>0.5</v>
      </c>
      <c r="I1184" s="35">
        <v>34.5</v>
      </c>
      <c r="J1184" s="34">
        <v>9300</v>
      </c>
      <c r="K1184" s="34">
        <v>316975</v>
      </c>
    </row>
    <row r="1185" spans="1:11" hidden="1">
      <c r="A1185" s="29" t="s">
        <v>138</v>
      </c>
      <c r="B1185" s="32">
        <v>39615</v>
      </c>
      <c r="C1185" s="29">
        <v>34.75</v>
      </c>
      <c r="D1185" s="35">
        <v>34.75</v>
      </c>
      <c r="E1185" s="35">
        <v>34.75</v>
      </c>
      <c r="F1185" s="33">
        <v>34.75</v>
      </c>
      <c r="G1185" s="29">
        <v>0</v>
      </c>
      <c r="H1185" s="29">
        <v>-0.75</v>
      </c>
      <c r="I1185" s="35">
        <v>34</v>
      </c>
      <c r="J1185" s="34">
        <v>100</v>
      </c>
      <c r="K1185" s="34">
        <v>3475</v>
      </c>
    </row>
    <row r="1186" spans="1:11" hidden="1">
      <c r="A1186" s="29" t="s">
        <v>138</v>
      </c>
      <c r="B1186" s="32">
        <v>39616</v>
      </c>
      <c r="C1186" s="29">
        <v>34</v>
      </c>
      <c r="D1186" s="35">
        <v>34</v>
      </c>
      <c r="E1186" s="35">
        <v>33</v>
      </c>
      <c r="F1186" s="33">
        <v>33</v>
      </c>
      <c r="G1186" s="29">
        <v>0</v>
      </c>
      <c r="H1186" s="29">
        <v>1.75</v>
      </c>
      <c r="I1186" s="35">
        <v>34.75</v>
      </c>
      <c r="J1186" s="34">
        <v>32000</v>
      </c>
      <c r="K1186" s="34">
        <v>1070550</v>
      </c>
    </row>
    <row r="1187" spans="1:11" hidden="1">
      <c r="A1187" s="29" t="s">
        <v>138</v>
      </c>
      <c r="B1187" s="32">
        <v>39618</v>
      </c>
      <c r="C1187" s="29">
        <v>33.5</v>
      </c>
      <c r="D1187" s="35">
        <v>33.5</v>
      </c>
      <c r="E1187" s="35">
        <v>33.5</v>
      </c>
      <c r="F1187" s="33">
        <v>33.5</v>
      </c>
      <c r="G1187" s="29">
        <v>0</v>
      </c>
      <c r="H1187" s="29">
        <v>-0.5</v>
      </c>
      <c r="I1187" s="35">
        <v>33</v>
      </c>
      <c r="J1187" s="34">
        <v>10400</v>
      </c>
      <c r="K1187" s="34">
        <v>348400</v>
      </c>
    </row>
    <row r="1188" spans="1:11" hidden="1">
      <c r="A1188" s="29" t="s">
        <v>138</v>
      </c>
      <c r="B1188" s="32">
        <v>39619</v>
      </c>
      <c r="C1188" s="29">
        <v>33.5</v>
      </c>
      <c r="D1188" s="35">
        <v>35.5</v>
      </c>
      <c r="E1188" s="35">
        <v>33.25</v>
      </c>
      <c r="F1188" s="33">
        <v>34.25</v>
      </c>
      <c r="G1188" s="29">
        <v>0</v>
      </c>
      <c r="H1188" s="29">
        <v>-0.75</v>
      </c>
      <c r="I1188" s="35">
        <v>33.5</v>
      </c>
      <c r="J1188" s="34">
        <v>47100</v>
      </c>
      <c r="K1188" s="34">
        <v>1611000</v>
      </c>
    </row>
    <row r="1189" spans="1:11" hidden="1">
      <c r="A1189" s="29" t="s">
        <v>138</v>
      </c>
      <c r="B1189" s="32">
        <v>39622</v>
      </c>
      <c r="C1189" s="29">
        <v>35.25</v>
      </c>
      <c r="D1189" s="35">
        <v>35.5</v>
      </c>
      <c r="E1189" s="35">
        <v>35</v>
      </c>
      <c r="F1189" s="33">
        <v>35.5</v>
      </c>
      <c r="G1189" s="29">
        <v>0</v>
      </c>
      <c r="H1189" s="29">
        <v>-1.25</v>
      </c>
      <c r="I1189" s="35">
        <v>34.25</v>
      </c>
      <c r="J1189" s="34">
        <v>14400</v>
      </c>
      <c r="K1189" s="34">
        <v>508575</v>
      </c>
    </row>
    <row r="1190" spans="1:11" hidden="1">
      <c r="A1190" s="29" t="s">
        <v>138</v>
      </c>
      <c r="B1190" s="32">
        <v>39623</v>
      </c>
      <c r="C1190" s="29">
        <v>35.5</v>
      </c>
      <c r="D1190" s="35">
        <v>40</v>
      </c>
      <c r="E1190" s="35">
        <v>35.5</v>
      </c>
      <c r="F1190" s="33">
        <v>38.25</v>
      </c>
      <c r="G1190" s="29">
        <v>0</v>
      </c>
      <c r="H1190" s="29">
        <v>-2.75</v>
      </c>
      <c r="I1190" s="35">
        <v>35.5</v>
      </c>
      <c r="J1190" s="34">
        <v>203600</v>
      </c>
      <c r="K1190" s="34">
        <v>7831875</v>
      </c>
    </row>
    <row r="1191" spans="1:11" hidden="1">
      <c r="A1191" s="29" t="s">
        <v>138</v>
      </c>
      <c r="B1191" s="32">
        <v>39624</v>
      </c>
      <c r="C1191" s="29">
        <v>38.75</v>
      </c>
      <c r="D1191" s="35">
        <v>41</v>
      </c>
      <c r="E1191" s="35">
        <v>38.5</v>
      </c>
      <c r="F1191" s="33">
        <v>39.75</v>
      </c>
      <c r="G1191" s="29">
        <v>0</v>
      </c>
      <c r="H1191" s="29">
        <v>-1.5</v>
      </c>
      <c r="I1191" s="35">
        <v>38.25</v>
      </c>
      <c r="J1191" s="34">
        <v>224300</v>
      </c>
      <c r="K1191" s="34">
        <v>8933625</v>
      </c>
    </row>
    <row r="1192" spans="1:11" hidden="1">
      <c r="A1192" s="29" t="s">
        <v>138</v>
      </c>
      <c r="B1192" s="32">
        <v>39625</v>
      </c>
      <c r="C1192" s="29">
        <v>39.75</v>
      </c>
      <c r="D1192" s="35">
        <v>40</v>
      </c>
      <c r="E1192" s="35">
        <v>38.25</v>
      </c>
      <c r="F1192" s="33">
        <v>38.75</v>
      </c>
      <c r="G1192" s="29">
        <v>0</v>
      </c>
      <c r="H1192" s="29">
        <v>1</v>
      </c>
      <c r="I1192" s="35">
        <v>39.75</v>
      </c>
      <c r="J1192" s="34">
        <v>25100</v>
      </c>
      <c r="K1192" s="34">
        <v>984900</v>
      </c>
    </row>
    <row r="1193" spans="1:11" hidden="1">
      <c r="A1193" s="29" t="s">
        <v>138</v>
      </c>
      <c r="B1193" s="32">
        <v>39626</v>
      </c>
      <c r="C1193" s="29">
        <v>38.5</v>
      </c>
      <c r="D1193" s="35">
        <v>39.5</v>
      </c>
      <c r="E1193" s="35">
        <v>38.25</v>
      </c>
      <c r="F1193" s="33">
        <v>39</v>
      </c>
      <c r="G1193" s="29">
        <v>0</v>
      </c>
      <c r="H1193" s="29">
        <v>-0.25</v>
      </c>
      <c r="I1193" s="35">
        <v>38.75</v>
      </c>
      <c r="J1193" s="34">
        <v>7800</v>
      </c>
      <c r="K1193" s="34">
        <v>302050</v>
      </c>
    </row>
    <row r="1194" spans="1:11" hidden="1">
      <c r="A1194" s="29" t="s">
        <v>138</v>
      </c>
      <c r="B1194" s="32">
        <v>39629</v>
      </c>
      <c r="C1194" s="29">
        <v>39</v>
      </c>
      <c r="D1194" s="35">
        <v>39</v>
      </c>
      <c r="E1194" s="35">
        <v>37.5</v>
      </c>
      <c r="F1194" s="33">
        <v>37.5</v>
      </c>
      <c r="G1194" s="29">
        <v>0</v>
      </c>
      <c r="H1194" s="29">
        <v>1.5</v>
      </c>
      <c r="I1194" s="35">
        <v>39</v>
      </c>
      <c r="J1194" s="34">
        <v>16700</v>
      </c>
      <c r="K1194" s="34">
        <v>633800</v>
      </c>
    </row>
    <row r="1195" spans="1:11" hidden="1">
      <c r="A1195" s="29" t="s">
        <v>138</v>
      </c>
      <c r="B1195" s="32">
        <v>39630</v>
      </c>
      <c r="C1195" s="29">
        <v>37.75</v>
      </c>
      <c r="D1195" s="35">
        <v>37.75</v>
      </c>
      <c r="E1195" s="35">
        <v>37.25</v>
      </c>
      <c r="F1195" s="33">
        <v>37.25</v>
      </c>
      <c r="G1195" s="29">
        <v>0</v>
      </c>
      <c r="H1195" s="29">
        <v>0.25</v>
      </c>
      <c r="I1195" s="35">
        <v>37.5</v>
      </c>
      <c r="J1195" s="34">
        <v>1500</v>
      </c>
      <c r="K1195" s="34">
        <v>56450</v>
      </c>
    </row>
    <row r="1196" spans="1:11" hidden="1">
      <c r="A1196" s="29" t="s">
        <v>138</v>
      </c>
      <c r="B1196" s="32">
        <v>39631</v>
      </c>
      <c r="C1196" s="29">
        <v>37</v>
      </c>
      <c r="D1196" s="35">
        <v>37</v>
      </c>
      <c r="E1196" s="35">
        <v>36.25</v>
      </c>
      <c r="F1196" s="33">
        <v>36.5</v>
      </c>
      <c r="G1196" s="29">
        <v>0</v>
      </c>
      <c r="H1196" s="29">
        <v>0.75</v>
      </c>
      <c r="I1196" s="35">
        <v>37.25</v>
      </c>
      <c r="J1196" s="34">
        <v>7600</v>
      </c>
      <c r="K1196" s="34">
        <v>278700</v>
      </c>
    </row>
    <row r="1197" spans="1:11" hidden="1">
      <c r="A1197" s="29" t="s">
        <v>138</v>
      </c>
      <c r="B1197" s="32">
        <v>39632</v>
      </c>
      <c r="C1197" s="29">
        <v>36.5</v>
      </c>
      <c r="D1197" s="35">
        <v>37</v>
      </c>
      <c r="E1197" s="35">
        <v>36.5</v>
      </c>
      <c r="F1197" s="33">
        <v>36.5</v>
      </c>
      <c r="G1197" s="29">
        <v>0</v>
      </c>
      <c r="H1197" s="29">
        <v>0</v>
      </c>
      <c r="I1197" s="35">
        <v>36.5</v>
      </c>
      <c r="J1197" s="34">
        <v>3800</v>
      </c>
      <c r="K1197" s="34">
        <v>139300</v>
      </c>
    </row>
    <row r="1198" spans="1:11" hidden="1">
      <c r="A1198" s="29" t="s">
        <v>138</v>
      </c>
      <c r="B1198" s="32">
        <v>39633</v>
      </c>
      <c r="C1198" s="29">
        <v>36.5</v>
      </c>
      <c r="D1198" s="35">
        <v>37</v>
      </c>
      <c r="E1198" s="35">
        <v>36.25</v>
      </c>
      <c r="F1198" s="33">
        <v>36.25</v>
      </c>
      <c r="G1198" s="29">
        <v>0</v>
      </c>
      <c r="H1198" s="29">
        <v>0.25</v>
      </c>
      <c r="I1198" s="35">
        <v>36.5</v>
      </c>
      <c r="J1198" s="34">
        <v>32400</v>
      </c>
      <c r="K1198" s="34">
        <v>1191975</v>
      </c>
    </row>
    <row r="1199" spans="1:11" hidden="1">
      <c r="A1199" s="29" t="s">
        <v>138</v>
      </c>
      <c r="B1199" s="32">
        <v>39636</v>
      </c>
      <c r="C1199" s="29">
        <v>36.25</v>
      </c>
      <c r="D1199" s="35">
        <v>36.5</v>
      </c>
      <c r="E1199" s="35">
        <v>36</v>
      </c>
      <c r="F1199" s="33">
        <v>36</v>
      </c>
      <c r="G1199" s="29">
        <v>0</v>
      </c>
      <c r="H1199" s="29">
        <v>0.25</v>
      </c>
      <c r="I1199" s="35">
        <v>36.25</v>
      </c>
      <c r="J1199" s="34">
        <v>5800</v>
      </c>
      <c r="K1199" s="34">
        <v>210150</v>
      </c>
    </row>
    <row r="1200" spans="1:11" hidden="1">
      <c r="A1200" s="29" t="s">
        <v>138</v>
      </c>
      <c r="B1200" s="32">
        <v>39637</v>
      </c>
      <c r="C1200" s="29">
        <v>35.75</v>
      </c>
      <c r="D1200" s="35">
        <v>36</v>
      </c>
      <c r="E1200" s="35">
        <v>34.25</v>
      </c>
      <c r="F1200" s="33">
        <v>34.75</v>
      </c>
      <c r="G1200" s="29">
        <v>0</v>
      </c>
      <c r="H1200" s="29">
        <v>1.25</v>
      </c>
      <c r="I1200" s="35">
        <v>36</v>
      </c>
      <c r="J1200" s="34">
        <v>12000</v>
      </c>
      <c r="K1200" s="34">
        <v>424425</v>
      </c>
    </row>
    <row r="1201" spans="1:11" hidden="1">
      <c r="A1201" s="29" t="s">
        <v>138</v>
      </c>
      <c r="B1201" s="32">
        <v>39638</v>
      </c>
      <c r="C1201" s="29">
        <v>36.5</v>
      </c>
      <c r="D1201" s="35">
        <v>36.5</v>
      </c>
      <c r="E1201" s="35">
        <v>34.5</v>
      </c>
      <c r="F1201" s="33">
        <v>34.5</v>
      </c>
      <c r="G1201" s="29">
        <v>0</v>
      </c>
      <c r="H1201" s="29">
        <v>0.25</v>
      </c>
      <c r="I1201" s="35">
        <v>34.75</v>
      </c>
      <c r="J1201" s="34">
        <v>11100</v>
      </c>
      <c r="K1201" s="34">
        <v>383950</v>
      </c>
    </row>
    <row r="1202" spans="1:11" hidden="1">
      <c r="A1202" s="29" t="s">
        <v>138</v>
      </c>
      <c r="B1202" s="32">
        <v>39639</v>
      </c>
      <c r="C1202" s="29">
        <v>35</v>
      </c>
      <c r="D1202" s="35">
        <v>38</v>
      </c>
      <c r="E1202" s="35">
        <v>35</v>
      </c>
      <c r="F1202" s="33">
        <v>36.75</v>
      </c>
      <c r="G1202" s="29">
        <v>0</v>
      </c>
      <c r="H1202" s="29">
        <v>-2.25</v>
      </c>
      <c r="I1202" s="35">
        <v>34.5</v>
      </c>
      <c r="J1202" s="34">
        <v>601900</v>
      </c>
      <c r="K1202" s="34">
        <v>21674250</v>
      </c>
    </row>
    <row r="1203" spans="1:11" hidden="1">
      <c r="A1203" s="29" t="s">
        <v>138</v>
      </c>
      <c r="B1203" s="32">
        <v>39640</v>
      </c>
      <c r="C1203" s="29">
        <v>37</v>
      </c>
      <c r="D1203" s="35">
        <v>38</v>
      </c>
      <c r="E1203" s="35">
        <v>36</v>
      </c>
      <c r="F1203" s="33">
        <v>36</v>
      </c>
      <c r="G1203" s="29">
        <v>0</v>
      </c>
      <c r="H1203" s="29">
        <v>0.75</v>
      </c>
      <c r="I1203" s="35">
        <v>36.75</v>
      </c>
      <c r="J1203" s="34">
        <v>7500</v>
      </c>
      <c r="K1203" s="34">
        <v>275000</v>
      </c>
    </row>
    <row r="1204" spans="1:11" hidden="1">
      <c r="A1204" s="29" t="s">
        <v>138</v>
      </c>
      <c r="B1204" s="32">
        <v>39643</v>
      </c>
      <c r="C1204" s="29">
        <v>37</v>
      </c>
      <c r="D1204" s="35">
        <v>37</v>
      </c>
      <c r="E1204" s="35">
        <v>37</v>
      </c>
      <c r="F1204" s="33">
        <v>37</v>
      </c>
      <c r="G1204" s="29">
        <v>0</v>
      </c>
      <c r="H1204" s="29">
        <v>-1</v>
      </c>
      <c r="I1204" s="35">
        <v>36</v>
      </c>
      <c r="J1204" s="34">
        <v>2100</v>
      </c>
      <c r="K1204" s="34">
        <v>77700</v>
      </c>
    </row>
    <row r="1205" spans="1:11" hidden="1">
      <c r="A1205" s="29" t="s">
        <v>138</v>
      </c>
      <c r="B1205" s="32">
        <v>39644</v>
      </c>
      <c r="C1205" s="29">
        <v>37</v>
      </c>
      <c r="D1205" s="35">
        <v>37</v>
      </c>
      <c r="E1205" s="35">
        <v>36</v>
      </c>
      <c r="F1205" s="33">
        <v>36</v>
      </c>
      <c r="G1205" s="29">
        <v>0</v>
      </c>
      <c r="H1205" s="29">
        <v>1</v>
      </c>
      <c r="I1205" s="35">
        <v>37</v>
      </c>
      <c r="J1205" s="34">
        <v>120300</v>
      </c>
      <c r="K1205" s="34">
        <v>4335150</v>
      </c>
    </row>
    <row r="1206" spans="1:11" hidden="1">
      <c r="A1206" s="29" t="s">
        <v>138</v>
      </c>
      <c r="B1206" s="32">
        <v>39645</v>
      </c>
      <c r="C1206" s="29">
        <v>37</v>
      </c>
      <c r="D1206" s="35">
        <v>37</v>
      </c>
      <c r="E1206" s="35">
        <v>36.25</v>
      </c>
      <c r="F1206" s="33">
        <v>36.25</v>
      </c>
      <c r="G1206" s="29">
        <v>0</v>
      </c>
      <c r="H1206" s="29">
        <v>-0.25</v>
      </c>
      <c r="I1206" s="35">
        <v>36</v>
      </c>
      <c r="J1206" s="34">
        <v>17600</v>
      </c>
      <c r="K1206" s="34">
        <v>650325</v>
      </c>
    </row>
    <row r="1207" spans="1:11" hidden="1">
      <c r="A1207" s="29" t="s">
        <v>138</v>
      </c>
      <c r="B1207" s="32">
        <v>39647</v>
      </c>
      <c r="C1207" s="29">
        <v>36.25</v>
      </c>
      <c r="D1207" s="35">
        <v>36.25</v>
      </c>
      <c r="E1207" s="35">
        <v>36.25</v>
      </c>
      <c r="F1207" s="33">
        <v>36.25</v>
      </c>
      <c r="G1207" s="29">
        <v>0</v>
      </c>
      <c r="H1207" s="29">
        <v>0</v>
      </c>
      <c r="I1207" s="35">
        <v>36.25</v>
      </c>
      <c r="J1207" s="34">
        <v>5400</v>
      </c>
      <c r="K1207" s="34">
        <v>195750</v>
      </c>
    </row>
    <row r="1208" spans="1:11" hidden="1">
      <c r="A1208" s="29" t="s">
        <v>138</v>
      </c>
      <c r="B1208" s="32">
        <v>39650</v>
      </c>
      <c r="C1208" s="29">
        <v>36.25</v>
      </c>
      <c r="D1208" s="35">
        <v>36.25</v>
      </c>
      <c r="E1208" s="35">
        <v>36</v>
      </c>
      <c r="F1208" s="33">
        <v>36</v>
      </c>
      <c r="G1208" s="29">
        <v>0</v>
      </c>
      <c r="H1208" s="29">
        <v>0.25</v>
      </c>
      <c r="I1208" s="35">
        <v>36.25</v>
      </c>
      <c r="J1208" s="34">
        <v>4600</v>
      </c>
      <c r="K1208" s="34">
        <v>165675</v>
      </c>
    </row>
    <row r="1209" spans="1:11" hidden="1">
      <c r="A1209" s="29" t="s">
        <v>138</v>
      </c>
      <c r="B1209" s="32">
        <v>39651</v>
      </c>
      <c r="C1209" s="29">
        <v>35.75</v>
      </c>
      <c r="D1209" s="35">
        <v>35.75</v>
      </c>
      <c r="E1209" s="35">
        <v>35.25</v>
      </c>
      <c r="F1209" s="33">
        <v>35.25</v>
      </c>
      <c r="G1209" s="29">
        <v>0</v>
      </c>
      <c r="H1209" s="29">
        <v>0.75</v>
      </c>
      <c r="I1209" s="35">
        <v>36</v>
      </c>
      <c r="J1209" s="34">
        <v>7400</v>
      </c>
      <c r="K1209" s="34">
        <v>261925</v>
      </c>
    </row>
    <row r="1210" spans="1:11" hidden="1">
      <c r="A1210" s="29" t="s">
        <v>138</v>
      </c>
      <c r="B1210" s="32">
        <v>39652</v>
      </c>
      <c r="C1210" s="29">
        <v>35</v>
      </c>
      <c r="D1210" s="35">
        <v>35.5</v>
      </c>
      <c r="E1210" s="35">
        <v>35</v>
      </c>
      <c r="F1210" s="33">
        <v>35.25</v>
      </c>
      <c r="G1210" s="29">
        <v>0</v>
      </c>
      <c r="H1210" s="29">
        <v>0</v>
      </c>
      <c r="I1210" s="35">
        <v>35.25</v>
      </c>
      <c r="J1210" s="34">
        <v>5100</v>
      </c>
      <c r="K1210" s="34">
        <v>179025</v>
      </c>
    </row>
    <row r="1211" spans="1:11" hidden="1">
      <c r="A1211" s="29" t="s">
        <v>138</v>
      </c>
      <c r="B1211" s="32">
        <v>39653</v>
      </c>
      <c r="C1211" s="29">
        <v>35.5</v>
      </c>
      <c r="D1211" s="35">
        <v>36</v>
      </c>
      <c r="E1211" s="35">
        <v>35.5</v>
      </c>
      <c r="F1211" s="33">
        <v>36</v>
      </c>
      <c r="G1211" s="29">
        <v>0</v>
      </c>
      <c r="H1211" s="29">
        <v>-0.75</v>
      </c>
      <c r="I1211" s="35">
        <v>35.25</v>
      </c>
      <c r="J1211" s="34">
        <v>7200</v>
      </c>
      <c r="K1211" s="34">
        <v>258400</v>
      </c>
    </row>
    <row r="1212" spans="1:11" hidden="1">
      <c r="A1212" s="29" t="s">
        <v>138</v>
      </c>
      <c r="B1212" s="32">
        <v>39654</v>
      </c>
      <c r="C1212" s="29">
        <v>36</v>
      </c>
      <c r="D1212" s="35">
        <v>36</v>
      </c>
      <c r="E1212" s="35">
        <v>36</v>
      </c>
      <c r="F1212" s="33">
        <v>36</v>
      </c>
      <c r="G1212" s="29">
        <v>0</v>
      </c>
      <c r="H1212" s="29">
        <v>0</v>
      </c>
      <c r="I1212" s="35">
        <v>36</v>
      </c>
      <c r="J1212" s="34">
        <v>1100</v>
      </c>
      <c r="K1212" s="34">
        <v>39600</v>
      </c>
    </row>
    <row r="1213" spans="1:11" hidden="1">
      <c r="A1213" s="29" t="s">
        <v>138</v>
      </c>
      <c r="B1213" s="32">
        <v>39657</v>
      </c>
      <c r="C1213" s="29">
        <v>35.75</v>
      </c>
      <c r="D1213" s="35">
        <v>36.5</v>
      </c>
      <c r="E1213" s="35">
        <v>35.75</v>
      </c>
      <c r="F1213" s="33">
        <v>36.25</v>
      </c>
      <c r="G1213" s="29">
        <v>0</v>
      </c>
      <c r="H1213" s="29">
        <v>-0.25</v>
      </c>
      <c r="I1213" s="35">
        <v>36</v>
      </c>
      <c r="J1213" s="34">
        <v>7900</v>
      </c>
      <c r="K1213" s="34">
        <v>285775</v>
      </c>
    </row>
    <row r="1214" spans="1:11" hidden="1">
      <c r="A1214" s="29" t="s">
        <v>138</v>
      </c>
      <c r="B1214" s="32">
        <v>39658</v>
      </c>
      <c r="C1214" s="29">
        <v>36</v>
      </c>
      <c r="D1214" s="35">
        <v>36</v>
      </c>
      <c r="E1214" s="35">
        <v>36</v>
      </c>
      <c r="F1214" s="33">
        <v>36</v>
      </c>
      <c r="G1214" s="29">
        <v>0</v>
      </c>
      <c r="H1214" s="29">
        <v>0.25</v>
      </c>
      <c r="I1214" s="35">
        <v>36.25</v>
      </c>
      <c r="J1214" s="34">
        <v>4400</v>
      </c>
      <c r="K1214" s="34">
        <v>158400</v>
      </c>
    </row>
    <row r="1215" spans="1:11" hidden="1">
      <c r="A1215" s="29" t="s">
        <v>138</v>
      </c>
      <c r="B1215" s="32">
        <v>39659</v>
      </c>
      <c r="C1215" s="29">
        <v>36</v>
      </c>
      <c r="D1215" s="35">
        <v>36.25</v>
      </c>
      <c r="E1215" s="35">
        <v>35.5</v>
      </c>
      <c r="F1215" s="33">
        <v>36</v>
      </c>
      <c r="G1215" s="29">
        <v>0</v>
      </c>
      <c r="H1215" s="29">
        <v>0</v>
      </c>
      <c r="I1215" s="35">
        <v>36</v>
      </c>
      <c r="J1215" s="34">
        <v>35500</v>
      </c>
      <c r="K1215" s="34">
        <v>1276775</v>
      </c>
    </row>
    <row r="1216" spans="1:11" hidden="1">
      <c r="A1216" s="29" t="s">
        <v>138</v>
      </c>
      <c r="B1216" s="32">
        <v>39660</v>
      </c>
      <c r="C1216" s="29">
        <v>36.25</v>
      </c>
      <c r="D1216" s="35">
        <v>38.5</v>
      </c>
      <c r="E1216" s="35">
        <v>36</v>
      </c>
      <c r="F1216" s="33">
        <v>37.75</v>
      </c>
      <c r="G1216" s="29">
        <v>0</v>
      </c>
      <c r="H1216" s="29">
        <v>-1.75</v>
      </c>
      <c r="I1216" s="35">
        <v>36</v>
      </c>
      <c r="J1216" s="34">
        <v>1099600</v>
      </c>
      <c r="K1216" s="34">
        <v>41158675</v>
      </c>
    </row>
    <row r="1217" spans="1:11" hidden="1">
      <c r="A1217" s="29" t="s">
        <v>138</v>
      </c>
      <c r="B1217" s="32">
        <v>39661</v>
      </c>
      <c r="C1217" s="29">
        <v>38.5</v>
      </c>
      <c r="D1217" s="35">
        <v>39</v>
      </c>
      <c r="E1217" s="35">
        <v>38</v>
      </c>
      <c r="F1217" s="33">
        <v>38</v>
      </c>
      <c r="G1217" s="29">
        <v>0</v>
      </c>
      <c r="H1217" s="29">
        <v>-0.25</v>
      </c>
      <c r="I1217" s="35">
        <v>37.75</v>
      </c>
      <c r="J1217" s="34">
        <v>77400</v>
      </c>
      <c r="K1217" s="34">
        <v>2956875</v>
      </c>
    </row>
    <row r="1218" spans="1:11" hidden="1">
      <c r="A1218" s="29" t="s">
        <v>138</v>
      </c>
      <c r="B1218" s="32">
        <v>39664</v>
      </c>
      <c r="C1218" s="29">
        <v>38.75</v>
      </c>
      <c r="D1218" s="35">
        <v>40</v>
      </c>
      <c r="E1218" s="35">
        <v>38.75</v>
      </c>
      <c r="F1218" s="33">
        <v>40</v>
      </c>
      <c r="G1218" s="29">
        <v>0</v>
      </c>
      <c r="H1218" s="29">
        <v>-2</v>
      </c>
      <c r="I1218" s="35">
        <v>38</v>
      </c>
      <c r="J1218" s="34">
        <v>24500</v>
      </c>
      <c r="K1218" s="34">
        <v>971675</v>
      </c>
    </row>
    <row r="1219" spans="1:11" hidden="1">
      <c r="A1219" s="29" t="s">
        <v>138</v>
      </c>
      <c r="B1219" s="32">
        <v>39665</v>
      </c>
      <c r="C1219" s="29">
        <v>39</v>
      </c>
      <c r="D1219" s="35">
        <v>40.5</v>
      </c>
      <c r="E1219" s="35">
        <v>39</v>
      </c>
      <c r="F1219" s="33">
        <v>40</v>
      </c>
      <c r="G1219" s="29">
        <v>0</v>
      </c>
      <c r="H1219" s="29">
        <v>0</v>
      </c>
      <c r="I1219" s="35">
        <v>40</v>
      </c>
      <c r="J1219" s="34">
        <v>68600</v>
      </c>
      <c r="K1219" s="34">
        <v>2738375</v>
      </c>
    </row>
    <row r="1220" spans="1:11" hidden="1">
      <c r="A1220" s="29" t="s">
        <v>138</v>
      </c>
      <c r="B1220" s="32">
        <v>39666</v>
      </c>
      <c r="C1220" s="29">
        <v>40</v>
      </c>
      <c r="D1220" s="35">
        <v>42.25</v>
      </c>
      <c r="E1220" s="35">
        <v>40</v>
      </c>
      <c r="F1220" s="33">
        <v>41.75</v>
      </c>
      <c r="G1220" s="29">
        <v>0</v>
      </c>
      <c r="H1220" s="29">
        <v>-1.75</v>
      </c>
      <c r="I1220" s="35">
        <v>40</v>
      </c>
      <c r="J1220" s="34">
        <v>80200</v>
      </c>
      <c r="K1220" s="34">
        <v>3285000</v>
      </c>
    </row>
    <row r="1221" spans="1:11" hidden="1">
      <c r="A1221" s="29" t="s">
        <v>138</v>
      </c>
      <c r="B1221" s="32">
        <v>39667</v>
      </c>
      <c r="C1221" s="29">
        <v>42.25</v>
      </c>
      <c r="D1221" s="35">
        <v>44.5</v>
      </c>
      <c r="E1221" s="35">
        <v>42.25</v>
      </c>
      <c r="F1221" s="33">
        <v>43.25</v>
      </c>
      <c r="G1221" s="29">
        <v>0</v>
      </c>
      <c r="H1221" s="29">
        <v>-1.5</v>
      </c>
      <c r="I1221" s="35">
        <v>41.75</v>
      </c>
      <c r="J1221" s="34">
        <v>63400</v>
      </c>
      <c r="K1221" s="34">
        <v>2772125</v>
      </c>
    </row>
    <row r="1222" spans="1:11" hidden="1">
      <c r="A1222" s="29" t="s">
        <v>138</v>
      </c>
      <c r="B1222" s="32">
        <v>39668</v>
      </c>
      <c r="C1222" s="29">
        <v>44</v>
      </c>
      <c r="D1222" s="35">
        <v>44.5</v>
      </c>
      <c r="E1222" s="35">
        <v>43</v>
      </c>
      <c r="F1222" s="33">
        <v>43</v>
      </c>
      <c r="G1222" s="29">
        <v>0</v>
      </c>
      <c r="H1222" s="29">
        <v>0.25</v>
      </c>
      <c r="I1222" s="35">
        <v>43.25</v>
      </c>
      <c r="J1222" s="34">
        <v>19300</v>
      </c>
      <c r="K1222" s="34">
        <v>838550</v>
      </c>
    </row>
    <row r="1223" spans="1:11" hidden="1">
      <c r="A1223" s="29" t="s">
        <v>138</v>
      </c>
      <c r="B1223" s="32">
        <v>39671</v>
      </c>
      <c r="C1223" s="29">
        <v>42</v>
      </c>
      <c r="D1223" s="35">
        <v>43</v>
      </c>
      <c r="E1223" s="35">
        <v>42</v>
      </c>
      <c r="F1223" s="33">
        <v>43</v>
      </c>
      <c r="G1223" s="29">
        <v>0</v>
      </c>
      <c r="H1223" s="29">
        <v>0</v>
      </c>
      <c r="I1223" s="35">
        <v>43</v>
      </c>
      <c r="J1223" s="34">
        <v>23000</v>
      </c>
      <c r="K1223" s="34">
        <v>972100</v>
      </c>
    </row>
    <row r="1224" spans="1:11" hidden="1">
      <c r="A1224" s="29" t="s">
        <v>138</v>
      </c>
      <c r="B1224" s="32">
        <v>39672</v>
      </c>
      <c r="C1224" s="29">
        <v>42.75</v>
      </c>
      <c r="D1224" s="35">
        <v>43</v>
      </c>
      <c r="E1224" s="35">
        <v>41</v>
      </c>
      <c r="F1224" s="33">
        <v>41.25</v>
      </c>
      <c r="G1224" s="29">
        <v>0</v>
      </c>
      <c r="H1224" s="29">
        <v>1.75</v>
      </c>
      <c r="I1224" s="35">
        <v>43</v>
      </c>
      <c r="J1224" s="34">
        <v>14700</v>
      </c>
      <c r="K1224" s="34">
        <v>612125</v>
      </c>
    </row>
    <row r="1225" spans="1:11" hidden="1">
      <c r="A1225" s="29" t="s">
        <v>138</v>
      </c>
      <c r="B1225" s="32">
        <v>39673</v>
      </c>
      <c r="C1225" s="29">
        <v>43</v>
      </c>
      <c r="D1225" s="35">
        <v>43</v>
      </c>
      <c r="E1225" s="35">
        <v>40</v>
      </c>
      <c r="F1225" s="33">
        <v>40</v>
      </c>
      <c r="G1225" s="29">
        <v>0</v>
      </c>
      <c r="H1225" s="29">
        <v>1.25</v>
      </c>
      <c r="I1225" s="35">
        <v>41.25</v>
      </c>
      <c r="J1225" s="34">
        <v>1336500</v>
      </c>
      <c r="K1225" s="34">
        <v>53490750</v>
      </c>
    </row>
    <row r="1226" spans="1:11" hidden="1">
      <c r="A1226" s="29" t="s">
        <v>138</v>
      </c>
      <c r="B1226" s="32">
        <v>39674</v>
      </c>
      <c r="C1226" s="29">
        <v>41</v>
      </c>
      <c r="D1226" s="35">
        <v>41.25</v>
      </c>
      <c r="E1226" s="35">
        <v>40</v>
      </c>
      <c r="F1226" s="33">
        <v>41</v>
      </c>
      <c r="G1226" s="29">
        <v>0</v>
      </c>
      <c r="H1226" s="29">
        <v>-1</v>
      </c>
      <c r="I1226" s="35">
        <v>40</v>
      </c>
      <c r="J1226" s="34">
        <v>10100</v>
      </c>
      <c r="K1226" s="34">
        <v>410900</v>
      </c>
    </row>
    <row r="1227" spans="1:11" hidden="1">
      <c r="A1227" s="29" t="s">
        <v>138</v>
      </c>
      <c r="B1227" s="32">
        <v>39675</v>
      </c>
      <c r="C1227" s="29">
        <v>41</v>
      </c>
      <c r="D1227" s="35">
        <v>41</v>
      </c>
      <c r="E1227" s="35">
        <v>40</v>
      </c>
      <c r="F1227" s="33">
        <v>40.5</v>
      </c>
      <c r="G1227" s="29">
        <v>0</v>
      </c>
      <c r="H1227" s="29">
        <v>0.5</v>
      </c>
      <c r="I1227" s="35">
        <v>41</v>
      </c>
      <c r="J1227" s="34">
        <v>49300</v>
      </c>
      <c r="K1227" s="34">
        <v>1995725</v>
      </c>
    </row>
    <row r="1228" spans="1:11" hidden="1">
      <c r="A1228" s="29" t="s">
        <v>138</v>
      </c>
      <c r="B1228" s="32">
        <v>39678</v>
      </c>
      <c r="C1228" s="29">
        <v>40.5</v>
      </c>
      <c r="D1228" s="35">
        <v>41.5</v>
      </c>
      <c r="E1228" s="35">
        <v>40</v>
      </c>
      <c r="F1228" s="33">
        <v>41.5</v>
      </c>
      <c r="G1228" s="29">
        <v>0</v>
      </c>
      <c r="H1228" s="29">
        <v>-1</v>
      </c>
      <c r="I1228" s="35">
        <v>40.5</v>
      </c>
      <c r="J1228" s="34">
        <v>37300</v>
      </c>
      <c r="K1228" s="34">
        <v>1534925</v>
      </c>
    </row>
    <row r="1229" spans="1:11" hidden="1">
      <c r="A1229" s="29" t="s">
        <v>138</v>
      </c>
      <c r="B1229" s="32">
        <v>39679</v>
      </c>
      <c r="C1229" s="29">
        <v>41.5</v>
      </c>
      <c r="D1229" s="35">
        <v>41.75</v>
      </c>
      <c r="E1229" s="35">
        <v>41</v>
      </c>
      <c r="F1229" s="33">
        <v>41.5</v>
      </c>
      <c r="G1229" s="29">
        <v>0</v>
      </c>
      <c r="H1229" s="29">
        <v>0</v>
      </c>
      <c r="I1229" s="35">
        <v>41.5</v>
      </c>
      <c r="J1229" s="34">
        <v>60200</v>
      </c>
      <c r="K1229" s="34">
        <v>2500975</v>
      </c>
    </row>
    <row r="1230" spans="1:11" hidden="1">
      <c r="A1230" s="29" t="s">
        <v>138</v>
      </c>
      <c r="B1230" s="32">
        <v>39680</v>
      </c>
      <c r="C1230" s="29">
        <v>41.5</v>
      </c>
      <c r="D1230" s="35">
        <v>42</v>
      </c>
      <c r="E1230" s="35">
        <v>41.25</v>
      </c>
      <c r="F1230" s="33">
        <v>41.25</v>
      </c>
      <c r="G1230" s="29">
        <v>0</v>
      </c>
      <c r="H1230" s="29">
        <v>0.25</v>
      </c>
      <c r="I1230" s="35">
        <v>41.5</v>
      </c>
      <c r="J1230" s="34">
        <v>1300</v>
      </c>
      <c r="K1230" s="34">
        <v>54000</v>
      </c>
    </row>
    <row r="1231" spans="1:11" hidden="1">
      <c r="A1231" s="29" t="s">
        <v>138</v>
      </c>
      <c r="B1231" s="32">
        <v>39681</v>
      </c>
      <c r="C1231" s="29">
        <v>41.5</v>
      </c>
      <c r="D1231" s="35">
        <v>41.5</v>
      </c>
      <c r="E1231" s="35">
        <v>41.25</v>
      </c>
      <c r="F1231" s="33">
        <v>41.5</v>
      </c>
      <c r="G1231" s="29">
        <v>0</v>
      </c>
      <c r="H1231" s="29">
        <v>-0.25</v>
      </c>
      <c r="I1231" s="35">
        <v>41.25</v>
      </c>
      <c r="J1231" s="34">
        <v>12400</v>
      </c>
      <c r="K1231" s="34">
        <v>511850</v>
      </c>
    </row>
    <row r="1232" spans="1:11" hidden="1">
      <c r="A1232" s="29" t="s">
        <v>138</v>
      </c>
      <c r="B1232" s="32">
        <v>39682</v>
      </c>
      <c r="C1232" s="29">
        <v>41.25</v>
      </c>
      <c r="D1232" s="35">
        <v>42</v>
      </c>
      <c r="E1232" s="35">
        <v>41.25</v>
      </c>
      <c r="F1232" s="33">
        <v>41.5</v>
      </c>
      <c r="G1232" s="29">
        <v>0</v>
      </c>
      <c r="H1232" s="29">
        <v>0</v>
      </c>
      <c r="I1232" s="35">
        <v>41.5</v>
      </c>
      <c r="J1232" s="34">
        <v>143700</v>
      </c>
      <c r="K1232" s="34">
        <v>5947175</v>
      </c>
    </row>
    <row r="1233" spans="1:11" hidden="1">
      <c r="A1233" s="29" t="s">
        <v>138</v>
      </c>
      <c r="B1233" s="32">
        <v>39685</v>
      </c>
      <c r="C1233" s="29">
        <v>42</v>
      </c>
      <c r="D1233" s="35">
        <v>42.5</v>
      </c>
      <c r="E1233" s="35">
        <v>41.5</v>
      </c>
      <c r="F1233" s="33">
        <v>41.75</v>
      </c>
      <c r="G1233" s="29">
        <v>0</v>
      </c>
      <c r="H1233" s="29">
        <v>-0.25</v>
      </c>
      <c r="I1233" s="35">
        <v>41.5</v>
      </c>
      <c r="J1233" s="34">
        <v>27500</v>
      </c>
      <c r="K1233" s="34">
        <v>1151200</v>
      </c>
    </row>
    <row r="1234" spans="1:11" hidden="1">
      <c r="A1234" s="29" t="s">
        <v>138</v>
      </c>
      <c r="B1234" s="32">
        <v>39686</v>
      </c>
      <c r="C1234" s="29">
        <v>41.5</v>
      </c>
      <c r="D1234" s="35">
        <v>42</v>
      </c>
      <c r="E1234" s="35">
        <v>41</v>
      </c>
      <c r="F1234" s="33">
        <v>41.25</v>
      </c>
      <c r="G1234" s="29">
        <v>0</v>
      </c>
      <c r="H1234" s="29">
        <v>0.5</v>
      </c>
      <c r="I1234" s="35">
        <v>41.75</v>
      </c>
      <c r="J1234" s="34">
        <v>13400</v>
      </c>
      <c r="K1234" s="34">
        <v>552950</v>
      </c>
    </row>
    <row r="1235" spans="1:11" hidden="1">
      <c r="A1235" s="29" t="s">
        <v>138</v>
      </c>
      <c r="B1235" s="32">
        <v>39687</v>
      </c>
      <c r="C1235" s="29">
        <v>41.25</v>
      </c>
      <c r="D1235" s="35">
        <v>42</v>
      </c>
      <c r="E1235" s="35">
        <v>41.25</v>
      </c>
      <c r="F1235" s="33">
        <v>41.75</v>
      </c>
      <c r="G1235" s="29">
        <v>0</v>
      </c>
      <c r="H1235" s="29">
        <v>-0.5</v>
      </c>
      <c r="I1235" s="35">
        <v>41.25</v>
      </c>
      <c r="J1235" s="34">
        <v>56900</v>
      </c>
      <c r="K1235" s="34">
        <v>2375625</v>
      </c>
    </row>
    <row r="1236" spans="1:11" hidden="1">
      <c r="A1236" s="29" t="s">
        <v>138</v>
      </c>
      <c r="B1236" s="32">
        <v>39688</v>
      </c>
      <c r="C1236" s="29">
        <v>42</v>
      </c>
      <c r="D1236" s="35">
        <v>42.25</v>
      </c>
      <c r="E1236" s="35">
        <v>42</v>
      </c>
      <c r="F1236" s="33">
        <v>42</v>
      </c>
      <c r="G1236" s="29">
        <v>0</v>
      </c>
      <c r="H1236" s="29">
        <v>-0.25</v>
      </c>
      <c r="I1236" s="35">
        <v>41.75</v>
      </c>
      <c r="J1236" s="34">
        <v>25800</v>
      </c>
      <c r="K1236" s="34">
        <v>1083850</v>
      </c>
    </row>
    <row r="1237" spans="1:11" hidden="1">
      <c r="A1237" s="29" t="s">
        <v>138</v>
      </c>
      <c r="B1237" s="32">
        <v>39689</v>
      </c>
      <c r="C1237" s="29">
        <v>42</v>
      </c>
      <c r="D1237" s="35">
        <v>42.5</v>
      </c>
      <c r="E1237" s="35">
        <v>42</v>
      </c>
      <c r="F1237" s="33">
        <v>42.25</v>
      </c>
      <c r="G1237" s="29">
        <v>0</v>
      </c>
      <c r="H1237" s="29">
        <v>-0.25</v>
      </c>
      <c r="I1237" s="35">
        <v>42</v>
      </c>
      <c r="J1237" s="34">
        <v>4400</v>
      </c>
      <c r="K1237" s="34">
        <v>186050</v>
      </c>
    </row>
    <row r="1238" spans="1:11" hidden="1">
      <c r="A1238" s="29" t="s">
        <v>138</v>
      </c>
      <c r="B1238" s="32">
        <v>39692</v>
      </c>
      <c r="C1238" s="29">
        <v>42.5</v>
      </c>
      <c r="D1238" s="35">
        <v>42.5</v>
      </c>
      <c r="E1238" s="35">
        <v>41.25</v>
      </c>
      <c r="F1238" s="33">
        <v>41.5</v>
      </c>
      <c r="G1238" s="29">
        <v>0</v>
      </c>
      <c r="H1238" s="29">
        <v>0.75</v>
      </c>
      <c r="I1238" s="35">
        <v>42.25</v>
      </c>
      <c r="J1238" s="34">
        <v>1900</v>
      </c>
      <c r="K1238" s="34">
        <v>79975</v>
      </c>
    </row>
    <row r="1239" spans="1:11" hidden="1">
      <c r="A1239" s="29" t="s">
        <v>138</v>
      </c>
      <c r="B1239" s="32">
        <v>39693</v>
      </c>
      <c r="C1239" s="29">
        <v>41.25</v>
      </c>
      <c r="D1239" s="35">
        <v>41.25</v>
      </c>
      <c r="E1239" s="35">
        <v>40.25</v>
      </c>
      <c r="F1239" s="33">
        <v>40.75</v>
      </c>
      <c r="G1239" s="29">
        <v>0</v>
      </c>
      <c r="H1239" s="29">
        <v>0.75</v>
      </c>
      <c r="I1239" s="35">
        <v>41.5</v>
      </c>
      <c r="J1239" s="34">
        <v>17500</v>
      </c>
      <c r="K1239" s="34">
        <v>715250</v>
      </c>
    </row>
    <row r="1240" spans="1:11" hidden="1">
      <c r="A1240" s="29" t="s">
        <v>138</v>
      </c>
      <c r="B1240" s="32">
        <v>39694</v>
      </c>
      <c r="C1240" s="29">
        <v>41</v>
      </c>
      <c r="D1240" s="35">
        <v>41</v>
      </c>
      <c r="E1240" s="35">
        <v>40.5</v>
      </c>
      <c r="F1240" s="33">
        <v>40.5</v>
      </c>
      <c r="G1240" s="29">
        <v>0</v>
      </c>
      <c r="H1240" s="29">
        <v>0.25</v>
      </c>
      <c r="I1240" s="35">
        <v>40.75</v>
      </c>
      <c r="J1240" s="34">
        <v>1300</v>
      </c>
      <c r="K1240" s="34">
        <v>52975</v>
      </c>
    </row>
    <row r="1241" spans="1:11" hidden="1">
      <c r="A1241" s="29" t="s">
        <v>138</v>
      </c>
      <c r="B1241" s="32">
        <v>39695</v>
      </c>
      <c r="C1241" s="29">
        <v>40.5</v>
      </c>
      <c r="D1241" s="35">
        <v>40.75</v>
      </c>
      <c r="E1241" s="35">
        <v>40.5</v>
      </c>
      <c r="F1241" s="33">
        <v>40.5</v>
      </c>
      <c r="G1241" s="29">
        <v>0</v>
      </c>
      <c r="H1241" s="29">
        <v>0</v>
      </c>
      <c r="I1241" s="35">
        <v>40.5</v>
      </c>
      <c r="J1241" s="34">
        <v>9000</v>
      </c>
      <c r="K1241" s="34">
        <v>365000</v>
      </c>
    </row>
    <row r="1242" spans="1:11" hidden="1">
      <c r="A1242" s="29" t="s">
        <v>138</v>
      </c>
      <c r="B1242" s="32">
        <v>39696</v>
      </c>
      <c r="C1242" s="29">
        <v>40.75</v>
      </c>
      <c r="D1242" s="35">
        <v>40.75</v>
      </c>
      <c r="E1242" s="35">
        <v>40.75</v>
      </c>
      <c r="F1242" s="33">
        <v>40.75</v>
      </c>
      <c r="G1242" s="29">
        <v>0</v>
      </c>
      <c r="H1242" s="29">
        <v>-0.25</v>
      </c>
      <c r="I1242" s="35">
        <v>40.5</v>
      </c>
      <c r="J1242" s="34">
        <v>12700</v>
      </c>
      <c r="K1242" s="34">
        <v>517525</v>
      </c>
    </row>
    <row r="1243" spans="1:11" hidden="1">
      <c r="A1243" s="29" t="s">
        <v>138</v>
      </c>
      <c r="B1243" s="32">
        <v>39699</v>
      </c>
      <c r="C1243" s="29">
        <v>40.75</v>
      </c>
      <c r="D1243" s="35">
        <v>41.25</v>
      </c>
      <c r="E1243" s="35">
        <v>40.75</v>
      </c>
      <c r="F1243" s="33">
        <v>40.75</v>
      </c>
      <c r="G1243" s="29">
        <v>0</v>
      </c>
      <c r="H1243" s="29">
        <v>0</v>
      </c>
      <c r="I1243" s="35">
        <v>40.75</v>
      </c>
      <c r="J1243" s="34">
        <v>3800</v>
      </c>
      <c r="K1243" s="34">
        <v>155400</v>
      </c>
    </row>
    <row r="1244" spans="1:11" hidden="1">
      <c r="A1244" s="29" t="s">
        <v>138</v>
      </c>
      <c r="B1244" s="32">
        <v>39700</v>
      </c>
      <c r="C1244" s="29">
        <v>40.75</v>
      </c>
      <c r="D1244" s="35">
        <v>40.75</v>
      </c>
      <c r="E1244" s="35">
        <v>40</v>
      </c>
      <c r="F1244" s="33">
        <v>40</v>
      </c>
      <c r="G1244" s="29">
        <v>0</v>
      </c>
      <c r="H1244" s="29">
        <v>0.75</v>
      </c>
      <c r="I1244" s="35">
        <v>40.75</v>
      </c>
      <c r="J1244" s="34">
        <v>14400</v>
      </c>
      <c r="K1244" s="34">
        <v>579750</v>
      </c>
    </row>
    <row r="1245" spans="1:11" hidden="1">
      <c r="A1245" s="29" t="s">
        <v>138</v>
      </c>
      <c r="B1245" s="32">
        <v>39701</v>
      </c>
      <c r="C1245" s="29">
        <v>39.75</v>
      </c>
      <c r="D1245" s="35">
        <v>40</v>
      </c>
      <c r="E1245" s="35">
        <v>39.5</v>
      </c>
      <c r="F1245" s="33">
        <v>39.75</v>
      </c>
      <c r="G1245" s="29">
        <v>0</v>
      </c>
      <c r="H1245" s="29">
        <v>0.25</v>
      </c>
      <c r="I1245" s="35">
        <v>40</v>
      </c>
      <c r="J1245" s="34">
        <v>5200</v>
      </c>
      <c r="K1245" s="34">
        <v>206225</v>
      </c>
    </row>
    <row r="1246" spans="1:11" hidden="1">
      <c r="A1246" s="29" t="s">
        <v>138</v>
      </c>
      <c r="B1246" s="32">
        <v>39702</v>
      </c>
      <c r="C1246" s="29">
        <v>40</v>
      </c>
      <c r="D1246" s="35">
        <v>40</v>
      </c>
      <c r="E1246" s="35">
        <v>39.75</v>
      </c>
      <c r="F1246" s="33">
        <v>40</v>
      </c>
      <c r="G1246" s="29">
        <v>0</v>
      </c>
      <c r="H1246" s="29">
        <v>-0.25</v>
      </c>
      <c r="I1246" s="35">
        <v>39.75</v>
      </c>
      <c r="J1246" s="34">
        <v>7400</v>
      </c>
      <c r="K1246" s="34">
        <v>295900</v>
      </c>
    </row>
    <row r="1247" spans="1:11" hidden="1">
      <c r="A1247" s="29" t="s">
        <v>138</v>
      </c>
      <c r="B1247" s="32">
        <v>39703</v>
      </c>
      <c r="C1247" s="29">
        <v>39.5</v>
      </c>
      <c r="D1247" s="35">
        <v>39.75</v>
      </c>
      <c r="E1247" s="35">
        <v>39.25</v>
      </c>
      <c r="F1247" s="33">
        <v>39.5</v>
      </c>
      <c r="G1247" s="29">
        <v>0</v>
      </c>
      <c r="H1247" s="29">
        <v>0.5</v>
      </c>
      <c r="I1247" s="35">
        <v>40</v>
      </c>
      <c r="J1247" s="34">
        <v>2700</v>
      </c>
      <c r="K1247" s="34">
        <v>106675</v>
      </c>
    </row>
    <row r="1248" spans="1:11" hidden="1">
      <c r="A1248" s="29" t="s">
        <v>138</v>
      </c>
      <c r="B1248" s="32">
        <v>39706</v>
      </c>
      <c r="C1248" s="29">
        <v>39.5</v>
      </c>
      <c r="D1248" s="35">
        <v>39.5</v>
      </c>
      <c r="E1248" s="35">
        <v>38.75</v>
      </c>
      <c r="F1248" s="33">
        <v>38.75</v>
      </c>
      <c r="G1248" s="29">
        <v>0</v>
      </c>
      <c r="H1248" s="29">
        <v>0.75</v>
      </c>
      <c r="I1248" s="35">
        <v>39.5</v>
      </c>
      <c r="J1248" s="34">
        <v>15100</v>
      </c>
      <c r="K1248" s="34">
        <v>587275</v>
      </c>
    </row>
    <row r="1249" spans="1:11" hidden="1">
      <c r="A1249" s="29" t="s">
        <v>138</v>
      </c>
      <c r="B1249" s="32">
        <v>39707</v>
      </c>
      <c r="C1249" s="29">
        <v>38.75</v>
      </c>
      <c r="D1249" s="35">
        <v>38.75</v>
      </c>
      <c r="E1249" s="35">
        <v>38</v>
      </c>
      <c r="F1249" s="33">
        <v>38.25</v>
      </c>
      <c r="G1249" s="29">
        <v>0</v>
      </c>
      <c r="H1249" s="29">
        <v>0.5</v>
      </c>
      <c r="I1249" s="35">
        <v>38.75</v>
      </c>
      <c r="J1249" s="34">
        <v>15600</v>
      </c>
      <c r="K1249" s="34">
        <v>599525</v>
      </c>
    </row>
    <row r="1250" spans="1:11" hidden="1">
      <c r="A1250" s="29" t="s">
        <v>138</v>
      </c>
      <c r="B1250" s="32">
        <v>39708</v>
      </c>
      <c r="C1250" s="29">
        <v>38</v>
      </c>
      <c r="D1250" s="35">
        <v>38</v>
      </c>
      <c r="E1250" s="35">
        <v>37</v>
      </c>
      <c r="F1250" s="33">
        <v>37</v>
      </c>
      <c r="G1250" s="29">
        <v>0</v>
      </c>
      <c r="H1250" s="29">
        <v>1.25</v>
      </c>
      <c r="I1250" s="35">
        <v>38.25</v>
      </c>
      <c r="J1250" s="34">
        <v>14800</v>
      </c>
      <c r="K1250" s="34">
        <v>549475</v>
      </c>
    </row>
    <row r="1251" spans="1:11" hidden="1">
      <c r="A1251" s="29" t="s">
        <v>138</v>
      </c>
      <c r="B1251" s="32">
        <v>39709</v>
      </c>
      <c r="C1251" s="29">
        <v>37.5</v>
      </c>
      <c r="D1251" s="35">
        <v>38.75</v>
      </c>
      <c r="E1251" s="35">
        <v>36.5</v>
      </c>
      <c r="F1251" s="33">
        <v>36.5</v>
      </c>
      <c r="G1251" s="29">
        <v>0</v>
      </c>
      <c r="H1251" s="29">
        <v>0.5</v>
      </c>
      <c r="I1251" s="35">
        <v>37</v>
      </c>
      <c r="J1251" s="34">
        <v>14800</v>
      </c>
      <c r="K1251" s="34">
        <v>543700</v>
      </c>
    </row>
    <row r="1252" spans="1:11" hidden="1">
      <c r="A1252" s="29" t="s">
        <v>138</v>
      </c>
      <c r="B1252" s="32">
        <v>39710</v>
      </c>
      <c r="C1252" s="29">
        <v>36.75</v>
      </c>
      <c r="D1252" s="35">
        <v>38.75</v>
      </c>
      <c r="E1252" s="35">
        <v>36.5</v>
      </c>
      <c r="F1252" s="33">
        <v>38.5</v>
      </c>
      <c r="G1252" s="29">
        <v>0</v>
      </c>
      <c r="H1252" s="29">
        <v>-2</v>
      </c>
      <c r="I1252" s="35">
        <v>36.5</v>
      </c>
      <c r="J1252" s="34">
        <v>7300</v>
      </c>
      <c r="K1252" s="34">
        <v>279300</v>
      </c>
    </row>
    <row r="1253" spans="1:11" hidden="1">
      <c r="A1253" s="29" t="s">
        <v>138</v>
      </c>
      <c r="B1253" s="32">
        <v>39713</v>
      </c>
      <c r="C1253" s="29">
        <v>39.5</v>
      </c>
      <c r="D1253" s="35">
        <v>39.5</v>
      </c>
      <c r="E1253" s="35">
        <v>38</v>
      </c>
      <c r="F1253" s="33">
        <v>38</v>
      </c>
      <c r="G1253" s="29">
        <v>0</v>
      </c>
      <c r="H1253" s="29">
        <v>0.5</v>
      </c>
      <c r="I1253" s="35">
        <v>38.5</v>
      </c>
      <c r="J1253" s="34">
        <v>5200</v>
      </c>
      <c r="K1253" s="34">
        <v>197775</v>
      </c>
    </row>
    <row r="1254" spans="1:11" hidden="1">
      <c r="A1254" s="29" t="s">
        <v>138</v>
      </c>
      <c r="B1254" s="32">
        <v>39714</v>
      </c>
      <c r="C1254" s="29">
        <v>38</v>
      </c>
      <c r="D1254" s="35">
        <v>38.25</v>
      </c>
      <c r="E1254" s="35">
        <v>37.75</v>
      </c>
      <c r="F1254" s="33">
        <v>38</v>
      </c>
      <c r="G1254" s="29">
        <v>0</v>
      </c>
      <c r="H1254" s="29">
        <v>0</v>
      </c>
      <c r="I1254" s="35">
        <v>38</v>
      </c>
      <c r="J1254" s="34">
        <v>48000</v>
      </c>
      <c r="K1254" s="34">
        <v>1824400</v>
      </c>
    </row>
    <row r="1255" spans="1:11" hidden="1">
      <c r="A1255" s="29" t="s">
        <v>138</v>
      </c>
      <c r="B1255" s="32">
        <v>39715</v>
      </c>
      <c r="C1255" s="29">
        <v>38</v>
      </c>
      <c r="D1255" s="35">
        <v>38</v>
      </c>
      <c r="E1255" s="35">
        <v>37.75</v>
      </c>
      <c r="F1255" s="33">
        <v>38</v>
      </c>
      <c r="G1255" s="29">
        <v>0</v>
      </c>
      <c r="H1255" s="29">
        <v>0</v>
      </c>
      <c r="I1255" s="35">
        <v>38</v>
      </c>
      <c r="J1255" s="34">
        <v>54100</v>
      </c>
      <c r="K1255" s="34">
        <v>2055650</v>
      </c>
    </row>
    <row r="1256" spans="1:11" hidden="1">
      <c r="A1256" s="29" t="s">
        <v>138</v>
      </c>
      <c r="B1256" s="32">
        <v>39716</v>
      </c>
      <c r="C1256" s="29">
        <v>38.75</v>
      </c>
      <c r="D1256" s="35">
        <v>39.5</v>
      </c>
      <c r="E1256" s="35">
        <v>37.75</v>
      </c>
      <c r="F1256" s="33">
        <v>38</v>
      </c>
      <c r="G1256" s="29">
        <v>0</v>
      </c>
      <c r="H1256" s="29">
        <v>0</v>
      </c>
      <c r="I1256" s="35">
        <v>38</v>
      </c>
      <c r="J1256" s="34">
        <v>11000</v>
      </c>
      <c r="K1256" s="34">
        <v>418675</v>
      </c>
    </row>
    <row r="1257" spans="1:11" hidden="1">
      <c r="A1257" s="29" t="s">
        <v>138</v>
      </c>
      <c r="B1257" s="32">
        <v>39717</v>
      </c>
      <c r="C1257" s="29">
        <v>38</v>
      </c>
      <c r="D1257" s="35">
        <v>39.5</v>
      </c>
      <c r="E1257" s="35">
        <v>38</v>
      </c>
      <c r="F1257" s="33">
        <v>38</v>
      </c>
      <c r="G1257" s="29">
        <v>0</v>
      </c>
      <c r="H1257" s="29">
        <v>0</v>
      </c>
      <c r="I1257" s="35">
        <v>38</v>
      </c>
      <c r="J1257" s="34">
        <v>15400</v>
      </c>
      <c r="K1257" s="34">
        <v>590250</v>
      </c>
    </row>
    <row r="1258" spans="1:11" hidden="1">
      <c r="A1258" s="29" t="s">
        <v>138</v>
      </c>
      <c r="B1258" s="32">
        <v>39720</v>
      </c>
      <c r="C1258" s="29">
        <v>38.75</v>
      </c>
      <c r="D1258" s="35">
        <v>38.75</v>
      </c>
      <c r="E1258" s="35">
        <v>38</v>
      </c>
      <c r="F1258" s="33">
        <v>38.25</v>
      </c>
      <c r="G1258" s="29">
        <v>0</v>
      </c>
      <c r="H1258" s="29">
        <v>-0.25</v>
      </c>
      <c r="I1258" s="35">
        <v>38</v>
      </c>
      <c r="J1258" s="34">
        <v>10800</v>
      </c>
      <c r="K1258" s="34">
        <v>410650</v>
      </c>
    </row>
    <row r="1259" spans="1:11" hidden="1">
      <c r="A1259" s="29" t="s">
        <v>138</v>
      </c>
      <c r="B1259" s="32">
        <v>39721</v>
      </c>
      <c r="C1259" s="29">
        <v>38.25</v>
      </c>
      <c r="D1259" s="35">
        <v>38.25</v>
      </c>
      <c r="E1259" s="35">
        <v>38</v>
      </c>
      <c r="F1259" s="33">
        <v>38.25</v>
      </c>
      <c r="G1259" s="29">
        <v>0</v>
      </c>
      <c r="H1259" s="29">
        <v>0</v>
      </c>
      <c r="I1259" s="35">
        <v>38.25</v>
      </c>
      <c r="J1259" s="34">
        <v>31500</v>
      </c>
      <c r="K1259" s="34">
        <v>1204000</v>
      </c>
    </row>
    <row r="1260" spans="1:11" hidden="1">
      <c r="A1260" s="29" t="s">
        <v>138</v>
      </c>
      <c r="B1260" s="32">
        <v>39723</v>
      </c>
      <c r="C1260" s="29">
        <v>38.25</v>
      </c>
      <c r="D1260" s="35">
        <v>38.75</v>
      </c>
      <c r="E1260" s="35">
        <v>38.25</v>
      </c>
      <c r="F1260" s="33">
        <v>38.25</v>
      </c>
      <c r="G1260" s="29">
        <v>0</v>
      </c>
      <c r="H1260" s="29">
        <v>0</v>
      </c>
      <c r="I1260" s="35">
        <v>38.25</v>
      </c>
      <c r="J1260" s="34">
        <v>2000</v>
      </c>
      <c r="K1260" s="34">
        <v>76550</v>
      </c>
    </row>
    <row r="1261" spans="1:11" hidden="1">
      <c r="A1261" s="29" t="s">
        <v>138</v>
      </c>
      <c r="B1261" s="32">
        <v>39724</v>
      </c>
      <c r="C1261" s="29">
        <v>38.25</v>
      </c>
      <c r="D1261" s="35">
        <v>38.75</v>
      </c>
      <c r="E1261" s="35">
        <v>38.25</v>
      </c>
      <c r="F1261" s="33">
        <v>38.75</v>
      </c>
      <c r="G1261" s="29">
        <v>0</v>
      </c>
      <c r="H1261" s="29">
        <v>-0.5</v>
      </c>
      <c r="I1261" s="35">
        <v>38.25</v>
      </c>
      <c r="J1261" s="34">
        <v>7000</v>
      </c>
      <c r="K1261" s="34">
        <v>268375</v>
      </c>
    </row>
    <row r="1262" spans="1:11" hidden="1">
      <c r="A1262" s="29" t="s">
        <v>138</v>
      </c>
      <c r="B1262" s="32">
        <v>39727</v>
      </c>
      <c r="C1262" s="29">
        <v>38.75</v>
      </c>
      <c r="D1262" s="35">
        <v>39</v>
      </c>
      <c r="E1262" s="35">
        <v>38.75</v>
      </c>
      <c r="F1262" s="33">
        <v>38.75</v>
      </c>
      <c r="G1262" s="29">
        <v>0</v>
      </c>
      <c r="H1262" s="29">
        <v>0</v>
      </c>
      <c r="I1262" s="35">
        <v>38.75</v>
      </c>
      <c r="J1262" s="34">
        <v>2300</v>
      </c>
      <c r="K1262" s="34">
        <v>89275</v>
      </c>
    </row>
    <row r="1263" spans="1:11" hidden="1">
      <c r="A1263" s="29" t="s">
        <v>138</v>
      </c>
      <c r="B1263" s="32">
        <v>39728</v>
      </c>
      <c r="C1263" s="29">
        <v>38</v>
      </c>
      <c r="D1263" s="35">
        <v>38.25</v>
      </c>
      <c r="E1263" s="35">
        <v>38</v>
      </c>
      <c r="F1263" s="33">
        <v>38</v>
      </c>
      <c r="G1263" s="29">
        <v>0</v>
      </c>
      <c r="H1263" s="29">
        <v>0.75</v>
      </c>
      <c r="I1263" s="35">
        <v>38.75</v>
      </c>
      <c r="J1263" s="34">
        <v>25900</v>
      </c>
      <c r="K1263" s="34">
        <v>984275</v>
      </c>
    </row>
    <row r="1264" spans="1:11" hidden="1">
      <c r="A1264" s="29" t="s">
        <v>138</v>
      </c>
      <c r="B1264" s="32">
        <v>39729</v>
      </c>
      <c r="C1264" s="29">
        <v>38.5</v>
      </c>
      <c r="D1264" s="35">
        <v>38.5</v>
      </c>
      <c r="E1264" s="35">
        <v>36.75</v>
      </c>
      <c r="F1264" s="33">
        <v>37.25</v>
      </c>
      <c r="G1264" s="29">
        <v>0</v>
      </c>
      <c r="H1264" s="29">
        <v>0.75</v>
      </c>
      <c r="I1264" s="35">
        <v>38</v>
      </c>
      <c r="J1264" s="34">
        <v>6100</v>
      </c>
      <c r="K1264" s="34">
        <v>228150</v>
      </c>
    </row>
    <row r="1265" spans="1:11" hidden="1">
      <c r="A1265" s="29" t="s">
        <v>138</v>
      </c>
      <c r="B1265" s="32">
        <v>39730</v>
      </c>
      <c r="C1265" s="29">
        <v>36.75</v>
      </c>
      <c r="D1265" s="35">
        <v>37</v>
      </c>
      <c r="E1265" s="35">
        <v>35.75</v>
      </c>
      <c r="F1265" s="33">
        <v>36</v>
      </c>
      <c r="G1265" s="29">
        <v>0</v>
      </c>
      <c r="H1265" s="29">
        <v>1.25</v>
      </c>
      <c r="I1265" s="35">
        <v>37.25</v>
      </c>
      <c r="J1265" s="34">
        <v>32600</v>
      </c>
      <c r="K1265" s="34">
        <v>1184050</v>
      </c>
    </row>
    <row r="1266" spans="1:11" hidden="1">
      <c r="A1266" s="29" t="s">
        <v>138</v>
      </c>
      <c r="B1266" s="32">
        <v>39731</v>
      </c>
      <c r="C1266" s="29">
        <v>36.5</v>
      </c>
      <c r="D1266" s="35">
        <v>36.5</v>
      </c>
      <c r="E1266" s="35">
        <v>34.75</v>
      </c>
      <c r="F1266" s="33">
        <v>35</v>
      </c>
      <c r="G1266" s="29">
        <v>0</v>
      </c>
      <c r="H1266" s="29">
        <v>1</v>
      </c>
      <c r="I1266" s="35">
        <v>36</v>
      </c>
      <c r="J1266" s="34">
        <v>32600</v>
      </c>
      <c r="K1266" s="34">
        <v>1163325</v>
      </c>
    </row>
    <row r="1267" spans="1:11" hidden="1">
      <c r="A1267" s="29" t="s">
        <v>138</v>
      </c>
      <c r="B1267" s="32">
        <v>39734</v>
      </c>
      <c r="C1267" s="29">
        <v>35.5</v>
      </c>
      <c r="D1267" s="35">
        <v>37</v>
      </c>
      <c r="E1267" s="35">
        <v>35.5</v>
      </c>
      <c r="F1267" s="33">
        <v>37</v>
      </c>
      <c r="G1267" s="29">
        <v>0</v>
      </c>
      <c r="H1267" s="29">
        <v>-2</v>
      </c>
      <c r="I1267" s="35">
        <v>35</v>
      </c>
      <c r="J1267" s="34">
        <v>8500</v>
      </c>
      <c r="K1267" s="34">
        <v>310575</v>
      </c>
    </row>
    <row r="1268" spans="1:11" hidden="1">
      <c r="A1268" s="29" t="s">
        <v>138</v>
      </c>
      <c r="B1268" s="32">
        <v>39736</v>
      </c>
      <c r="C1268" s="29">
        <v>37</v>
      </c>
      <c r="D1268" s="35">
        <v>37.5</v>
      </c>
      <c r="E1268" s="35">
        <v>37</v>
      </c>
      <c r="F1268" s="33">
        <v>37</v>
      </c>
      <c r="G1268" s="29">
        <v>0</v>
      </c>
      <c r="H1268" s="29">
        <v>0</v>
      </c>
      <c r="I1268" s="35">
        <v>37</v>
      </c>
      <c r="J1268" s="34">
        <v>10800</v>
      </c>
      <c r="K1268" s="34">
        <v>401750</v>
      </c>
    </row>
    <row r="1269" spans="1:11" hidden="1">
      <c r="A1269" s="29" t="s">
        <v>138</v>
      </c>
      <c r="B1269" s="32">
        <v>39737</v>
      </c>
      <c r="C1269" s="29">
        <v>36</v>
      </c>
      <c r="D1269" s="35">
        <v>36.25</v>
      </c>
      <c r="E1269" s="35">
        <v>35.75</v>
      </c>
      <c r="F1269" s="33">
        <v>36</v>
      </c>
      <c r="G1269" s="29">
        <v>0</v>
      </c>
      <c r="H1269" s="29">
        <v>1</v>
      </c>
      <c r="I1269" s="35">
        <v>37</v>
      </c>
      <c r="J1269" s="34">
        <v>5600</v>
      </c>
      <c r="K1269" s="34">
        <v>202075</v>
      </c>
    </row>
    <row r="1270" spans="1:11" hidden="1">
      <c r="A1270" s="29" t="s">
        <v>138</v>
      </c>
      <c r="B1270" s="32">
        <v>39738</v>
      </c>
      <c r="C1270" s="29">
        <v>35.75</v>
      </c>
      <c r="D1270" s="35">
        <v>37</v>
      </c>
      <c r="E1270" s="35">
        <v>35.75</v>
      </c>
      <c r="F1270" s="33">
        <v>36.25</v>
      </c>
      <c r="G1270" s="29">
        <v>0</v>
      </c>
      <c r="H1270" s="29">
        <v>-0.25</v>
      </c>
      <c r="I1270" s="35">
        <v>36</v>
      </c>
      <c r="J1270" s="34">
        <v>4000</v>
      </c>
      <c r="K1270" s="34">
        <v>144825</v>
      </c>
    </row>
    <row r="1271" spans="1:11" hidden="1">
      <c r="A1271" s="29" t="s">
        <v>138</v>
      </c>
      <c r="B1271" s="32">
        <v>39741</v>
      </c>
      <c r="C1271" s="29">
        <v>36</v>
      </c>
      <c r="D1271" s="35">
        <v>36</v>
      </c>
      <c r="E1271" s="35">
        <v>35.5</v>
      </c>
      <c r="F1271" s="33">
        <v>35.5</v>
      </c>
      <c r="G1271" s="29">
        <v>0</v>
      </c>
      <c r="H1271" s="29">
        <v>0.75</v>
      </c>
      <c r="I1271" s="35">
        <v>36.25</v>
      </c>
      <c r="J1271" s="34">
        <v>8900</v>
      </c>
      <c r="K1271" s="34">
        <v>318600</v>
      </c>
    </row>
    <row r="1272" spans="1:11" hidden="1">
      <c r="A1272" s="29" t="s">
        <v>138</v>
      </c>
      <c r="B1272" s="32">
        <v>39742</v>
      </c>
      <c r="C1272" s="29">
        <v>35.75</v>
      </c>
      <c r="D1272" s="35">
        <v>35.75</v>
      </c>
      <c r="E1272" s="35">
        <v>35</v>
      </c>
      <c r="F1272" s="33">
        <v>35</v>
      </c>
      <c r="G1272" s="29">
        <v>0</v>
      </c>
      <c r="H1272" s="29">
        <v>0.5</v>
      </c>
      <c r="I1272" s="35">
        <v>35.5</v>
      </c>
      <c r="J1272" s="34">
        <v>41600</v>
      </c>
      <c r="K1272" s="34">
        <v>1460975</v>
      </c>
    </row>
    <row r="1273" spans="1:11" hidden="1">
      <c r="A1273" s="29" t="s">
        <v>138</v>
      </c>
      <c r="B1273" s="32">
        <v>39743</v>
      </c>
      <c r="C1273" s="29">
        <v>35.5</v>
      </c>
      <c r="D1273" s="35">
        <v>36</v>
      </c>
      <c r="E1273" s="35">
        <v>35</v>
      </c>
      <c r="F1273" s="33">
        <v>35</v>
      </c>
      <c r="G1273" s="29">
        <v>0</v>
      </c>
      <c r="H1273" s="29">
        <v>0</v>
      </c>
      <c r="I1273" s="35">
        <v>35</v>
      </c>
      <c r="J1273" s="34">
        <v>25800</v>
      </c>
      <c r="K1273" s="34">
        <v>920375</v>
      </c>
    </row>
    <row r="1274" spans="1:11" hidden="1">
      <c r="A1274" s="29" t="s">
        <v>138</v>
      </c>
      <c r="B1274" s="32">
        <v>39744</v>
      </c>
      <c r="C1274" s="29">
        <v>34.5</v>
      </c>
      <c r="D1274" s="35">
        <v>35.25</v>
      </c>
      <c r="E1274" s="35">
        <v>32</v>
      </c>
      <c r="F1274" s="33">
        <v>32.25</v>
      </c>
      <c r="G1274" s="29">
        <v>0</v>
      </c>
      <c r="H1274" s="29">
        <v>2.75</v>
      </c>
      <c r="I1274" s="35">
        <v>35</v>
      </c>
      <c r="J1274" s="34">
        <v>20900</v>
      </c>
      <c r="K1274" s="34">
        <v>689150</v>
      </c>
    </row>
    <row r="1275" spans="1:11" hidden="1">
      <c r="A1275" s="29" t="s">
        <v>138</v>
      </c>
      <c r="B1275" s="32">
        <v>39745</v>
      </c>
      <c r="C1275" s="29">
        <v>32.25</v>
      </c>
      <c r="D1275" s="35">
        <v>34</v>
      </c>
      <c r="E1275" s="35">
        <v>32.25</v>
      </c>
      <c r="F1275" s="33">
        <v>34</v>
      </c>
      <c r="G1275" s="29">
        <v>0</v>
      </c>
      <c r="H1275" s="29">
        <v>-1.75</v>
      </c>
      <c r="I1275" s="35">
        <v>32.25</v>
      </c>
      <c r="J1275" s="34">
        <v>9300</v>
      </c>
      <c r="K1275" s="34">
        <v>309350</v>
      </c>
    </row>
    <row r="1276" spans="1:11" hidden="1">
      <c r="A1276" s="29" t="s">
        <v>138</v>
      </c>
      <c r="B1276" s="32">
        <v>39749</v>
      </c>
      <c r="C1276" s="29">
        <v>33.75</v>
      </c>
      <c r="D1276" s="35">
        <v>33.75</v>
      </c>
      <c r="E1276" s="35">
        <v>32.75</v>
      </c>
      <c r="F1276" s="33">
        <v>32.75</v>
      </c>
      <c r="G1276" s="29">
        <v>0</v>
      </c>
      <c r="H1276" s="29">
        <v>1.25</v>
      </c>
      <c r="I1276" s="35">
        <v>34</v>
      </c>
      <c r="J1276" s="34">
        <v>25400</v>
      </c>
      <c r="K1276" s="34">
        <v>833150</v>
      </c>
    </row>
    <row r="1277" spans="1:11" hidden="1">
      <c r="A1277" s="29" t="s">
        <v>138</v>
      </c>
      <c r="B1277" s="32">
        <v>39750</v>
      </c>
      <c r="C1277" s="29">
        <v>32.75</v>
      </c>
      <c r="D1277" s="35">
        <v>33.25</v>
      </c>
      <c r="E1277" s="35">
        <v>32.75</v>
      </c>
      <c r="F1277" s="33">
        <v>33</v>
      </c>
      <c r="G1277" s="29">
        <v>0</v>
      </c>
      <c r="H1277" s="29">
        <v>-0.25</v>
      </c>
      <c r="I1277" s="35">
        <v>32.75</v>
      </c>
      <c r="J1277" s="34">
        <v>8800</v>
      </c>
      <c r="K1277" s="34">
        <v>290350</v>
      </c>
    </row>
    <row r="1278" spans="1:11" hidden="1">
      <c r="A1278" s="29" t="s">
        <v>138</v>
      </c>
      <c r="B1278" s="32">
        <v>39751</v>
      </c>
      <c r="C1278" s="29">
        <v>33.5</v>
      </c>
      <c r="D1278" s="35">
        <v>34.5</v>
      </c>
      <c r="E1278" s="35">
        <v>33.5</v>
      </c>
      <c r="F1278" s="33">
        <v>34.5</v>
      </c>
      <c r="G1278" s="29">
        <v>0</v>
      </c>
      <c r="H1278" s="29">
        <v>-1.5</v>
      </c>
      <c r="I1278" s="35">
        <v>33</v>
      </c>
      <c r="J1278" s="34">
        <v>12300</v>
      </c>
      <c r="K1278" s="34">
        <v>422875</v>
      </c>
    </row>
    <row r="1279" spans="1:11" hidden="1">
      <c r="A1279" s="29" t="s">
        <v>138</v>
      </c>
      <c r="B1279" s="32">
        <v>39752</v>
      </c>
      <c r="C1279" s="29">
        <v>34.5</v>
      </c>
      <c r="D1279" s="35">
        <v>34.5</v>
      </c>
      <c r="E1279" s="35">
        <v>34</v>
      </c>
      <c r="F1279" s="33">
        <v>34.25</v>
      </c>
      <c r="G1279" s="29">
        <v>0</v>
      </c>
      <c r="H1279" s="29">
        <v>0.25</v>
      </c>
      <c r="I1279" s="35">
        <v>34.5</v>
      </c>
      <c r="J1279" s="34">
        <v>9800</v>
      </c>
      <c r="K1279" s="34">
        <v>334125</v>
      </c>
    </row>
    <row r="1280" spans="1:11" hidden="1">
      <c r="A1280" s="29" t="s">
        <v>138</v>
      </c>
      <c r="B1280" s="32">
        <v>39755</v>
      </c>
      <c r="C1280" s="29">
        <v>34.75</v>
      </c>
      <c r="D1280" s="35">
        <v>36.75</v>
      </c>
      <c r="E1280" s="35">
        <v>34.75</v>
      </c>
      <c r="F1280" s="33">
        <v>36.5</v>
      </c>
      <c r="G1280" s="29">
        <v>0</v>
      </c>
      <c r="H1280" s="29">
        <v>-2.25</v>
      </c>
      <c r="I1280" s="35">
        <v>34.25</v>
      </c>
      <c r="J1280" s="34">
        <v>20900</v>
      </c>
      <c r="K1280" s="34">
        <v>749525</v>
      </c>
    </row>
    <row r="1281" spans="1:11" hidden="1">
      <c r="A1281" s="29" t="s">
        <v>138</v>
      </c>
      <c r="B1281" s="32">
        <v>39756</v>
      </c>
      <c r="C1281" s="29">
        <v>36.5</v>
      </c>
      <c r="D1281" s="35">
        <v>37.25</v>
      </c>
      <c r="E1281" s="35">
        <v>36.5</v>
      </c>
      <c r="F1281" s="33">
        <v>37</v>
      </c>
      <c r="G1281" s="29">
        <v>0</v>
      </c>
      <c r="H1281" s="29">
        <v>-0.5</v>
      </c>
      <c r="I1281" s="35">
        <v>36.5</v>
      </c>
      <c r="J1281" s="34">
        <v>30900</v>
      </c>
      <c r="K1281" s="34">
        <v>1142025</v>
      </c>
    </row>
    <row r="1282" spans="1:11" hidden="1">
      <c r="A1282" s="29" t="s">
        <v>138</v>
      </c>
      <c r="B1282" s="32">
        <v>39757</v>
      </c>
      <c r="C1282" s="29">
        <v>37.25</v>
      </c>
      <c r="D1282" s="35">
        <v>37.25</v>
      </c>
      <c r="E1282" s="35">
        <v>35.5</v>
      </c>
      <c r="F1282" s="33">
        <v>35.75</v>
      </c>
      <c r="G1282" s="29">
        <v>0</v>
      </c>
      <c r="H1282" s="29">
        <v>1.25</v>
      </c>
      <c r="I1282" s="35">
        <v>37</v>
      </c>
      <c r="J1282" s="34">
        <v>10000</v>
      </c>
      <c r="K1282" s="34">
        <v>361100</v>
      </c>
    </row>
    <row r="1283" spans="1:11" hidden="1">
      <c r="A1283" s="29" t="s">
        <v>138</v>
      </c>
      <c r="B1283" s="32">
        <v>39758</v>
      </c>
      <c r="C1283" s="29">
        <v>36.25</v>
      </c>
      <c r="D1283" s="35">
        <v>36.25</v>
      </c>
      <c r="E1283" s="35">
        <v>35.5</v>
      </c>
      <c r="F1283" s="33">
        <v>36</v>
      </c>
      <c r="G1283" s="29">
        <v>0</v>
      </c>
      <c r="H1283" s="29">
        <v>-0.25</v>
      </c>
      <c r="I1283" s="35">
        <v>35.75</v>
      </c>
      <c r="J1283" s="34">
        <v>4200</v>
      </c>
      <c r="K1283" s="34">
        <v>151100</v>
      </c>
    </row>
    <row r="1284" spans="1:11" hidden="1">
      <c r="A1284" s="29" t="s">
        <v>138</v>
      </c>
      <c r="B1284" s="32">
        <v>39759</v>
      </c>
      <c r="C1284" s="29">
        <v>36</v>
      </c>
      <c r="D1284" s="35">
        <v>36</v>
      </c>
      <c r="E1284" s="35">
        <v>35.25</v>
      </c>
      <c r="F1284" s="33">
        <v>35.25</v>
      </c>
      <c r="G1284" s="29">
        <v>0</v>
      </c>
      <c r="H1284" s="29">
        <v>0.75</v>
      </c>
      <c r="I1284" s="35">
        <v>36</v>
      </c>
      <c r="J1284" s="34">
        <v>14900</v>
      </c>
      <c r="K1284" s="34">
        <v>532200</v>
      </c>
    </row>
    <row r="1285" spans="1:11" hidden="1">
      <c r="A1285" s="29" t="s">
        <v>138</v>
      </c>
      <c r="B1285" s="32">
        <v>39762</v>
      </c>
      <c r="C1285" s="29">
        <v>35</v>
      </c>
      <c r="D1285" s="35">
        <v>35</v>
      </c>
      <c r="E1285" s="35">
        <v>35</v>
      </c>
      <c r="F1285" s="33">
        <v>35</v>
      </c>
      <c r="G1285" s="29">
        <v>0</v>
      </c>
      <c r="H1285" s="29">
        <v>0.25</v>
      </c>
      <c r="I1285" s="35">
        <v>35.25</v>
      </c>
      <c r="J1285" s="34">
        <v>800</v>
      </c>
      <c r="K1285" s="34">
        <v>28000</v>
      </c>
    </row>
    <row r="1286" spans="1:11" hidden="1">
      <c r="A1286" s="29" t="s">
        <v>138</v>
      </c>
      <c r="B1286" s="32">
        <v>39763</v>
      </c>
      <c r="C1286" s="29">
        <v>34.5</v>
      </c>
      <c r="D1286" s="35">
        <v>35</v>
      </c>
      <c r="E1286" s="35">
        <v>34</v>
      </c>
      <c r="F1286" s="33">
        <v>34.5</v>
      </c>
      <c r="G1286" s="29">
        <v>0</v>
      </c>
      <c r="H1286" s="29">
        <v>0.5</v>
      </c>
      <c r="I1286" s="35">
        <v>35</v>
      </c>
      <c r="J1286" s="34">
        <v>18400</v>
      </c>
      <c r="K1286" s="34">
        <v>627900</v>
      </c>
    </row>
    <row r="1287" spans="1:11" hidden="1">
      <c r="A1287" s="29" t="s">
        <v>138</v>
      </c>
      <c r="B1287" s="32">
        <v>39765</v>
      </c>
      <c r="C1287" s="29">
        <v>34.25</v>
      </c>
      <c r="D1287" s="35">
        <v>34.25</v>
      </c>
      <c r="E1287" s="35">
        <v>34</v>
      </c>
      <c r="F1287" s="33">
        <v>34</v>
      </c>
      <c r="G1287" s="29">
        <v>0</v>
      </c>
      <c r="H1287" s="29">
        <v>0.5</v>
      </c>
      <c r="I1287" s="35">
        <v>34.5</v>
      </c>
      <c r="J1287" s="34">
        <v>35000</v>
      </c>
      <c r="K1287" s="34">
        <v>1190125</v>
      </c>
    </row>
    <row r="1288" spans="1:11" hidden="1">
      <c r="A1288" s="29" t="s">
        <v>138</v>
      </c>
      <c r="B1288" s="32">
        <v>39766</v>
      </c>
      <c r="C1288" s="29">
        <v>34</v>
      </c>
      <c r="D1288" s="35">
        <v>34.25</v>
      </c>
      <c r="E1288" s="35">
        <v>34</v>
      </c>
      <c r="F1288" s="33">
        <v>34.25</v>
      </c>
      <c r="G1288" s="29">
        <v>0</v>
      </c>
      <c r="H1288" s="29">
        <v>-0.25</v>
      </c>
      <c r="I1288" s="35">
        <v>34</v>
      </c>
      <c r="J1288" s="34">
        <v>28500</v>
      </c>
      <c r="K1288" s="34">
        <v>969075</v>
      </c>
    </row>
    <row r="1289" spans="1:11" hidden="1">
      <c r="A1289" s="29" t="s">
        <v>138</v>
      </c>
      <c r="B1289" s="32">
        <v>39769</v>
      </c>
      <c r="C1289" s="29">
        <v>34.75</v>
      </c>
      <c r="D1289" s="35">
        <v>35</v>
      </c>
      <c r="E1289" s="35">
        <v>34.75</v>
      </c>
      <c r="F1289" s="33">
        <v>35</v>
      </c>
      <c r="G1289" s="29">
        <v>0</v>
      </c>
      <c r="H1289" s="29">
        <v>-0.75</v>
      </c>
      <c r="I1289" s="35">
        <v>34.25</v>
      </c>
      <c r="J1289" s="34">
        <v>3100</v>
      </c>
      <c r="K1289" s="34">
        <v>108475</v>
      </c>
    </row>
    <row r="1290" spans="1:11" hidden="1">
      <c r="A1290" s="29" t="s">
        <v>138</v>
      </c>
      <c r="B1290" s="32">
        <v>39770</v>
      </c>
      <c r="C1290" s="29">
        <v>34.5</v>
      </c>
      <c r="D1290" s="35">
        <v>35</v>
      </c>
      <c r="E1290" s="35">
        <v>34.5</v>
      </c>
      <c r="F1290" s="33">
        <v>34.5</v>
      </c>
      <c r="G1290" s="29">
        <v>0</v>
      </c>
      <c r="H1290" s="29">
        <v>0.5</v>
      </c>
      <c r="I1290" s="35">
        <v>35</v>
      </c>
      <c r="J1290" s="34">
        <v>10500</v>
      </c>
      <c r="K1290" s="34">
        <v>362750</v>
      </c>
    </row>
    <row r="1291" spans="1:11" hidden="1">
      <c r="A1291" s="29" t="s">
        <v>138</v>
      </c>
      <c r="B1291" s="32">
        <v>39771</v>
      </c>
      <c r="C1291" s="29">
        <v>34.25</v>
      </c>
      <c r="D1291" s="35">
        <v>34.25</v>
      </c>
      <c r="E1291" s="35">
        <v>34</v>
      </c>
      <c r="F1291" s="33">
        <v>34</v>
      </c>
      <c r="G1291" s="29">
        <v>0</v>
      </c>
      <c r="H1291" s="29">
        <v>0.5</v>
      </c>
      <c r="I1291" s="35">
        <v>34.5</v>
      </c>
      <c r="J1291" s="34">
        <v>42000</v>
      </c>
      <c r="K1291" s="34">
        <v>1428525</v>
      </c>
    </row>
    <row r="1292" spans="1:11" hidden="1">
      <c r="A1292" s="29" t="s">
        <v>138</v>
      </c>
      <c r="B1292" s="32">
        <v>39772</v>
      </c>
      <c r="C1292" s="29">
        <v>33.5</v>
      </c>
      <c r="D1292" s="35">
        <v>35</v>
      </c>
      <c r="E1292" s="35">
        <v>33.5</v>
      </c>
      <c r="F1292" s="33">
        <v>33.75</v>
      </c>
      <c r="G1292" s="29">
        <v>0</v>
      </c>
      <c r="H1292" s="29">
        <v>0.25</v>
      </c>
      <c r="I1292" s="35">
        <v>34</v>
      </c>
      <c r="J1292" s="34">
        <v>17800</v>
      </c>
      <c r="K1292" s="34">
        <v>600875</v>
      </c>
    </row>
    <row r="1293" spans="1:11" hidden="1">
      <c r="A1293" s="29" t="s">
        <v>138</v>
      </c>
      <c r="B1293" s="32">
        <v>39773</v>
      </c>
      <c r="C1293" s="29">
        <v>33</v>
      </c>
      <c r="D1293" s="35">
        <v>33</v>
      </c>
      <c r="E1293" s="35">
        <v>32.5</v>
      </c>
      <c r="F1293" s="33">
        <v>32.5</v>
      </c>
      <c r="G1293" s="29">
        <v>0</v>
      </c>
      <c r="H1293" s="29">
        <v>1.25</v>
      </c>
      <c r="I1293" s="35">
        <v>33.75</v>
      </c>
      <c r="J1293" s="34">
        <v>3900</v>
      </c>
      <c r="K1293" s="34">
        <v>127100</v>
      </c>
    </row>
    <row r="1294" spans="1:11" hidden="1">
      <c r="A1294" s="29" t="s">
        <v>138</v>
      </c>
      <c r="B1294" s="32">
        <v>39776</v>
      </c>
      <c r="C1294" s="29">
        <v>33</v>
      </c>
      <c r="D1294" s="35">
        <v>33.5</v>
      </c>
      <c r="E1294" s="35">
        <v>33</v>
      </c>
      <c r="F1294" s="33">
        <v>33.25</v>
      </c>
      <c r="G1294" s="29">
        <v>0</v>
      </c>
      <c r="H1294" s="29">
        <v>-0.75</v>
      </c>
      <c r="I1294" s="35">
        <v>32.5</v>
      </c>
      <c r="J1294" s="34">
        <v>1800</v>
      </c>
      <c r="K1294" s="34">
        <v>59650</v>
      </c>
    </row>
    <row r="1295" spans="1:11" hidden="1">
      <c r="A1295" s="29" t="s">
        <v>138</v>
      </c>
      <c r="B1295" s="32">
        <v>39777</v>
      </c>
      <c r="C1295" s="29">
        <v>33</v>
      </c>
      <c r="D1295" s="35">
        <v>33</v>
      </c>
      <c r="E1295" s="35">
        <v>32.5</v>
      </c>
      <c r="F1295" s="33">
        <v>32.75</v>
      </c>
      <c r="G1295" s="29">
        <v>0</v>
      </c>
      <c r="H1295" s="29">
        <v>0.5</v>
      </c>
      <c r="I1295" s="35">
        <v>33.25</v>
      </c>
      <c r="J1295" s="34">
        <v>2300</v>
      </c>
      <c r="K1295" s="34">
        <v>75300</v>
      </c>
    </row>
    <row r="1296" spans="1:11" hidden="1">
      <c r="A1296" s="29" t="s">
        <v>138</v>
      </c>
      <c r="B1296" s="32">
        <v>39778</v>
      </c>
      <c r="C1296" s="29">
        <v>32.5</v>
      </c>
      <c r="D1296" s="35">
        <v>33</v>
      </c>
      <c r="E1296" s="35">
        <v>31.5</v>
      </c>
      <c r="F1296" s="33">
        <v>32</v>
      </c>
      <c r="G1296" s="29">
        <v>0</v>
      </c>
      <c r="H1296" s="29">
        <v>0.75</v>
      </c>
      <c r="I1296" s="35">
        <v>32.75</v>
      </c>
      <c r="J1296" s="34">
        <v>50500</v>
      </c>
      <c r="K1296" s="34">
        <v>1617775</v>
      </c>
    </row>
    <row r="1297" spans="1:11" hidden="1">
      <c r="A1297" s="29" t="s">
        <v>138</v>
      </c>
      <c r="B1297" s="32">
        <v>39779</v>
      </c>
      <c r="C1297" s="29">
        <v>31</v>
      </c>
      <c r="D1297" s="35">
        <v>33</v>
      </c>
      <c r="E1297" s="35">
        <v>31</v>
      </c>
      <c r="F1297" s="33">
        <v>32.25</v>
      </c>
      <c r="G1297" s="29">
        <v>0</v>
      </c>
      <c r="H1297" s="29">
        <v>-0.25</v>
      </c>
      <c r="I1297" s="35">
        <v>32</v>
      </c>
      <c r="J1297" s="34">
        <v>41200</v>
      </c>
      <c r="K1297" s="34">
        <v>1282350</v>
      </c>
    </row>
    <row r="1298" spans="1:11" hidden="1">
      <c r="A1298" s="29" t="s">
        <v>138</v>
      </c>
      <c r="B1298" s="32">
        <v>39780</v>
      </c>
      <c r="C1298" s="29">
        <v>32</v>
      </c>
      <c r="D1298" s="35">
        <v>33</v>
      </c>
      <c r="E1298" s="35">
        <v>32</v>
      </c>
      <c r="F1298" s="33">
        <v>32.25</v>
      </c>
      <c r="G1298" s="29">
        <v>0</v>
      </c>
      <c r="H1298" s="29">
        <v>0</v>
      </c>
      <c r="I1298" s="35">
        <v>32.25</v>
      </c>
      <c r="J1298" s="34">
        <v>2600</v>
      </c>
      <c r="K1298" s="34">
        <v>84650</v>
      </c>
    </row>
    <row r="1299" spans="1:11" hidden="1">
      <c r="A1299" s="29" t="s">
        <v>138</v>
      </c>
      <c r="B1299" s="32">
        <v>39783</v>
      </c>
      <c r="C1299" s="29">
        <v>33.5</v>
      </c>
      <c r="D1299" s="35">
        <v>33.5</v>
      </c>
      <c r="E1299" s="35">
        <v>33.5</v>
      </c>
      <c r="F1299" s="33">
        <v>33.5</v>
      </c>
      <c r="G1299" s="29">
        <v>0</v>
      </c>
      <c r="H1299" s="29">
        <v>-1.25</v>
      </c>
      <c r="I1299" s="35">
        <v>32.25</v>
      </c>
      <c r="J1299" s="34">
        <v>200</v>
      </c>
      <c r="K1299" s="34">
        <v>6700</v>
      </c>
    </row>
    <row r="1300" spans="1:11" hidden="1">
      <c r="A1300" s="29" t="s">
        <v>138</v>
      </c>
      <c r="B1300" s="32">
        <v>39784</v>
      </c>
      <c r="C1300" s="29">
        <v>32.5</v>
      </c>
      <c r="D1300" s="35">
        <v>32.5</v>
      </c>
      <c r="E1300" s="35">
        <v>32</v>
      </c>
      <c r="F1300" s="33">
        <v>32.5</v>
      </c>
      <c r="G1300" s="29">
        <v>0</v>
      </c>
      <c r="H1300" s="29">
        <v>1</v>
      </c>
      <c r="I1300" s="35">
        <v>33.5</v>
      </c>
      <c r="J1300" s="34">
        <v>46800</v>
      </c>
      <c r="K1300" s="34">
        <v>1520000</v>
      </c>
    </row>
    <row r="1301" spans="1:11" hidden="1">
      <c r="A1301" s="29" t="s">
        <v>138</v>
      </c>
      <c r="B1301" s="32">
        <v>39785</v>
      </c>
      <c r="C1301" s="29">
        <v>32.75</v>
      </c>
      <c r="D1301" s="35">
        <v>32.75</v>
      </c>
      <c r="E1301" s="35">
        <v>32.5</v>
      </c>
      <c r="F1301" s="33">
        <v>32.75</v>
      </c>
      <c r="G1301" s="29">
        <v>0</v>
      </c>
      <c r="H1301" s="29">
        <v>-0.25</v>
      </c>
      <c r="I1301" s="35">
        <v>32.5</v>
      </c>
      <c r="J1301" s="34">
        <v>20300</v>
      </c>
      <c r="K1301" s="34">
        <v>659825</v>
      </c>
    </row>
    <row r="1302" spans="1:11" hidden="1">
      <c r="A1302" s="29" t="s">
        <v>138</v>
      </c>
      <c r="B1302" s="32">
        <v>39786</v>
      </c>
      <c r="C1302" s="29">
        <v>32</v>
      </c>
      <c r="D1302" s="35">
        <v>32.5</v>
      </c>
      <c r="E1302" s="35">
        <v>32</v>
      </c>
      <c r="F1302" s="33">
        <v>32.25</v>
      </c>
      <c r="G1302" s="29">
        <v>0</v>
      </c>
      <c r="H1302" s="29">
        <v>0.5</v>
      </c>
      <c r="I1302" s="35">
        <v>32.75</v>
      </c>
      <c r="J1302" s="34">
        <v>3800</v>
      </c>
      <c r="K1302" s="34">
        <v>122625</v>
      </c>
    </row>
    <row r="1303" spans="1:11" hidden="1">
      <c r="A1303" s="29" t="s">
        <v>138</v>
      </c>
      <c r="B1303" s="32">
        <v>39787</v>
      </c>
      <c r="C1303" s="29">
        <v>32.25</v>
      </c>
      <c r="D1303" s="35">
        <v>32.5</v>
      </c>
      <c r="E1303" s="35">
        <v>32.25</v>
      </c>
      <c r="F1303" s="33">
        <v>32.5</v>
      </c>
      <c r="G1303" s="29">
        <v>0</v>
      </c>
      <c r="H1303" s="29">
        <v>-0.25</v>
      </c>
      <c r="I1303" s="35">
        <v>32.25</v>
      </c>
      <c r="J1303" s="34">
        <v>3500</v>
      </c>
      <c r="K1303" s="34">
        <v>113350</v>
      </c>
    </row>
    <row r="1304" spans="1:11" hidden="1">
      <c r="A1304" s="29" t="s">
        <v>138</v>
      </c>
      <c r="B1304" s="32">
        <v>39790</v>
      </c>
      <c r="C1304" s="29">
        <v>32.5</v>
      </c>
      <c r="D1304" s="35">
        <v>32.5</v>
      </c>
      <c r="E1304" s="35">
        <v>32.5</v>
      </c>
      <c r="F1304" s="33">
        <v>32.5</v>
      </c>
      <c r="G1304" s="29">
        <v>0</v>
      </c>
      <c r="H1304" s="29">
        <v>0</v>
      </c>
      <c r="I1304" s="35">
        <v>32.5</v>
      </c>
      <c r="J1304" s="34">
        <v>10900</v>
      </c>
      <c r="K1304" s="34">
        <v>354250</v>
      </c>
    </row>
    <row r="1305" spans="1:11" hidden="1">
      <c r="A1305" s="29" t="s">
        <v>138</v>
      </c>
      <c r="B1305" s="32">
        <v>39792</v>
      </c>
      <c r="C1305" s="29">
        <v>32.5</v>
      </c>
      <c r="D1305" s="35">
        <v>32.5</v>
      </c>
      <c r="E1305" s="35">
        <v>32.25</v>
      </c>
      <c r="F1305" s="33">
        <v>32.5</v>
      </c>
      <c r="G1305" s="29">
        <v>0</v>
      </c>
      <c r="H1305" s="29">
        <v>0</v>
      </c>
      <c r="I1305" s="35">
        <v>32.5</v>
      </c>
      <c r="J1305" s="34">
        <v>5600</v>
      </c>
      <c r="K1305" s="34">
        <v>181300</v>
      </c>
    </row>
    <row r="1306" spans="1:11" hidden="1">
      <c r="A1306" s="29" t="s">
        <v>138</v>
      </c>
      <c r="B1306" s="32">
        <v>39793</v>
      </c>
      <c r="C1306" s="29">
        <v>32.5</v>
      </c>
      <c r="D1306" s="35">
        <v>32.5</v>
      </c>
      <c r="E1306" s="35">
        <v>32.5</v>
      </c>
      <c r="F1306" s="33">
        <v>32.5</v>
      </c>
      <c r="G1306" s="29">
        <v>0</v>
      </c>
      <c r="H1306" s="29">
        <v>0</v>
      </c>
      <c r="I1306" s="35">
        <v>32.5</v>
      </c>
      <c r="J1306" s="34">
        <v>4000</v>
      </c>
      <c r="K1306" s="34">
        <v>130000</v>
      </c>
    </row>
    <row r="1307" spans="1:11" hidden="1">
      <c r="A1307" s="29" t="s">
        <v>138</v>
      </c>
      <c r="B1307" s="32">
        <v>39797</v>
      </c>
      <c r="C1307" s="29">
        <v>32.5</v>
      </c>
      <c r="D1307" s="35">
        <v>32.5</v>
      </c>
      <c r="E1307" s="35">
        <v>32</v>
      </c>
      <c r="F1307" s="33">
        <v>32</v>
      </c>
      <c r="G1307" s="29">
        <v>0</v>
      </c>
      <c r="H1307" s="29">
        <v>0.5</v>
      </c>
      <c r="I1307" s="35">
        <v>32.5</v>
      </c>
      <c r="J1307" s="34">
        <v>69000</v>
      </c>
      <c r="K1307" s="34">
        <v>2214450</v>
      </c>
    </row>
    <row r="1308" spans="1:11" hidden="1">
      <c r="A1308" s="29" t="s">
        <v>138</v>
      </c>
      <c r="B1308" s="32">
        <v>39798</v>
      </c>
      <c r="C1308" s="29">
        <v>32</v>
      </c>
      <c r="D1308" s="35">
        <v>32</v>
      </c>
      <c r="E1308" s="35">
        <v>31.5</v>
      </c>
      <c r="F1308" s="33">
        <v>31.5</v>
      </c>
      <c r="G1308" s="29">
        <v>0</v>
      </c>
      <c r="H1308" s="29">
        <v>0.5</v>
      </c>
      <c r="I1308" s="35">
        <v>32</v>
      </c>
      <c r="J1308" s="34">
        <v>62900</v>
      </c>
      <c r="K1308" s="34">
        <v>2004225</v>
      </c>
    </row>
    <row r="1309" spans="1:11" hidden="1">
      <c r="A1309" s="29" t="s">
        <v>138</v>
      </c>
      <c r="B1309" s="32">
        <v>39799</v>
      </c>
      <c r="C1309" s="29">
        <v>31.5</v>
      </c>
      <c r="D1309" s="35">
        <v>31.5</v>
      </c>
      <c r="E1309" s="35">
        <v>31.25</v>
      </c>
      <c r="F1309" s="33">
        <v>31.25</v>
      </c>
      <c r="G1309" s="29">
        <v>0</v>
      </c>
      <c r="H1309" s="29">
        <v>0.25</v>
      </c>
      <c r="I1309" s="35">
        <v>31.5</v>
      </c>
      <c r="J1309" s="34">
        <v>600</v>
      </c>
      <c r="K1309" s="34">
        <v>18800</v>
      </c>
    </row>
    <row r="1310" spans="1:11" hidden="1">
      <c r="A1310" s="29" t="s">
        <v>138</v>
      </c>
      <c r="B1310" s="32">
        <v>39801</v>
      </c>
      <c r="C1310" s="29">
        <v>31.25</v>
      </c>
      <c r="D1310" s="35">
        <v>32.5</v>
      </c>
      <c r="E1310" s="35">
        <v>31.25</v>
      </c>
      <c r="F1310" s="33">
        <v>32</v>
      </c>
      <c r="G1310" s="29">
        <v>0</v>
      </c>
      <c r="H1310" s="29">
        <v>-0.75</v>
      </c>
      <c r="I1310" s="35">
        <v>31.25</v>
      </c>
      <c r="J1310" s="34">
        <v>3700</v>
      </c>
      <c r="K1310" s="34">
        <v>115900</v>
      </c>
    </row>
    <row r="1311" spans="1:11" hidden="1">
      <c r="A1311" s="29" t="s">
        <v>138</v>
      </c>
      <c r="B1311" s="32">
        <v>39804</v>
      </c>
      <c r="C1311" s="29">
        <v>32</v>
      </c>
      <c r="D1311" s="35">
        <v>32</v>
      </c>
      <c r="E1311" s="35">
        <v>31.25</v>
      </c>
      <c r="F1311" s="33">
        <v>31.25</v>
      </c>
      <c r="G1311" s="29">
        <v>0</v>
      </c>
      <c r="H1311" s="29">
        <v>0.75</v>
      </c>
      <c r="I1311" s="35">
        <v>32</v>
      </c>
      <c r="J1311" s="34">
        <v>1700</v>
      </c>
      <c r="K1311" s="34">
        <v>53350</v>
      </c>
    </row>
    <row r="1312" spans="1:11" hidden="1">
      <c r="A1312" s="29" t="s">
        <v>138</v>
      </c>
      <c r="B1312" s="32">
        <v>39805</v>
      </c>
      <c r="C1312" s="29">
        <v>31.25</v>
      </c>
      <c r="D1312" s="35">
        <v>31.75</v>
      </c>
      <c r="E1312" s="35">
        <v>31.25</v>
      </c>
      <c r="F1312" s="33">
        <v>31.25</v>
      </c>
      <c r="G1312" s="29">
        <v>0</v>
      </c>
      <c r="H1312" s="29">
        <v>0</v>
      </c>
      <c r="I1312" s="35">
        <v>31.25</v>
      </c>
      <c r="J1312" s="34">
        <v>1400</v>
      </c>
      <c r="K1312" s="34">
        <v>43825</v>
      </c>
    </row>
    <row r="1313" spans="1:11" hidden="1">
      <c r="A1313" s="29" t="s">
        <v>138</v>
      </c>
      <c r="B1313" s="32">
        <v>39806</v>
      </c>
      <c r="C1313" s="29">
        <v>31.25</v>
      </c>
      <c r="D1313" s="35">
        <v>31.25</v>
      </c>
      <c r="E1313" s="35">
        <v>31.25</v>
      </c>
      <c r="F1313" s="33">
        <v>31.25</v>
      </c>
      <c r="G1313" s="29">
        <v>0</v>
      </c>
      <c r="H1313" s="29">
        <v>0</v>
      </c>
      <c r="I1313" s="35">
        <v>31.25</v>
      </c>
      <c r="J1313" s="34">
        <v>100</v>
      </c>
      <c r="K1313" s="34">
        <v>3125</v>
      </c>
    </row>
    <row r="1314" spans="1:11" hidden="1">
      <c r="A1314" s="29" t="s">
        <v>138</v>
      </c>
      <c r="B1314" s="32">
        <v>39811</v>
      </c>
      <c r="C1314" s="29">
        <v>31.25</v>
      </c>
      <c r="D1314" s="35">
        <v>31.25</v>
      </c>
      <c r="E1314" s="35">
        <v>30</v>
      </c>
      <c r="F1314" s="33">
        <v>30.75</v>
      </c>
      <c r="G1314" s="29">
        <v>0</v>
      </c>
      <c r="H1314" s="29">
        <v>0.5</v>
      </c>
      <c r="I1314" s="35">
        <v>31.25</v>
      </c>
      <c r="J1314" s="34">
        <v>6300</v>
      </c>
      <c r="K1314" s="34">
        <v>194275</v>
      </c>
    </row>
    <row r="1315" spans="1:11" hidden="1">
      <c r="A1315" s="29" t="s">
        <v>138</v>
      </c>
      <c r="B1315" s="32">
        <v>39812</v>
      </c>
      <c r="C1315" s="29">
        <v>30</v>
      </c>
      <c r="D1315" s="35">
        <v>30</v>
      </c>
      <c r="E1315" s="35">
        <v>30</v>
      </c>
      <c r="F1315" s="33">
        <v>30</v>
      </c>
      <c r="G1315" s="29">
        <v>0</v>
      </c>
      <c r="H1315" s="29">
        <v>0.75</v>
      </c>
      <c r="I1315" s="35">
        <v>30.75</v>
      </c>
      <c r="J1315" s="34">
        <v>1500</v>
      </c>
      <c r="K1315" s="34">
        <v>45000</v>
      </c>
    </row>
    <row r="1316" spans="1:11" hidden="1">
      <c r="A1316" s="29" t="s">
        <v>138</v>
      </c>
      <c r="B1316" s="32">
        <v>39813</v>
      </c>
      <c r="C1316" s="29">
        <v>29.25</v>
      </c>
      <c r="D1316" s="35">
        <v>30</v>
      </c>
      <c r="E1316" s="35">
        <v>29</v>
      </c>
      <c r="F1316" s="33">
        <v>30</v>
      </c>
      <c r="G1316" s="29">
        <v>0</v>
      </c>
      <c r="H1316" s="29">
        <v>0</v>
      </c>
      <c r="I1316" s="35">
        <v>30</v>
      </c>
      <c r="J1316" s="34">
        <v>900</v>
      </c>
      <c r="K1316" s="34">
        <v>26525</v>
      </c>
    </row>
    <row r="1317" spans="1:11" hidden="1">
      <c r="A1317" s="29" t="s">
        <v>138</v>
      </c>
      <c r="B1317" s="32">
        <v>39815</v>
      </c>
      <c r="C1317" s="29">
        <v>31.25</v>
      </c>
      <c r="D1317" s="35">
        <v>32</v>
      </c>
      <c r="E1317" s="35">
        <v>31.25</v>
      </c>
      <c r="F1317" s="33">
        <v>32</v>
      </c>
      <c r="G1317" s="29">
        <v>0</v>
      </c>
      <c r="H1317" s="29">
        <v>-2</v>
      </c>
      <c r="I1317" s="35">
        <v>30</v>
      </c>
      <c r="J1317" s="34">
        <v>13800</v>
      </c>
      <c r="K1317" s="34">
        <v>440025</v>
      </c>
    </row>
    <row r="1318" spans="1:11" hidden="1">
      <c r="A1318" s="29" t="s">
        <v>138</v>
      </c>
      <c r="B1318" s="32">
        <v>39818</v>
      </c>
      <c r="C1318" s="29">
        <v>33</v>
      </c>
      <c r="D1318" s="35">
        <v>34</v>
      </c>
      <c r="E1318" s="35">
        <v>31.5</v>
      </c>
      <c r="F1318" s="33">
        <v>31.5</v>
      </c>
      <c r="G1318" s="29">
        <v>0</v>
      </c>
      <c r="H1318" s="29">
        <v>0.5</v>
      </c>
      <c r="I1318" s="35">
        <v>32</v>
      </c>
      <c r="J1318" s="34">
        <v>17100</v>
      </c>
      <c r="K1318" s="34">
        <v>564625</v>
      </c>
    </row>
    <row r="1319" spans="1:11" hidden="1">
      <c r="A1319" s="29" t="s">
        <v>138</v>
      </c>
      <c r="B1319" s="32">
        <v>39819</v>
      </c>
      <c r="C1319" s="29">
        <v>31.5</v>
      </c>
      <c r="D1319" s="35">
        <v>31.5</v>
      </c>
      <c r="E1319" s="35">
        <v>31.5</v>
      </c>
      <c r="F1319" s="33">
        <v>31.5</v>
      </c>
      <c r="G1319" s="29">
        <v>0</v>
      </c>
      <c r="H1319" s="29">
        <v>0</v>
      </c>
      <c r="I1319" s="35">
        <v>31.5</v>
      </c>
      <c r="J1319" s="34">
        <v>26200</v>
      </c>
      <c r="K1319" s="34">
        <v>825300</v>
      </c>
    </row>
    <row r="1320" spans="1:11" hidden="1">
      <c r="A1320" s="29" t="s">
        <v>138</v>
      </c>
      <c r="B1320" s="32">
        <v>39820</v>
      </c>
      <c r="C1320" s="29">
        <v>31.5</v>
      </c>
      <c r="D1320" s="35">
        <v>31.5</v>
      </c>
      <c r="E1320" s="35">
        <v>31.5</v>
      </c>
      <c r="F1320" s="33">
        <v>31.5</v>
      </c>
      <c r="G1320" s="29">
        <v>0</v>
      </c>
      <c r="H1320" s="29">
        <v>0</v>
      </c>
      <c r="I1320" s="35">
        <v>31.5</v>
      </c>
      <c r="J1320" s="34">
        <v>1200</v>
      </c>
      <c r="K1320" s="34">
        <v>37800</v>
      </c>
    </row>
    <row r="1321" spans="1:11" hidden="1">
      <c r="A1321" s="29" t="s">
        <v>138</v>
      </c>
      <c r="B1321" s="32">
        <v>39822</v>
      </c>
      <c r="C1321" s="29">
        <v>31.5</v>
      </c>
      <c r="D1321" s="35">
        <v>32</v>
      </c>
      <c r="E1321" s="35">
        <v>31.5</v>
      </c>
      <c r="F1321" s="33">
        <v>32</v>
      </c>
      <c r="G1321" s="29">
        <v>0</v>
      </c>
      <c r="H1321" s="29">
        <v>-0.5</v>
      </c>
      <c r="I1321" s="35">
        <v>31.5</v>
      </c>
      <c r="J1321" s="34">
        <v>2800</v>
      </c>
      <c r="K1321" s="34">
        <v>88950</v>
      </c>
    </row>
    <row r="1322" spans="1:11" hidden="1">
      <c r="A1322" s="29" t="s">
        <v>138</v>
      </c>
      <c r="B1322" s="32">
        <v>39825</v>
      </c>
      <c r="C1322" s="29">
        <v>30.5</v>
      </c>
      <c r="D1322" s="35">
        <v>30.5</v>
      </c>
      <c r="E1322" s="35">
        <v>28.5</v>
      </c>
      <c r="F1322" s="33">
        <v>29</v>
      </c>
      <c r="G1322" s="29">
        <v>0</v>
      </c>
      <c r="H1322" s="29">
        <v>3</v>
      </c>
      <c r="I1322" s="35">
        <v>32</v>
      </c>
      <c r="J1322" s="34">
        <v>22000</v>
      </c>
      <c r="K1322" s="34">
        <v>642375</v>
      </c>
    </row>
    <row r="1323" spans="1:11" hidden="1">
      <c r="A1323" s="29" t="s">
        <v>138</v>
      </c>
      <c r="B1323" s="32">
        <v>39826</v>
      </c>
      <c r="C1323" s="29">
        <v>29</v>
      </c>
      <c r="D1323" s="35">
        <v>29.5</v>
      </c>
      <c r="E1323" s="35">
        <v>25</v>
      </c>
      <c r="F1323" s="33">
        <v>28.25</v>
      </c>
      <c r="G1323" s="29">
        <v>0</v>
      </c>
      <c r="H1323" s="29">
        <v>0.75</v>
      </c>
      <c r="I1323" s="35">
        <v>29</v>
      </c>
      <c r="J1323" s="34">
        <v>498500</v>
      </c>
      <c r="K1323" s="34">
        <v>12509875</v>
      </c>
    </row>
    <row r="1324" spans="1:11" hidden="1">
      <c r="A1324" s="29" t="s">
        <v>138</v>
      </c>
      <c r="B1324" s="32">
        <v>39828</v>
      </c>
      <c r="C1324" s="29">
        <v>27.75</v>
      </c>
      <c r="D1324" s="35">
        <v>27.75</v>
      </c>
      <c r="E1324" s="35">
        <v>26.75</v>
      </c>
      <c r="F1324" s="33">
        <v>27</v>
      </c>
      <c r="G1324" s="29">
        <v>0</v>
      </c>
      <c r="H1324" s="29">
        <v>1.25</v>
      </c>
      <c r="I1324" s="35">
        <v>28.25</v>
      </c>
      <c r="J1324" s="34">
        <v>10300</v>
      </c>
      <c r="K1324" s="34">
        <v>278550</v>
      </c>
    </row>
    <row r="1325" spans="1:11" hidden="1">
      <c r="A1325" s="29" t="s">
        <v>138</v>
      </c>
      <c r="B1325" s="32">
        <v>39829</v>
      </c>
      <c r="C1325" s="29">
        <v>27</v>
      </c>
      <c r="D1325" s="35">
        <v>28.25</v>
      </c>
      <c r="E1325" s="35">
        <v>27</v>
      </c>
      <c r="F1325" s="33">
        <v>28.25</v>
      </c>
      <c r="G1325" s="29">
        <v>0</v>
      </c>
      <c r="H1325" s="29">
        <v>-1.25</v>
      </c>
      <c r="I1325" s="35">
        <v>27</v>
      </c>
      <c r="J1325" s="34">
        <v>2500</v>
      </c>
      <c r="K1325" s="34">
        <v>69475</v>
      </c>
    </row>
    <row r="1326" spans="1:11" hidden="1">
      <c r="A1326" s="29" t="s">
        <v>138</v>
      </c>
      <c r="B1326" s="32">
        <v>39832</v>
      </c>
      <c r="C1326" s="29">
        <v>28.25</v>
      </c>
      <c r="D1326" s="35">
        <v>30.75</v>
      </c>
      <c r="E1326" s="35">
        <v>28</v>
      </c>
      <c r="F1326" s="33">
        <v>29.75</v>
      </c>
      <c r="G1326" s="29">
        <v>0</v>
      </c>
      <c r="H1326" s="29">
        <v>-1.5</v>
      </c>
      <c r="I1326" s="35">
        <v>28.25</v>
      </c>
      <c r="J1326" s="34">
        <v>33800</v>
      </c>
      <c r="K1326" s="34">
        <v>988800</v>
      </c>
    </row>
    <row r="1327" spans="1:11" hidden="1">
      <c r="A1327" s="29" t="s">
        <v>138</v>
      </c>
      <c r="B1327" s="32">
        <v>39833</v>
      </c>
      <c r="C1327" s="29">
        <v>31</v>
      </c>
      <c r="D1327" s="35">
        <v>33</v>
      </c>
      <c r="E1327" s="35">
        <v>30</v>
      </c>
      <c r="F1327" s="33">
        <v>32.25</v>
      </c>
      <c r="G1327" s="29">
        <v>0</v>
      </c>
      <c r="H1327" s="29">
        <v>-2.5</v>
      </c>
      <c r="I1327" s="35">
        <v>29.75</v>
      </c>
      <c r="J1327" s="34">
        <v>51200</v>
      </c>
      <c r="K1327" s="34">
        <v>1607125</v>
      </c>
    </row>
    <row r="1328" spans="1:11" hidden="1">
      <c r="A1328" s="29" t="s">
        <v>138</v>
      </c>
      <c r="B1328" s="32">
        <v>39834</v>
      </c>
      <c r="C1328" s="29">
        <v>31.75</v>
      </c>
      <c r="D1328" s="35">
        <v>31.75</v>
      </c>
      <c r="E1328" s="35">
        <v>30.25</v>
      </c>
      <c r="F1328" s="33">
        <v>30.5</v>
      </c>
      <c r="G1328" s="29">
        <v>0</v>
      </c>
      <c r="H1328" s="29">
        <v>1.75</v>
      </c>
      <c r="I1328" s="35">
        <v>32.25</v>
      </c>
      <c r="J1328" s="34">
        <v>10600</v>
      </c>
      <c r="K1328" s="34">
        <v>328075</v>
      </c>
    </row>
    <row r="1329" spans="1:11" hidden="1">
      <c r="A1329" s="29" t="s">
        <v>138</v>
      </c>
      <c r="B1329" s="32">
        <v>39835</v>
      </c>
      <c r="C1329" s="29">
        <v>30.5</v>
      </c>
      <c r="D1329" s="35">
        <v>31</v>
      </c>
      <c r="E1329" s="35">
        <v>30.25</v>
      </c>
      <c r="F1329" s="33">
        <v>31</v>
      </c>
      <c r="G1329" s="29">
        <v>0</v>
      </c>
      <c r="H1329" s="29">
        <v>-0.5</v>
      </c>
      <c r="I1329" s="35">
        <v>30.5</v>
      </c>
      <c r="J1329" s="34">
        <v>1000</v>
      </c>
      <c r="K1329" s="34">
        <v>30600</v>
      </c>
    </row>
    <row r="1330" spans="1:11" hidden="1">
      <c r="A1330" s="29" t="s">
        <v>138</v>
      </c>
      <c r="B1330" s="32">
        <v>39836</v>
      </c>
      <c r="C1330" s="29">
        <v>31.75</v>
      </c>
      <c r="D1330" s="35">
        <v>32</v>
      </c>
      <c r="E1330" s="35">
        <v>31.75</v>
      </c>
      <c r="F1330" s="33">
        <v>32</v>
      </c>
      <c r="G1330" s="29">
        <v>0</v>
      </c>
      <c r="H1330" s="29">
        <v>-1</v>
      </c>
      <c r="I1330" s="35">
        <v>31</v>
      </c>
      <c r="J1330" s="34">
        <v>2000</v>
      </c>
      <c r="K1330" s="34">
        <v>63875</v>
      </c>
    </row>
    <row r="1331" spans="1:11" hidden="1">
      <c r="A1331" s="29" t="s">
        <v>138</v>
      </c>
      <c r="B1331" s="32">
        <v>39839</v>
      </c>
      <c r="C1331" s="29">
        <v>32.5</v>
      </c>
      <c r="D1331" s="35">
        <v>32.75</v>
      </c>
      <c r="E1331" s="35">
        <v>32</v>
      </c>
      <c r="F1331" s="33">
        <v>32.5</v>
      </c>
      <c r="G1331" s="29">
        <v>0</v>
      </c>
      <c r="H1331" s="29">
        <v>-0.5</v>
      </c>
      <c r="I1331" s="35">
        <v>32</v>
      </c>
      <c r="J1331" s="34">
        <v>22200</v>
      </c>
      <c r="K1331" s="34">
        <v>722175</v>
      </c>
    </row>
    <row r="1332" spans="1:11" hidden="1">
      <c r="A1332" s="29" t="s">
        <v>138</v>
      </c>
      <c r="B1332" s="32">
        <v>39840</v>
      </c>
      <c r="C1332" s="29">
        <v>32.5</v>
      </c>
      <c r="D1332" s="35">
        <v>32.5</v>
      </c>
      <c r="E1332" s="35">
        <v>31.5</v>
      </c>
      <c r="F1332" s="33">
        <v>31.75</v>
      </c>
      <c r="G1332" s="29">
        <v>0</v>
      </c>
      <c r="H1332" s="29">
        <v>0.75</v>
      </c>
      <c r="I1332" s="35">
        <v>32.5</v>
      </c>
      <c r="J1332" s="34">
        <v>7700</v>
      </c>
      <c r="K1332" s="34">
        <v>246475</v>
      </c>
    </row>
    <row r="1333" spans="1:11" hidden="1">
      <c r="A1333" s="29" t="s">
        <v>138</v>
      </c>
      <c r="B1333" s="32">
        <v>39841</v>
      </c>
      <c r="C1333" s="29">
        <v>31.5</v>
      </c>
      <c r="D1333" s="35">
        <v>31.5</v>
      </c>
      <c r="E1333" s="35">
        <v>31</v>
      </c>
      <c r="F1333" s="33">
        <v>31.25</v>
      </c>
      <c r="G1333" s="29">
        <v>0</v>
      </c>
      <c r="H1333" s="29">
        <v>0.5</v>
      </c>
      <c r="I1333" s="35">
        <v>31.75</v>
      </c>
      <c r="J1333" s="34">
        <v>2800</v>
      </c>
      <c r="K1333" s="34">
        <v>87825</v>
      </c>
    </row>
    <row r="1334" spans="1:11" hidden="1">
      <c r="A1334" s="29" t="s">
        <v>138</v>
      </c>
      <c r="B1334" s="32">
        <v>39842</v>
      </c>
      <c r="C1334" s="29">
        <v>32</v>
      </c>
      <c r="D1334" s="35">
        <v>33</v>
      </c>
      <c r="E1334" s="35">
        <v>32</v>
      </c>
      <c r="F1334" s="33">
        <v>32.75</v>
      </c>
      <c r="G1334" s="29">
        <v>0</v>
      </c>
      <c r="H1334" s="29">
        <v>-1.5</v>
      </c>
      <c r="I1334" s="35">
        <v>31.25</v>
      </c>
      <c r="J1334" s="34">
        <v>5500</v>
      </c>
      <c r="K1334" s="34">
        <v>179425</v>
      </c>
    </row>
    <row r="1335" spans="1:11" hidden="1">
      <c r="A1335" s="29" t="s">
        <v>138</v>
      </c>
      <c r="B1335" s="32">
        <v>39843</v>
      </c>
      <c r="C1335" s="29">
        <v>33</v>
      </c>
      <c r="D1335" s="35">
        <v>33.75</v>
      </c>
      <c r="E1335" s="35">
        <v>33</v>
      </c>
      <c r="F1335" s="33">
        <v>33.75</v>
      </c>
      <c r="G1335" s="29">
        <v>0</v>
      </c>
      <c r="H1335" s="29">
        <v>-1</v>
      </c>
      <c r="I1335" s="35">
        <v>32.75</v>
      </c>
      <c r="J1335" s="34">
        <v>13400</v>
      </c>
      <c r="K1335" s="34">
        <v>445450</v>
      </c>
    </row>
    <row r="1336" spans="1:11" hidden="1">
      <c r="A1336" s="29" t="s">
        <v>138</v>
      </c>
      <c r="B1336" s="32">
        <v>39846</v>
      </c>
      <c r="C1336" s="29">
        <v>33</v>
      </c>
      <c r="D1336" s="35">
        <v>33.5</v>
      </c>
      <c r="E1336" s="35">
        <v>33</v>
      </c>
      <c r="F1336" s="33">
        <v>33</v>
      </c>
      <c r="G1336" s="29">
        <v>0</v>
      </c>
      <c r="H1336" s="29">
        <v>0.75</v>
      </c>
      <c r="I1336" s="35">
        <v>33.75</v>
      </c>
      <c r="J1336" s="34">
        <v>5100</v>
      </c>
      <c r="K1336" s="34">
        <v>168350</v>
      </c>
    </row>
    <row r="1337" spans="1:11" hidden="1">
      <c r="A1337" s="29" t="s">
        <v>138</v>
      </c>
      <c r="B1337" s="32">
        <v>39847</v>
      </c>
      <c r="C1337" s="29">
        <v>33</v>
      </c>
      <c r="D1337" s="35">
        <v>33</v>
      </c>
      <c r="E1337" s="35">
        <v>33</v>
      </c>
      <c r="F1337" s="33">
        <v>33</v>
      </c>
      <c r="G1337" s="29">
        <v>0</v>
      </c>
      <c r="H1337" s="29">
        <v>0</v>
      </c>
      <c r="I1337" s="35">
        <v>33</v>
      </c>
      <c r="J1337" s="34">
        <v>3300</v>
      </c>
      <c r="K1337" s="34">
        <v>108900</v>
      </c>
    </row>
    <row r="1338" spans="1:11" hidden="1">
      <c r="A1338" s="29" t="s">
        <v>138</v>
      </c>
      <c r="B1338" s="32">
        <v>39849</v>
      </c>
      <c r="C1338" s="29">
        <v>33</v>
      </c>
      <c r="D1338" s="35">
        <v>33</v>
      </c>
      <c r="E1338" s="35">
        <v>32.25</v>
      </c>
      <c r="F1338" s="33">
        <v>32.25</v>
      </c>
      <c r="G1338" s="29">
        <v>0</v>
      </c>
      <c r="H1338" s="29">
        <v>0.75</v>
      </c>
      <c r="I1338" s="35">
        <v>33</v>
      </c>
      <c r="J1338" s="34">
        <v>4700</v>
      </c>
      <c r="K1338" s="34">
        <v>152500</v>
      </c>
    </row>
    <row r="1339" spans="1:11" hidden="1">
      <c r="A1339" s="29" t="s">
        <v>138</v>
      </c>
      <c r="B1339" s="32">
        <v>39850</v>
      </c>
      <c r="C1339" s="29">
        <v>32</v>
      </c>
      <c r="D1339" s="35">
        <v>32</v>
      </c>
      <c r="E1339" s="35">
        <v>32</v>
      </c>
      <c r="F1339" s="33">
        <v>32</v>
      </c>
      <c r="G1339" s="29">
        <v>0</v>
      </c>
      <c r="H1339" s="29">
        <v>0.25</v>
      </c>
      <c r="I1339" s="35">
        <v>32.25</v>
      </c>
      <c r="J1339" s="34">
        <v>1100</v>
      </c>
      <c r="K1339" s="34">
        <v>35200</v>
      </c>
    </row>
    <row r="1340" spans="1:11" hidden="1">
      <c r="A1340" s="29" t="s">
        <v>138</v>
      </c>
      <c r="B1340" s="32">
        <v>39854</v>
      </c>
      <c r="C1340" s="29">
        <v>32.25</v>
      </c>
      <c r="D1340" s="35">
        <v>32.25</v>
      </c>
      <c r="E1340" s="35">
        <v>31</v>
      </c>
      <c r="F1340" s="33">
        <v>31</v>
      </c>
      <c r="G1340" s="29">
        <v>0</v>
      </c>
      <c r="H1340" s="29">
        <v>1</v>
      </c>
      <c r="I1340" s="35">
        <v>32</v>
      </c>
      <c r="J1340" s="34">
        <v>6800</v>
      </c>
      <c r="K1340" s="34">
        <v>211975</v>
      </c>
    </row>
    <row r="1341" spans="1:11" hidden="1">
      <c r="A1341" s="29" t="s">
        <v>138</v>
      </c>
      <c r="B1341" s="32">
        <v>39855</v>
      </c>
      <c r="C1341" s="29">
        <v>31.25</v>
      </c>
      <c r="D1341" s="35">
        <v>31.5</v>
      </c>
      <c r="E1341" s="35">
        <v>31</v>
      </c>
      <c r="F1341" s="33">
        <v>31.25</v>
      </c>
      <c r="G1341" s="29">
        <v>0</v>
      </c>
      <c r="H1341" s="29">
        <v>-0.25</v>
      </c>
      <c r="I1341" s="35">
        <v>31</v>
      </c>
      <c r="J1341" s="34">
        <v>4800</v>
      </c>
      <c r="K1341" s="34">
        <v>149975</v>
      </c>
    </row>
    <row r="1342" spans="1:11" hidden="1">
      <c r="A1342" s="29" t="s">
        <v>138</v>
      </c>
      <c r="B1342" s="32">
        <v>39856</v>
      </c>
      <c r="C1342" s="29">
        <v>31.25</v>
      </c>
      <c r="D1342" s="35">
        <v>31.25</v>
      </c>
      <c r="E1342" s="35">
        <v>30.75</v>
      </c>
      <c r="F1342" s="33">
        <v>31</v>
      </c>
      <c r="G1342" s="29">
        <v>0</v>
      </c>
      <c r="H1342" s="29">
        <v>0.25</v>
      </c>
      <c r="I1342" s="35">
        <v>31.25</v>
      </c>
      <c r="J1342" s="34">
        <v>1600</v>
      </c>
      <c r="K1342" s="34">
        <v>49500</v>
      </c>
    </row>
    <row r="1343" spans="1:11" hidden="1">
      <c r="A1343" s="29" t="s">
        <v>138</v>
      </c>
      <c r="B1343" s="32">
        <v>39857</v>
      </c>
      <c r="C1343" s="29">
        <v>31</v>
      </c>
      <c r="D1343" s="35">
        <v>31.5</v>
      </c>
      <c r="E1343" s="35">
        <v>31</v>
      </c>
      <c r="F1343" s="33">
        <v>31.25</v>
      </c>
      <c r="G1343" s="29">
        <v>0</v>
      </c>
      <c r="H1343" s="29">
        <v>-0.25</v>
      </c>
      <c r="I1343" s="35">
        <v>31</v>
      </c>
      <c r="J1343" s="34">
        <v>1400</v>
      </c>
      <c r="K1343" s="34">
        <v>43450</v>
      </c>
    </row>
    <row r="1344" spans="1:11" hidden="1">
      <c r="A1344" s="29" t="s">
        <v>138</v>
      </c>
      <c r="B1344" s="32">
        <v>39860</v>
      </c>
      <c r="C1344" s="29">
        <v>31</v>
      </c>
      <c r="D1344" s="35">
        <v>31</v>
      </c>
      <c r="E1344" s="35">
        <v>31</v>
      </c>
      <c r="F1344" s="33">
        <v>31</v>
      </c>
      <c r="G1344" s="29">
        <v>0</v>
      </c>
      <c r="H1344" s="29">
        <v>0.25</v>
      </c>
      <c r="I1344" s="35">
        <v>31.25</v>
      </c>
      <c r="J1344" s="34">
        <v>2500</v>
      </c>
      <c r="K1344" s="34">
        <v>77500</v>
      </c>
    </row>
    <row r="1345" spans="1:11" hidden="1">
      <c r="A1345" s="29" t="s">
        <v>138</v>
      </c>
      <c r="B1345" s="32">
        <v>39861</v>
      </c>
      <c r="C1345" s="29">
        <v>31</v>
      </c>
      <c r="D1345" s="35">
        <v>31</v>
      </c>
      <c r="E1345" s="35">
        <v>31</v>
      </c>
      <c r="F1345" s="33">
        <v>31</v>
      </c>
      <c r="G1345" s="29">
        <v>0</v>
      </c>
      <c r="H1345" s="29">
        <v>0</v>
      </c>
      <c r="I1345" s="35">
        <v>31</v>
      </c>
      <c r="J1345" s="34">
        <v>1900</v>
      </c>
      <c r="K1345" s="34">
        <v>58900</v>
      </c>
    </row>
    <row r="1346" spans="1:11" hidden="1">
      <c r="A1346" s="29" t="s">
        <v>138</v>
      </c>
      <c r="B1346" s="32">
        <v>39862</v>
      </c>
      <c r="C1346" s="29">
        <v>31.5</v>
      </c>
      <c r="D1346" s="35">
        <v>31.5</v>
      </c>
      <c r="E1346" s="35">
        <v>30.5</v>
      </c>
      <c r="F1346" s="33">
        <v>30.5</v>
      </c>
      <c r="G1346" s="29">
        <v>0</v>
      </c>
      <c r="H1346" s="29">
        <v>0.5</v>
      </c>
      <c r="I1346" s="35">
        <v>31</v>
      </c>
      <c r="J1346" s="34">
        <v>2600</v>
      </c>
      <c r="K1346" s="34">
        <v>79550</v>
      </c>
    </row>
    <row r="1347" spans="1:11" hidden="1">
      <c r="A1347" s="29" t="s">
        <v>138</v>
      </c>
      <c r="B1347" s="32">
        <v>39863</v>
      </c>
      <c r="C1347" s="29">
        <v>31</v>
      </c>
      <c r="D1347" s="35">
        <v>31</v>
      </c>
      <c r="E1347" s="35">
        <v>30</v>
      </c>
      <c r="F1347" s="33">
        <v>30</v>
      </c>
      <c r="G1347" s="29">
        <v>0</v>
      </c>
      <c r="H1347" s="29">
        <v>0.5</v>
      </c>
      <c r="I1347" s="35">
        <v>30.5</v>
      </c>
      <c r="J1347" s="34">
        <v>2300</v>
      </c>
      <c r="K1347" s="34">
        <v>69650</v>
      </c>
    </row>
    <row r="1348" spans="1:11" hidden="1">
      <c r="A1348" s="29" t="s">
        <v>138</v>
      </c>
      <c r="B1348" s="32">
        <v>39864</v>
      </c>
      <c r="C1348" s="29">
        <v>30</v>
      </c>
      <c r="D1348" s="35">
        <v>30.5</v>
      </c>
      <c r="E1348" s="35">
        <v>30</v>
      </c>
      <c r="F1348" s="33">
        <v>30.5</v>
      </c>
      <c r="G1348" s="29">
        <v>0</v>
      </c>
      <c r="H1348" s="29">
        <v>-0.5</v>
      </c>
      <c r="I1348" s="35">
        <v>30</v>
      </c>
      <c r="J1348" s="34">
        <v>3800</v>
      </c>
      <c r="K1348" s="34">
        <v>114600</v>
      </c>
    </row>
    <row r="1349" spans="1:11" hidden="1">
      <c r="A1349" s="29" t="s">
        <v>138</v>
      </c>
      <c r="B1349" s="32">
        <v>39868</v>
      </c>
      <c r="C1349" s="29">
        <v>29.5</v>
      </c>
      <c r="D1349" s="35">
        <v>29.5</v>
      </c>
      <c r="E1349" s="35">
        <v>29.25</v>
      </c>
      <c r="F1349" s="33">
        <v>29.5</v>
      </c>
      <c r="G1349" s="29">
        <v>0</v>
      </c>
      <c r="H1349" s="29">
        <v>1</v>
      </c>
      <c r="I1349" s="35">
        <v>30.5</v>
      </c>
      <c r="J1349" s="34">
        <v>300</v>
      </c>
      <c r="K1349" s="34">
        <v>8825</v>
      </c>
    </row>
    <row r="1350" spans="1:11" hidden="1">
      <c r="A1350" s="29" t="s">
        <v>138</v>
      </c>
      <c r="B1350" s="32">
        <v>39869</v>
      </c>
      <c r="C1350" s="29">
        <v>29.5</v>
      </c>
      <c r="D1350" s="35">
        <v>29.5</v>
      </c>
      <c r="E1350" s="35">
        <v>29.5</v>
      </c>
      <c r="F1350" s="33">
        <v>29.5</v>
      </c>
      <c r="G1350" s="29">
        <v>0</v>
      </c>
      <c r="H1350" s="29">
        <v>0</v>
      </c>
      <c r="I1350" s="35">
        <v>29.5</v>
      </c>
      <c r="J1350" s="34">
        <v>100</v>
      </c>
      <c r="K1350" s="34">
        <v>2950</v>
      </c>
    </row>
    <row r="1351" spans="1:11" hidden="1">
      <c r="A1351" s="29" t="s">
        <v>138</v>
      </c>
      <c r="B1351" s="32">
        <v>39870</v>
      </c>
      <c r="C1351" s="29">
        <v>29</v>
      </c>
      <c r="D1351" s="35">
        <v>29</v>
      </c>
      <c r="E1351" s="35">
        <v>29</v>
      </c>
      <c r="F1351" s="33">
        <v>29</v>
      </c>
      <c r="G1351" s="29">
        <v>0</v>
      </c>
      <c r="H1351" s="29">
        <v>0.5</v>
      </c>
      <c r="I1351" s="35">
        <v>29.5</v>
      </c>
      <c r="J1351" s="34">
        <v>200</v>
      </c>
      <c r="K1351" s="34">
        <v>5800</v>
      </c>
    </row>
    <row r="1352" spans="1:11" hidden="1">
      <c r="A1352" s="29" t="s">
        <v>138</v>
      </c>
      <c r="B1352" s="32">
        <v>39874</v>
      </c>
      <c r="C1352" s="29">
        <v>29</v>
      </c>
      <c r="D1352" s="35">
        <v>29</v>
      </c>
      <c r="E1352" s="35">
        <v>28.5</v>
      </c>
      <c r="F1352" s="33">
        <v>28.5</v>
      </c>
      <c r="G1352" s="29">
        <v>0</v>
      </c>
      <c r="H1352" s="29">
        <v>0.5</v>
      </c>
      <c r="I1352" s="35">
        <v>29</v>
      </c>
      <c r="J1352" s="34">
        <v>2700</v>
      </c>
      <c r="K1352" s="34">
        <v>77550</v>
      </c>
    </row>
    <row r="1353" spans="1:11" hidden="1">
      <c r="A1353" s="29" t="s">
        <v>138</v>
      </c>
      <c r="B1353" s="32">
        <v>39875</v>
      </c>
      <c r="C1353" s="29">
        <v>27</v>
      </c>
      <c r="D1353" s="35">
        <v>28</v>
      </c>
      <c r="E1353" s="35">
        <v>27</v>
      </c>
      <c r="F1353" s="33">
        <v>28</v>
      </c>
      <c r="G1353" s="29">
        <v>0</v>
      </c>
      <c r="H1353" s="29">
        <v>0.5</v>
      </c>
      <c r="I1353" s="35">
        <v>28.5</v>
      </c>
      <c r="J1353" s="34">
        <v>3200</v>
      </c>
      <c r="K1353" s="34">
        <v>87600</v>
      </c>
    </row>
    <row r="1354" spans="1:11" hidden="1">
      <c r="A1354" s="29" t="s">
        <v>138</v>
      </c>
      <c r="B1354" s="32">
        <v>39876</v>
      </c>
      <c r="C1354" s="29">
        <v>27</v>
      </c>
      <c r="D1354" s="35">
        <v>27</v>
      </c>
      <c r="E1354" s="35">
        <v>27</v>
      </c>
      <c r="F1354" s="33">
        <v>27</v>
      </c>
      <c r="G1354" s="29">
        <v>0</v>
      </c>
      <c r="H1354" s="29">
        <v>1</v>
      </c>
      <c r="I1354" s="35">
        <v>28</v>
      </c>
      <c r="J1354" s="34">
        <v>3100</v>
      </c>
      <c r="K1354" s="34">
        <v>83700</v>
      </c>
    </row>
    <row r="1355" spans="1:11" hidden="1">
      <c r="A1355" s="29" t="s">
        <v>138</v>
      </c>
      <c r="B1355" s="32">
        <v>39877</v>
      </c>
      <c r="C1355" s="29">
        <v>26.25</v>
      </c>
      <c r="D1355" s="35">
        <v>26.25</v>
      </c>
      <c r="E1355" s="35">
        <v>26</v>
      </c>
      <c r="F1355" s="33">
        <v>26</v>
      </c>
      <c r="G1355" s="29">
        <v>0</v>
      </c>
      <c r="H1355" s="29">
        <v>1</v>
      </c>
      <c r="I1355" s="35">
        <v>27</v>
      </c>
      <c r="J1355" s="34">
        <v>7900</v>
      </c>
      <c r="K1355" s="34">
        <v>205875</v>
      </c>
    </row>
    <row r="1356" spans="1:11" hidden="1">
      <c r="A1356" s="29" t="s">
        <v>138</v>
      </c>
      <c r="B1356" s="32">
        <v>39878</v>
      </c>
      <c r="C1356" s="29">
        <v>26</v>
      </c>
      <c r="D1356" s="35">
        <v>27</v>
      </c>
      <c r="E1356" s="35">
        <v>26</v>
      </c>
      <c r="F1356" s="33">
        <v>27</v>
      </c>
      <c r="G1356" s="29">
        <v>0</v>
      </c>
      <c r="H1356" s="29">
        <v>-1</v>
      </c>
      <c r="I1356" s="35">
        <v>26</v>
      </c>
      <c r="J1356" s="34">
        <v>5100</v>
      </c>
      <c r="K1356" s="34">
        <v>134375</v>
      </c>
    </row>
    <row r="1357" spans="1:11" hidden="1">
      <c r="A1357" s="29" t="s">
        <v>138</v>
      </c>
      <c r="B1357" s="32">
        <v>39881</v>
      </c>
      <c r="C1357" s="29">
        <v>26.75</v>
      </c>
      <c r="D1357" s="35">
        <v>26.75</v>
      </c>
      <c r="E1357" s="35">
        <v>26.5</v>
      </c>
      <c r="F1357" s="33">
        <v>26.5</v>
      </c>
      <c r="G1357" s="29">
        <v>0</v>
      </c>
      <c r="H1357" s="29">
        <v>0.5</v>
      </c>
      <c r="I1357" s="35">
        <v>27</v>
      </c>
      <c r="J1357" s="34">
        <v>2300</v>
      </c>
      <c r="K1357" s="34">
        <v>61400</v>
      </c>
    </row>
    <row r="1358" spans="1:11" hidden="1">
      <c r="A1358" s="29" t="s">
        <v>138</v>
      </c>
      <c r="B1358" s="32">
        <v>39883</v>
      </c>
      <c r="C1358" s="29">
        <v>26.5</v>
      </c>
      <c r="D1358" s="35">
        <v>26.5</v>
      </c>
      <c r="E1358" s="35">
        <v>26.25</v>
      </c>
      <c r="F1358" s="33">
        <v>26.25</v>
      </c>
      <c r="G1358" s="29">
        <v>0</v>
      </c>
      <c r="H1358" s="29">
        <v>0.25</v>
      </c>
      <c r="I1358" s="35">
        <v>26.5</v>
      </c>
      <c r="J1358" s="34">
        <v>4300</v>
      </c>
      <c r="K1358" s="34">
        <v>113450</v>
      </c>
    </row>
    <row r="1359" spans="1:11" hidden="1">
      <c r="A1359" s="29" t="s">
        <v>138</v>
      </c>
      <c r="B1359" s="32">
        <v>39884</v>
      </c>
      <c r="C1359" s="29">
        <v>26.25</v>
      </c>
      <c r="D1359" s="35">
        <v>26.25</v>
      </c>
      <c r="E1359" s="35">
        <v>26</v>
      </c>
      <c r="F1359" s="33">
        <v>26</v>
      </c>
      <c r="G1359" s="29">
        <v>0</v>
      </c>
      <c r="H1359" s="29">
        <v>0.25</v>
      </c>
      <c r="I1359" s="35">
        <v>26.25</v>
      </c>
      <c r="J1359" s="34">
        <v>1500</v>
      </c>
      <c r="K1359" s="34">
        <v>39350</v>
      </c>
    </row>
    <row r="1360" spans="1:11" hidden="1">
      <c r="A1360" s="29" t="s">
        <v>138</v>
      </c>
      <c r="B1360" s="32">
        <v>39885</v>
      </c>
      <c r="C1360" s="29">
        <v>26</v>
      </c>
      <c r="D1360" s="35">
        <v>26</v>
      </c>
      <c r="E1360" s="35">
        <v>26</v>
      </c>
      <c r="F1360" s="33">
        <v>26</v>
      </c>
      <c r="G1360" s="29">
        <v>0</v>
      </c>
      <c r="H1360" s="29">
        <v>0</v>
      </c>
      <c r="I1360" s="35">
        <v>26</v>
      </c>
      <c r="J1360" s="34">
        <v>400</v>
      </c>
      <c r="K1360" s="34">
        <v>10400</v>
      </c>
    </row>
    <row r="1361" spans="1:11" hidden="1">
      <c r="A1361" s="29" t="s">
        <v>138</v>
      </c>
      <c r="B1361" s="32">
        <v>39889</v>
      </c>
      <c r="C1361" s="29">
        <v>26.25</v>
      </c>
      <c r="D1361" s="35">
        <v>26.5</v>
      </c>
      <c r="E1361" s="35">
        <v>26.25</v>
      </c>
      <c r="F1361" s="33">
        <v>26.25</v>
      </c>
      <c r="G1361" s="29">
        <v>0</v>
      </c>
      <c r="H1361" s="29">
        <v>-0.25</v>
      </c>
      <c r="I1361" s="35">
        <v>26</v>
      </c>
      <c r="J1361" s="34">
        <v>15400</v>
      </c>
      <c r="K1361" s="34">
        <v>406900</v>
      </c>
    </row>
    <row r="1362" spans="1:11" hidden="1">
      <c r="A1362" s="29" t="s">
        <v>138</v>
      </c>
      <c r="B1362" s="32">
        <v>39890</v>
      </c>
      <c r="C1362" s="29">
        <v>26.5</v>
      </c>
      <c r="D1362" s="35">
        <v>26.5</v>
      </c>
      <c r="E1362" s="35">
        <v>26.5</v>
      </c>
      <c r="F1362" s="33">
        <v>26.5</v>
      </c>
      <c r="G1362" s="29">
        <v>0</v>
      </c>
      <c r="H1362" s="29">
        <v>-0.25</v>
      </c>
      <c r="I1362" s="35">
        <v>26.25</v>
      </c>
      <c r="J1362" s="34">
        <v>100</v>
      </c>
      <c r="K1362" s="34">
        <v>2650</v>
      </c>
    </row>
    <row r="1363" spans="1:11" hidden="1">
      <c r="A1363" s="29" t="s">
        <v>138</v>
      </c>
      <c r="B1363" s="32">
        <v>39891</v>
      </c>
      <c r="C1363" s="29">
        <v>26.75</v>
      </c>
      <c r="D1363" s="35">
        <v>26.75</v>
      </c>
      <c r="E1363" s="35">
        <v>26</v>
      </c>
      <c r="F1363" s="33">
        <v>26</v>
      </c>
      <c r="G1363" s="29">
        <v>0</v>
      </c>
      <c r="H1363" s="29">
        <v>0.5</v>
      </c>
      <c r="I1363" s="35">
        <v>26.5</v>
      </c>
      <c r="J1363" s="34">
        <v>6500</v>
      </c>
      <c r="K1363" s="34">
        <v>169825</v>
      </c>
    </row>
    <row r="1364" spans="1:11" hidden="1">
      <c r="A1364" s="29" t="s">
        <v>138</v>
      </c>
      <c r="B1364" s="32">
        <v>39892</v>
      </c>
      <c r="C1364" s="29">
        <v>26.5</v>
      </c>
      <c r="D1364" s="35">
        <v>26.5</v>
      </c>
      <c r="E1364" s="35">
        <v>26.5</v>
      </c>
      <c r="F1364" s="33">
        <v>26.5</v>
      </c>
      <c r="G1364" s="29">
        <v>0</v>
      </c>
      <c r="H1364" s="29">
        <v>-0.5</v>
      </c>
      <c r="I1364" s="35">
        <v>26</v>
      </c>
      <c r="J1364" s="34">
        <v>3500</v>
      </c>
      <c r="K1364" s="34">
        <v>92750</v>
      </c>
    </row>
    <row r="1365" spans="1:11" hidden="1">
      <c r="A1365" s="29" t="s">
        <v>138</v>
      </c>
      <c r="B1365" s="32">
        <v>39895</v>
      </c>
      <c r="C1365" s="29">
        <v>26.25</v>
      </c>
      <c r="D1365" s="35">
        <v>26.25</v>
      </c>
      <c r="E1365" s="35">
        <v>26</v>
      </c>
      <c r="F1365" s="33">
        <v>26</v>
      </c>
      <c r="G1365" s="29">
        <v>0</v>
      </c>
      <c r="H1365" s="29">
        <v>0.5</v>
      </c>
      <c r="I1365" s="35">
        <v>26.5</v>
      </c>
      <c r="J1365" s="34">
        <v>500</v>
      </c>
      <c r="K1365" s="34">
        <v>13025</v>
      </c>
    </row>
    <row r="1366" spans="1:11" hidden="1">
      <c r="A1366" s="29" t="s">
        <v>138</v>
      </c>
      <c r="B1366" s="32">
        <v>39896</v>
      </c>
      <c r="C1366" s="29">
        <v>25.75</v>
      </c>
      <c r="D1366" s="35">
        <v>26</v>
      </c>
      <c r="E1366" s="35">
        <v>25.75</v>
      </c>
      <c r="F1366" s="33">
        <v>26</v>
      </c>
      <c r="G1366" s="29">
        <v>0</v>
      </c>
      <c r="H1366" s="29">
        <v>0</v>
      </c>
      <c r="I1366" s="35">
        <v>26</v>
      </c>
      <c r="J1366" s="34">
        <v>2400</v>
      </c>
      <c r="K1366" s="34">
        <v>62000</v>
      </c>
    </row>
    <row r="1367" spans="1:11" hidden="1">
      <c r="A1367" s="29" t="s">
        <v>138</v>
      </c>
      <c r="B1367" s="32">
        <v>39897</v>
      </c>
      <c r="C1367" s="29">
        <v>26</v>
      </c>
      <c r="D1367" s="35">
        <v>26</v>
      </c>
      <c r="E1367" s="35">
        <v>25.75</v>
      </c>
      <c r="F1367" s="33">
        <v>26</v>
      </c>
      <c r="G1367" s="29">
        <v>0</v>
      </c>
      <c r="H1367" s="29">
        <v>0</v>
      </c>
      <c r="I1367" s="35">
        <v>26</v>
      </c>
      <c r="J1367" s="34">
        <v>109200</v>
      </c>
      <c r="K1367" s="34">
        <v>2839100</v>
      </c>
    </row>
    <row r="1368" spans="1:11" hidden="1">
      <c r="A1368" s="29" t="s">
        <v>138</v>
      </c>
      <c r="B1368" s="32">
        <v>39898</v>
      </c>
      <c r="C1368" s="29">
        <v>25.75</v>
      </c>
      <c r="D1368" s="35">
        <v>25.75</v>
      </c>
      <c r="E1368" s="35">
        <v>25.75</v>
      </c>
      <c r="F1368" s="33">
        <v>25.75</v>
      </c>
      <c r="G1368" s="29">
        <v>0</v>
      </c>
      <c r="H1368" s="29">
        <v>0.25</v>
      </c>
      <c r="I1368" s="35">
        <v>26</v>
      </c>
      <c r="J1368" s="34">
        <v>3900</v>
      </c>
      <c r="K1368" s="34">
        <v>100425</v>
      </c>
    </row>
    <row r="1369" spans="1:11" hidden="1">
      <c r="A1369" s="29" t="s">
        <v>138</v>
      </c>
      <c r="B1369" s="32">
        <v>39899</v>
      </c>
      <c r="C1369" s="29">
        <v>25.5</v>
      </c>
      <c r="D1369" s="35">
        <v>25.75</v>
      </c>
      <c r="E1369" s="35">
        <v>25.5</v>
      </c>
      <c r="F1369" s="33">
        <v>25.5</v>
      </c>
      <c r="G1369" s="29">
        <v>0</v>
      </c>
      <c r="H1369" s="29">
        <v>0.25</v>
      </c>
      <c r="I1369" s="35">
        <v>25.75</v>
      </c>
      <c r="J1369" s="34">
        <v>10300</v>
      </c>
      <c r="K1369" s="34">
        <v>262700</v>
      </c>
    </row>
    <row r="1370" spans="1:11" hidden="1">
      <c r="A1370" s="29" t="s">
        <v>138</v>
      </c>
      <c r="B1370" s="32">
        <v>39902</v>
      </c>
      <c r="C1370" s="29">
        <v>25.5</v>
      </c>
      <c r="D1370" s="35">
        <v>25.5</v>
      </c>
      <c r="E1370" s="35">
        <v>25</v>
      </c>
      <c r="F1370" s="33">
        <v>25</v>
      </c>
      <c r="G1370" s="29">
        <v>0</v>
      </c>
      <c r="H1370" s="29">
        <v>0.5</v>
      </c>
      <c r="I1370" s="35">
        <v>25.5</v>
      </c>
      <c r="J1370" s="34">
        <v>64600</v>
      </c>
      <c r="K1370" s="34">
        <v>1616075</v>
      </c>
    </row>
    <row r="1371" spans="1:11" hidden="1">
      <c r="A1371" s="29" t="s">
        <v>138</v>
      </c>
      <c r="B1371" s="32">
        <v>39903</v>
      </c>
      <c r="C1371" s="29">
        <v>25</v>
      </c>
      <c r="D1371" s="35">
        <v>25</v>
      </c>
      <c r="E1371" s="35">
        <v>24.25</v>
      </c>
      <c r="F1371" s="33">
        <v>24.25</v>
      </c>
      <c r="G1371" s="29">
        <v>0</v>
      </c>
      <c r="H1371" s="29">
        <v>0.75</v>
      </c>
      <c r="I1371" s="35">
        <v>25</v>
      </c>
      <c r="J1371" s="34">
        <v>1800</v>
      </c>
      <c r="K1371" s="34">
        <v>44350</v>
      </c>
    </row>
    <row r="1372" spans="1:11" hidden="1">
      <c r="A1372" s="29" t="s">
        <v>138</v>
      </c>
      <c r="B1372" s="32">
        <v>39904</v>
      </c>
      <c r="C1372" s="29">
        <v>25</v>
      </c>
      <c r="D1372" s="35">
        <v>25</v>
      </c>
      <c r="E1372" s="35">
        <v>24</v>
      </c>
      <c r="F1372" s="33">
        <v>24.5</v>
      </c>
      <c r="G1372" s="29">
        <v>0</v>
      </c>
      <c r="H1372" s="29">
        <v>-0.25</v>
      </c>
      <c r="I1372" s="35">
        <v>24.25</v>
      </c>
      <c r="J1372" s="34">
        <v>100100</v>
      </c>
      <c r="K1372" s="34">
        <v>2405725</v>
      </c>
    </row>
    <row r="1373" spans="1:11" hidden="1">
      <c r="A1373" s="29" t="s">
        <v>138</v>
      </c>
      <c r="B1373" s="32">
        <v>39905</v>
      </c>
      <c r="C1373" s="29">
        <v>24.75</v>
      </c>
      <c r="D1373" s="35">
        <v>24.75</v>
      </c>
      <c r="E1373" s="35">
        <v>24.5</v>
      </c>
      <c r="F1373" s="33">
        <v>24.75</v>
      </c>
      <c r="G1373" s="29">
        <v>0</v>
      </c>
      <c r="H1373" s="29">
        <v>-0.25</v>
      </c>
      <c r="I1373" s="35">
        <v>24.5</v>
      </c>
      <c r="J1373" s="34">
        <v>2900</v>
      </c>
      <c r="K1373" s="34">
        <v>71675</v>
      </c>
    </row>
    <row r="1374" spans="1:11" hidden="1">
      <c r="A1374" s="29" t="s">
        <v>138</v>
      </c>
      <c r="B1374" s="32">
        <v>39906</v>
      </c>
      <c r="C1374" s="29">
        <v>24.75</v>
      </c>
      <c r="D1374" s="35">
        <v>24.75</v>
      </c>
      <c r="E1374" s="35">
        <v>24.5</v>
      </c>
      <c r="F1374" s="33">
        <v>24.75</v>
      </c>
      <c r="G1374" s="29">
        <v>0</v>
      </c>
      <c r="H1374" s="29">
        <v>0</v>
      </c>
      <c r="I1374" s="35">
        <v>24.75</v>
      </c>
      <c r="J1374" s="34">
        <v>15000</v>
      </c>
      <c r="K1374" s="34">
        <v>371125</v>
      </c>
    </row>
    <row r="1375" spans="1:11" hidden="1">
      <c r="A1375" s="29" t="s">
        <v>138</v>
      </c>
      <c r="B1375" s="32">
        <v>39909</v>
      </c>
      <c r="C1375" s="29">
        <v>25</v>
      </c>
      <c r="D1375" s="35">
        <v>25</v>
      </c>
      <c r="E1375" s="35">
        <v>24.75</v>
      </c>
      <c r="F1375" s="33">
        <v>25</v>
      </c>
      <c r="G1375" s="29">
        <v>0</v>
      </c>
      <c r="H1375" s="29">
        <v>-0.25</v>
      </c>
      <c r="I1375" s="35">
        <v>24.75</v>
      </c>
      <c r="J1375" s="34">
        <v>7100</v>
      </c>
      <c r="K1375" s="34">
        <v>177450</v>
      </c>
    </row>
    <row r="1376" spans="1:11" hidden="1">
      <c r="A1376" s="29" t="s">
        <v>138</v>
      </c>
      <c r="B1376" s="32">
        <v>39910</v>
      </c>
      <c r="C1376" s="29">
        <v>25</v>
      </c>
      <c r="D1376" s="35">
        <v>27</v>
      </c>
      <c r="E1376" s="35">
        <v>25</v>
      </c>
      <c r="F1376" s="33">
        <v>26</v>
      </c>
      <c r="G1376" s="29">
        <v>0</v>
      </c>
      <c r="H1376" s="29">
        <v>-1</v>
      </c>
      <c r="I1376" s="35">
        <v>25</v>
      </c>
      <c r="J1376" s="34">
        <v>15100</v>
      </c>
      <c r="K1376" s="34">
        <v>386750</v>
      </c>
    </row>
    <row r="1377" spans="1:11" hidden="1">
      <c r="A1377" s="29" t="s">
        <v>138</v>
      </c>
      <c r="B1377" s="32">
        <v>39911</v>
      </c>
      <c r="C1377" s="29">
        <v>26</v>
      </c>
      <c r="D1377" s="35">
        <v>26.5</v>
      </c>
      <c r="E1377" s="35">
        <v>26</v>
      </c>
      <c r="F1377" s="33">
        <v>26.5</v>
      </c>
      <c r="G1377" s="29">
        <v>0</v>
      </c>
      <c r="H1377" s="29">
        <v>-0.5</v>
      </c>
      <c r="I1377" s="35">
        <v>26</v>
      </c>
      <c r="J1377" s="34">
        <v>9300</v>
      </c>
      <c r="K1377" s="34">
        <v>245650</v>
      </c>
    </row>
    <row r="1378" spans="1:11" hidden="1">
      <c r="A1378" s="29" t="s">
        <v>138</v>
      </c>
      <c r="B1378" s="32">
        <v>39918</v>
      </c>
      <c r="C1378" s="29">
        <v>26.5</v>
      </c>
      <c r="D1378" s="35">
        <v>28</v>
      </c>
      <c r="E1378" s="35">
        <v>26.5</v>
      </c>
      <c r="F1378" s="33">
        <v>27.5</v>
      </c>
      <c r="G1378" s="29">
        <v>0</v>
      </c>
      <c r="H1378" s="29">
        <v>-1</v>
      </c>
      <c r="I1378" s="35">
        <v>26.5</v>
      </c>
      <c r="J1378" s="34">
        <v>16500</v>
      </c>
      <c r="K1378" s="34">
        <v>447650</v>
      </c>
    </row>
    <row r="1379" spans="1:11" hidden="1">
      <c r="A1379" s="29" t="s">
        <v>138</v>
      </c>
      <c r="B1379" s="32">
        <v>39919</v>
      </c>
      <c r="C1379" s="29">
        <v>28</v>
      </c>
      <c r="D1379" s="35">
        <v>29</v>
      </c>
      <c r="E1379" s="35">
        <v>28</v>
      </c>
      <c r="F1379" s="33">
        <v>28.75</v>
      </c>
      <c r="G1379" s="29">
        <v>0</v>
      </c>
      <c r="H1379" s="29">
        <v>-1.25</v>
      </c>
      <c r="I1379" s="35">
        <v>27.5</v>
      </c>
      <c r="J1379" s="34">
        <v>38000</v>
      </c>
      <c r="K1379" s="34">
        <v>1076425</v>
      </c>
    </row>
    <row r="1380" spans="1:11" hidden="1">
      <c r="A1380" s="29" t="s">
        <v>138</v>
      </c>
      <c r="B1380" s="32">
        <v>39920</v>
      </c>
      <c r="C1380" s="29">
        <v>28.75</v>
      </c>
      <c r="D1380" s="35">
        <v>29.25</v>
      </c>
      <c r="E1380" s="35">
        <v>28.75</v>
      </c>
      <c r="F1380" s="33">
        <v>29</v>
      </c>
      <c r="G1380" s="29">
        <v>0</v>
      </c>
      <c r="H1380" s="29">
        <v>-0.25</v>
      </c>
      <c r="I1380" s="35">
        <v>28.75</v>
      </c>
      <c r="J1380" s="34">
        <v>19700</v>
      </c>
      <c r="K1380" s="34">
        <v>571275</v>
      </c>
    </row>
    <row r="1381" spans="1:11" hidden="1">
      <c r="A1381" s="29" t="s">
        <v>138</v>
      </c>
      <c r="B1381" s="32">
        <v>39923</v>
      </c>
      <c r="C1381" s="29">
        <v>29</v>
      </c>
      <c r="D1381" s="35">
        <v>31.75</v>
      </c>
      <c r="E1381" s="35">
        <v>29</v>
      </c>
      <c r="F1381" s="33">
        <v>30.5</v>
      </c>
      <c r="G1381" s="29">
        <v>0</v>
      </c>
      <c r="H1381" s="29">
        <v>-1.5</v>
      </c>
      <c r="I1381" s="35">
        <v>29</v>
      </c>
      <c r="J1381" s="34">
        <v>24400</v>
      </c>
      <c r="K1381" s="34">
        <v>741300</v>
      </c>
    </row>
    <row r="1382" spans="1:11" hidden="1">
      <c r="A1382" s="29" t="s">
        <v>138</v>
      </c>
      <c r="B1382" s="32">
        <v>39924</v>
      </c>
      <c r="C1382" s="29">
        <v>30</v>
      </c>
      <c r="D1382" s="35">
        <v>30</v>
      </c>
      <c r="E1382" s="35">
        <v>29</v>
      </c>
      <c r="F1382" s="33">
        <v>30</v>
      </c>
      <c r="G1382" s="29">
        <v>0</v>
      </c>
      <c r="H1382" s="29">
        <v>0.5</v>
      </c>
      <c r="I1382" s="35">
        <v>30.5</v>
      </c>
      <c r="J1382" s="34">
        <v>26300</v>
      </c>
      <c r="K1382" s="34">
        <v>777600</v>
      </c>
    </row>
    <row r="1383" spans="1:11" hidden="1">
      <c r="A1383" s="29" t="s">
        <v>138</v>
      </c>
      <c r="B1383" s="32">
        <v>39925</v>
      </c>
      <c r="C1383" s="29">
        <v>30.25</v>
      </c>
      <c r="D1383" s="35">
        <v>31.75</v>
      </c>
      <c r="E1383" s="35">
        <v>30.25</v>
      </c>
      <c r="F1383" s="33">
        <v>31.5</v>
      </c>
      <c r="G1383" s="29">
        <v>0</v>
      </c>
      <c r="H1383" s="29">
        <v>-1.5</v>
      </c>
      <c r="I1383" s="35">
        <v>30</v>
      </c>
      <c r="J1383" s="34">
        <v>61600</v>
      </c>
      <c r="K1383" s="34">
        <v>1902200</v>
      </c>
    </row>
    <row r="1384" spans="1:11" hidden="1">
      <c r="A1384" s="29" t="s">
        <v>138</v>
      </c>
      <c r="B1384" s="32">
        <v>39926</v>
      </c>
      <c r="C1384" s="29">
        <v>32</v>
      </c>
      <c r="D1384" s="35">
        <v>34</v>
      </c>
      <c r="E1384" s="35">
        <v>32</v>
      </c>
      <c r="F1384" s="33">
        <v>33.5</v>
      </c>
      <c r="G1384" s="29">
        <v>0</v>
      </c>
      <c r="H1384" s="29">
        <v>-2</v>
      </c>
      <c r="I1384" s="35">
        <v>31.5</v>
      </c>
      <c r="J1384" s="34">
        <v>83700</v>
      </c>
      <c r="K1384" s="34">
        <v>2758725</v>
      </c>
    </row>
    <row r="1385" spans="1:11" hidden="1">
      <c r="A1385" s="29" t="s">
        <v>138</v>
      </c>
      <c r="B1385" s="32">
        <v>39927</v>
      </c>
      <c r="C1385" s="29">
        <v>34</v>
      </c>
      <c r="D1385" s="35">
        <v>35</v>
      </c>
      <c r="E1385" s="35">
        <v>34</v>
      </c>
      <c r="F1385" s="33">
        <v>34.75</v>
      </c>
      <c r="G1385" s="29">
        <v>0</v>
      </c>
      <c r="H1385" s="29">
        <v>-1.25</v>
      </c>
      <c r="I1385" s="35">
        <v>33.5</v>
      </c>
      <c r="J1385" s="34">
        <v>136800</v>
      </c>
      <c r="K1385" s="34">
        <v>4773725</v>
      </c>
    </row>
    <row r="1386" spans="1:11" hidden="1">
      <c r="A1386" s="29" t="s">
        <v>138</v>
      </c>
      <c r="B1386" s="32">
        <v>39930</v>
      </c>
      <c r="C1386" s="29">
        <v>35.5</v>
      </c>
      <c r="D1386" s="35">
        <v>35.5</v>
      </c>
      <c r="E1386" s="35">
        <v>34.75</v>
      </c>
      <c r="F1386" s="33">
        <v>34.75</v>
      </c>
      <c r="G1386" s="29">
        <v>0</v>
      </c>
      <c r="H1386" s="29">
        <v>0</v>
      </c>
      <c r="I1386" s="35">
        <v>34.75</v>
      </c>
      <c r="J1386" s="34">
        <v>152000</v>
      </c>
      <c r="K1386" s="34">
        <v>5301075</v>
      </c>
    </row>
    <row r="1387" spans="1:11" hidden="1">
      <c r="A1387" s="29" t="s">
        <v>138</v>
      </c>
      <c r="B1387" s="32">
        <v>39931</v>
      </c>
      <c r="C1387" s="29">
        <v>34.75</v>
      </c>
      <c r="D1387" s="35">
        <v>34.75</v>
      </c>
      <c r="E1387" s="35">
        <v>34</v>
      </c>
      <c r="F1387" s="33">
        <v>34</v>
      </c>
      <c r="G1387" s="29">
        <v>0</v>
      </c>
      <c r="H1387" s="29">
        <v>0.75</v>
      </c>
      <c r="I1387" s="35">
        <v>34.75</v>
      </c>
      <c r="J1387" s="34">
        <v>45200</v>
      </c>
      <c r="K1387" s="34">
        <v>1551025</v>
      </c>
    </row>
    <row r="1388" spans="1:11" hidden="1">
      <c r="A1388" s="29" t="s">
        <v>138</v>
      </c>
      <c r="B1388" s="32">
        <v>39932</v>
      </c>
      <c r="C1388" s="29">
        <v>34</v>
      </c>
      <c r="D1388" s="35">
        <v>34.75</v>
      </c>
      <c r="E1388" s="35">
        <v>33.5</v>
      </c>
      <c r="F1388" s="33">
        <v>34.75</v>
      </c>
      <c r="G1388" s="29">
        <v>0</v>
      </c>
      <c r="H1388" s="29">
        <v>-0.75</v>
      </c>
      <c r="I1388" s="35">
        <v>34</v>
      </c>
      <c r="J1388" s="34">
        <v>13300</v>
      </c>
      <c r="K1388" s="34">
        <v>455425</v>
      </c>
    </row>
    <row r="1389" spans="1:11" hidden="1">
      <c r="A1389" s="29" t="s">
        <v>138</v>
      </c>
      <c r="B1389" s="32">
        <v>39933</v>
      </c>
      <c r="C1389" s="29">
        <v>34.75</v>
      </c>
      <c r="D1389" s="35">
        <v>38</v>
      </c>
      <c r="E1389" s="35">
        <v>34.5</v>
      </c>
      <c r="F1389" s="33">
        <v>37.25</v>
      </c>
      <c r="G1389" s="29">
        <v>0</v>
      </c>
      <c r="H1389" s="29">
        <v>-2.5</v>
      </c>
      <c r="I1389" s="35">
        <v>34.75</v>
      </c>
      <c r="J1389" s="34">
        <v>58100</v>
      </c>
      <c r="K1389" s="34">
        <v>2101300</v>
      </c>
    </row>
    <row r="1390" spans="1:11" hidden="1">
      <c r="A1390" s="29" t="s">
        <v>138</v>
      </c>
      <c r="B1390" s="32">
        <v>39937</v>
      </c>
      <c r="C1390" s="29">
        <v>38</v>
      </c>
      <c r="D1390" s="35">
        <v>39.5</v>
      </c>
      <c r="E1390" s="35">
        <v>38</v>
      </c>
      <c r="F1390" s="33">
        <v>38.5</v>
      </c>
      <c r="G1390" s="29">
        <v>0</v>
      </c>
      <c r="H1390" s="29">
        <v>-1.25</v>
      </c>
      <c r="I1390" s="35">
        <v>37.25</v>
      </c>
      <c r="J1390" s="34">
        <v>64600</v>
      </c>
      <c r="K1390" s="34">
        <v>2501625</v>
      </c>
    </row>
    <row r="1391" spans="1:11" hidden="1">
      <c r="A1391" s="29" t="s">
        <v>138</v>
      </c>
      <c r="B1391" s="32">
        <v>39938</v>
      </c>
      <c r="C1391" s="29">
        <v>39</v>
      </c>
      <c r="D1391" s="35">
        <v>39.5</v>
      </c>
      <c r="E1391" s="35">
        <v>39</v>
      </c>
      <c r="F1391" s="33">
        <v>39</v>
      </c>
      <c r="G1391" s="29">
        <v>0</v>
      </c>
      <c r="H1391" s="29">
        <v>-0.5</v>
      </c>
      <c r="I1391" s="35">
        <v>38.5</v>
      </c>
      <c r="J1391" s="34">
        <v>191700</v>
      </c>
      <c r="K1391" s="34">
        <v>7520200</v>
      </c>
    </row>
    <row r="1392" spans="1:11" hidden="1">
      <c r="A1392" s="29" t="s">
        <v>138</v>
      </c>
      <c r="B1392" s="32">
        <v>39939</v>
      </c>
      <c r="C1392" s="29">
        <v>39.75</v>
      </c>
      <c r="D1392" s="35">
        <v>40</v>
      </c>
      <c r="E1392" s="35">
        <v>39.5</v>
      </c>
      <c r="F1392" s="33">
        <v>39.75</v>
      </c>
      <c r="G1392" s="29">
        <v>0</v>
      </c>
      <c r="H1392" s="29">
        <v>-0.75</v>
      </c>
      <c r="I1392" s="35">
        <v>39</v>
      </c>
      <c r="J1392" s="34">
        <v>36200</v>
      </c>
      <c r="K1392" s="34">
        <v>1441175</v>
      </c>
    </row>
    <row r="1393" spans="1:11" hidden="1">
      <c r="A1393" s="29" t="s">
        <v>138</v>
      </c>
      <c r="B1393" s="32">
        <v>39940</v>
      </c>
      <c r="C1393" s="29">
        <v>39.75</v>
      </c>
      <c r="D1393" s="35">
        <v>39.75</v>
      </c>
      <c r="E1393" s="35">
        <v>38.5</v>
      </c>
      <c r="F1393" s="33">
        <v>38.75</v>
      </c>
      <c r="G1393" s="29">
        <v>0</v>
      </c>
      <c r="H1393" s="29">
        <v>1</v>
      </c>
      <c r="I1393" s="35">
        <v>39.75</v>
      </c>
      <c r="J1393" s="34">
        <v>17500</v>
      </c>
      <c r="K1393" s="34">
        <v>679950</v>
      </c>
    </row>
    <row r="1394" spans="1:11" hidden="1">
      <c r="A1394" s="29" t="s">
        <v>138</v>
      </c>
      <c r="B1394" s="32">
        <v>39944</v>
      </c>
      <c r="C1394" s="29">
        <v>38.25</v>
      </c>
      <c r="D1394" s="35">
        <v>38.25</v>
      </c>
      <c r="E1394" s="35">
        <v>37</v>
      </c>
      <c r="F1394" s="33">
        <v>37.25</v>
      </c>
      <c r="G1394" s="29">
        <v>0</v>
      </c>
      <c r="H1394" s="29">
        <v>1.5</v>
      </c>
      <c r="I1394" s="35">
        <v>38.75</v>
      </c>
      <c r="J1394" s="34">
        <v>23400</v>
      </c>
      <c r="K1394" s="34">
        <v>878550</v>
      </c>
    </row>
    <row r="1395" spans="1:11" hidden="1">
      <c r="A1395" s="29" t="s">
        <v>138</v>
      </c>
      <c r="B1395" s="32">
        <v>39945</v>
      </c>
      <c r="C1395" s="29">
        <v>36.75</v>
      </c>
      <c r="D1395" s="35">
        <v>37.5</v>
      </c>
      <c r="E1395" s="35">
        <v>36.5</v>
      </c>
      <c r="F1395" s="33">
        <v>37</v>
      </c>
      <c r="G1395" s="29">
        <v>0</v>
      </c>
      <c r="H1395" s="29">
        <v>0.25</v>
      </c>
      <c r="I1395" s="35">
        <v>37.25</v>
      </c>
      <c r="J1395" s="34">
        <v>7600</v>
      </c>
      <c r="K1395" s="34">
        <v>280875</v>
      </c>
    </row>
    <row r="1396" spans="1:11" hidden="1">
      <c r="A1396" s="29" t="s">
        <v>138</v>
      </c>
      <c r="B1396" s="32">
        <v>39946</v>
      </c>
      <c r="C1396" s="29">
        <v>37</v>
      </c>
      <c r="D1396" s="35">
        <v>37.5</v>
      </c>
      <c r="E1396" s="35">
        <v>37</v>
      </c>
      <c r="F1396" s="33">
        <v>37</v>
      </c>
      <c r="G1396" s="29">
        <v>0</v>
      </c>
      <c r="H1396" s="29">
        <v>0</v>
      </c>
      <c r="I1396" s="35">
        <v>37</v>
      </c>
      <c r="J1396" s="34">
        <v>60100</v>
      </c>
      <c r="K1396" s="34">
        <v>2224425</v>
      </c>
    </row>
    <row r="1397" spans="1:11" hidden="1">
      <c r="A1397" s="29" t="s">
        <v>138</v>
      </c>
      <c r="B1397" s="32">
        <v>39947</v>
      </c>
      <c r="C1397" s="29">
        <v>37.5</v>
      </c>
      <c r="D1397" s="35">
        <v>38</v>
      </c>
      <c r="E1397" s="35">
        <v>37.5</v>
      </c>
      <c r="F1397" s="33">
        <v>38</v>
      </c>
      <c r="G1397" s="29">
        <v>0</v>
      </c>
      <c r="H1397" s="29">
        <v>-1</v>
      </c>
      <c r="I1397" s="35">
        <v>37</v>
      </c>
      <c r="J1397" s="34">
        <v>30200</v>
      </c>
      <c r="K1397" s="34">
        <v>1146950</v>
      </c>
    </row>
    <row r="1398" spans="1:11" hidden="1">
      <c r="A1398" s="29" t="s">
        <v>138</v>
      </c>
      <c r="B1398" s="32">
        <v>39948</v>
      </c>
      <c r="C1398" s="29">
        <v>38.25</v>
      </c>
      <c r="D1398" s="35">
        <v>39</v>
      </c>
      <c r="E1398" s="35">
        <v>38.25</v>
      </c>
      <c r="F1398" s="33">
        <v>38.75</v>
      </c>
      <c r="G1398" s="29">
        <v>0</v>
      </c>
      <c r="H1398" s="29">
        <v>-0.75</v>
      </c>
      <c r="I1398" s="35">
        <v>38</v>
      </c>
      <c r="J1398" s="34">
        <v>14900</v>
      </c>
      <c r="K1398" s="34">
        <v>574775</v>
      </c>
    </row>
    <row r="1399" spans="1:11" hidden="1">
      <c r="A1399" s="29" t="s">
        <v>138</v>
      </c>
      <c r="B1399" s="32">
        <v>39951</v>
      </c>
      <c r="C1399" s="29">
        <v>41</v>
      </c>
      <c r="D1399" s="35">
        <v>42</v>
      </c>
      <c r="E1399" s="35">
        <v>40</v>
      </c>
      <c r="F1399" s="33">
        <v>42</v>
      </c>
      <c r="G1399" s="29">
        <v>0</v>
      </c>
      <c r="H1399" s="29">
        <v>-3.25</v>
      </c>
      <c r="I1399" s="35">
        <v>38.75</v>
      </c>
      <c r="J1399" s="34">
        <v>267400</v>
      </c>
      <c r="K1399" s="34">
        <v>11008750</v>
      </c>
    </row>
    <row r="1400" spans="1:11" hidden="1">
      <c r="A1400" s="29" t="s">
        <v>138</v>
      </c>
      <c r="B1400" s="32">
        <v>39952</v>
      </c>
      <c r="C1400" s="29">
        <v>42.5</v>
      </c>
      <c r="D1400" s="35">
        <v>44.25</v>
      </c>
      <c r="E1400" s="35">
        <v>41</v>
      </c>
      <c r="F1400" s="33">
        <v>42</v>
      </c>
      <c r="G1400" s="29">
        <v>0</v>
      </c>
      <c r="H1400" s="29">
        <v>0</v>
      </c>
      <c r="I1400" s="35">
        <v>42</v>
      </c>
      <c r="J1400" s="34">
        <v>245200</v>
      </c>
      <c r="K1400" s="34">
        <v>10607975</v>
      </c>
    </row>
    <row r="1401" spans="1:11" hidden="1">
      <c r="A1401" s="29" t="s">
        <v>138</v>
      </c>
      <c r="B1401" s="32">
        <v>39954</v>
      </c>
      <c r="C1401" s="29">
        <v>42.5</v>
      </c>
      <c r="D1401" s="35">
        <v>44.75</v>
      </c>
      <c r="E1401" s="35">
        <v>41.75</v>
      </c>
      <c r="F1401" s="33">
        <v>44.25</v>
      </c>
      <c r="G1401" s="29">
        <v>0</v>
      </c>
      <c r="H1401" s="29">
        <v>-2.25</v>
      </c>
      <c r="I1401" s="35">
        <v>42</v>
      </c>
      <c r="J1401" s="34">
        <v>719500</v>
      </c>
      <c r="K1401" s="34">
        <v>31696450</v>
      </c>
    </row>
    <row r="1402" spans="1:11" hidden="1">
      <c r="A1402" s="29" t="s">
        <v>138</v>
      </c>
      <c r="B1402" s="32">
        <v>39955</v>
      </c>
      <c r="C1402" s="29">
        <v>44.5</v>
      </c>
      <c r="D1402" s="35">
        <v>45.25</v>
      </c>
      <c r="E1402" s="35">
        <v>44</v>
      </c>
      <c r="F1402" s="33">
        <v>44.5</v>
      </c>
      <c r="G1402" s="29">
        <v>0</v>
      </c>
      <c r="H1402" s="29">
        <v>-0.25</v>
      </c>
      <c r="I1402" s="35">
        <v>44.25</v>
      </c>
      <c r="J1402" s="34">
        <v>369300</v>
      </c>
      <c r="K1402" s="34">
        <v>16524550</v>
      </c>
    </row>
    <row r="1403" spans="1:11" hidden="1">
      <c r="A1403" s="29" t="s">
        <v>138</v>
      </c>
      <c r="B1403" s="32">
        <v>39958</v>
      </c>
      <c r="C1403" s="29">
        <v>45</v>
      </c>
      <c r="D1403" s="35">
        <v>45.5</v>
      </c>
      <c r="E1403" s="35">
        <v>43.75</v>
      </c>
      <c r="F1403" s="33">
        <v>44</v>
      </c>
      <c r="G1403" s="29">
        <v>0</v>
      </c>
      <c r="H1403" s="29">
        <v>0.5</v>
      </c>
      <c r="I1403" s="35">
        <v>44.5</v>
      </c>
      <c r="J1403" s="34">
        <v>335900</v>
      </c>
      <c r="K1403" s="34">
        <v>14969275</v>
      </c>
    </row>
    <row r="1404" spans="1:11" hidden="1">
      <c r="A1404" s="29" t="s">
        <v>138</v>
      </c>
      <c r="B1404" s="32">
        <v>39959</v>
      </c>
      <c r="C1404" s="29">
        <v>44</v>
      </c>
      <c r="D1404" s="35">
        <v>44.75</v>
      </c>
      <c r="E1404" s="35">
        <v>43.75</v>
      </c>
      <c r="F1404" s="33">
        <v>44.5</v>
      </c>
      <c r="G1404" s="29">
        <v>0</v>
      </c>
      <c r="H1404" s="29">
        <v>-0.5</v>
      </c>
      <c r="I1404" s="35">
        <v>44</v>
      </c>
      <c r="J1404" s="34">
        <v>47100</v>
      </c>
      <c r="K1404" s="34">
        <v>2071875</v>
      </c>
    </row>
    <row r="1405" spans="1:11" hidden="1">
      <c r="A1405" s="29" t="s">
        <v>138</v>
      </c>
      <c r="B1405" s="32">
        <v>39960</v>
      </c>
      <c r="C1405" s="29">
        <v>44.5</v>
      </c>
      <c r="D1405" s="35">
        <v>45.25</v>
      </c>
      <c r="E1405" s="35">
        <v>44</v>
      </c>
      <c r="F1405" s="33">
        <v>45.25</v>
      </c>
      <c r="G1405" s="29">
        <v>0</v>
      </c>
      <c r="H1405" s="29">
        <v>-0.75</v>
      </c>
      <c r="I1405" s="35">
        <v>44.5</v>
      </c>
      <c r="J1405" s="34">
        <v>63300</v>
      </c>
      <c r="K1405" s="34">
        <v>2842475</v>
      </c>
    </row>
    <row r="1406" spans="1:11" hidden="1">
      <c r="A1406" s="29" t="s">
        <v>138</v>
      </c>
      <c r="B1406" s="32">
        <v>39961</v>
      </c>
      <c r="C1406" s="29">
        <v>45.5</v>
      </c>
      <c r="D1406" s="35">
        <v>47.25</v>
      </c>
      <c r="E1406" s="35">
        <v>45.5</v>
      </c>
      <c r="F1406" s="33">
        <v>46</v>
      </c>
      <c r="G1406" s="29">
        <v>0</v>
      </c>
      <c r="H1406" s="29">
        <v>-0.75</v>
      </c>
      <c r="I1406" s="35">
        <v>45.25</v>
      </c>
      <c r="J1406" s="34">
        <v>106100</v>
      </c>
      <c r="K1406" s="34">
        <v>4952125</v>
      </c>
    </row>
    <row r="1407" spans="1:11" hidden="1">
      <c r="A1407" s="29" t="s">
        <v>138</v>
      </c>
      <c r="B1407" s="32">
        <v>39962</v>
      </c>
      <c r="C1407" s="29">
        <v>45.25</v>
      </c>
      <c r="D1407" s="35">
        <v>46.5</v>
      </c>
      <c r="E1407" s="35">
        <v>45.25</v>
      </c>
      <c r="F1407" s="33">
        <v>46</v>
      </c>
      <c r="G1407" s="29">
        <v>0</v>
      </c>
      <c r="H1407" s="29">
        <v>0</v>
      </c>
      <c r="I1407" s="35">
        <v>46</v>
      </c>
      <c r="J1407" s="34">
        <v>130300</v>
      </c>
      <c r="K1407" s="34">
        <v>5993675</v>
      </c>
    </row>
    <row r="1408" spans="1:11" hidden="1">
      <c r="A1408" s="29" t="s">
        <v>138</v>
      </c>
      <c r="B1408" s="32">
        <v>39965</v>
      </c>
      <c r="C1408" s="29">
        <v>45</v>
      </c>
      <c r="D1408" s="35">
        <v>46</v>
      </c>
      <c r="E1408" s="35">
        <v>44</v>
      </c>
      <c r="F1408" s="33">
        <v>45.5</v>
      </c>
      <c r="G1408" s="29">
        <v>0</v>
      </c>
      <c r="H1408" s="29">
        <v>0.5</v>
      </c>
      <c r="I1408" s="35">
        <v>46</v>
      </c>
      <c r="J1408" s="34">
        <v>186100</v>
      </c>
      <c r="K1408" s="34">
        <v>8365850</v>
      </c>
    </row>
    <row r="1409" spans="1:11" hidden="1">
      <c r="A1409" s="29" t="s">
        <v>138</v>
      </c>
      <c r="B1409" s="32">
        <v>39966</v>
      </c>
      <c r="C1409" s="29">
        <v>45</v>
      </c>
      <c r="D1409" s="35">
        <v>45.25</v>
      </c>
      <c r="E1409" s="35">
        <v>44</v>
      </c>
      <c r="F1409" s="33">
        <v>45</v>
      </c>
      <c r="G1409" s="29">
        <v>0</v>
      </c>
      <c r="H1409" s="29">
        <v>0.5</v>
      </c>
      <c r="I1409" s="35">
        <v>45.5</v>
      </c>
      <c r="J1409" s="34">
        <v>364900</v>
      </c>
      <c r="K1409" s="34">
        <v>16417925</v>
      </c>
    </row>
    <row r="1410" spans="1:11" hidden="1">
      <c r="A1410" s="29" t="s">
        <v>138</v>
      </c>
      <c r="B1410" s="32">
        <v>39967</v>
      </c>
      <c r="C1410" s="29">
        <v>44</v>
      </c>
      <c r="D1410" s="35">
        <v>45.25</v>
      </c>
      <c r="E1410" s="35">
        <v>43.75</v>
      </c>
      <c r="F1410" s="33">
        <v>44.5</v>
      </c>
      <c r="G1410" s="29">
        <v>0</v>
      </c>
      <c r="H1410" s="29">
        <v>0.5</v>
      </c>
      <c r="I1410" s="35">
        <v>45</v>
      </c>
      <c r="J1410" s="34">
        <v>20700</v>
      </c>
      <c r="K1410" s="34">
        <v>925150</v>
      </c>
    </row>
    <row r="1411" spans="1:11" hidden="1">
      <c r="A1411" s="29" t="s">
        <v>138</v>
      </c>
      <c r="B1411" s="32">
        <v>39968</v>
      </c>
      <c r="C1411" s="29">
        <v>44.25</v>
      </c>
      <c r="D1411" s="35">
        <v>45</v>
      </c>
      <c r="E1411" s="35">
        <v>44.25</v>
      </c>
      <c r="F1411" s="33">
        <v>44.5</v>
      </c>
      <c r="G1411" s="29">
        <v>0</v>
      </c>
      <c r="H1411" s="29">
        <v>0</v>
      </c>
      <c r="I1411" s="35">
        <v>44.5</v>
      </c>
      <c r="J1411" s="34">
        <v>44700</v>
      </c>
      <c r="K1411" s="34">
        <v>1987075</v>
      </c>
    </row>
    <row r="1412" spans="1:11" hidden="1">
      <c r="A1412" s="29" t="s">
        <v>138</v>
      </c>
      <c r="B1412" s="32">
        <v>39969</v>
      </c>
      <c r="C1412" s="29">
        <v>44.5</v>
      </c>
      <c r="D1412" s="35">
        <v>45</v>
      </c>
      <c r="E1412" s="35">
        <v>44.5</v>
      </c>
      <c r="F1412" s="33">
        <v>44.75</v>
      </c>
      <c r="G1412" s="29">
        <v>0</v>
      </c>
      <c r="H1412" s="29">
        <v>-0.25</v>
      </c>
      <c r="I1412" s="35">
        <v>44.5</v>
      </c>
      <c r="J1412" s="34">
        <v>3900</v>
      </c>
      <c r="K1412" s="34">
        <v>174700</v>
      </c>
    </row>
    <row r="1413" spans="1:11" hidden="1">
      <c r="A1413" s="29" t="s">
        <v>138</v>
      </c>
      <c r="B1413" s="32">
        <v>39972</v>
      </c>
      <c r="C1413" s="29">
        <v>45</v>
      </c>
      <c r="D1413" s="35">
        <v>45.75</v>
      </c>
      <c r="E1413" s="35">
        <v>45</v>
      </c>
      <c r="F1413" s="33">
        <v>45.5</v>
      </c>
      <c r="G1413" s="29">
        <v>0</v>
      </c>
      <c r="H1413" s="29">
        <v>-0.75</v>
      </c>
      <c r="I1413" s="35">
        <v>44.75</v>
      </c>
      <c r="J1413" s="34">
        <v>57500</v>
      </c>
      <c r="K1413" s="34">
        <v>2613625</v>
      </c>
    </row>
    <row r="1414" spans="1:11" hidden="1">
      <c r="A1414" s="29" t="s">
        <v>138</v>
      </c>
      <c r="B1414" s="32">
        <v>39973</v>
      </c>
      <c r="C1414" s="29">
        <v>45.25</v>
      </c>
      <c r="D1414" s="35">
        <v>45.25</v>
      </c>
      <c r="E1414" s="35">
        <v>44.5</v>
      </c>
      <c r="F1414" s="33">
        <v>45</v>
      </c>
      <c r="G1414" s="29">
        <v>0</v>
      </c>
      <c r="H1414" s="29">
        <v>0.5</v>
      </c>
      <c r="I1414" s="35">
        <v>45.5</v>
      </c>
      <c r="J1414" s="34">
        <v>155800</v>
      </c>
      <c r="K1414" s="34">
        <v>7014975</v>
      </c>
    </row>
    <row r="1415" spans="1:11" hidden="1">
      <c r="A1415" s="29" t="s">
        <v>138</v>
      </c>
      <c r="B1415" s="32">
        <v>39974</v>
      </c>
      <c r="C1415" s="29">
        <v>44.5</v>
      </c>
      <c r="D1415" s="35">
        <v>44.75</v>
      </c>
      <c r="E1415" s="35">
        <v>44.5</v>
      </c>
      <c r="F1415" s="33">
        <v>44.75</v>
      </c>
      <c r="G1415" s="29">
        <v>0</v>
      </c>
      <c r="H1415" s="29">
        <v>0.25</v>
      </c>
      <c r="I1415" s="35">
        <v>45</v>
      </c>
      <c r="J1415" s="34">
        <v>2300</v>
      </c>
      <c r="K1415" s="34">
        <v>102725</v>
      </c>
    </row>
    <row r="1416" spans="1:11" hidden="1">
      <c r="A1416" s="29" t="s">
        <v>138</v>
      </c>
      <c r="B1416" s="32">
        <v>39975</v>
      </c>
      <c r="C1416" s="29">
        <v>44.75</v>
      </c>
      <c r="D1416" s="35">
        <v>44.75</v>
      </c>
      <c r="E1416" s="35">
        <v>44.75</v>
      </c>
      <c r="F1416" s="33">
        <v>44.75</v>
      </c>
      <c r="G1416" s="29">
        <v>0</v>
      </c>
      <c r="H1416" s="29">
        <v>0</v>
      </c>
      <c r="I1416" s="35">
        <v>44.75</v>
      </c>
      <c r="J1416" s="34">
        <v>26400</v>
      </c>
      <c r="K1416" s="34">
        <v>1181400</v>
      </c>
    </row>
    <row r="1417" spans="1:11" hidden="1">
      <c r="A1417" s="29" t="s">
        <v>138</v>
      </c>
      <c r="B1417" s="32">
        <v>39976</v>
      </c>
      <c r="C1417" s="29">
        <v>44.25</v>
      </c>
      <c r="D1417" s="35">
        <v>44.75</v>
      </c>
      <c r="E1417" s="35">
        <v>44</v>
      </c>
      <c r="F1417" s="33">
        <v>44.75</v>
      </c>
      <c r="G1417" s="29">
        <v>0</v>
      </c>
      <c r="H1417" s="29">
        <v>0</v>
      </c>
      <c r="I1417" s="35">
        <v>44.75</v>
      </c>
      <c r="J1417" s="34">
        <v>47600</v>
      </c>
      <c r="K1417" s="34">
        <v>2104950</v>
      </c>
    </row>
    <row r="1418" spans="1:11" hidden="1">
      <c r="A1418" s="29" t="s">
        <v>138</v>
      </c>
      <c r="B1418" s="32">
        <v>39979</v>
      </c>
      <c r="C1418" s="29">
        <v>44.75</v>
      </c>
      <c r="D1418" s="35">
        <v>45.5</v>
      </c>
      <c r="E1418" s="35">
        <v>44.75</v>
      </c>
      <c r="F1418" s="33">
        <v>45.25</v>
      </c>
      <c r="G1418" s="29">
        <v>0</v>
      </c>
      <c r="H1418" s="29">
        <v>-0.5</v>
      </c>
      <c r="I1418" s="35">
        <v>44.75</v>
      </c>
      <c r="J1418" s="34">
        <v>179100</v>
      </c>
      <c r="K1418" s="34">
        <v>8063575</v>
      </c>
    </row>
    <row r="1419" spans="1:11" hidden="1">
      <c r="A1419" s="29" t="s">
        <v>138</v>
      </c>
      <c r="B1419" s="32">
        <v>39980</v>
      </c>
      <c r="C1419" s="29">
        <v>45.25</v>
      </c>
      <c r="D1419" s="35">
        <v>45.5</v>
      </c>
      <c r="E1419" s="35">
        <v>44.75</v>
      </c>
      <c r="F1419" s="33">
        <v>45</v>
      </c>
      <c r="G1419" s="29">
        <v>0</v>
      </c>
      <c r="H1419" s="29">
        <v>0.25</v>
      </c>
      <c r="I1419" s="35">
        <v>45.25</v>
      </c>
      <c r="J1419" s="34">
        <v>75000</v>
      </c>
      <c r="K1419" s="34">
        <v>3383275</v>
      </c>
    </row>
    <row r="1420" spans="1:11" hidden="1">
      <c r="A1420" s="29" t="s">
        <v>138</v>
      </c>
      <c r="B1420" s="32">
        <v>39981</v>
      </c>
      <c r="C1420" s="29">
        <v>45</v>
      </c>
      <c r="D1420" s="35">
        <v>49</v>
      </c>
      <c r="E1420" s="35">
        <v>45</v>
      </c>
      <c r="F1420" s="33">
        <v>48</v>
      </c>
      <c r="G1420" s="29">
        <v>0</v>
      </c>
      <c r="H1420" s="29">
        <v>-3</v>
      </c>
      <c r="I1420" s="35">
        <v>45</v>
      </c>
      <c r="J1420" s="34">
        <v>339900</v>
      </c>
      <c r="K1420" s="34">
        <v>16084875</v>
      </c>
    </row>
    <row r="1421" spans="1:11" hidden="1">
      <c r="A1421" s="29" t="s">
        <v>138</v>
      </c>
      <c r="B1421" s="32">
        <v>39982</v>
      </c>
      <c r="C1421" s="29">
        <v>48</v>
      </c>
      <c r="D1421" s="35">
        <v>49.5</v>
      </c>
      <c r="E1421" s="35">
        <v>48</v>
      </c>
      <c r="F1421" s="33">
        <v>48.75</v>
      </c>
      <c r="G1421" s="29">
        <v>0</v>
      </c>
      <c r="H1421" s="29">
        <v>-0.75</v>
      </c>
      <c r="I1421" s="35">
        <v>48</v>
      </c>
      <c r="J1421" s="34">
        <v>126900</v>
      </c>
      <c r="K1421" s="34">
        <v>6190275</v>
      </c>
    </row>
    <row r="1422" spans="1:11" hidden="1">
      <c r="A1422" s="29" t="s">
        <v>138</v>
      </c>
      <c r="B1422" s="32">
        <v>39983</v>
      </c>
      <c r="C1422" s="29">
        <v>49</v>
      </c>
      <c r="D1422" s="35">
        <v>50</v>
      </c>
      <c r="E1422" s="35">
        <v>48.75</v>
      </c>
      <c r="F1422" s="33">
        <v>49.25</v>
      </c>
      <c r="G1422" s="29">
        <v>0</v>
      </c>
      <c r="H1422" s="29">
        <v>-0.5</v>
      </c>
      <c r="I1422" s="35">
        <v>48.75</v>
      </c>
      <c r="J1422" s="34">
        <v>110800</v>
      </c>
      <c r="K1422" s="34">
        <v>5473800</v>
      </c>
    </row>
    <row r="1423" spans="1:11" hidden="1">
      <c r="A1423" s="29" t="s">
        <v>138</v>
      </c>
      <c r="B1423" s="32">
        <v>39986</v>
      </c>
      <c r="C1423" s="29">
        <v>50</v>
      </c>
      <c r="D1423" s="35">
        <v>51</v>
      </c>
      <c r="E1423" s="35">
        <v>49</v>
      </c>
      <c r="F1423" s="33">
        <v>49.25</v>
      </c>
      <c r="G1423" s="29">
        <v>0</v>
      </c>
      <c r="H1423" s="29">
        <v>0</v>
      </c>
      <c r="I1423" s="35">
        <v>49.25</v>
      </c>
      <c r="J1423" s="34">
        <v>235400</v>
      </c>
      <c r="K1423" s="34">
        <v>11737725</v>
      </c>
    </row>
    <row r="1424" spans="1:11" hidden="1">
      <c r="A1424" s="29" t="s">
        <v>138</v>
      </c>
      <c r="B1424" s="32">
        <v>39987</v>
      </c>
      <c r="C1424" s="29">
        <v>49.75</v>
      </c>
      <c r="D1424" s="35">
        <v>49.75</v>
      </c>
      <c r="E1424" s="35">
        <v>47.5</v>
      </c>
      <c r="F1424" s="33">
        <v>49.25</v>
      </c>
      <c r="G1424" s="29">
        <v>0</v>
      </c>
      <c r="H1424" s="29">
        <v>0</v>
      </c>
      <c r="I1424" s="35">
        <v>49.25</v>
      </c>
      <c r="J1424" s="34">
        <v>58300</v>
      </c>
      <c r="K1424" s="34">
        <v>2850150</v>
      </c>
    </row>
    <row r="1425" spans="1:11" hidden="1">
      <c r="A1425" s="29" t="s">
        <v>138</v>
      </c>
      <c r="B1425" s="32">
        <v>39988</v>
      </c>
      <c r="C1425" s="29">
        <v>49.25</v>
      </c>
      <c r="D1425" s="35">
        <v>50</v>
      </c>
      <c r="E1425" s="35">
        <v>49</v>
      </c>
      <c r="F1425" s="33">
        <v>49.25</v>
      </c>
      <c r="G1425" s="29">
        <v>0</v>
      </c>
      <c r="H1425" s="29">
        <v>0</v>
      </c>
      <c r="I1425" s="35">
        <v>49.25</v>
      </c>
      <c r="J1425" s="34">
        <v>18300</v>
      </c>
      <c r="K1425" s="34">
        <v>904125</v>
      </c>
    </row>
    <row r="1426" spans="1:11" hidden="1">
      <c r="A1426" s="29" t="s">
        <v>138</v>
      </c>
      <c r="B1426" s="32">
        <v>39989</v>
      </c>
      <c r="C1426" s="29">
        <v>50</v>
      </c>
      <c r="D1426" s="35">
        <v>50</v>
      </c>
      <c r="E1426" s="35">
        <v>48</v>
      </c>
      <c r="F1426" s="33">
        <v>48</v>
      </c>
      <c r="G1426" s="29">
        <v>0</v>
      </c>
      <c r="H1426" s="29">
        <v>1.25</v>
      </c>
      <c r="I1426" s="35">
        <v>49.25</v>
      </c>
      <c r="J1426" s="34">
        <v>26700</v>
      </c>
      <c r="K1426" s="34">
        <v>1294150</v>
      </c>
    </row>
    <row r="1427" spans="1:11" hidden="1">
      <c r="A1427" s="29" t="s">
        <v>138</v>
      </c>
      <c r="B1427" s="32">
        <v>39990</v>
      </c>
      <c r="C1427" s="29">
        <v>51</v>
      </c>
      <c r="D1427" s="35">
        <v>51</v>
      </c>
      <c r="E1427" s="35">
        <v>48</v>
      </c>
      <c r="F1427" s="33">
        <v>48.75</v>
      </c>
      <c r="G1427" s="29">
        <v>0</v>
      </c>
      <c r="H1427" s="29">
        <v>-0.75</v>
      </c>
      <c r="I1427" s="35">
        <v>48</v>
      </c>
      <c r="J1427" s="34">
        <v>8400</v>
      </c>
      <c r="K1427" s="34">
        <v>409375</v>
      </c>
    </row>
    <row r="1428" spans="1:11" hidden="1">
      <c r="A1428" s="29" t="s">
        <v>138</v>
      </c>
      <c r="B1428" s="32">
        <v>39993</v>
      </c>
      <c r="C1428" s="29">
        <v>48.5</v>
      </c>
      <c r="D1428" s="35">
        <v>49</v>
      </c>
      <c r="E1428" s="35">
        <v>48</v>
      </c>
      <c r="F1428" s="33">
        <v>48.25</v>
      </c>
      <c r="G1428" s="29">
        <v>0</v>
      </c>
      <c r="H1428" s="29">
        <v>0.5</v>
      </c>
      <c r="I1428" s="35">
        <v>48.75</v>
      </c>
      <c r="J1428" s="34">
        <v>33100</v>
      </c>
      <c r="K1428" s="34">
        <v>1608250</v>
      </c>
    </row>
    <row r="1429" spans="1:11" hidden="1">
      <c r="A1429" s="29" t="s">
        <v>138</v>
      </c>
      <c r="B1429" s="32">
        <v>39994</v>
      </c>
      <c r="C1429" s="29">
        <v>48</v>
      </c>
      <c r="D1429" s="35">
        <v>49</v>
      </c>
      <c r="E1429" s="35">
        <v>48</v>
      </c>
      <c r="F1429" s="33">
        <v>48</v>
      </c>
      <c r="G1429" s="29">
        <v>0</v>
      </c>
      <c r="H1429" s="29">
        <v>0.25</v>
      </c>
      <c r="I1429" s="35">
        <v>48.25</v>
      </c>
      <c r="J1429" s="34">
        <v>10000</v>
      </c>
      <c r="K1429" s="34">
        <v>481300</v>
      </c>
    </row>
    <row r="1430" spans="1:11" hidden="1">
      <c r="A1430" s="29" t="s">
        <v>138</v>
      </c>
      <c r="B1430" s="32">
        <v>39995</v>
      </c>
      <c r="C1430" s="29">
        <v>48</v>
      </c>
      <c r="D1430" s="35">
        <v>48</v>
      </c>
      <c r="E1430" s="35">
        <v>47.5</v>
      </c>
      <c r="F1430" s="33">
        <v>47.75</v>
      </c>
      <c r="G1430" s="29">
        <v>0</v>
      </c>
      <c r="H1430" s="29">
        <v>0.25</v>
      </c>
      <c r="I1430" s="35">
        <v>48</v>
      </c>
      <c r="J1430" s="34">
        <v>17500</v>
      </c>
      <c r="K1430" s="34">
        <v>835225</v>
      </c>
    </row>
    <row r="1431" spans="1:11" hidden="1">
      <c r="A1431" s="29" t="s">
        <v>138</v>
      </c>
      <c r="B1431" s="32">
        <v>39996</v>
      </c>
      <c r="C1431" s="29">
        <v>47</v>
      </c>
      <c r="D1431" s="35">
        <v>47.75</v>
      </c>
      <c r="E1431" s="35">
        <v>47</v>
      </c>
      <c r="F1431" s="33">
        <v>47</v>
      </c>
      <c r="G1431" s="29">
        <v>0</v>
      </c>
      <c r="H1431" s="29">
        <v>0.75</v>
      </c>
      <c r="I1431" s="35">
        <v>47.75</v>
      </c>
      <c r="J1431" s="34">
        <v>3900</v>
      </c>
      <c r="K1431" s="34">
        <v>184450</v>
      </c>
    </row>
    <row r="1432" spans="1:11" hidden="1">
      <c r="A1432" s="29" t="s">
        <v>138</v>
      </c>
      <c r="B1432" s="32">
        <v>39997</v>
      </c>
      <c r="C1432" s="29">
        <v>47</v>
      </c>
      <c r="D1432" s="35">
        <v>47</v>
      </c>
      <c r="E1432" s="35">
        <v>47</v>
      </c>
      <c r="F1432" s="33">
        <v>47</v>
      </c>
      <c r="G1432" s="29">
        <v>0</v>
      </c>
      <c r="H1432" s="29">
        <v>0</v>
      </c>
      <c r="I1432" s="35">
        <v>47</v>
      </c>
      <c r="J1432" s="34">
        <v>2100</v>
      </c>
      <c r="K1432" s="34">
        <v>98700</v>
      </c>
    </row>
    <row r="1433" spans="1:11" hidden="1">
      <c r="A1433" s="29" t="s">
        <v>138</v>
      </c>
      <c r="B1433" s="32">
        <v>40001</v>
      </c>
      <c r="C1433" s="29">
        <v>46.5</v>
      </c>
      <c r="D1433" s="35">
        <v>46.5</v>
      </c>
      <c r="E1433" s="35">
        <v>46.5</v>
      </c>
      <c r="F1433" s="33">
        <v>46.5</v>
      </c>
      <c r="G1433" s="29">
        <v>0</v>
      </c>
      <c r="H1433" s="29">
        <v>0.5</v>
      </c>
      <c r="I1433" s="35">
        <v>47</v>
      </c>
      <c r="J1433" s="34">
        <v>13600</v>
      </c>
      <c r="K1433" s="34">
        <v>632400</v>
      </c>
    </row>
    <row r="1434" spans="1:11" hidden="1">
      <c r="A1434" s="29" t="s">
        <v>138</v>
      </c>
      <c r="B1434" s="32">
        <v>40002</v>
      </c>
      <c r="C1434" s="29">
        <v>46.5</v>
      </c>
      <c r="D1434" s="35">
        <v>47.75</v>
      </c>
      <c r="E1434" s="35">
        <v>46.25</v>
      </c>
      <c r="F1434" s="33">
        <v>46.25</v>
      </c>
      <c r="G1434" s="29">
        <v>0</v>
      </c>
      <c r="H1434" s="29">
        <v>0.25</v>
      </c>
      <c r="I1434" s="35">
        <v>46.5</v>
      </c>
      <c r="J1434" s="34">
        <v>5800</v>
      </c>
      <c r="K1434" s="34">
        <v>273075</v>
      </c>
    </row>
    <row r="1435" spans="1:11" hidden="1">
      <c r="A1435" s="29" t="s">
        <v>138</v>
      </c>
      <c r="B1435" s="32">
        <v>40003</v>
      </c>
      <c r="C1435" s="29">
        <v>46.25</v>
      </c>
      <c r="D1435" s="35">
        <v>46.25</v>
      </c>
      <c r="E1435" s="35">
        <v>45.5</v>
      </c>
      <c r="F1435" s="33">
        <v>45.5</v>
      </c>
      <c r="G1435" s="29">
        <v>0</v>
      </c>
      <c r="H1435" s="29">
        <v>0.75</v>
      </c>
      <c r="I1435" s="35">
        <v>46.25</v>
      </c>
      <c r="J1435" s="34">
        <v>9700</v>
      </c>
      <c r="K1435" s="34">
        <v>446075</v>
      </c>
    </row>
    <row r="1436" spans="1:11" hidden="1">
      <c r="A1436" s="29" t="s">
        <v>138</v>
      </c>
      <c r="B1436" s="32">
        <v>40004</v>
      </c>
      <c r="C1436" s="29">
        <v>46</v>
      </c>
      <c r="D1436" s="35">
        <v>46.5</v>
      </c>
      <c r="E1436" s="35">
        <v>46</v>
      </c>
      <c r="F1436" s="33">
        <v>46</v>
      </c>
      <c r="G1436" s="29">
        <v>0</v>
      </c>
      <c r="H1436" s="29">
        <v>-0.5</v>
      </c>
      <c r="I1436" s="35">
        <v>45.5</v>
      </c>
      <c r="J1436" s="34">
        <v>6900</v>
      </c>
      <c r="K1436" s="34">
        <v>318200</v>
      </c>
    </row>
    <row r="1437" spans="1:11" hidden="1">
      <c r="A1437" s="29" t="s">
        <v>138</v>
      </c>
      <c r="B1437" s="32">
        <v>40007</v>
      </c>
      <c r="C1437" s="29">
        <v>46</v>
      </c>
      <c r="D1437" s="35">
        <v>46.5</v>
      </c>
      <c r="E1437" s="35">
        <v>46</v>
      </c>
      <c r="F1437" s="33">
        <v>46.25</v>
      </c>
      <c r="G1437" s="29">
        <v>0</v>
      </c>
      <c r="H1437" s="29">
        <v>-0.25</v>
      </c>
      <c r="I1437" s="35">
        <v>46</v>
      </c>
      <c r="J1437" s="34">
        <v>55300</v>
      </c>
      <c r="K1437" s="34">
        <v>2557125</v>
      </c>
    </row>
    <row r="1438" spans="1:11" hidden="1">
      <c r="A1438" s="29" t="s">
        <v>138</v>
      </c>
      <c r="B1438" s="32">
        <v>40008</v>
      </c>
      <c r="C1438" s="29">
        <v>46.25</v>
      </c>
      <c r="D1438" s="35">
        <v>46.5</v>
      </c>
      <c r="E1438" s="35">
        <v>46.25</v>
      </c>
      <c r="F1438" s="33">
        <v>46.5</v>
      </c>
      <c r="G1438" s="29">
        <v>0</v>
      </c>
      <c r="H1438" s="29">
        <v>-0.25</v>
      </c>
      <c r="I1438" s="35">
        <v>46.25</v>
      </c>
      <c r="J1438" s="34">
        <v>15600</v>
      </c>
      <c r="K1438" s="34">
        <v>724650</v>
      </c>
    </row>
    <row r="1439" spans="1:11" hidden="1">
      <c r="A1439" s="29" t="s">
        <v>138</v>
      </c>
      <c r="B1439" s="32">
        <v>40009</v>
      </c>
      <c r="C1439" s="29">
        <v>46.5</v>
      </c>
      <c r="D1439" s="35">
        <v>47</v>
      </c>
      <c r="E1439" s="35">
        <v>46.25</v>
      </c>
      <c r="F1439" s="33">
        <v>47</v>
      </c>
      <c r="G1439" s="29">
        <v>0</v>
      </c>
      <c r="H1439" s="29">
        <v>-0.5</v>
      </c>
      <c r="I1439" s="35">
        <v>46.5</v>
      </c>
      <c r="J1439" s="34">
        <v>18700</v>
      </c>
      <c r="K1439" s="34">
        <v>873725</v>
      </c>
    </row>
    <row r="1440" spans="1:11" hidden="1">
      <c r="A1440" s="29" t="s">
        <v>138</v>
      </c>
      <c r="B1440" s="32">
        <v>40010</v>
      </c>
      <c r="C1440" s="29">
        <v>47</v>
      </c>
      <c r="D1440" s="35">
        <v>47.5</v>
      </c>
      <c r="E1440" s="35">
        <v>47</v>
      </c>
      <c r="F1440" s="33">
        <v>47.25</v>
      </c>
      <c r="G1440" s="29">
        <v>0</v>
      </c>
      <c r="H1440" s="29">
        <v>-0.25</v>
      </c>
      <c r="I1440" s="35">
        <v>47</v>
      </c>
      <c r="J1440" s="34">
        <v>34200</v>
      </c>
      <c r="K1440" s="34">
        <v>1611300</v>
      </c>
    </row>
    <row r="1441" spans="1:11" hidden="1">
      <c r="A1441" s="29" t="s">
        <v>138</v>
      </c>
      <c r="B1441" s="32">
        <v>40011</v>
      </c>
      <c r="C1441" s="29">
        <v>47.5</v>
      </c>
      <c r="D1441" s="35">
        <v>48.75</v>
      </c>
      <c r="E1441" s="35">
        <v>47.5</v>
      </c>
      <c r="F1441" s="33">
        <v>48.5</v>
      </c>
      <c r="G1441" s="29">
        <v>0</v>
      </c>
      <c r="H1441" s="29">
        <v>-1.25</v>
      </c>
      <c r="I1441" s="35">
        <v>47.25</v>
      </c>
      <c r="J1441" s="34">
        <v>29100</v>
      </c>
      <c r="K1441" s="34">
        <v>1403325</v>
      </c>
    </row>
    <row r="1442" spans="1:11" hidden="1">
      <c r="A1442" s="29" t="s">
        <v>138</v>
      </c>
      <c r="B1442" s="32">
        <v>40014</v>
      </c>
      <c r="C1442" s="29">
        <v>49</v>
      </c>
      <c r="D1442" s="35">
        <v>49</v>
      </c>
      <c r="E1442" s="35">
        <v>48.5</v>
      </c>
      <c r="F1442" s="33">
        <v>48.5</v>
      </c>
      <c r="G1442" s="29">
        <v>0</v>
      </c>
      <c r="H1442" s="29">
        <v>0</v>
      </c>
      <c r="I1442" s="35">
        <v>48.5</v>
      </c>
      <c r="J1442" s="34">
        <v>26600</v>
      </c>
      <c r="K1442" s="34">
        <v>1290450</v>
      </c>
    </row>
    <row r="1443" spans="1:11" hidden="1">
      <c r="A1443" s="29" t="s">
        <v>138</v>
      </c>
      <c r="B1443" s="32">
        <v>40015</v>
      </c>
      <c r="C1443" s="29">
        <v>49</v>
      </c>
      <c r="D1443" s="35">
        <v>52</v>
      </c>
      <c r="E1443" s="35">
        <v>49</v>
      </c>
      <c r="F1443" s="33">
        <v>51.75</v>
      </c>
      <c r="G1443" s="29">
        <v>0</v>
      </c>
      <c r="H1443" s="29">
        <v>-3.25</v>
      </c>
      <c r="I1443" s="35">
        <v>48.5</v>
      </c>
      <c r="J1443" s="34">
        <v>282400</v>
      </c>
      <c r="K1443" s="34">
        <v>14293650</v>
      </c>
    </row>
    <row r="1444" spans="1:11" hidden="1">
      <c r="A1444" s="29" t="s">
        <v>138</v>
      </c>
      <c r="B1444" s="32">
        <v>40016</v>
      </c>
      <c r="C1444" s="29">
        <v>52.5</v>
      </c>
      <c r="D1444" s="35">
        <v>54</v>
      </c>
      <c r="E1444" s="35">
        <v>51.75</v>
      </c>
      <c r="F1444" s="33">
        <v>52.5</v>
      </c>
      <c r="G1444" s="29">
        <v>0</v>
      </c>
      <c r="H1444" s="29">
        <v>-0.75</v>
      </c>
      <c r="I1444" s="35">
        <v>51.75</v>
      </c>
      <c r="J1444" s="34">
        <v>126900</v>
      </c>
      <c r="K1444" s="34">
        <v>6705600</v>
      </c>
    </row>
    <row r="1445" spans="1:11" hidden="1">
      <c r="A1445" s="29" t="s">
        <v>138</v>
      </c>
      <c r="B1445" s="32">
        <v>40017</v>
      </c>
      <c r="C1445" s="29">
        <v>52.5</v>
      </c>
      <c r="D1445" s="35">
        <v>52.5</v>
      </c>
      <c r="E1445" s="35">
        <v>51</v>
      </c>
      <c r="F1445" s="33">
        <v>52</v>
      </c>
      <c r="G1445" s="29">
        <v>0</v>
      </c>
      <c r="H1445" s="29">
        <v>0.5</v>
      </c>
      <c r="I1445" s="35">
        <v>52.5</v>
      </c>
      <c r="J1445" s="34">
        <v>42200</v>
      </c>
      <c r="K1445" s="34">
        <v>2188350</v>
      </c>
    </row>
    <row r="1446" spans="1:11" hidden="1">
      <c r="A1446" s="29" t="s">
        <v>138</v>
      </c>
      <c r="B1446" s="32">
        <v>40018</v>
      </c>
      <c r="C1446" s="29">
        <v>52.25</v>
      </c>
      <c r="D1446" s="35">
        <v>52.5</v>
      </c>
      <c r="E1446" s="35">
        <v>51.75</v>
      </c>
      <c r="F1446" s="33">
        <v>52</v>
      </c>
      <c r="G1446" s="29">
        <v>0</v>
      </c>
      <c r="H1446" s="29">
        <v>0</v>
      </c>
      <c r="I1446" s="35">
        <v>52</v>
      </c>
      <c r="J1446" s="34">
        <v>182200</v>
      </c>
      <c r="K1446" s="34">
        <v>9480125</v>
      </c>
    </row>
    <row r="1447" spans="1:11" hidden="1">
      <c r="A1447" s="29" t="s">
        <v>138</v>
      </c>
      <c r="B1447" s="32">
        <v>40021</v>
      </c>
      <c r="C1447" s="29">
        <v>52.25</v>
      </c>
      <c r="D1447" s="35">
        <v>52.75</v>
      </c>
      <c r="E1447" s="35">
        <v>52</v>
      </c>
      <c r="F1447" s="33">
        <v>52</v>
      </c>
      <c r="G1447" s="29">
        <v>0</v>
      </c>
      <c r="H1447" s="29">
        <v>0</v>
      </c>
      <c r="I1447" s="35">
        <v>52</v>
      </c>
      <c r="J1447" s="34">
        <v>228100</v>
      </c>
      <c r="K1447" s="34">
        <v>11898550</v>
      </c>
    </row>
    <row r="1448" spans="1:11" hidden="1">
      <c r="A1448" s="29" t="s">
        <v>138</v>
      </c>
      <c r="B1448" s="32">
        <v>40022</v>
      </c>
      <c r="C1448" s="29">
        <v>51.75</v>
      </c>
      <c r="D1448" s="35">
        <v>51.75</v>
      </c>
      <c r="E1448" s="35">
        <v>51</v>
      </c>
      <c r="F1448" s="33">
        <v>51.25</v>
      </c>
      <c r="G1448" s="29">
        <v>0</v>
      </c>
      <c r="H1448" s="29">
        <v>0.75</v>
      </c>
      <c r="I1448" s="35">
        <v>52</v>
      </c>
      <c r="J1448" s="34">
        <v>4200</v>
      </c>
      <c r="K1448" s="34">
        <v>215975</v>
      </c>
    </row>
    <row r="1449" spans="1:11" hidden="1">
      <c r="A1449" s="29" t="s">
        <v>138</v>
      </c>
      <c r="B1449" s="32">
        <v>40023</v>
      </c>
      <c r="C1449" s="29">
        <v>51.75</v>
      </c>
      <c r="D1449" s="35">
        <v>51.75</v>
      </c>
      <c r="E1449" s="35">
        <v>51</v>
      </c>
      <c r="F1449" s="33">
        <v>51</v>
      </c>
      <c r="G1449" s="29">
        <v>0</v>
      </c>
      <c r="H1449" s="29">
        <v>0.25</v>
      </c>
      <c r="I1449" s="35">
        <v>51.25</v>
      </c>
      <c r="J1449" s="34">
        <v>64900</v>
      </c>
      <c r="K1449" s="34">
        <v>3315550</v>
      </c>
    </row>
    <row r="1450" spans="1:11" hidden="1">
      <c r="A1450" s="29" t="s">
        <v>138</v>
      </c>
      <c r="B1450" s="32">
        <v>40024</v>
      </c>
      <c r="C1450" s="29">
        <v>51</v>
      </c>
      <c r="D1450" s="35">
        <v>51</v>
      </c>
      <c r="E1450" s="35">
        <v>50.75</v>
      </c>
      <c r="F1450" s="33">
        <v>50.75</v>
      </c>
      <c r="G1450" s="29">
        <v>0</v>
      </c>
      <c r="H1450" s="29">
        <v>0.25</v>
      </c>
      <c r="I1450" s="35">
        <v>51</v>
      </c>
      <c r="J1450" s="34">
        <v>2200</v>
      </c>
      <c r="K1450" s="34">
        <v>111850</v>
      </c>
    </row>
    <row r="1451" spans="1:11" hidden="1">
      <c r="A1451" s="29" t="s">
        <v>138</v>
      </c>
      <c r="B1451" s="32">
        <v>40025</v>
      </c>
      <c r="C1451" s="29">
        <v>50.75</v>
      </c>
      <c r="D1451" s="35">
        <v>51</v>
      </c>
      <c r="E1451" s="35">
        <v>50.25</v>
      </c>
      <c r="F1451" s="33">
        <v>50.75</v>
      </c>
      <c r="G1451" s="29">
        <v>0</v>
      </c>
      <c r="H1451" s="29">
        <v>0</v>
      </c>
      <c r="I1451" s="35">
        <v>50.75</v>
      </c>
      <c r="J1451" s="34">
        <v>36000</v>
      </c>
      <c r="K1451" s="34">
        <v>1824775</v>
      </c>
    </row>
    <row r="1452" spans="1:11" hidden="1">
      <c r="A1452" s="29" t="s">
        <v>138</v>
      </c>
      <c r="B1452" s="32">
        <v>40028</v>
      </c>
      <c r="C1452" s="29">
        <v>51</v>
      </c>
      <c r="D1452" s="35">
        <v>51</v>
      </c>
      <c r="E1452" s="35">
        <v>50</v>
      </c>
      <c r="F1452" s="33">
        <v>50</v>
      </c>
      <c r="G1452" s="29">
        <v>0</v>
      </c>
      <c r="H1452" s="29">
        <v>0.75</v>
      </c>
      <c r="I1452" s="35">
        <v>50.75</v>
      </c>
      <c r="J1452" s="34">
        <v>29600</v>
      </c>
      <c r="K1452" s="34">
        <v>1482000</v>
      </c>
    </row>
    <row r="1453" spans="1:11" hidden="1">
      <c r="A1453" s="29" t="s">
        <v>138</v>
      </c>
      <c r="B1453" s="32">
        <v>40029</v>
      </c>
      <c r="C1453" s="29">
        <v>49.75</v>
      </c>
      <c r="D1453" s="35">
        <v>49.75</v>
      </c>
      <c r="E1453" s="35">
        <v>49</v>
      </c>
      <c r="F1453" s="33">
        <v>49.25</v>
      </c>
      <c r="G1453" s="29">
        <v>0</v>
      </c>
      <c r="H1453" s="29">
        <v>0.75</v>
      </c>
      <c r="I1453" s="35">
        <v>50</v>
      </c>
      <c r="J1453" s="34">
        <v>66800</v>
      </c>
      <c r="K1453" s="34">
        <v>3302575</v>
      </c>
    </row>
    <row r="1454" spans="1:11" hidden="1">
      <c r="A1454" s="29" t="s">
        <v>138</v>
      </c>
      <c r="B1454" s="32">
        <v>40031</v>
      </c>
      <c r="C1454" s="29">
        <v>49.5</v>
      </c>
      <c r="D1454" s="35">
        <v>49.5</v>
      </c>
      <c r="E1454" s="35">
        <v>49.25</v>
      </c>
      <c r="F1454" s="33">
        <v>49.25</v>
      </c>
      <c r="G1454" s="29">
        <v>0</v>
      </c>
      <c r="H1454" s="29">
        <v>0</v>
      </c>
      <c r="I1454" s="35">
        <v>49.25</v>
      </c>
      <c r="J1454" s="34">
        <v>37000</v>
      </c>
      <c r="K1454" s="34">
        <v>1823075</v>
      </c>
    </row>
    <row r="1455" spans="1:11" hidden="1">
      <c r="A1455" s="29" t="s">
        <v>138</v>
      </c>
      <c r="B1455" s="32">
        <v>40032</v>
      </c>
      <c r="C1455" s="29">
        <v>49</v>
      </c>
      <c r="D1455" s="35">
        <v>49</v>
      </c>
      <c r="E1455" s="35">
        <v>49</v>
      </c>
      <c r="F1455" s="33">
        <v>49</v>
      </c>
      <c r="G1455" s="29">
        <v>0</v>
      </c>
      <c r="H1455" s="29">
        <v>0.25</v>
      </c>
      <c r="I1455" s="35">
        <v>49.25</v>
      </c>
      <c r="J1455" s="34">
        <v>9800</v>
      </c>
      <c r="K1455" s="34">
        <v>480200</v>
      </c>
    </row>
    <row r="1456" spans="1:11" hidden="1">
      <c r="A1456" s="29" t="s">
        <v>138</v>
      </c>
      <c r="B1456" s="32">
        <v>40035</v>
      </c>
      <c r="C1456" s="29">
        <v>49</v>
      </c>
      <c r="D1456" s="35">
        <v>49</v>
      </c>
      <c r="E1456" s="35">
        <v>48.75</v>
      </c>
      <c r="F1456" s="33">
        <v>49</v>
      </c>
      <c r="G1456" s="29">
        <v>0</v>
      </c>
      <c r="H1456" s="29">
        <v>0</v>
      </c>
      <c r="I1456" s="35">
        <v>49</v>
      </c>
      <c r="J1456" s="34">
        <v>8900</v>
      </c>
      <c r="K1456" s="34">
        <v>435950</v>
      </c>
    </row>
    <row r="1457" spans="1:11" hidden="1">
      <c r="A1457" s="29" t="s">
        <v>138</v>
      </c>
      <c r="B1457" s="32">
        <v>40036</v>
      </c>
      <c r="C1457" s="29">
        <v>49</v>
      </c>
      <c r="D1457" s="35">
        <v>49</v>
      </c>
      <c r="E1457" s="35">
        <v>48.25</v>
      </c>
      <c r="F1457" s="33">
        <v>48.5</v>
      </c>
      <c r="G1457" s="29">
        <v>0</v>
      </c>
      <c r="H1457" s="29">
        <v>0.5</v>
      </c>
      <c r="I1457" s="35">
        <v>49</v>
      </c>
      <c r="J1457" s="34">
        <v>7300</v>
      </c>
      <c r="K1457" s="34">
        <v>354500</v>
      </c>
    </row>
    <row r="1458" spans="1:11" hidden="1">
      <c r="A1458" s="29" t="s">
        <v>138</v>
      </c>
      <c r="B1458" s="32">
        <v>40037</v>
      </c>
      <c r="C1458" s="29">
        <v>48.5</v>
      </c>
      <c r="D1458" s="35">
        <v>48.5</v>
      </c>
      <c r="E1458" s="35">
        <v>48.25</v>
      </c>
      <c r="F1458" s="33">
        <v>48.25</v>
      </c>
      <c r="G1458" s="29">
        <v>0</v>
      </c>
      <c r="H1458" s="29">
        <v>0.25</v>
      </c>
      <c r="I1458" s="35">
        <v>48.5</v>
      </c>
      <c r="J1458" s="34">
        <v>6200</v>
      </c>
      <c r="K1458" s="34">
        <v>299475</v>
      </c>
    </row>
    <row r="1459" spans="1:11" hidden="1">
      <c r="A1459" s="29" t="s">
        <v>138</v>
      </c>
      <c r="B1459" s="32">
        <v>40038</v>
      </c>
      <c r="C1459" s="29">
        <v>48.5</v>
      </c>
      <c r="D1459" s="35">
        <v>48.5</v>
      </c>
      <c r="E1459" s="35">
        <v>48</v>
      </c>
      <c r="F1459" s="33">
        <v>48</v>
      </c>
      <c r="G1459" s="29">
        <v>0</v>
      </c>
      <c r="H1459" s="29">
        <v>0.25</v>
      </c>
      <c r="I1459" s="35">
        <v>48.25</v>
      </c>
      <c r="J1459" s="34">
        <v>34800</v>
      </c>
      <c r="K1459" s="34">
        <v>1671500</v>
      </c>
    </row>
    <row r="1460" spans="1:11" hidden="1">
      <c r="A1460" s="29" t="s">
        <v>138</v>
      </c>
      <c r="B1460" s="32">
        <v>40039</v>
      </c>
      <c r="C1460" s="29">
        <v>48.25</v>
      </c>
      <c r="D1460" s="35">
        <v>48.25</v>
      </c>
      <c r="E1460" s="35">
        <v>48</v>
      </c>
      <c r="F1460" s="33">
        <v>48</v>
      </c>
      <c r="G1460" s="29">
        <v>0</v>
      </c>
      <c r="H1460" s="29">
        <v>0</v>
      </c>
      <c r="I1460" s="35">
        <v>48</v>
      </c>
      <c r="J1460" s="34">
        <v>12800</v>
      </c>
      <c r="K1460" s="34">
        <v>615350</v>
      </c>
    </row>
    <row r="1461" spans="1:11" hidden="1">
      <c r="A1461" s="29" t="s">
        <v>138</v>
      </c>
      <c r="B1461" s="32">
        <v>40042</v>
      </c>
      <c r="C1461" s="29">
        <v>47.5</v>
      </c>
      <c r="D1461" s="35">
        <v>48.25</v>
      </c>
      <c r="E1461" s="35">
        <v>47.25</v>
      </c>
      <c r="F1461" s="33">
        <v>47.5</v>
      </c>
      <c r="G1461" s="29">
        <v>0</v>
      </c>
      <c r="H1461" s="29">
        <v>0.5</v>
      </c>
      <c r="I1461" s="35">
        <v>48</v>
      </c>
      <c r="J1461" s="34">
        <v>22700</v>
      </c>
      <c r="K1461" s="34">
        <v>1076450</v>
      </c>
    </row>
    <row r="1462" spans="1:11" hidden="1">
      <c r="A1462" s="29" t="s">
        <v>138</v>
      </c>
      <c r="B1462" s="32">
        <v>40043</v>
      </c>
      <c r="C1462" s="29">
        <v>47.5</v>
      </c>
      <c r="D1462" s="35">
        <v>49</v>
      </c>
      <c r="E1462" s="35">
        <v>47.5</v>
      </c>
      <c r="F1462" s="33">
        <v>48</v>
      </c>
      <c r="G1462" s="29">
        <v>0</v>
      </c>
      <c r="H1462" s="29">
        <v>-0.5</v>
      </c>
      <c r="I1462" s="35">
        <v>47.5</v>
      </c>
      <c r="J1462" s="34">
        <v>7800</v>
      </c>
      <c r="K1462" s="34">
        <v>377575</v>
      </c>
    </row>
    <row r="1463" spans="1:11" hidden="1">
      <c r="A1463" s="29" t="s">
        <v>138</v>
      </c>
      <c r="B1463" s="32">
        <v>40044</v>
      </c>
      <c r="C1463" s="29">
        <v>47.5</v>
      </c>
      <c r="D1463" s="35">
        <v>49.5</v>
      </c>
      <c r="E1463" s="35">
        <v>47.5</v>
      </c>
      <c r="F1463" s="33">
        <v>49</v>
      </c>
      <c r="G1463" s="29">
        <v>0</v>
      </c>
      <c r="H1463" s="29">
        <v>-1</v>
      </c>
      <c r="I1463" s="35">
        <v>48</v>
      </c>
      <c r="J1463" s="34">
        <v>20100</v>
      </c>
      <c r="K1463" s="34">
        <v>979775</v>
      </c>
    </row>
    <row r="1464" spans="1:11" hidden="1">
      <c r="A1464" s="29" t="s">
        <v>138</v>
      </c>
      <c r="B1464" s="32">
        <v>40045</v>
      </c>
      <c r="C1464" s="29">
        <v>49</v>
      </c>
      <c r="D1464" s="35">
        <v>50</v>
      </c>
      <c r="E1464" s="35">
        <v>49</v>
      </c>
      <c r="F1464" s="33">
        <v>49</v>
      </c>
      <c r="G1464" s="29">
        <v>0</v>
      </c>
      <c r="H1464" s="29">
        <v>0</v>
      </c>
      <c r="I1464" s="35">
        <v>49</v>
      </c>
      <c r="J1464" s="34">
        <v>7900</v>
      </c>
      <c r="K1464" s="34">
        <v>389700</v>
      </c>
    </row>
    <row r="1465" spans="1:11" hidden="1">
      <c r="A1465" s="29" t="s">
        <v>138</v>
      </c>
      <c r="B1465" s="32">
        <v>40046</v>
      </c>
      <c r="C1465" s="29">
        <v>49.5</v>
      </c>
      <c r="D1465" s="35">
        <v>49.5</v>
      </c>
      <c r="E1465" s="35">
        <v>49</v>
      </c>
      <c r="F1465" s="33">
        <v>49</v>
      </c>
      <c r="G1465" s="29">
        <v>0</v>
      </c>
      <c r="H1465" s="29">
        <v>0</v>
      </c>
      <c r="I1465" s="35">
        <v>49</v>
      </c>
      <c r="J1465" s="34">
        <v>2500</v>
      </c>
      <c r="K1465" s="34">
        <v>122750</v>
      </c>
    </row>
    <row r="1466" spans="1:11" hidden="1">
      <c r="A1466" s="29" t="s">
        <v>138</v>
      </c>
      <c r="B1466" s="32">
        <v>40049</v>
      </c>
      <c r="C1466" s="29">
        <v>48.5</v>
      </c>
      <c r="D1466" s="35">
        <v>49</v>
      </c>
      <c r="E1466" s="35">
        <v>48.5</v>
      </c>
      <c r="F1466" s="33">
        <v>49</v>
      </c>
      <c r="G1466" s="29">
        <v>0</v>
      </c>
      <c r="H1466" s="29">
        <v>0</v>
      </c>
      <c r="I1466" s="35">
        <v>49</v>
      </c>
      <c r="J1466" s="34">
        <v>11300</v>
      </c>
      <c r="K1466" s="34">
        <v>553425</v>
      </c>
    </row>
    <row r="1467" spans="1:11" hidden="1">
      <c r="A1467" s="29" t="s">
        <v>138</v>
      </c>
      <c r="B1467" s="32">
        <v>40050</v>
      </c>
      <c r="C1467" s="29">
        <v>49</v>
      </c>
      <c r="D1467" s="35">
        <v>50</v>
      </c>
      <c r="E1467" s="35">
        <v>48.5</v>
      </c>
      <c r="F1467" s="33">
        <v>50</v>
      </c>
      <c r="G1467" s="29">
        <v>0</v>
      </c>
      <c r="H1467" s="29">
        <v>-1</v>
      </c>
      <c r="I1467" s="35">
        <v>49</v>
      </c>
      <c r="J1467" s="34">
        <v>13400</v>
      </c>
      <c r="K1467" s="34">
        <v>664375</v>
      </c>
    </row>
    <row r="1468" spans="1:11" hidden="1">
      <c r="A1468" s="29" t="s">
        <v>138</v>
      </c>
      <c r="B1468" s="32">
        <v>40051</v>
      </c>
      <c r="C1468" s="29">
        <v>50</v>
      </c>
      <c r="D1468" s="35">
        <v>50</v>
      </c>
      <c r="E1468" s="35">
        <v>49.5</v>
      </c>
      <c r="F1468" s="33">
        <v>49.75</v>
      </c>
      <c r="G1468" s="29">
        <v>0</v>
      </c>
      <c r="H1468" s="29">
        <v>0.25</v>
      </c>
      <c r="I1468" s="35">
        <v>50</v>
      </c>
      <c r="J1468" s="34">
        <v>18000</v>
      </c>
      <c r="K1468" s="34">
        <v>896500</v>
      </c>
    </row>
    <row r="1469" spans="1:11" hidden="1">
      <c r="A1469" s="29" t="s">
        <v>138</v>
      </c>
      <c r="B1469" s="32">
        <v>40052</v>
      </c>
      <c r="C1469" s="29">
        <v>50</v>
      </c>
      <c r="D1469" s="35">
        <v>50</v>
      </c>
      <c r="E1469" s="35">
        <v>49.25</v>
      </c>
      <c r="F1469" s="33">
        <v>49.5</v>
      </c>
      <c r="G1469" s="29">
        <v>0</v>
      </c>
      <c r="H1469" s="29">
        <v>0.25</v>
      </c>
      <c r="I1469" s="35">
        <v>49.75</v>
      </c>
      <c r="J1469" s="34">
        <v>19400</v>
      </c>
      <c r="K1469" s="34">
        <v>961875</v>
      </c>
    </row>
    <row r="1470" spans="1:11" hidden="1">
      <c r="A1470" s="29" t="s">
        <v>138</v>
      </c>
      <c r="B1470" s="32">
        <v>40053</v>
      </c>
      <c r="C1470" s="29">
        <v>50</v>
      </c>
      <c r="D1470" s="35">
        <v>50</v>
      </c>
      <c r="E1470" s="35">
        <v>49.25</v>
      </c>
      <c r="F1470" s="33">
        <v>49.5</v>
      </c>
      <c r="G1470" s="29">
        <v>0</v>
      </c>
      <c r="H1470" s="29">
        <v>0</v>
      </c>
      <c r="I1470" s="35">
        <v>49.5</v>
      </c>
      <c r="J1470" s="34">
        <v>45100</v>
      </c>
      <c r="K1470" s="34">
        <v>2230350</v>
      </c>
    </row>
    <row r="1471" spans="1:11" hidden="1">
      <c r="A1471" s="29" t="s">
        <v>138</v>
      </c>
      <c r="B1471" s="32">
        <v>40056</v>
      </c>
      <c r="C1471" s="29">
        <v>49.75</v>
      </c>
      <c r="D1471" s="35">
        <v>49.75</v>
      </c>
      <c r="E1471" s="35">
        <v>49.75</v>
      </c>
      <c r="F1471" s="33">
        <v>49.75</v>
      </c>
      <c r="G1471" s="29">
        <v>0</v>
      </c>
      <c r="H1471" s="29">
        <v>-0.25</v>
      </c>
      <c r="I1471" s="35">
        <v>49.5</v>
      </c>
      <c r="J1471" s="34">
        <v>15100</v>
      </c>
      <c r="K1471" s="34">
        <v>751225</v>
      </c>
    </row>
    <row r="1472" spans="1:11" hidden="1">
      <c r="A1472" s="29" t="s">
        <v>138</v>
      </c>
      <c r="B1472" s="32">
        <v>40057</v>
      </c>
      <c r="C1472" s="29">
        <v>50</v>
      </c>
      <c r="D1472" s="35">
        <v>50.75</v>
      </c>
      <c r="E1472" s="35">
        <v>50</v>
      </c>
      <c r="F1472" s="33">
        <v>50.5</v>
      </c>
      <c r="G1472" s="29">
        <v>0</v>
      </c>
      <c r="H1472" s="29">
        <v>-0.75</v>
      </c>
      <c r="I1472" s="35">
        <v>49.75</v>
      </c>
      <c r="J1472" s="34">
        <v>37000</v>
      </c>
      <c r="K1472" s="34">
        <v>1858975</v>
      </c>
    </row>
    <row r="1473" spans="1:11" hidden="1">
      <c r="A1473" s="29" t="s">
        <v>138</v>
      </c>
      <c r="B1473" s="32">
        <v>40058</v>
      </c>
      <c r="C1473" s="29">
        <v>51</v>
      </c>
      <c r="D1473" s="35">
        <v>52.25</v>
      </c>
      <c r="E1473" s="35">
        <v>51</v>
      </c>
      <c r="F1473" s="33">
        <v>52</v>
      </c>
      <c r="G1473" s="29">
        <v>0</v>
      </c>
      <c r="H1473" s="29">
        <v>-1.5</v>
      </c>
      <c r="I1473" s="35">
        <v>50.5</v>
      </c>
      <c r="J1473" s="34">
        <v>60600</v>
      </c>
      <c r="K1473" s="34">
        <v>3138475</v>
      </c>
    </row>
    <row r="1474" spans="1:11" hidden="1">
      <c r="A1474" s="29" t="s">
        <v>138</v>
      </c>
      <c r="B1474" s="32">
        <v>40059</v>
      </c>
      <c r="C1474" s="29">
        <v>52</v>
      </c>
      <c r="D1474" s="35">
        <v>52.5</v>
      </c>
      <c r="E1474" s="35">
        <v>51</v>
      </c>
      <c r="F1474" s="33">
        <v>52</v>
      </c>
      <c r="G1474" s="29">
        <v>0</v>
      </c>
      <c r="H1474" s="29">
        <v>0</v>
      </c>
      <c r="I1474" s="35">
        <v>52</v>
      </c>
      <c r="J1474" s="34">
        <v>30200</v>
      </c>
      <c r="K1474" s="34">
        <v>1569600</v>
      </c>
    </row>
    <row r="1475" spans="1:11" hidden="1">
      <c r="A1475" s="29" t="s">
        <v>138</v>
      </c>
      <c r="B1475" s="32">
        <v>40063</v>
      </c>
      <c r="C1475" s="29">
        <v>52</v>
      </c>
      <c r="D1475" s="35">
        <v>52.75</v>
      </c>
      <c r="E1475" s="35">
        <v>52</v>
      </c>
      <c r="F1475" s="33">
        <v>52.5</v>
      </c>
      <c r="G1475" s="29">
        <v>0</v>
      </c>
      <c r="H1475" s="29">
        <v>-0.5</v>
      </c>
      <c r="I1475" s="35">
        <v>52</v>
      </c>
      <c r="J1475" s="34">
        <v>119100</v>
      </c>
      <c r="K1475" s="34">
        <v>6215425</v>
      </c>
    </row>
    <row r="1476" spans="1:11" hidden="1">
      <c r="A1476" s="29" t="s">
        <v>138</v>
      </c>
      <c r="B1476" s="32">
        <v>40064</v>
      </c>
      <c r="C1476" s="29">
        <v>53</v>
      </c>
      <c r="D1476" s="35">
        <v>58</v>
      </c>
      <c r="E1476" s="35">
        <v>53</v>
      </c>
      <c r="F1476" s="33">
        <v>57.25</v>
      </c>
      <c r="G1476" s="29">
        <v>0</v>
      </c>
      <c r="H1476" s="29">
        <v>-4.75</v>
      </c>
      <c r="I1476" s="35">
        <v>52.5</v>
      </c>
      <c r="J1476" s="34">
        <v>533800</v>
      </c>
      <c r="K1476" s="34">
        <v>29980325</v>
      </c>
    </row>
    <row r="1477" spans="1:11" hidden="1">
      <c r="A1477" s="29" t="s">
        <v>138</v>
      </c>
      <c r="B1477" s="32">
        <v>40065</v>
      </c>
      <c r="C1477" s="29">
        <v>58.5</v>
      </c>
      <c r="D1477" s="35">
        <v>66.5</v>
      </c>
      <c r="E1477" s="35">
        <v>58.5</v>
      </c>
      <c r="F1477" s="33">
        <v>65.25</v>
      </c>
      <c r="G1477" s="29">
        <v>0</v>
      </c>
      <c r="H1477" s="29">
        <v>-8</v>
      </c>
      <c r="I1477" s="35">
        <v>57.25</v>
      </c>
      <c r="J1477" s="34">
        <v>751700</v>
      </c>
      <c r="K1477" s="34">
        <v>46832900</v>
      </c>
    </row>
    <row r="1478" spans="1:11" hidden="1">
      <c r="A1478" s="29" t="s">
        <v>138</v>
      </c>
      <c r="B1478" s="32">
        <v>40066</v>
      </c>
      <c r="C1478" s="29">
        <v>67</v>
      </c>
      <c r="D1478" s="35">
        <v>69.5</v>
      </c>
      <c r="E1478" s="35">
        <v>64</v>
      </c>
      <c r="F1478" s="33">
        <v>66</v>
      </c>
      <c r="G1478" s="29">
        <v>0</v>
      </c>
      <c r="H1478" s="29">
        <v>-0.75</v>
      </c>
      <c r="I1478" s="35">
        <v>65.25</v>
      </c>
      <c r="J1478" s="34">
        <v>367800</v>
      </c>
      <c r="K1478" s="34">
        <v>24484425</v>
      </c>
    </row>
    <row r="1479" spans="1:11" hidden="1">
      <c r="A1479" s="29" t="s">
        <v>138</v>
      </c>
      <c r="B1479" s="32">
        <v>40067</v>
      </c>
      <c r="C1479" s="29">
        <v>66</v>
      </c>
      <c r="D1479" s="35">
        <v>67</v>
      </c>
      <c r="E1479" s="35">
        <v>64</v>
      </c>
      <c r="F1479" s="33">
        <v>66.5</v>
      </c>
      <c r="G1479" s="29">
        <v>0</v>
      </c>
      <c r="H1479" s="29">
        <v>-0.5</v>
      </c>
      <c r="I1479" s="35">
        <v>66</v>
      </c>
      <c r="J1479" s="34">
        <v>112800</v>
      </c>
      <c r="K1479" s="34">
        <v>7348450</v>
      </c>
    </row>
    <row r="1480" spans="1:11" hidden="1">
      <c r="A1480" s="29" t="s">
        <v>138</v>
      </c>
      <c r="B1480" s="32">
        <v>40070</v>
      </c>
      <c r="C1480" s="29">
        <v>67.5</v>
      </c>
      <c r="D1480" s="35">
        <v>67.5</v>
      </c>
      <c r="E1480" s="35">
        <v>64</v>
      </c>
      <c r="F1480" s="33">
        <v>64.25</v>
      </c>
      <c r="G1480" s="29">
        <v>0</v>
      </c>
      <c r="H1480" s="29">
        <v>2.25</v>
      </c>
      <c r="I1480" s="35">
        <v>66.5</v>
      </c>
      <c r="J1480" s="34">
        <v>213800</v>
      </c>
      <c r="K1480" s="34">
        <v>14232775</v>
      </c>
    </row>
    <row r="1481" spans="1:11" hidden="1">
      <c r="A1481" s="29" t="s">
        <v>138</v>
      </c>
      <c r="B1481" s="32">
        <v>40071</v>
      </c>
      <c r="C1481" s="29">
        <v>64</v>
      </c>
      <c r="D1481" s="35">
        <v>64.25</v>
      </c>
      <c r="E1481" s="35">
        <v>62</v>
      </c>
      <c r="F1481" s="33">
        <v>64</v>
      </c>
      <c r="G1481" s="29">
        <v>0</v>
      </c>
      <c r="H1481" s="29">
        <v>0.25</v>
      </c>
      <c r="I1481" s="35">
        <v>64.25</v>
      </c>
      <c r="J1481" s="34">
        <v>72400</v>
      </c>
      <c r="K1481" s="34">
        <v>4582625</v>
      </c>
    </row>
    <row r="1482" spans="1:11" hidden="1">
      <c r="A1482" s="29" t="s">
        <v>138</v>
      </c>
      <c r="B1482" s="32">
        <v>40072</v>
      </c>
      <c r="C1482" s="29">
        <v>64</v>
      </c>
      <c r="D1482" s="35">
        <v>66.5</v>
      </c>
      <c r="E1482" s="35">
        <v>63.25</v>
      </c>
      <c r="F1482" s="33">
        <v>65</v>
      </c>
      <c r="G1482" s="29">
        <v>0</v>
      </c>
      <c r="H1482" s="29">
        <v>-1</v>
      </c>
      <c r="I1482" s="35">
        <v>64</v>
      </c>
      <c r="J1482" s="34">
        <v>127400</v>
      </c>
      <c r="K1482" s="34">
        <v>8254550</v>
      </c>
    </row>
    <row r="1483" spans="1:11" hidden="1">
      <c r="A1483" s="29" t="s">
        <v>138</v>
      </c>
      <c r="B1483" s="32">
        <v>40073</v>
      </c>
      <c r="C1483" s="29">
        <v>66</v>
      </c>
      <c r="D1483" s="35">
        <v>70</v>
      </c>
      <c r="E1483" s="35">
        <v>65.5</v>
      </c>
      <c r="F1483" s="33">
        <v>69</v>
      </c>
      <c r="G1483" s="29">
        <v>0</v>
      </c>
      <c r="H1483" s="29">
        <v>-4</v>
      </c>
      <c r="I1483" s="35">
        <v>65</v>
      </c>
      <c r="J1483" s="34">
        <v>487400</v>
      </c>
      <c r="K1483" s="34">
        <v>33318925</v>
      </c>
    </row>
    <row r="1484" spans="1:11" hidden="1">
      <c r="A1484" s="29" t="s">
        <v>138</v>
      </c>
      <c r="B1484" s="32">
        <v>40074</v>
      </c>
      <c r="C1484" s="29">
        <v>69.5</v>
      </c>
      <c r="D1484" s="35">
        <v>69.5</v>
      </c>
      <c r="E1484" s="35">
        <v>67</v>
      </c>
      <c r="F1484" s="33">
        <v>67.75</v>
      </c>
      <c r="G1484" s="29">
        <v>0</v>
      </c>
      <c r="H1484" s="29">
        <v>1.25</v>
      </c>
      <c r="I1484" s="35">
        <v>69</v>
      </c>
      <c r="J1484" s="34">
        <v>68500</v>
      </c>
      <c r="K1484" s="34">
        <v>4645175</v>
      </c>
    </row>
    <row r="1485" spans="1:11" hidden="1">
      <c r="A1485" s="29" t="s">
        <v>138</v>
      </c>
      <c r="B1485" s="32">
        <v>40078</v>
      </c>
      <c r="C1485" s="29">
        <v>67.5</v>
      </c>
      <c r="D1485" s="35">
        <v>68.5</v>
      </c>
      <c r="E1485" s="35">
        <v>67.5</v>
      </c>
      <c r="F1485" s="33">
        <v>68</v>
      </c>
      <c r="G1485" s="29">
        <v>0</v>
      </c>
      <c r="H1485" s="29">
        <v>-0.25</v>
      </c>
      <c r="I1485" s="35">
        <v>67.75</v>
      </c>
      <c r="J1485" s="34">
        <v>45100</v>
      </c>
      <c r="K1485" s="34">
        <v>3071825</v>
      </c>
    </row>
    <row r="1486" spans="1:11" hidden="1">
      <c r="A1486" s="29" t="s">
        <v>138</v>
      </c>
      <c r="B1486" s="32">
        <v>40079</v>
      </c>
      <c r="C1486" s="29">
        <v>68</v>
      </c>
      <c r="D1486" s="35">
        <v>68.25</v>
      </c>
      <c r="E1486" s="35">
        <v>67.5</v>
      </c>
      <c r="F1486" s="33">
        <v>67.75</v>
      </c>
      <c r="G1486" s="29">
        <v>0</v>
      </c>
      <c r="H1486" s="29">
        <v>0.25</v>
      </c>
      <c r="I1486" s="35">
        <v>68</v>
      </c>
      <c r="J1486" s="34">
        <v>91800</v>
      </c>
      <c r="K1486" s="34">
        <v>6242975</v>
      </c>
    </row>
    <row r="1487" spans="1:11" hidden="1">
      <c r="A1487" s="29" t="s">
        <v>138</v>
      </c>
      <c r="B1487" s="32">
        <v>40080</v>
      </c>
      <c r="C1487" s="29">
        <v>67.25</v>
      </c>
      <c r="D1487" s="35">
        <v>67.25</v>
      </c>
      <c r="E1487" s="35">
        <v>65</v>
      </c>
      <c r="F1487" s="33">
        <v>66.5</v>
      </c>
      <c r="G1487" s="29">
        <v>0</v>
      </c>
      <c r="H1487" s="29">
        <v>1.25</v>
      </c>
      <c r="I1487" s="35">
        <v>67.75</v>
      </c>
      <c r="J1487" s="34">
        <v>13400</v>
      </c>
      <c r="K1487" s="34">
        <v>884775</v>
      </c>
    </row>
    <row r="1488" spans="1:11" hidden="1">
      <c r="A1488" s="29" t="s">
        <v>138</v>
      </c>
      <c r="B1488" s="32">
        <v>40081</v>
      </c>
      <c r="C1488" s="29">
        <v>67</v>
      </c>
      <c r="D1488" s="35">
        <v>67.5</v>
      </c>
      <c r="E1488" s="35">
        <v>67</v>
      </c>
      <c r="F1488" s="33">
        <v>67</v>
      </c>
      <c r="G1488" s="29">
        <v>0</v>
      </c>
      <c r="H1488" s="29">
        <v>-0.5</v>
      </c>
      <c r="I1488" s="35">
        <v>66.5</v>
      </c>
      <c r="J1488" s="34">
        <v>25300</v>
      </c>
      <c r="K1488" s="34">
        <v>1697475</v>
      </c>
    </row>
    <row r="1489" spans="1:11" hidden="1">
      <c r="A1489" s="29" t="s">
        <v>138</v>
      </c>
      <c r="B1489" s="32">
        <v>40084</v>
      </c>
      <c r="C1489" s="29">
        <v>67</v>
      </c>
      <c r="D1489" s="35">
        <v>67.75</v>
      </c>
      <c r="E1489" s="35">
        <v>66.25</v>
      </c>
      <c r="F1489" s="33">
        <v>67</v>
      </c>
      <c r="G1489" s="29">
        <v>0</v>
      </c>
      <c r="H1489" s="29">
        <v>0</v>
      </c>
      <c r="I1489" s="35">
        <v>67</v>
      </c>
      <c r="J1489" s="34">
        <v>11600</v>
      </c>
      <c r="K1489" s="34">
        <v>778325</v>
      </c>
    </row>
    <row r="1490" spans="1:11" hidden="1">
      <c r="A1490" s="29" t="s">
        <v>138</v>
      </c>
      <c r="B1490" s="32">
        <v>40085</v>
      </c>
      <c r="C1490" s="29">
        <v>66.25</v>
      </c>
      <c r="D1490" s="35">
        <v>67.25</v>
      </c>
      <c r="E1490" s="35">
        <v>66.25</v>
      </c>
      <c r="F1490" s="33">
        <v>67</v>
      </c>
      <c r="G1490" s="29">
        <v>0</v>
      </c>
      <c r="H1490" s="29">
        <v>0</v>
      </c>
      <c r="I1490" s="35">
        <v>67</v>
      </c>
      <c r="J1490" s="34">
        <v>174700</v>
      </c>
      <c r="K1490" s="34">
        <v>11653475</v>
      </c>
    </row>
    <row r="1491" spans="1:11" hidden="1">
      <c r="A1491" s="29" t="s">
        <v>138</v>
      </c>
      <c r="B1491" s="32">
        <v>40086</v>
      </c>
      <c r="C1491" s="29">
        <v>66.75</v>
      </c>
      <c r="D1491" s="35">
        <v>67</v>
      </c>
      <c r="E1491" s="35">
        <v>66</v>
      </c>
      <c r="F1491" s="33">
        <v>66.25</v>
      </c>
      <c r="G1491" s="29">
        <v>0</v>
      </c>
      <c r="H1491" s="29">
        <v>0.75</v>
      </c>
      <c r="I1491" s="35">
        <v>67</v>
      </c>
      <c r="J1491" s="34">
        <v>32600</v>
      </c>
      <c r="K1491" s="34">
        <v>2159425</v>
      </c>
    </row>
    <row r="1492" spans="1:11" hidden="1">
      <c r="A1492" s="29" t="s">
        <v>138</v>
      </c>
      <c r="B1492" s="32">
        <v>40088</v>
      </c>
      <c r="C1492" s="29">
        <v>68.25</v>
      </c>
      <c r="D1492" s="35">
        <v>68.75</v>
      </c>
      <c r="E1492" s="35">
        <v>68</v>
      </c>
      <c r="F1492" s="33">
        <v>68.25</v>
      </c>
      <c r="G1492" s="29">
        <v>-0.37</v>
      </c>
      <c r="H1492" s="29">
        <v>-0.25</v>
      </c>
      <c r="I1492" s="35">
        <v>68.25</v>
      </c>
      <c r="J1492" s="34">
        <v>50900</v>
      </c>
      <c r="K1492" s="34">
        <v>3467625</v>
      </c>
    </row>
    <row r="1493" spans="1:11" hidden="1">
      <c r="A1493" s="29" t="s">
        <v>138</v>
      </c>
      <c r="B1493" s="32">
        <v>40091</v>
      </c>
      <c r="C1493" s="29">
        <v>68.5</v>
      </c>
      <c r="D1493" s="35">
        <v>76</v>
      </c>
      <c r="E1493" s="35">
        <v>68.5</v>
      </c>
      <c r="F1493" s="33">
        <v>76</v>
      </c>
      <c r="G1493" s="29">
        <v>9.56</v>
      </c>
      <c r="H1493" s="29">
        <v>6.5</v>
      </c>
      <c r="I1493" s="35">
        <v>68</v>
      </c>
      <c r="J1493" s="34">
        <v>967500</v>
      </c>
      <c r="K1493" s="34">
        <v>69262800</v>
      </c>
    </row>
    <row r="1494" spans="1:11" hidden="1">
      <c r="A1494" s="29" t="s">
        <v>138</v>
      </c>
      <c r="B1494" s="32">
        <v>40092</v>
      </c>
      <c r="C1494" s="29">
        <v>77</v>
      </c>
      <c r="D1494" s="35">
        <v>82</v>
      </c>
      <c r="E1494" s="35">
        <v>76</v>
      </c>
      <c r="F1494" s="33">
        <v>80.75</v>
      </c>
      <c r="G1494" s="29">
        <v>9.0299999999999994</v>
      </c>
      <c r="H1494" s="29">
        <v>6.75</v>
      </c>
      <c r="I1494" s="35">
        <v>74.75</v>
      </c>
      <c r="J1494" s="34">
        <v>1080300</v>
      </c>
      <c r="K1494" s="34">
        <v>85241225</v>
      </c>
    </row>
    <row r="1495" spans="1:11" hidden="1">
      <c r="A1495" s="29" t="s">
        <v>138</v>
      </c>
      <c r="B1495" s="32">
        <v>40093</v>
      </c>
      <c r="C1495" s="29">
        <v>82</v>
      </c>
      <c r="D1495" s="35">
        <v>82.25</v>
      </c>
      <c r="E1495" s="35">
        <v>78</v>
      </c>
      <c r="F1495" s="33">
        <v>79</v>
      </c>
      <c r="G1495" s="29">
        <v>-2.76</v>
      </c>
      <c r="H1495" s="29">
        <v>-2.25</v>
      </c>
      <c r="I1495" s="35">
        <v>81.5</v>
      </c>
      <c r="J1495" s="34">
        <v>283800</v>
      </c>
      <c r="K1495" s="34">
        <v>22592900</v>
      </c>
    </row>
    <row r="1496" spans="1:11" hidden="1">
      <c r="A1496" s="29" t="s">
        <v>138</v>
      </c>
      <c r="B1496" s="32">
        <v>40094</v>
      </c>
      <c r="C1496" s="29">
        <v>79</v>
      </c>
      <c r="D1496" s="35">
        <v>81</v>
      </c>
      <c r="E1496" s="35">
        <v>78.5</v>
      </c>
      <c r="F1496" s="33">
        <v>79</v>
      </c>
      <c r="G1496" s="29">
        <v>-0.32</v>
      </c>
      <c r="H1496" s="29">
        <v>-0.25</v>
      </c>
      <c r="I1496" s="35">
        <v>79.25</v>
      </c>
      <c r="J1496" s="34">
        <v>158800</v>
      </c>
      <c r="K1496" s="34">
        <v>12655000</v>
      </c>
    </row>
    <row r="1497" spans="1:11" hidden="1">
      <c r="A1497" s="29" t="s">
        <v>138</v>
      </c>
      <c r="B1497" s="32">
        <v>40095</v>
      </c>
      <c r="C1497" s="29">
        <v>82</v>
      </c>
      <c r="D1497" s="35">
        <v>82</v>
      </c>
      <c r="E1497" s="35">
        <v>78.5</v>
      </c>
      <c r="F1497" s="33">
        <v>80</v>
      </c>
      <c r="G1497" s="29">
        <v>1.27</v>
      </c>
      <c r="H1497" s="29">
        <v>1</v>
      </c>
      <c r="I1497" s="35">
        <v>79</v>
      </c>
      <c r="J1497" s="34">
        <v>210700</v>
      </c>
      <c r="K1497" s="34">
        <v>16825250</v>
      </c>
    </row>
    <row r="1498" spans="1:11" hidden="1">
      <c r="A1498" s="29" t="s">
        <v>138</v>
      </c>
      <c r="B1498" s="32">
        <v>40098</v>
      </c>
      <c r="C1498" s="29">
        <v>80.25</v>
      </c>
      <c r="D1498" s="35">
        <v>81</v>
      </c>
      <c r="E1498" s="35">
        <v>78</v>
      </c>
      <c r="F1498" s="33">
        <v>78</v>
      </c>
      <c r="G1498" s="29">
        <v>-1.88</v>
      </c>
      <c r="H1498" s="29">
        <v>-1.5</v>
      </c>
      <c r="I1498" s="35">
        <v>80</v>
      </c>
      <c r="J1498" s="34">
        <v>97800</v>
      </c>
      <c r="K1498" s="34">
        <v>7726975</v>
      </c>
    </row>
    <row r="1499" spans="1:11" hidden="1">
      <c r="A1499" s="29" t="s">
        <v>138</v>
      </c>
      <c r="B1499" s="32">
        <v>40099</v>
      </c>
      <c r="C1499" s="29">
        <v>79.5</v>
      </c>
      <c r="D1499" s="35">
        <v>80.5</v>
      </c>
      <c r="E1499" s="35">
        <v>78</v>
      </c>
      <c r="F1499" s="33">
        <v>78.5</v>
      </c>
      <c r="G1499" s="29">
        <v>0.32</v>
      </c>
      <c r="H1499" s="29">
        <v>0.25</v>
      </c>
      <c r="I1499" s="35">
        <v>78.5</v>
      </c>
      <c r="J1499" s="34">
        <v>184100</v>
      </c>
      <c r="K1499" s="34">
        <v>14603200</v>
      </c>
    </row>
    <row r="1500" spans="1:11" hidden="1">
      <c r="A1500" s="29" t="s">
        <v>138</v>
      </c>
      <c r="B1500" s="32">
        <v>40100</v>
      </c>
      <c r="C1500" s="29">
        <v>79.75</v>
      </c>
      <c r="D1500" s="35">
        <v>79.75</v>
      </c>
      <c r="E1500" s="35">
        <v>77.5</v>
      </c>
      <c r="F1500" s="33">
        <v>77.5</v>
      </c>
      <c r="G1500" s="29">
        <v>-1.27</v>
      </c>
      <c r="H1500" s="29">
        <v>-1</v>
      </c>
      <c r="I1500" s="35">
        <v>78.75</v>
      </c>
      <c r="J1500" s="34">
        <v>79300</v>
      </c>
      <c r="K1500" s="34">
        <v>6207450</v>
      </c>
    </row>
    <row r="1501" spans="1:11" hidden="1">
      <c r="A1501" s="29" t="s">
        <v>138</v>
      </c>
      <c r="B1501" s="32">
        <v>40101</v>
      </c>
      <c r="C1501" s="29">
        <v>77.5</v>
      </c>
      <c r="D1501" s="35">
        <v>78</v>
      </c>
      <c r="E1501" s="35">
        <v>75.25</v>
      </c>
      <c r="F1501" s="33">
        <v>78</v>
      </c>
      <c r="G1501" s="29">
        <v>-0.32</v>
      </c>
      <c r="H1501" s="29">
        <v>-0.25</v>
      </c>
      <c r="I1501" s="35">
        <v>77.75</v>
      </c>
      <c r="J1501" s="34">
        <v>39000</v>
      </c>
      <c r="K1501" s="34">
        <v>2987650</v>
      </c>
    </row>
    <row r="1502" spans="1:11" hidden="1">
      <c r="A1502" s="29" t="s">
        <v>138</v>
      </c>
      <c r="B1502" s="32">
        <v>40102</v>
      </c>
      <c r="C1502" s="29">
        <v>78.5</v>
      </c>
      <c r="D1502" s="35">
        <v>78.5</v>
      </c>
      <c r="E1502" s="35">
        <v>77</v>
      </c>
      <c r="F1502" s="33">
        <v>77.25</v>
      </c>
      <c r="G1502" s="29">
        <v>-0.32</v>
      </c>
      <c r="H1502" s="29">
        <v>-0.25</v>
      </c>
      <c r="I1502" s="35">
        <v>77.5</v>
      </c>
      <c r="J1502" s="34">
        <v>17200</v>
      </c>
      <c r="K1502" s="34">
        <v>1329575</v>
      </c>
    </row>
    <row r="1503" spans="1:11" hidden="1">
      <c r="A1503" s="29" t="s">
        <v>138</v>
      </c>
      <c r="B1503" s="32">
        <v>40105</v>
      </c>
      <c r="C1503" s="29">
        <v>76.75</v>
      </c>
      <c r="D1503" s="35">
        <v>76.75</v>
      </c>
      <c r="E1503" s="35">
        <v>73</v>
      </c>
      <c r="F1503" s="33">
        <v>75.5</v>
      </c>
      <c r="G1503" s="29">
        <v>-1.62</v>
      </c>
      <c r="H1503" s="29">
        <v>-1.25</v>
      </c>
      <c r="I1503" s="35">
        <v>77</v>
      </c>
      <c r="J1503" s="34">
        <v>168600</v>
      </c>
      <c r="K1503" s="34">
        <v>12606625</v>
      </c>
    </row>
    <row r="1504" spans="1:11" hidden="1">
      <c r="A1504" s="29" t="s">
        <v>138</v>
      </c>
      <c r="B1504" s="32">
        <v>40106</v>
      </c>
      <c r="C1504" s="29">
        <v>75.25</v>
      </c>
      <c r="D1504" s="35">
        <v>75.25</v>
      </c>
      <c r="E1504" s="35">
        <v>71.25</v>
      </c>
      <c r="F1504" s="33">
        <v>71.25</v>
      </c>
      <c r="G1504" s="29">
        <v>-4.95</v>
      </c>
      <c r="H1504" s="29">
        <v>-3.75</v>
      </c>
      <c r="I1504" s="35">
        <v>75.75</v>
      </c>
      <c r="J1504" s="34">
        <v>201600</v>
      </c>
      <c r="K1504" s="34">
        <v>14721400</v>
      </c>
    </row>
    <row r="1505" spans="1:11" hidden="1">
      <c r="A1505" s="29" t="s">
        <v>138</v>
      </c>
      <c r="B1505" s="32">
        <v>40107</v>
      </c>
      <c r="C1505" s="29">
        <v>71</v>
      </c>
      <c r="D1505" s="35">
        <v>78</v>
      </c>
      <c r="E1505" s="35">
        <v>67</v>
      </c>
      <c r="F1505" s="33">
        <v>74</v>
      </c>
      <c r="G1505" s="29">
        <v>2.4300000000000002</v>
      </c>
      <c r="H1505" s="29">
        <v>1.75</v>
      </c>
      <c r="I1505" s="35">
        <v>72</v>
      </c>
      <c r="J1505" s="34">
        <v>286600</v>
      </c>
      <c r="K1505" s="34">
        <v>20529100</v>
      </c>
    </row>
    <row r="1506" spans="1:11" hidden="1">
      <c r="A1506" s="29" t="s">
        <v>138</v>
      </c>
      <c r="B1506" s="32">
        <v>40108</v>
      </c>
      <c r="C1506" s="29">
        <v>74</v>
      </c>
      <c r="D1506" s="35">
        <v>74</v>
      </c>
      <c r="E1506" s="35">
        <v>71.5</v>
      </c>
      <c r="F1506" s="33">
        <v>72</v>
      </c>
      <c r="G1506" s="29">
        <v>-2.36</v>
      </c>
      <c r="H1506" s="29">
        <v>-1.75</v>
      </c>
      <c r="I1506" s="35">
        <v>74</v>
      </c>
      <c r="J1506" s="34">
        <v>97200</v>
      </c>
      <c r="K1506" s="34">
        <v>7052350</v>
      </c>
    </row>
    <row r="1507" spans="1:11" hidden="1">
      <c r="A1507" s="29" t="s">
        <v>138</v>
      </c>
      <c r="B1507" s="32">
        <v>40109</v>
      </c>
      <c r="C1507" s="29">
        <v>73.25</v>
      </c>
      <c r="D1507" s="35">
        <v>75.25</v>
      </c>
      <c r="E1507" s="35">
        <v>73</v>
      </c>
      <c r="F1507" s="33">
        <v>74.5</v>
      </c>
      <c r="G1507" s="29">
        <v>3.81</v>
      </c>
      <c r="H1507" s="29">
        <v>2.75</v>
      </c>
      <c r="I1507" s="35">
        <v>72.25</v>
      </c>
      <c r="J1507" s="34">
        <v>87900</v>
      </c>
      <c r="K1507" s="34">
        <v>6569175</v>
      </c>
    </row>
    <row r="1508" spans="1:11" hidden="1">
      <c r="A1508" s="29" t="s">
        <v>138</v>
      </c>
      <c r="B1508" s="32">
        <v>40112</v>
      </c>
      <c r="C1508" s="29">
        <v>75.5</v>
      </c>
      <c r="D1508" s="35">
        <v>76.5</v>
      </c>
      <c r="E1508" s="35">
        <v>74.75</v>
      </c>
      <c r="F1508" s="33">
        <v>74.75</v>
      </c>
      <c r="G1508" s="29">
        <v>-0.33</v>
      </c>
      <c r="H1508" s="29">
        <v>-0.25</v>
      </c>
      <c r="I1508" s="35">
        <v>75</v>
      </c>
      <c r="J1508" s="34">
        <v>200000</v>
      </c>
      <c r="K1508" s="34">
        <v>15151825</v>
      </c>
    </row>
    <row r="1509" spans="1:11" hidden="1">
      <c r="A1509" s="29" t="s">
        <v>138</v>
      </c>
      <c r="B1509" s="32">
        <v>40113</v>
      </c>
      <c r="C1509" s="29">
        <v>74.75</v>
      </c>
      <c r="D1509" s="35">
        <v>75</v>
      </c>
      <c r="E1509" s="35">
        <v>71.75</v>
      </c>
      <c r="F1509" s="33">
        <v>73</v>
      </c>
      <c r="G1509" s="29">
        <v>-4.01</v>
      </c>
      <c r="H1509" s="29">
        <v>-3</v>
      </c>
      <c r="I1509" s="35">
        <v>74.75</v>
      </c>
      <c r="J1509" s="34">
        <v>69300</v>
      </c>
      <c r="K1509" s="34">
        <v>4991550</v>
      </c>
    </row>
    <row r="1510" spans="1:11" hidden="1">
      <c r="A1510" s="29" t="s">
        <v>138</v>
      </c>
      <c r="B1510" s="32">
        <v>40114</v>
      </c>
      <c r="C1510" s="29">
        <v>73</v>
      </c>
      <c r="D1510" s="35">
        <v>74.5</v>
      </c>
      <c r="E1510" s="35">
        <v>73</v>
      </c>
      <c r="F1510" s="33">
        <v>73.5</v>
      </c>
      <c r="G1510" s="29">
        <v>2.09</v>
      </c>
      <c r="H1510" s="29">
        <v>1.5</v>
      </c>
      <c r="I1510" s="35">
        <v>71.75</v>
      </c>
      <c r="J1510" s="34">
        <v>47700</v>
      </c>
      <c r="K1510" s="34">
        <v>3502125</v>
      </c>
    </row>
    <row r="1511" spans="1:11" hidden="1">
      <c r="A1511" s="29" t="s">
        <v>138</v>
      </c>
      <c r="B1511" s="32">
        <v>40115</v>
      </c>
      <c r="C1511" s="29">
        <v>73</v>
      </c>
      <c r="D1511" s="35">
        <v>73</v>
      </c>
      <c r="E1511" s="35">
        <v>72.75</v>
      </c>
      <c r="F1511" s="33">
        <v>73</v>
      </c>
      <c r="G1511" s="29">
        <v>-0.68</v>
      </c>
      <c r="H1511" s="29">
        <v>-0.5</v>
      </c>
      <c r="I1511" s="35">
        <v>73.25</v>
      </c>
      <c r="J1511" s="34">
        <v>20200</v>
      </c>
      <c r="K1511" s="34">
        <v>1472125</v>
      </c>
    </row>
    <row r="1512" spans="1:11" hidden="1">
      <c r="A1512" s="29" t="s">
        <v>138</v>
      </c>
      <c r="B1512" s="32">
        <v>40116</v>
      </c>
      <c r="C1512" s="29">
        <v>72.75</v>
      </c>
      <c r="D1512" s="35">
        <v>73.5</v>
      </c>
      <c r="E1512" s="35">
        <v>72</v>
      </c>
      <c r="F1512" s="33">
        <v>72.5</v>
      </c>
      <c r="G1512" s="29">
        <v>0.34</v>
      </c>
      <c r="H1512" s="29">
        <v>0.25</v>
      </c>
      <c r="I1512" s="35">
        <v>72.75</v>
      </c>
      <c r="J1512" s="34">
        <v>62000</v>
      </c>
      <c r="K1512" s="34">
        <v>4503775</v>
      </c>
    </row>
    <row r="1513" spans="1:11" hidden="1">
      <c r="A1513" s="29" t="s">
        <v>138</v>
      </c>
      <c r="B1513" s="32">
        <v>40120</v>
      </c>
      <c r="C1513" s="29">
        <v>74</v>
      </c>
      <c r="D1513" s="35">
        <v>74</v>
      </c>
      <c r="E1513" s="35">
        <v>71.25</v>
      </c>
      <c r="F1513" s="33">
        <v>71.25</v>
      </c>
      <c r="G1513" s="29">
        <v>-1.71</v>
      </c>
      <c r="H1513" s="29">
        <v>-1.25</v>
      </c>
      <c r="I1513" s="35">
        <v>73</v>
      </c>
      <c r="J1513" s="34">
        <v>106400</v>
      </c>
      <c r="K1513" s="34">
        <v>7656750</v>
      </c>
    </row>
    <row r="1514" spans="1:11" hidden="1">
      <c r="A1514" s="29" t="s">
        <v>138</v>
      </c>
      <c r="B1514" s="32">
        <v>40121</v>
      </c>
      <c r="C1514" s="29">
        <v>71.5</v>
      </c>
      <c r="D1514" s="35">
        <v>71.5</v>
      </c>
      <c r="E1514" s="35">
        <v>68</v>
      </c>
      <c r="F1514" s="33">
        <v>69.25</v>
      </c>
      <c r="G1514" s="29">
        <v>-3.48</v>
      </c>
      <c r="H1514" s="29">
        <v>-2.5</v>
      </c>
      <c r="I1514" s="35">
        <v>71.75</v>
      </c>
      <c r="J1514" s="34">
        <v>344500</v>
      </c>
      <c r="K1514" s="34">
        <v>23617775</v>
      </c>
    </row>
    <row r="1515" spans="1:11" hidden="1">
      <c r="A1515" s="29" t="s">
        <v>138</v>
      </c>
      <c r="B1515" s="32">
        <v>40122</v>
      </c>
      <c r="C1515" s="29">
        <v>69.25</v>
      </c>
      <c r="D1515" s="35">
        <v>69.5</v>
      </c>
      <c r="E1515" s="35">
        <v>67.5</v>
      </c>
      <c r="F1515" s="33">
        <v>67.5</v>
      </c>
      <c r="G1515" s="29">
        <v>-2.17</v>
      </c>
      <c r="H1515" s="29">
        <v>-1.5</v>
      </c>
      <c r="I1515" s="35">
        <v>69.25</v>
      </c>
      <c r="J1515" s="34">
        <v>117600</v>
      </c>
      <c r="K1515" s="34">
        <v>7999550</v>
      </c>
    </row>
    <row r="1516" spans="1:11" hidden="1">
      <c r="A1516" s="29" t="s">
        <v>138</v>
      </c>
      <c r="B1516" s="32">
        <v>40123</v>
      </c>
      <c r="C1516" s="29">
        <v>68</v>
      </c>
      <c r="D1516" s="35">
        <v>71</v>
      </c>
      <c r="E1516" s="35">
        <v>68</v>
      </c>
      <c r="F1516" s="33">
        <v>70</v>
      </c>
      <c r="G1516" s="29">
        <v>3.32</v>
      </c>
      <c r="H1516" s="29">
        <v>2.25</v>
      </c>
      <c r="I1516" s="35">
        <v>67.75</v>
      </c>
      <c r="J1516" s="34">
        <v>56000</v>
      </c>
      <c r="K1516" s="34">
        <v>3892950</v>
      </c>
    </row>
    <row r="1517" spans="1:11" hidden="1">
      <c r="A1517" s="29" t="s">
        <v>138</v>
      </c>
      <c r="B1517" s="32">
        <v>40126</v>
      </c>
      <c r="C1517" s="29">
        <v>70</v>
      </c>
      <c r="D1517" s="35">
        <v>70</v>
      </c>
      <c r="E1517" s="35">
        <v>68</v>
      </c>
      <c r="F1517" s="33">
        <v>68.25</v>
      </c>
      <c r="G1517" s="29">
        <v>-2.86</v>
      </c>
      <c r="H1517" s="29">
        <v>-2</v>
      </c>
      <c r="I1517" s="35">
        <v>70</v>
      </c>
      <c r="J1517" s="34">
        <v>68100</v>
      </c>
      <c r="K1517" s="34">
        <v>4685200</v>
      </c>
    </row>
    <row r="1518" spans="1:11" hidden="1">
      <c r="A1518" s="29" t="s">
        <v>138</v>
      </c>
      <c r="B1518" s="32">
        <v>40127</v>
      </c>
      <c r="C1518" s="29">
        <v>68.75</v>
      </c>
      <c r="D1518" s="35">
        <v>68.75</v>
      </c>
      <c r="E1518" s="35">
        <v>65.75</v>
      </c>
      <c r="F1518" s="33">
        <v>66</v>
      </c>
      <c r="G1518" s="29">
        <v>-2.94</v>
      </c>
      <c r="H1518" s="29">
        <v>-2</v>
      </c>
      <c r="I1518" s="35">
        <v>68</v>
      </c>
      <c r="J1518" s="34">
        <v>51500</v>
      </c>
      <c r="K1518" s="34">
        <v>3451275</v>
      </c>
    </row>
    <row r="1519" spans="1:11" hidden="1">
      <c r="A1519" s="29" t="s">
        <v>138</v>
      </c>
      <c r="B1519" s="32">
        <v>40128</v>
      </c>
      <c r="C1519" s="29">
        <v>66</v>
      </c>
      <c r="D1519" s="35">
        <v>67</v>
      </c>
      <c r="E1519" s="35">
        <v>66</v>
      </c>
      <c r="F1519" s="33">
        <v>67</v>
      </c>
      <c r="G1519" s="29">
        <v>1.52</v>
      </c>
      <c r="H1519" s="29">
        <v>1</v>
      </c>
      <c r="I1519" s="35">
        <v>66</v>
      </c>
      <c r="J1519" s="34">
        <v>27400</v>
      </c>
      <c r="K1519" s="34">
        <v>1824350</v>
      </c>
    </row>
    <row r="1520" spans="1:11" hidden="1">
      <c r="A1520" s="29" t="s">
        <v>138</v>
      </c>
      <c r="B1520" s="32">
        <v>40129</v>
      </c>
      <c r="C1520" s="29">
        <v>67</v>
      </c>
      <c r="D1520" s="35">
        <v>69</v>
      </c>
      <c r="E1520" s="35">
        <v>67</v>
      </c>
      <c r="F1520" s="33">
        <v>68.75</v>
      </c>
      <c r="G1520" s="29">
        <v>2.2400000000000002</v>
      </c>
      <c r="H1520" s="29">
        <v>1.5</v>
      </c>
      <c r="I1520" s="35">
        <v>67</v>
      </c>
      <c r="J1520" s="34">
        <v>9100</v>
      </c>
      <c r="K1520" s="34">
        <v>622050</v>
      </c>
    </row>
    <row r="1521" spans="1:11" hidden="1">
      <c r="A1521" s="29" t="s">
        <v>138</v>
      </c>
      <c r="B1521" s="32">
        <v>40130</v>
      </c>
      <c r="C1521" s="29">
        <v>68.5</v>
      </c>
      <c r="D1521" s="35">
        <v>72</v>
      </c>
      <c r="E1521" s="35">
        <v>68.5</v>
      </c>
      <c r="F1521" s="33">
        <v>72</v>
      </c>
      <c r="G1521" s="29">
        <v>4.38</v>
      </c>
      <c r="H1521" s="29">
        <v>3</v>
      </c>
      <c r="I1521" s="35">
        <v>68.5</v>
      </c>
      <c r="J1521" s="34">
        <v>66000</v>
      </c>
      <c r="K1521" s="34">
        <v>4661900</v>
      </c>
    </row>
    <row r="1522" spans="1:11" hidden="1">
      <c r="A1522" s="29" t="s">
        <v>138</v>
      </c>
      <c r="B1522" s="32">
        <v>40133</v>
      </c>
      <c r="C1522" s="29">
        <v>69.25</v>
      </c>
      <c r="D1522" s="35">
        <v>71.75</v>
      </c>
      <c r="E1522" s="35">
        <v>69.25</v>
      </c>
      <c r="F1522" s="33">
        <v>70</v>
      </c>
      <c r="G1522" s="29">
        <v>-2.1</v>
      </c>
      <c r="H1522" s="29">
        <v>-1.5</v>
      </c>
      <c r="I1522" s="35">
        <v>71.5</v>
      </c>
      <c r="J1522" s="34">
        <v>16700</v>
      </c>
      <c r="K1522" s="34">
        <v>1162400</v>
      </c>
    </row>
    <row r="1523" spans="1:11" hidden="1">
      <c r="A1523" s="29" t="s">
        <v>138</v>
      </c>
      <c r="B1523" s="32">
        <v>40134</v>
      </c>
      <c r="C1523" s="29">
        <v>70</v>
      </c>
      <c r="D1523" s="35">
        <v>71.75</v>
      </c>
      <c r="E1523" s="35">
        <v>70</v>
      </c>
      <c r="F1523" s="33">
        <v>70</v>
      </c>
      <c r="G1523" s="29">
        <v>0</v>
      </c>
      <c r="H1523" s="29">
        <v>0</v>
      </c>
      <c r="I1523" s="35">
        <v>70</v>
      </c>
      <c r="J1523" s="34">
        <v>40600</v>
      </c>
      <c r="K1523" s="34">
        <v>2842975</v>
      </c>
    </row>
    <row r="1524" spans="1:11" hidden="1">
      <c r="A1524" s="29" t="s">
        <v>138</v>
      </c>
      <c r="B1524" s="32">
        <v>40135</v>
      </c>
      <c r="C1524" s="29">
        <v>69.75</v>
      </c>
      <c r="D1524" s="35">
        <v>71</v>
      </c>
      <c r="E1524" s="35">
        <v>69.5</v>
      </c>
      <c r="F1524" s="33">
        <v>70.5</v>
      </c>
      <c r="G1524" s="29">
        <v>0.71</v>
      </c>
      <c r="H1524" s="29">
        <v>0.5</v>
      </c>
      <c r="I1524" s="35">
        <v>70</v>
      </c>
      <c r="J1524" s="34">
        <v>53500</v>
      </c>
      <c r="K1524" s="34">
        <v>3751800</v>
      </c>
    </row>
    <row r="1525" spans="1:11" hidden="1">
      <c r="A1525" s="29" t="s">
        <v>138</v>
      </c>
      <c r="B1525" s="32">
        <v>40136</v>
      </c>
      <c r="C1525" s="29">
        <v>69</v>
      </c>
      <c r="D1525" s="35">
        <v>70</v>
      </c>
      <c r="E1525" s="35">
        <v>69</v>
      </c>
      <c r="F1525" s="33">
        <v>69.75</v>
      </c>
      <c r="G1525" s="29">
        <v>-1.06</v>
      </c>
      <c r="H1525" s="29">
        <v>-0.75</v>
      </c>
      <c r="I1525" s="35">
        <v>70.5</v>
      </c>
      <c r="J1525" s="34">
        <v>14900</v>
      </c>
      <c r="K1525" s="34">
        <v>1033400</v>
      </c>
    </row>
    <row r="1526" spans="1:11" hidden="1">
      <c r="A1526" s="29" t="s">
        <v>138</v>
      </c>
      <c r="B1526" s="32">
        <v>40137</v>
      </c>
      <c r="C1526" s="29">
        <v>69.75</v>
      </c>
      <c r="D1526" s="35">
        <v>69.75</v>
      </c>
      <c r="E1526" s="35">
        <v>68.5</v>
      </c>
      <c r="F1526" s="33">
        <v>69</v>
      </c>
      <c r="G1526" s="29">
        <v>-1.08</v>
      </c>
      <c r="H1526" s="29">
        <v>-0.75</v>
      </c>
      <c r="I1526" s="35">
        <v>69.75</v>
      </c>
      <c r="J1526" s="34">
        <v>17200</v>
      </c>
      <c r="K1526" s="34">
        <v>1187125</v>
      </c>
    </row>
    <row r="1527" spans="1:11" hidden="1">
      <c r="A1527" s="29" t="s">
        <v>138</v>
      </c>
      <c r="B1527" s="32">
        <v>40140</v>
      </c>
      <c r="C1527" s="29">
        <v>70</v>
      </c>
      <c r="D1527" s="35">
        <v>70</v>
      </c>
      <c r="E1527" s="35">
        <v>68.5</v>
      </c>
      <c r="F1527" s="33">
        <v>68.75</v>
      </c>
      <c r="G1527" s="29">
        <v>-0.36</v>
      </c>
      <c r="H1527" s="29">
        <v>-0.25</v>
      </c>
      <c r="I1527" s="35">
        <v>69</v>
      </c>
      <c r="J1527" s="34">
        <v>64300</v>
      </c>
      <c r="K1527" s="34">
        <v>4407350</v>
      </c>
    </row>
    <row r="1528" spans="1:11" hidden="1">
      <c r="A1528" s="29" t="s">
        <v>138</v>
      </c>
      <c r="B1528" s="32">
        <v>40141</v>
      </c>
      <c r="C1528" s="29">
        <v>68.75</v>
      </c>
      <c r="D1528" s="35">
        <v>68.75</v>
      </c>
      <c r="E1528" s="35">
        <v>66</v>
      </c>
      <c r="F1528" s="33">
        <v>66.25</v>
      </c>
      <c r="G1528" s="29">
        <v>-3.64</v>
      </c>
      <c r="H1528" s="29">
        <v>-2.5</v>
      </c>
      <c r="I1528" s="35">
        <v>68.75</v>
      </c>
      <c r="J1528" s="34">
        <v>95200</v>
      </c>
      <c r="K1528" s="34">
        <v>6423575</v>
      </c>
    </row>
    <row r="1529" spans="1:11" hidden="1">
      <c r="A1529" s="29" t="s">
        <v>138</v>
      </c>
      <c r="B1529" s="32">
        <v>40142</v>
      </c>
      <c r="C1529" s="29">
        <v>66</v>
      </c>
      <c r="D1529" s="35">
        <v>66.5</v>
      </c>
      <c r="E1529" s="35">
        <v>64</v>
      </c>
      <c r="F1529" s="33">
        <v>64.75</v>
      </c>
      <c r="G1529" s="29">
        <v>-2.2599999999999998</v>
      </c>
      <c r="H1529" s="29">
        <v>-1.5</v>
      </c>
      <c r="I1529" s="35">
        <v>66.25</v>
      </c>
      <c r="J1529" s="34">
        <v>33700</v>
      </c>
      <c r="K1529" s="34">
        <v>2213325</v>
      </c>
    </row>
    <row r="1530" spans="1:11" hidden="1">
      <c r="A1530" s="29" t="s">
        <v>138</v>
      </c>
      <c r="B1530" s="32">
        <v>40143</v>
      </c>
      <c r="C1530" s="29">
        <v>65</v>
      </c>
      <c r="D1530" s="35">
        <v>66</v>
      </c>
      <c r="E1530" s="35">
        <v>65</v>
      </c>
      <c r="F1530" s="33">
        <v>66</v>
      </c>
      <c r="G1530" s="29">
        <v>1.93</v>
      </c>
      <c r="H1530" s="29">
        <v>1.25</v>
      </c>
      <c r="I1530" s="35">
        <v>64.75</v>
      </c>
      <c r="J1530" s="34">
        <v>7200</v>
      </c>
      <c r="K1530" s="34">
        <v>472600</v>
      </c>
    </row>
    <row r="1531" spans="1:11" hidden="1">
      <c r="A1531" s="29" t="s">
        <v>138</v>
      </c>
      <c r="B1531" s="32">
        <v>40144</v>
      </c>
      <c r="C1531" s="29">
        <v>66</v>
      </c>
      <c r="D1531" s="35">
        <v>67.5</v>
      </c>
      <c r="E1531" s="35">
        <v>66</v>
      </c>
      <c r="F1531" s="33">
        <v>67.25</v>
      </c>
      <c r="G1531" s="29">
        <v>1.89</v>
      </c>
      <c r="H1531" s="29">
        <v>1.25</v>
      </c>
      <c r="I1531" s="35">
        <v>66</v>
      </c>
      <c r="J1531" s="34">
        <v>11000</v>
      </c>
      <c r="K1531" s="34">
        <v>734900</v>
      </c>
    </row>
    <row r="1532" spans="1:11" hidden="1">
      <c r="A1532" s="29" t="s">
        <v>138</v>
      </c>
      <c r="B1532" s="32">
        <v>40147</v>
      </c>
      <c r="C1532" s="29">
        <v>67.5</v>
      </c>
      <c r="D1532" s="35">
        <v>67.75</v>
      </c>
      <c r="E1532" s="35">
        <v>67.5</v>
      </c>
      <c r="F1532" s="33">
        <v>67.5</v>
      </c>
      <c r="G1532" s="29">
        <v>0.37</v>
      </c>
      <c r="H1532" s="29">
        <v>0.25</v>
      </c>
      <c r="I1532" s="35">
        <v>67.25</v>
      </c>
      <c r="J1532" s="34">
        <v>1700</v>
      </c>
      <c r="K1532" s="34">
        <v>114875</v>
      </c>
    </row>
    <row r="1533" spans="1:11" hidden="1">
      <c r="A1533" s="29" t="s">
        <v>138</v>
      </c>
      <c r="B1533" s="32">
        <v>40149</v>
      </c>
      <c r="C1533" s="29">
        <v>67.75</v>
      </c>
      <c r="D1533" s="35">
        <v>69.5</v>
      </c>
      <c r="E1533" s="35">
        <v>67.75</v>
      </c>
      <c r="F1533" s="33">
        <v>69</v>
      </c>
      <c r="G1533" s="29">
        <v>2.2200000000000002</v>
      </c>
      <c r="H1533" s="29">
        <v>1.5</v>
      </c>
      <c r="I1533" s="35">
        <v>67.5</v>
      </c>
      <c r="J1533" s="34">
        <v>21500</v>
      </c>
      <c r="K1533" s="34">
        <v>1479650</v>
      </c>
    </row>
    <row r="1534" spans="1:11" hidden="1">
      <c r="A1534" s="29" t="s">
        <v>138</v>
      </c>
      <c r="B1534" s="32">
        <v>40150</v>
      </c>
      <c r="C1534" s="29">
        <v>69.25</v>
      </c>
      <c r="D1534" s="35">
        <v>72</v>
      </c>
      <c r="E1534" s="35">
        <v>69.25</v>
      </c>
      <c r="F1534" s="33">
        <v>72</v>
      </c>
      <c r="G1534" s="29">
        <v>4.3499999999999996</v>
      </c>
      <c r="H1534" s="29">
        <v>3</v>
      </c>
      <c r="I1534" s="35">
        <v>69</v>
      </c>
      <c r="J1534" s="34">
        <v>62900</v>
      </c>
      <c r="K1534" s="34">
        <v>4464550</v>
      </c>
    </row>
    <row r="1535" spans="1:11" hidden="1">
      <c r="A1535" s="29" t="s">
        <v>138</v>
      </c>
      <c r="B1535" s="32">
        <v>40151</v>
      </c>
      <c r="C1535" s="29">
        <v>71</v>
      </c>
      <c r="D1535" s="35">
        <v>71</v>
      </c>
      <c r="E1535" s="35">
        <v>68</v>
      </c>
      <c r="F1535" s="33">
        <v>68.5</v>
      </c>
      <c r="G1535" s="29">
        <v>-4.8600000000000003</v>
      </c>
      <c r="H1535" s="29">
        <v>-3.5</v>
      </c>
      <c r="I1535" s="35">
        <v>72</v>
      </c>
      <c r="J1535" s="34">
        <v>13400</v>
      </c>
      <c r="K1535" s="34">
        <v>933550</v>
      </c>
    </row>
    <row r="1536" spans="1:11" hidden="1">
      <c r="A1536" s="29" t="s">
        <v>138</v>
      </c>
      <c r="B1536" s="32">
        <v>40154</v>
      </c>
      <c r="C1536" s="29">
        <v>68.75</v>
      </c>
      <c r="D1536" s="35">
        <v>71</v>
      </c>
      <c r="E1536" s="35">
        <v>68.75</v>
      </c>
      <c r="F1536" s="33">
        <v>70</v>
      </c>
      <c r="G1536" s="29">
        <v>2.19</v>
      </c>
      <c r="H1536" s="29">
        <v>1.5</v>
      </c>
      <c r="I1536" s="35">
        <v>68.5</v>
      </c>
      <c r="J1536" s="34">
        <v>7000</v>
      </c>
      <c r="K1536" s="34">
        <v>489975</v>
      </c>
    </row>
    <row r="1537" spans="1:11" hidden="1">
      <c r="A1537" s="29" t="s">
        <v>138</v>
      </c>
      <c r="B1537" s="32">
        <v>40155</v>
      </c>
      <c r="C1537" s="29">
        <v>70.5</v>
      </c>
      <c r="D1537" s="35">
        <v>72</v>
      </c>
      <c r="E1537" s="35">
        <v>70.5</v>
      </c>
      <c r="F1537" s="33">
        <v>71.75</v>
      </c>
      <c r="G1537" s="29">
        <v>2.5</v>
      </c>
      <c r="H1537" s="29">
        <v>1.75</v>
      </c>
      <c r="I1537" s="35">
        <v>70</v>
      </c>
      <c r="J1537" s="34">
        <v>17500</v>
      </c>
      <c r="K1537" s="34">
        <v>1255075</v>
      </c>
    </row>
    <row r="1538" spans="1:11" hidden="1">
      <c r="A1538" s="29" t="s">
        <v>138</v>
      </c>
      <c r="B1538" s="32">
        <v>40156</v>
      </c>
      <c r="C1538" s="29">
        <v>72</v>
      </c>
      <c r="D1538" s="35">
        <v>72.5</v>
      </c>
      <c r="E1538" s="35">
        <v>72</v>
      </c>
      <c r="F1538" s="33">
        <v>72</v>
      </c>
      <c r="G1538" s="29">
        <v>0.35</v>
      </c>
      <c r="H1538" s="29">
        <v>0.25</v>
      </c>
      <c r="I1538" s="35">
        <v>71.75</v>
      </c>
      <c r="J1538" s="34">
        <v>31500</v>
      </c>
      <c r="K1538" s="34">
        <v>2270450</v>
      </c>
    </row>
    <row r="1539" spans="1:11" hidden="1">
      <c r="A1539" s="29" t="s">
        <v>138</v>
      </c>
      <c r="B1539" s="32">
        <v>40157</v>
      </c>
      <c r="C1539" s="29">
        <v>72</v>
      </c>
      <c r="D1539" s="35">
        <v>72</v>
      </c>
      <c r="E1539" s="35">
        <v>71</v>
      </c>
      <c r="F1539" s="33">
        <v>71</v>
      </c>
      <c r="G1539" s="29">
        <v>-1.39</v>
      </c>
      <c r="H1539" s="29">
        <v>-1</v>
      </c>
      <c r="I1539" s="35">
        <v>72</v>
      </c>
      <c r="J1539" s="34">
        <v>5600</v>
      </c>
      <c r="K1539" s="34">
        <v>397700</v>
      </c>
    </row>
    <row r="1540" spans="1:11" hidden="1">
      <c r="A1540" s="29" t="s">
        <v>138</v>
      </c>
      <c r="B1540" s="32">
        <v>40158</v>
      </c>
      <c r="C1540" s="29">
        <v>71</v>
      </c>
      <c r="D1540" s="35">
        <v>71.25</v>
      </c>
      <c r="E1540" s="35">
        <v>70</v>
      </c>
      <c r="F1540" s="33">
        <v>70</v>
      </c>
      <c r="G1540" s="29">
        <v>-1.41</v>
      </c>
      <c r="H1540" s="29">
        <v>-1</v>
      </c>
      <c r="I1540" s="35">
        <v>71</v>
      </c>
      <c r="J1540" s="34">
        <v>22300</v>
      </c>
      <c r="K1540" s="34">
        <v>1566875</v>
      </c>
    </row>
    <row r="1541" spans="1:11" hidden="1">
      <c r="A1541" s="29" t="s">
        <v>138</v>
      </c>
      <c r="B1541" s="32">
        <v>40161</v>
      </c>
      <c r="C1541" s="29">
        <v>70</v>
      </c>
      <c r="D1541" s="35">
        <v>70.5</v>
      </c>
      <c r="E1541" s="35">
        <v>70</v>
      </c>
      <c r="F1541" s="33">
        <v>70</v>
      </c>
      <c r="G1541" s="29">
        <v>0</v>
      </c>
      <c r="H1541" s="29">
        <v>0</v>
      </c>
      <c r="I1541" s="35">
        <v>70</v>
      </c>
      <c r="J1541" s="34">
        <v>23300</v>
      </c>
      <c r="K1541" s="34">
        <v>1635275</v>
      </c>
    </row>
    <row r="1542" spans="1:11" hidden="1">
      <c r="A1542" s="29" t="s">
        <v>138</v>
      </c>
      <c r="B1542" s="32">
        <v>40162</v>
      </c>
      <c r="C1542" s="29">
        <v>70</v>
      </c>
      <c r="D1542" s="35">
        <v>71</v>
      </c>
      <c r="E1542" s="35">
        <v>70</v>
      </c>
      <c r="F1542" s="33">
        <v>71</v>
      </c>
      <c r="G1542" s="29">
        <v>1.43</v>
      </c>
      <c r="H1542" s="29">
        <v>1</v>
      </c>
      <c r="I1542" s="35">
        <v>70</v>
      </c>
      <c r="J1542" s="34">
        <v>31000</v>
      </c>
      <c r="K1542" s="34">
        <v>2198850</v>
      </c>
    </row>
    <row r="1543" spans="1:11" hidden="1">
      <c r="A1543" s="29" t="s">
        <v>138</v>
      </c>
      <c r="B1543" s="32">
        <v>40163</v>
      </c>
      <c r="C1543" s="29">
        <v>71.75</v>
      </c>
      <c r="D1543" s="35">
        <v>72</v>
      </c>
      <c r="E1543" s="35">
        <v>70.5</v>
      </c>
      <c r="F1543" s="33">
        <v>71.25</v>
      </c>
      <c r="G1543" s="29">
        <v>0.35</v>
      </c>
      <c r="H1543" s="29">
        <v>0.25</v>
      </c>
      <c r="I1543" s="35">
        <v>71</v>
      </c>
      <c r="J1543" s="34">
        <v>3300</v>
      </c>
      <c r="K1543" s="34">
        <v>236800</v>
      </c>
    </row>
    <row r="1544" spans="1:11" hidden="1">
      <c r="A1544" s="29" t="s">
        <v>138</v>
      </c>
      <c r="B1544" s="32">
        <v>40164</v>
      </c>
      <c r="C1544" s="29">
        <v>71.5</v>
      </c>
      <c r="D1544" s="35">
        <v>73</v>
      </c>
      <c r="E1544" s="35">
        <v>71.5</v>
      </c>
      <c r="F1544" s="33">
        <v>73</v>
      </c>
      <c r="G1544" s="29">
        <v>2.46</v>
      </c>
      <c r="H1544" s="29">
        <v>1.75</v>
      </c>
      <c r="I1544" s="35">
        <v>71.25</v>
      </c>
      <c r="J1544" s="34">
        <v>99600</v>
      </c>
      <c r="K1544" s="34">
        <v>7230875</v>
      </c>
    </row>
    <row r="1545" spans="1:11" hidden="1">
      <c r="A1545" s="29" t="s">
        <v>138</v>
      </c>
      <c r="B1545" s="32">
        <v>40165</v>
      </c>
      <c r="C1545" s="29">
        <v>73</v>
      </c>
      <c r="D1545" s="35">
        <v>75</v>
      </c>
      <c r="E1545" s="35">
        <v>72.5</v>
      </c>
      <c r="F1545" s="33">
        <v>75</v>
      </c>
      <c r="G1545" s="29">
        <v>2.74</v>
      </c>
      <c r="H1545" s="29">
        <v>2</v>
      </c>
      <c r="I1545" s="35">
        <v>73</v>
      </c>
      <c r="J1545" s="34">
        <v>153100</v>
      </c>
      <c r="K1545" s="34">
        <v>11383000</v>
      </c>
    </row>
    <row r="1546" spans="1:11" hidden="1">
      <c r="A1546" s="29" t="s">
        <v>138</v>
      </c>
      <c r="B1546" s="32">
        <v>40168</v>
      </c>
      <c r="C1546" s="29">
        <v>75</v>
      </c>
      <c r="D1546" s="35">
        <v>77.5</v>
      </c>
      <c r="E1546" s="35">
        <v>75</v>
      </c>
      <c r="F1546" s="33">
        <v>77</v>
      </c>
      <c r="G1546" s="29">
        <v>2.67</v>
      </c>
      <c r="H1546" s="29">
        <v>2</v>
      </c>
      <c r="I1546" s="35">
        <v>75</v>
      </c>
      <c r="J1546" s="34">
        <v>135400</v>
      </c>
      <c r="K1546" s="34">
        <v>10332000</v>
      </c>
    </row>
    <row r="1547" spans="1:11" hidden="1">
      <c r="A1547" s="29" t="s">
        <v>138</v>
      </c>
      <c r="B1547" s="32">
        <v>40169</v>
      </c>
      <c r="C1547" s="29">
        <v>77.75</v>
      </c>
      <c r="D1547" s="35">
        <v>79.5</v>
      </c>
      <c r="E1547" s="35">
        <v>77.75</v>
      </c>
      <c r="F1547" s="33">
        <v>78</v>
      </c>
      <c r="G1547" s="29">
        <v>1.3</v>
      </c>
      <c r="H1547" s="29">
        <v>1</v>
      </c>
      <c r="I1547" s="35">
        <v>77</v>
      </c>
      <c r="J1547" s="34">
        <v>192800</v>
      </c>
      <c r="K1547" s="34">
        <v>15196850</v>
      </c>
    </row>
    <row r="1548" spans="1:11" hidden="1">
      <c r="A1548" s="29" t="s">
        <v>138</v>
      </c>
      <c r="B1548" s="32">
        <v>40170</v>
      </c>
      <c r="C1548" s="29">
        <v>78</v>
      </c>
      <c r="D1548" s="35">
        <v>78</v>
      </c>
      <c r="E1548" s="35">
        <v>74.5</v>
      </c>
      <c r="F1548" s="33">
        <v>75.5</v>
      </c>
      <c r="G1548" s="29">
        <v>-3.21</v>
      </c>
      <c r="H1548" s="29">
        <v>-2.5</v>
      </c>
      <c r="I1548" s="35">
        <v>78</v>
      </c>
      <c r="J1548" s="34">
        <v>53400</v>
      </c>
      <c r="K1548" s="34">
        <v>4061275</v>
      </c>
    </row>
    <row r="1549" spans="1:11" hidden="1">
      <c r="A1549" s="29" t="s">
        <v>138</v>
      </c>
      <c r="B1549" s="32">
        <v>40171</v>
      </c>
      <c r="C1549" s="29">
        <v>75</v>
      </c>
      <c r="D1549" s="35">
        <v>75</v>
      </c>
      <c r="E1549" s="35">
        <v>73.5</v>
      </c>
      <c r="F1549" s="33">
        <v>74.75</v>
      </c>
      <c r="G1549" s="29">
        <v>-0.99</v>
      </c>
      <c r="H1549" s="29">
        <v>-0.75</v>
      </c>
      <c r="I1549" s="35">
        <v>75.5</v>
      </c>
      <c r="J1549" s="34">
        <v>33400</v>
      </c>
      <c r="K1549" s="34">
        <v>2484250</v>
      </c>
    </row>
    <row r="1550" spans="1:11" hidden="1">
      <c r="A1550" s="29" t="s">
        <v>138</v>
      </c>
      <c r="B1550" s="32">
        <v>40175</v>
      </c>
      <c r="C1550" s="29">
        <v>74</v>
      </c>
      <c r="D1550" s="35">
        <v>75.75</v>
      </c>
      <c r="E1550" s="35">
        <v>74</v>
      </c>
      <c r="F1550" s="33">
        <v>75</v>
      </c>
      <c r="G1550" s="29">
        <v>0.33</v>
      </c>
      <c r="H1550" s="29">
        <v>0.25</v>
      </c>
      <c r="I1550" s="35">
        <v>74.75</v>
      </c>
      <c r="J1550" s="34">
        <v>49600</v>
      </c>
      <c r="K1550" s="34">
        <v>3720900</v>
      </c>
    </row>
    <row r="1551" spans="1:11" hidden="1">
      <c r="A1551" s="29" t="s">
        <v>138</v>
      </c>
      <c r="B1551" s="32">
        <v>40176</v>
      </c>
      <c r="C1551" s="29">
        <v>75.5</v>
      </c>
      <c r="D1551" s="35">
        <v>78</v>
      </c>
      <c r="E1551" s="35">
        <v>75.5</v>
      </c>
      <c r="F1551" s="33">
        <v>77.5</v>
      </c>
      <c r="G1551" s="29">
        <v>3.33</v>
      </c>
      <c r="H1551" s="29">
        <v>2.5</v>
      </c>
      <c r="I1551" s="35">
        <v>75</v>
      </c>
      <c r="J1551" s="34">
        <v>137400</v>
      </c>
      <c r="K1551" s="34">
        <v>10650900</v>
      </c>
    </row>
    <row r="1552" spans="1:11" hidden="1">
      <c r="A1552" s="29" t="s">
        <v>138</v>
      </c>
      <c r="B1552" s="32">
        <v>40177</v>
      </c>
      <c r="C1552" s="29">
        <v>77.5</v>
      </c>
      <c r="D1552" s="35">
        <v>77.5</v>
      </c>
      <c r="E1552" s="35">
        <v>76.25</v>
      </c>
      <c r="F1552" s="33">
        <v>76.75</v>
      </c>
      <c r="G1552" s="29">
        <v>-0.97</v>
      </c>
      <c r="H1552" s="29">
        <v>-0.75</v>
      </c>
      <c r="I1552" s="35">
        <v>77.5</v>
      </c>
      <c r="J1552" s="34">
        <v>54600</v>
      </c>
      <c r="K1552" s="34">
        <v>4189225</v>
      </c>
    </row>
    <row r="1553" spans="1:11" hidden="1">
      <c r="A1553" s="29" t="s">
        <v>138</v>
      </c>
      <c r="B1553" s="32">
        <v>40182</v>
      </c>
      <c r="C1553" s="29">
        <v>77</v>
      </c>
      <c r="D1553" s="35">
        <v>81.5</v>
      </c>
      <c r="E1553" s="35">
        <v>77</v>
      </c>
      <c r="F1553" s="33">
        <v>81</v>
      </c>
      <c r="G1553" s="29">
        <v>5.54</v>
      </c>
      <c r="H1553" s="29">
        <v>4.25</v>
      </c>
      <c r="I1553" s="35">
        <v>76.75</v>
      </c>
      <c r="J1553" s="34">
        <v>596800</v>
      </c>
      <c r="K1553" s="34">
        <v>47628250</v>
      </c>
    </row>
    <row r="1554" spans="1:11" hidden="1">
      <c r="A1554" s="29" t="s">
        <v>138</v>
      </c>
      <c r="B1554" s="32">
        <v>40183</v>
      </c>
      <c r="C1554" s="29">
        <v>82</v>
      </c>
      <c r="D1554" s="35">
        <v>84.75</v>
      </c>
      <c r="E1554" s="35">
        <v>80.5</v>
      </c>
      <c r="F1554" s="33">
        <v>83.25</v>
      </c>
      <c r="G1554" s="29">
        <v>2.78</v>
      </c>
      <c r="H1554" s="29">
        <v>2.25</v>
      </c>
      <c r="I1554" s="35">
        <v>81</v>
      </c>
      <c r="J1554" s="34">
        <v>747300</v>
      </c>
      <c r="K1554" s="34">
        <v>62072250</v>
      </c>
    </row>
    <row r="1555" spans="1:11" hidden="1">
      <c r="A1555" s="29" t="s">
        <v>138</v>
      </c>
      <c r="B1555" s="32">
        <v>40184</v>
      </c>
      <c r="C1555" s="29">
        <v>83.5</v>
      </c>
      <c r="D1555" s="35">
        <v>83.75</v>
      </c>
      <c r="E1555" s="35">
        <v>80.5</v>
      </c>
      <c r="F1555" s="33">
        <v>81.25</v>
      </c>
      <c r="G1555" s="29">
        <v>-2.4</v>
      </c>
      <c r="H1555" s="29">
        <v>-2</v>
      </c>
      <c r="I1555" s="35">
        <v>83.25</v>
      </c>
      <c r="J1555" s="34">
        <v>85100</v>
      </c>
      <c r="K1555" s="34">
        <v>7009500</v>
      </c>
    </row>
    <row r="1556" spans="1:11" hidden="1">
      <c r="A1556" s="29" t="s">
        <v>138</v>
      </c>
      <c r="B1556" s="32">
        <v>40185</v>
      </c>
      <c r="C1556" s="29">
        <v>81</v>
      </c>
      <c r="D1556" s="35">
        <v>81</v>
      </c>
      <c r="E1556" s="35">
        <v>79</v>
      </c>
      <c r="F1556" s="33">
        <v>80</v>
      </c>
      <c r="G1556" s="29">
        <v>-1.54</v>
      </c>
      <c r="H1556" s="29">
        <v>-1.25</v>
      </c>
      <c r="I1556" s="35">
        <v>81.25</v>
      </c>
      <c r="J1556" s="34">
        <v>63100</v>
      </c>
      <c r="K1556" s="34">
        <v>5044775</v>
      </c>
    </row>
    <row r="1557" spans="1:11" hidden="1">
      <c r="A1557" s="29" t="s">
        <v>138</v>
      </c>
      <c r="B1557" s="32">
        <v>40186</v>
      </c>
      <c r="C1557" s="29">
        <v>80</v>
      </c>
      <c r="D1557" s="35">
        <v>80.5</v>
      </c>
      <c r="E1557" s="35">
        <v>79</v>
      </c>
      <c r="F1557" s="33">
        <v>79.75</v>
      </c>
      <c r="G1557" s="29">
        <v>-0.31</v>
      </c>
      <c r="H1557" s="29">
        <v>-0.25</v>
      </c>
      <c r="I1557" s="35">
        <v>80</v>
      </c>
      <c r="J1557" s="34">
        <v>50200</v>
      </c>
      <c r="K1557" s="34">
        <v>3994000</v>
      </c>
    </row>
    <row r="1558" spans="1:11" hidden="1">
      <c r="A1558" s="29" t="s">
        <v>138</v>
      </c>
      <c r="B1558" s="32">
        <v>40189</v>
      </c>
      <c r="C1558" s="29">
        <v>79</v>
      </c>
      <c r="D1558" s="35">
        <v>79.75</v>
      </c>
      <c r="E1558" s="35">
        <v>78.25</v>
      </c>
      <c r="F1558" s="33">
        <v>79</v>
      </c>
      <c r="G1558" s="29">
        <v>-0.94</v>
      </c>
      <c r="H1558" s="29">
        <v>-0.75</v>
      </c>
      <c r="I1558" s="35">
        <v>79.75</v>
      </c>
      <c r="J1558" s="34">
        <v>119700</v>
      </c>
      <c r="K1558" s="34">
        <v>9457625</v>
      </c>
    </row>
    <row r="1559" spans="1:11" hidden="1">
      <c r="A1559" s="29" t="s">
        <v>138</v>
      </c>
      <c r="B1559" s="32">
        <v>40190</v>
      </c>
      <c r="C1559" s="29">
        <v>79</v>
      </c>
      <c r="D1559" s="35">
        <v>80</v>
      </c>
      <c r="E1559" s="35">
        <v>78</v>
      </c>
      <c r="F1559" s="33">
        <v>79.25</v>
      </c>
      <c r="G1559" s="29">
        <v>0.32</v>
      </c>
      <c r="H1559" s="29">
        <v>0.25</v>
      </c>
      <c r="I1559" s="35">
        <v>79</v>
      </c>
      <c r="J1559" s="34">
        <v>176300</v>
      </c>
      <c r="K1559" s="34">
        <v>13903625</v>
      </c>
    </row>
    <row r="1560" spans="1:11" hidden="1">
      <c r="A1560" s="29" t="s">
        <v>138</v>
      </c>
      <c r="B1560" s="32">
        <v>40191</v>
      </c>
      <c r="C1560" s="29">
        <v>79</v>
      </c>
      <c r="D1560" s="35">
        <v>81.75</v>
      </c>
      <c r="E1560" s="35">
        <v>79</v>
      </c>
      <c r="F1560" s="33">
        <v>80.5</v>
      </c>
      <c r="G1560" s="29">
        <v>1.58</v>
      </c>
      <c r="H1560" s="29">
        <v>1.25</v>
      </c>
      <c r="I1560" s="35">
        <v>79.25</v>
      </c>
      <c r="J1560" s="34">
        <v>320600</v>
      </c>
      <c r="K1560" s="34">
        <v>25772300</v>
      </c>
    </row>
    <row r="1561" spans="1:11" hidden="1">
      <c r="A1561" s="29" t="s">
        <v>138</v>
      </c>
      <c r="B1561" s="32">
        <v>40193</v>
      </c>
      <c r="C1561" s="29">
        <v>80.25</v>
      </c>
      <c r="D1561" s="35">
        <v>83.5</v>
      </c>
      <c r="E1561" s="35">
        <v>80</v>
      </c>
      <c r="F1561" s="33">
        <v>82.75</v>
      </c>
      <c r="G1561" s="29">
        <v>2.8</v>
      </c>
      <c r="H1561" s="29">
        <v>2.25</v>
      </c>
      <c r="I1561" s="35">
        <v>80.5</v>
      </c>
      <c r="J1561" s="34">
        <v>390600</v>
      </c>
      <c r="K1561" s="34">
        <v>32306550</v>
      </c>
    </row>
    <row r="1562" spans="1:11" hidden="1">
      <c r="A1562" s="29" t="s">
        <v>138</v>
      </c>
      <c r="B1562" s="32">
        <v>40196</v>
      </c>
      <c r="C1562" s="29">
        <v>83.75</v>
      </c>
      <c r="D1562" s="35">
        <v>83.75</v>
      </c>
      <c r="E1562" s="35">
        <v>80.25</v>
      </c>
      <c r="F1562" s="33">
        <v>81.25</v>
      </c>
      <c r="G1562" s="29">
        <v>-1.81</v>
      </c>
      <c r="H1562" s="29">
        <v>-1.5</v>
      </c>
      <c r="I1562" s="35">
        <v>82.75</v>
      </c>
      <c r="J1562" s="34">
        <v>80400</v>
      </c>
      <c r="K1562" s="34">
        <v>6564375</v>
      </c>
    </row>
    <row r="1563" spans="1:11" hidden="1">
      <c r="A1563" s="29" t="s">
        <v>138</v>
      </c>
      <c r="B1563" s="32">
        <v>40197</v>
      </c>
      <c r="C1563" s="29">
        <v>81.25</v>
      </c>
      <c r="D1563" s="35">
        <v>81.25</v>
      </c>
      <c r="E1563" s="35">
        <v>79</v>
      </c>
      <c r="F1563" s="33">
        <v>79.25</v>
      </c>
      <c r="G1563" s="29">
        <v>-2.46</v>
      </c>
      <c r="H1563" s="29">
        <v>-2</v>
      </c>
      <c r="I1563" s="35">
        <v>81.25</v>
      </c>
      <c r="J1563" s="34">
        <v>58000</v>
      </c>
      <c r="K1563" s="34">
        <v>4600925</v>
      </c>
    </row>
    <row r="1564" spans="1:11" hidden="1">
      <c r="A1564" s="29" t="s">
        <v>138</v>
      </c>
      <c r="B1564" s="32">
        <v>40198</v>
      </c>
      <c r="C1564" s="29">
        <v>79</v>
      </c>
      <c r="D1564" s="35">
        <v>82.5</v>
      </c>
      <c r="E1564" s="35">
        <v>79</v>
      </c>
      <c r="F1564" s="33">
        <v>82.5</v>
      </c>
      <c r="G1564" s="29">
        <v>4.0999999999999996</v>
      </c>
      <c r="H1564" s="29">
        <v>3.25</v>
      </c>
      <c r="I1564" s="35">
        <v>79.25</v>
      </c>
      <c r="J1564" s="34">
        <v>129900</v>
      </c>
      <c r="K1564" s="34">
        <v>10634625</v>
      </c>
    </row>
    <row r="1565" spans="1:11" hidden="1">
      <c r="A1565" s="29" t="s">
        <v>138</v>
      </c>
      <c r="B1565" s="32">
        <v>40199</v>
      </c>
      <c r="C1565" s="29">
        <v>82.5</v>
      </c>
      <c r="D1565" s="35">
        <v>82.5</v>
      </c>
      <c r="E1565" s="35">
        <v>81</v>
      </c>
      <c r="F1565" s="33">
        <v>81.5</v>
      </c>
      <c r="G1565" s="29">
        <v>-1.21</v>
      </c>
      <c r="H1565" s="29">
        <v>-1</v>
      </c>
      <c r="I1565" s="35">
        <v>82.5</v>
      </c>
      <c r="J1565" s="34">
        <v>51100</v>
      </c>
      <c r="K1565" s="34">
        <v>4174525</v>
      </c>
    </row>
    <row r="1566" spans="1:11" hidden="1">
      <c r="A1566" s="29" t="s">
        <v>138</v>
      </c>
      <c r="B1566" s="32">
        <v>40200</v>
      </c>
      <c r="C1566" s="29">
        <v>81.5</v>
      </c>
      <c r="D1566" s="35">
        <v>81.5</v>
      </c>
      <c r="E1566" s="35">
        <v>80</v>
      </c>
      <c r="F1566" s="33">
        <v>80.5</v>
      </c>
      <c r="G1566" s="29">
        <v>-1.23</v>
      </c>
      <c r="H1566" s="29">
        <v>-1</v>
      </c>
      <c r="I1566" s="35">
        <v>81.5</v>
      </c>
      <c r="J1566" s="34">
        <v>35100</v>
      </c>
      <c r="K1566" s="34">
        <v>2829600</v>
      </c>
    </row>
    <row r="1567" spans="1:11" hidden="1">
      <c r="A1567" s="29" t="s">
        <v>138</v>
      </c>
      <c r="B1567" s="32">
        <v>40203</v>
      </c>
      <c r="C1567" s="29">
        <v>81</v>
      </c>
      <c r="D1567" s="35">
        <v>81.75</v>
      </c>
      <c r="E1567" s="35">
        <v>80</v>
      </c>
      <c r="F1567" s="33">
        <v>81</v>
      </c>
      <c r="G1567" s="29">
        <v>0.62</v>
      </c>
      <c r="H1567" s="29">
        <v>0.5</v>
      </c>
      <c r="I1567" s="35">
        <v>80.5</v>
      </c>
      <c r="J1567" s="34">
        <v>115100</v>
      </c>
      <c r="K1567" s="34">
        <v>9323750</v>
      </c>
    </row>
    <row r="1568" spans="1:11" hidden="1">
      <c r="A1568" s="29" t="s">
        <v>138</v>
      </c>
      <c r="B1568" s="32">
        <v>40204</v>
      </c>
      <c r="C1568" s="29">
        <v>81</v>
      </c>
      <c r="D1568" s="35">
        <v>81</v>
      </c>
      <c r="E1568" s="35">
        <v>80.5</v>
      </c>
      <c r="F1568" s="33">
        <v>81</v>
      </c>
      <c r="G1568" s="29">
        <v>0</v>
      </c>
      <c r="H1568" s="29">
        <v>0</v>
      </c>
      <c r="I1568" s="35">
        <v>81</v>
      </c>
      <c r="J1568" s="34">
        <v>13500</v>
      </c>
      <c r="K1568" s="34">
        <v>1093150</v>
      </c>
    </row>
    <row r="1569" spans="1:11" hidden="1">
      <c r="A1569" s="29" t="s">
        <v>138</v>
      </c>
      <c r="B1569" s="32">
        <v>40206</v>
      </c>
      <c r="C1569" s="29">
        <v>82</v>
      </c>
      <c r="D1569" s="35">
        <v>83</v>
      </c>
      <c r="E1569" s="35">
        <v>79</v>
      </c>
      <c r="F1569" s="33">
        <v>82.75</v>
      </c>
      <c r="G1569" s="29">
        <v>2.16</v>
      </c>
      <c r="H1569" s="29">
        <v>1.75</v>
      </c>
      <c r="I1569" s="35">
        <v>81</v>
      </c>
      <c r="J1569" s="34">
        <v>192100</v>
      </c>
      <c r="K1569" s="34">
        <v>15660650</v>
      </c>
    </row>
    <row r="1570" spans="1:11" hidden="1">
      <c r="A1570" s="29" t="s">
        <v>138</v>
      </c>
      <c r="B1570" s="32">
        <v>40210</v>
      </c>
      <c r="C1570" s="29">
        <v>83</v>
      </c>
      <c r="D1570" s="35">
        <v>83</v>
      </c>
      <c r="E1570" s="35">
        <v>81</v>
      </c>
      <c r="F1570" s="33">
        <v>81.75</v>
      </c>
      <c r="G1570" s="29">
        <v>-1.21</v>
      </c>
      <c r="H1570" s="29">
        <v>-1</v>
      </c>
      <c r="I1570" s="35">
        <v>82.75</v>
      </c>
      <c r="J1570" s="34">
        <v>139200</v>
      </c>
      <c r="K1570" s="34">
        <v>11437425</v>
      </c>
    </row>
    <row r="1571" spans="1:11" hidden="1">
      <c r="A1571" s="29" t="s">
        <v>138</v>
      </c>
      <c r="B1571" s="32">
        <v>40211</v>
      </c>
      <c r="C1571" s="29">
        <v>83</v>
      </c>
      <c r="D1571" s="35">
        <v>86.25</v>
      </c>
      <c r="E1571" s="35">
        <v>82.5</v>
      </c>
      <c r="F1571" s="33">
        <v>85</v>
      </c>
      <c r="G1571" s="29">
        <v>3.98</v>
      </c>
      <c r="H1571" s="29">
        <v>3.25</v>
      </c>
      <c r="I1571" s="35">
        <v>81.75</v>
      </c>
      <c r="J1571" s="34">
        <v>395200</v>
      </c>
      <c r="K1571" s="34">
        <v>33321575</v>
      </c>
    </row>
    <row r="1572" spans="1:11" hidden="1">
      <c r="A1572" s="29" t="s">
        <v>138</v>
      </c>
      <c r="B1572" s="32">
        <v>40212</v>
      </c>
      <c r="C1572" s="29">
        <v>85.25</v>
      </c>
      <c r="D1572" s="35">
        <v>85.75</v>
      </c>
      <c r="E1572" s="35">
        <v>83.5</v>
      </c>
      <c r="F1572" s="33">
        <v>84</v>
      </c>
      <c r="G1572" s="29">
        <v>-1.18</v>
      </c>
      <c r="H1572" s="29">
        <v>-1</v>
      </c>
      <c r="I1572" s="35">
        <v>85</v>
      </c>
      <c r="J1572" s="34">
        <v>74500</v>
      </c>
      <c r="K1572" s="34">
        <v>6302725</v>
      </c>
    </row>
    <row r="1573" spans="1:11" hidden="1">
      <c r="A1573" s="29" t="s">
        <v>138</v>
      </c>
      <c r="B1573" s="32">
        <v>40214</v>
      </c>
      <c r="C1573" s="29">
        <v>84</v>
      </c>
      <c r="D1573" s="35">
        <v>84</v>
      </c>
      <c r="E1573" s="35">
        <v>81</v>
      </c>
      <c r="F1573" s="33">
        <v>81.25</v>
      </c>
      <c r="G1573" s="29">
        <v>-3.27</v>
      </c>
      <c r="H1573" s="29">
        <v>-2.75</v>
      </c>
      <c r="I1573" s="35">
        <v>84</v>
      </c>
      <c r="J1573" s="34">
        <v>41500</v>
      </c>
      <c r="K1573" s="34">
        <v>3382700</v>
      </c>
    </row>
    <row r="1574" spans="1:11" hidden="1">
      <c r="A1574" s="29" t="s">
        <v>138</v>
      </c>
      <c r="B1574" s="32">
        <v>40217</v>
      </c>
      <c r="C1574" s="29">
        <v>82.5</v>
      </c>
      <c r="D1574" s="35">
        <v>85</v>
      </c>
      <c r="E1574" s="35">
        <v>82.5</v>
      </c>
      <c r="F1574" s="33">
        <v>83.5</v>
      </c>
      <c r="G1574" s="29">
        <v>2.77</v>
      </c>
      <c r="H1574" s="29">
        <v>2.25</v>
      </c>
      <c r="I1574" s="35">
        <v>81.25</v>
      </c>
      <c r="J1574" s="34">
        <v>53200</v>
      </c>
      <c r="K1574" s="34">
        <v>4472475</v>
      </c>
    </row>
    <row r="1575" spans="1:11" hidden="1">
      <c r="A1575" s="29" t="s">
        <v>138</v>
      </c>
      <c r="B1575" s="32">
        <v>40218</v>
      </c>
      <c r="C1575" s="29">
        <v>82.25</v>
      </c>
      <c r="D1575" s="35">
        <v>84</v>
      </c>
      <c r="E1575" s="35">
        <v>81</v>
      </c>
      <c r="F1575" s="33">
        <v>83</v>
      </c>
      <c r="G1575" s="29">
        <v>-0.6</v>
      </c>
      <c r="H1575" s="29">
        <v>-0.5</v>
      </c>
      <c r="I1575" s="35">
        <v>83.5</v>
      </c>
      <c r="J1575" s="34">
        <v>76900</v>
      </c>
      <c r="K1575" s="34">
        <v>6364400</v>
      </c>
    </row>
    <row r="1576" spans="1:11" hidden="1">
      <c r="A1576" s="29" t="s">
        <v>138</v>
      </c>
      <c r="B1576" s="32">
        <v>40219</v>
      </c>
      <c r="C1576" s="29">
        <v>83</v>
      </c>
      <c r="D1576" s="35">
        <v>83.5</v>
      </c>
      <c r="E1576" s="35">
        <v>83</v>
      </c>
      <c r="F1576" s="33">
        <v>83</v>
      </c>
      <c r="G1576" s="29">
        <v>0</v>
      </c>
      <c r="H1576" s="29">
        <v>0</v>
      </c>
      <c r="I1576" s="35">
        <v>83</v>
      </c>
      <c r="J1576" s="34">
        <v>106800</v>
      </c>
      <c r="K1576" s="34">
        <v>8868000</v>
      </c>
    </row>
    <row r="1577" spans="1:11" hidden="1">
      <c r="A1577" s="29" t="s">
        <v>138</v>
      </c>
      <c r="B1577" s="32">
        <v>40220</v>
      </c>
      <c r="C1577" s="29">
        <v>83</v>
      </c>
      <c r="D1577" s="35">
        <v>83</v>
      </c>
      <c r="E1577" s="35">
        <v>82.25</v>
      </c>
      <c r="F1577" s="33">
        <v>82.5</v>
      </c>
      <c r="G1577" s="29">
        <v>-0.6</v>
      </c>
      <c r="H1577" s="29">
        <v>-0.5</v>
      </c>
      <c r="I1577" s="35">
        <v>83</v>
      </c>
      <c r="J1577" s="34">
        <v>97800</v>
      </c>
      <c r="K1577" s="34">
        <v>8080975</v>
      </c>
    </row>
    <row r="1578" spans="1:11" hidden="1">
      <c r="A1578" s="29" t="s">
        <v>138</v>
      </c>
      <c r="B1578" s="32">
        <v>40221</v>
      </c>
      <c r="C1578" s="29">
        <v>83</v>
      </c>
      <c r="D1578" s="35">
        <v>83.5</v>
      </c>
      <c r="E1578" s="35">
        <v>81.5</v>
      </c>
      <c r="F1578" s="33">
        <v>83</v>
      </c>
      <c r="G1578" s="29">
        <v>0.61</v>
      </c>
      <c r="H1578" s="29">
        <v>0.5</v>
      </c>
      <c r="I1578" s="35">
        <v>82.5</v>
      </c>
      <c r="J1578" s="34">
        <v>28700</v>
      </c>
      <c r="K1578" s="34">
        <v>2364975</v>
      </c>
    </row>
    <row r="1579" spans="1:11" hidden="1">
      <c r="A1579" s="29" t="s">
        <v>138</v>
      </c>
      <c r="B1579" s="32">
        <v>40224</v>
      </c>
      <c r="C1579" s="29">
        <v>82.5</v>
      </c>
      <c r="D1579" s="35">
        <v>82.5</v>
      </c>
      <c r="E1579" s="35">
        <v>81.5</v>
      </c>
      <c r="F1579" s="33">
        <v>82</v>
      </c>
      <c r="G1579" s="29">
        <v>-1.2</v>
      </c>
      <c r="H1579" s="29">
        <v>-1</v>
      </c>
      <c r="I1579" s="35">
        <v>83</v>
      </c>
      <c r="J1579" s="34">
        <v>29300</v>
      </c>
      <c r="K1579" s="34">
        <v>2400225</v>
      </c>
    </row>
    <row r="1580" spans="1:11" hidden="1">
      <c r="A1580" s="29" t="s">
        <v>138</v>
      </c>
      <c r="B1580" s="32">
        <v>40225</v>
      </c>
      <c r="C1580" s="29">
        <v>81.5</v>
      </c>
      <c r="D1580" s="35">
        <v>81.5</v>
      </c>
      <c r="E1580" s="35">
        <v>79.25</v>
      </c>
      <c r="F1580" s="33">
        <v>79.25</v>
      </c>
      <c r="G1580" s="29">
        <v>-3.35</v>
      </c>
      <c r="H1580" s="29">
        <v>-2.75</v>
      </c>
      <c r="I1580" s="35">
        <v>82</v>
      </c>
      <c r="J1580" s="34">
        <v>70000</v>
      </c>
      <c r="K1580" s="34">
        <v>5604625</v>
      </c>
    </row>
    <row r="1581" spans="1:11" hidden="1">
      <c r="A1581" s="29" t="s">
        <v>138</v>
      </c>
      <c r="B1581" s="32">
        <v>40226</v>
      </c>
      <c r="C1581" s="29">
        <v>78</v>
      </c>
      <c r="D1581" s="35">
        <v>79.5</v>
      </c>
      <c r="E1581" s="35">
        <v>77</v>
      </c>
      <c r="F1581" s="33">
        <v>79</v>
      </c>
      <c r="G1581" s="29">
        <v>-0.32</v>
      </c>
      <c r="H1581" s="29">
        <v>-0.25</v>
      </c>
      <c r="I1581" s="35">
        <v>79.25</v>
      </c>
      <c r="J1581" s="34">
        <v>64600</v>
      </c>
      <c r="K1581" s="34">
        <v>5021825</v>
      </c>
    </row>
    <row r="1582" spans="1:11" hidden="1">
      <c r="A1582" s="29" t="s">
        <v>138</v>
      </c>
      <c r="B1582" s="32">
        <v>40227</v>
      </c>
      <c r="C1582" s="29">
        <v>78</v>
      </c>
      <c r="D1582" s="35">
        <v>79</v>
      </c>
      <c r="E1582" s="35">
        <v>78</v>
      </c>
      <c r="F1582" s="33">
        <v>79</v>
      </c>
      <c r="G1582" s="29">
        <v>0</v>
      </c>
      <c r="H1582" s="29">
        <v>0</v>
      </c>
      <c r="I1582" s="35">
        <v>79</v>
      </c>
      <c r="J1582" s="34">
        <v>12700</v>
      </c>
      <c r="K1582" s="34">
        <v>995650</v>
      </c>
    </row>
    <row r="1583" spans="1:11" hidden="1">
      <c r="A1583" s="29" t="s">
        <v>138</v>
      </c>
      <c r="B1583" s="32">
        <v>40228</v>
      </c>
      <c r="C1583" s="29">
        <v>79</v>
      </c>
      <c r="D1583" s="35">
        <v>79</v>
      </c>
      <c r="E1583" s="35">
        <v>78.25</v>
      </c>
      <c r="F1583" s="33">
        <v>78.75</v>
      </c>
      <c r="G1583" s="29">
        <v>-0.32</v>
      </c>
      <c r="H1583" s="29">
        <v>-0.25</v>
      </c>
      <c r="I1583" s="35">
        <v>79</v>
      </c>
      <c r="J1583" s="34">
        <v>20100</v>
      </c>
      <c r="K1583" s="34">
        <v>1584000</v>
      </c>
    </row>
    <row r="1584" spans="1:11" hidden="1">
      <c r="A1584" s="29" t="s">
        <v>138</v>
      </c>
      <c r="B1584" s="32">
        <v>40231</v>
      </c>
      <c r="C1584" s="29">
        <v>79.75</v>
      </c>
      <c r="D1584" s="35">
        <v>79.75</v>
      </c>
      <c r="E1584" s="35">
        <v>77.75</v>
      </c>
      <c r="F1584" s="33">
        <v>77.75</v>
      </c>
      <c r="G1584" s="29">
        <v>-1.27</v>
      </c>
      <c r="H1584" s="29">
        <v>-1</v>
      </c>
      <c r="I1584" s="35">
        <v>78.75</v>
      </c>
      <c r="J1584" s="34">
        <v>128000</v>
      </c>
      <c r="K1584" s="34">
        <v>9997075</v>
      </c>
    </row>
    <row r="1585" spans="1:11" hidden="1">
      <c r="A1585" s="29" t="s">
        <v>138</v>
      </c>
      <c r="B1585" s="32">
        <v>40232</v>
      </c>
      <c r="C1585" s="29">
        <v>78</v>
      </c>
      <c r="D1585" s="35">
        <v>78</v>
      </c>
      <c r="E1585" s="35">
        <v>77.5</v>
      </c>
      <c r="F1585" s="33">
        <v>77.75</v>
      </c>
      <c r="G1585" s="29">
        <v>0</v>
      </c>
      <c r="H1585" s="29">
        <v>0</v>
      </c>
      <c r="I1585" s="35">
        <v>77.75</v>
      </c>
      <c r="J1585" s="34">
        <v>23600</v>
      </c>
      <c r="K1585" s="34">
        <v>1832625</v>
      </c>
    </row>
    <row r="1586" spans="1:11" hidden="1">
      <c r="A1586" s="29" t="s">
        <v>138</v>
      </c>
      <c r="B1586" s="32">
        <v>40233</v>
      </c>
      <c r="C1586" s="29">
        <v>80</v>
      </c>
      <c r="D1586" s="35">
        <v>80</v>
      </c>
      <c r="E1586" s="35">
        <v>77.5</v>
      </c>
      <c r="F1586" s="33">
        <v>78</v>
      </c>
      <c r="G1586" s="29">
        <v>0.32</v>
      </c>
      <c r="H1586" s="29">
        <v>0.25</v>
      </c>
      <c r="I1586" s="35">
        <v>77.75</v>
      </c>
      <c r="J1586" s="34">
        <v>24800</v>
      </c>
      <c r="K1586" s="34">
        <v>1932450</v>
      </c>
    </row>
    <row r="1587" spans="1:11" hidden="1">
      <c r="A1587" s="29" t="s">
        <v>138</v>
      </c>
      <c r="B1587" s="32">
        <v>40234</v>
      </c>
      <c r="C1587" s="29">
        <v>77.75</v>
      </c>
      <c r="D1587" s="35">
        <v>78</v>
      </c>
      <c r="E1587" s="35">
        <v>77.25</v>
      </c>
      <c r="F1587" s="33">
        <v>77.5</v>
      </c>
      <c r="G1587" s="29">
        <v>-0.64</v>
      </c>
      <c r="H1587" s="29">
        <v>-0.5</v>
      </c>
      <c r="I1587" s="35">
        <v>78</v>
      </c>
      <c r="J1587" s="34">
        <v>15200</v>
      </c>
      <c r="K1587" s="34">
        <v>1178175</v>
      </c>
    </row>
    <row r="1588" spans="1:11" hidden="1">
      <c r="A1588" s="29" t="s">
        <v>138</v>
      </c>
      <c r="B1588" s="32">
        <v>40235</v>
      </c>
      <c r="C1588" s="29">
        <v>77</v>
      </c>
      <c r="D1588" s="35">
        <v>78</v>
      </c>
      <c r="E1588" s="35">
        <v>77</v>
      </c>
      <c r="F1588" s="33">
        <v>77.25</v>
      </c>
      <c r="G1588" s="29">
        <v>-0.32</v>
      </c>
      <c r="H1588" s="29">
        <v>-0.25</v>
      </c>
      <c r="I1588" s="35">
        <v>77.5</v>
      </c>
      <c r="J1588" s="34">
        <v>13800</v>
      </c>
      <c r="K1588" s="34">
        <v>1067150</v>
      </c>
    </row>
    <row r="1589" spans="1:11" hidden="1">
      <c r="A1589" s="29" t="s">
        <v>138</v>
      </c>
      <c r="B1589" s="32">
        <v>40238</v>
      </c>
      <c r="C1589" s="29">
        <v>78</v>
      </c>
      <c r="D1589" s="35">
        <v>80</v>
      </c>
      <c r="E1589" s="35">
        <v>78</v>
      </c>
      <c r="F1589" s="33">
        <v>79</v>
      </c>
      <c r="G1589" s="29">
        <v>2.27</v>
      </c>
      <c r="H1589" s="29">
        <v>1.75</v>
      </c>
      <c r="I1589" s="35">
        <v>77.25</v>
      </c>
      <c r="J1589" s="34">
        <v>328400</v>
      </c>
      <c r="K1589" s="34">
        <v>25840500</v>
      </c>
    </row>
    <row r="1590" spans="1:11" hidden="1">
      <c r="A1590" s="29" t="s">
        <v>138</v>
      </c>
      <c r="B1590" s="32">
        <v>40239</v>
      </c>
      <c r="C1590" s="29">
        <v>79</v>
      </c>
      <c r="D1590" s="35">
        <v>79</v>
      </c>
      <c r="E1590" s="35">
        <v>77</v>
      </c>
      <c r="F1590" s="33">
        <v>77.25</v>
      </c>
      <c r="G1590" s="29">
        <v>-2.2200000000000002</v>
      </c>
      <c r="H1590" s="29">
        <v>-1.75</v>
      </c>
      <c r="I1590" s="35">
        <v>79</v>
      </c>
      <c r="J1590" s="34">
        <v>89700</v>
      </c>
      <c r="K1590" s="34">
        <v>7008050</v>
      </c>
    </row>
    <row r="1591" spans="1:11" hidden="1">
      <c r="A1591" s="29" t="s">
        <v>138</v>
      </c>
      <c r="B1591" s="32">
        <v>40240</v>
      </c>
      <c r="C1591" s="29">
        <v>78</v>
      </c>
      <c r="D1591" s="35">
        <v>79</v>
      </c>
      <c r="E1591" s="35">
        <v>77.5</v>
      </c>
      <c r="F1591" s="33">
        <v>78</v>
      </c>
      <c r="G1591" s="29">
        <v>0.97</v>
      </c>
      <c r="H1591" s="29">
        <v>0.75</v>
      </c>
      <c r="I1591" s="35">
        <v>77.25</v>
      </c>
      <c r="J1591" s="34">
        <v>89500</v>
      </c>
      <c r="K1591" s="34">
        <v>6982075</v>
      </c>
    </row>
    <row r="1592" spans="1:11" hidden="1">
      <c r="A1592" s="29" t="s">
        <v>138</v>
      </c>
      <c r="B1592" s="32">
        <v>40241</v>
      </c>
      <c r="C1592" s="29">
        <v>77</v>
      </c>
      <c r="D1592" s="35">
        <v>78.5</v>
      </c>
      <c r="E1592" s="35">
        <v>77</v>
      </c>
      <c r="F1592" s="33">
        <v>78</v>
      </c>
      <c r="G1592" s="29">
        <v>0</v>
      </c>
      <c r="H1592" s="29">
        <v>0</v>
      </c>
      <c r="I1592" s="35">
        <v>78</v>
      </c>
      <c r="J1592" s="34">
        <v>73500</v>
      </c>
      <c r="K1592" s="34">
        <v>5730325</v>
      </c>
    </row>
    <row r="1593" spans="1:11" hidden="1">
      <c r="A1593" s="29" t="s">
        <v>138</v>
      </c>
      <c r="B1593" s="32">
        <v>40242</v>
      </c>
      <c r="C1593" s="29">
        <v>78</v>
      </c>
      <c r="D1593" s="35">
        <v>78.25</v>
      </c>
      <c r="E1593" s="35">
        <v>77.25</v>
      </c>
      <c r="F1593" s="33">
        <v>78</v>
      </c>
      <c r="G1593" s="29">
        <v>0</v>
      </c>
      <c r="H1593" s="29">
        <v>0</v>
      </c>
      <c r="I1593" s="35">
        <v>78</v>
      </c>
      <c r="J1593" s="34">
        <v>121500</v>
      </c>
      <c r="K1593" s="34">
        <v>9466625</v>
      </c>
    </row>
    <row r="1594" spans="1:11" hidden="1">
      <c r="A1594" s="29" t="s">
        <v>138</v>
      </c>
      <c r="B1594" s="32">
        <v>40245</v>
      </c>
      <c r="C1594" s="29">
        <v>78</v>
      </c>
      <c r="D1594" s="35">
        <v>78</v>
      </c>
      <c r="E1594" s="35">
        <v>77.25</v>
      </c>
      <c r="F1594" s="33">
        <v>77.25</v>
      </c>
      <c r="G1594" s="29">
        <v>-0.96</v>
      </c>
      <c r="H1594" s="29">
        <v>-0.75</v>
      </c>
      <c r="I1594" s="35">
        <v>78</v>
      </c>
      <c r="J1594" s="34">
        <v>7500</v>
      </c>
      <c r="K1594" s="34">
        <v>581875</v>
      </c>
    </row>
    <row r="1595" spans="1:11" hidden="1">
      <c r="A1595" s="29" t="s">
        <v>138</v>
      </c>
      <c r="B1595" s="32">
        <v>40246</v>
      </c>
      <c r="C1595" s="29">
        <v>78</v>
      </c>
      <c r="D1595" s="35">
        <v>78</v>
      </c>
      <c r="E1595" s="35">
        <v>77</v>
      </c>
      <c r="F1595" s="33">
        <v>77</v>
      </c>
      <c r="G1595" s="29">
        <v>-0.32</v>
      </c>
      <c r="H1595" s="29">
        <v>-0.25</v>
      </c>
      <c r="I1595" s="35">
        <v>77.25</v>
      </c>
      <c r="J1595" s="34">
        <v>8900</v>
      </c>
      <c r="K1595" s="34">
        <v>693675</v>
      </c>
    </row>
    <row r="1596" spans="1:11" hidden="1">
      <c r="A1596" s="29" t="s">
        <v>138</v>
      </c>
      <c r="B1596" s="32">
        <v>40247</v>
      </c>
      <c r="C1596" s="29">
        <v>77.25</v>
      </c>
      <c r="D1596" s="35">
        <v>78.25</v>
      </c>
      <c r="E1596" s="35">
        <v>77.25</v>
      </c>
      <c r="F1596" s="33">
        <v>78</v>
      </c>
      <c r="G1596" s="29">
        <v>1.3</v>
      </c>
      <c r="H1596" s="29">
        <v>1</v>
      </c>
      <c r="I1596" s="35">
        <v>77</v>
      </c>
      <c r="J1596" s="34">
        <v>81700</v>
      </c>
      <c r="K1596" s="34">
        <v>6372825</v>
      </c>
    </row>
    <row r="1597" spans="1:11" hidden="1">
      <c r="A1597" s="29" t="s">
        <v>138</v>
      </c>
      <c r="B1597" s="32">
        <v>40248</v>
      </c>
      <c r="C1597" s="29">
        <v>78.5</v>
      </c>
      <c r="D1597" s="35">
        <v>78.5</v>
      </c>
      <c r="E1597" s="35">
        <v>78</v>
      </c>
      <c r="F1597" s="33">
        <v>78.5</v>
      </c>
      <c r="G1597" s="29">
        <v>0.64</v>
      </c>
      <c r="H1597" s="29">
        <v>0.5</v>
      </c>
      <c r="I1597" s="35">
        <v>78</v>
      </c>
      <c r="J1597" s="34">
        <v>40800</v>
      </c>
      <c r="K1597" s="34">
        <v>3198650</v>
      </c>
    </row>
    <row r="1598" spans="1:11" hidden="1">
      <c r="A1598" s="29" t="s">
        <v>138</v>
      </c>
      <c r="B1598" s="32">
        <v>40249</v>
      </c>
      <c r="C1598" s="29">
        <v>78</v>
      </c>
      <c r="D1598" s="35">
        <v>78.5</v>
      </c>
      <c r="E1598" s="35">
        <v>78</v>
      </c>
      <c r="F1598" s="33">
        <v>78.5</v>
      </c>
      <c r="G1598" s="29">
        <v>0</v>
      </c>
      <c r="H1598" s="29">
        <v>0</v>
      </c>
      <c r="I1598" s="35">
        <v>78.5</v>
      </c>
      <c r="J1598" s="34">
        <v>39000</v>
      </c>
      <c r="K1598" s="34">
        <v>3061050</v>
      </c>
    </row>
    <row r="1599" spans="1:11" hidden="1">
      <c r="A1599" s="29" t="s">
        <v>138</v>
      </c>
      <c r="B1599" s="32">
        <v>40252</v>
      </c>
      <c r="C1599" s="29">
        <v>78.25</v>
      </c>
      <c r="D1599" s="35">
        <v>79.5</v>
      </c>
      <c r="E1599" s="35">
        <v>78</v>
      </c>
      <c r="F1599" s="33">
        <v>78.5</v>
      </c>
      <c r="G1599" s="29">
        <v>0</v>
      </c>
      <c r="H1599" s="29">
        <v>0</v>
      </c>
      <c r="I1599" s="35">
        <v>78.5</v>
      </c>
      <c r="J1599" s="34">
        <v>87500</v>
      </c>
      <c r="K1599" s="34">
        <v>6848025</v>
      </c>
    </row>
    <row r="1600" spans="1:11" hidden="1">
      <c r="A1600" s="29" t="s">
        <v>138</v>
      </c>
      <c r="B1600" s="32">
        <v>40253</v>
      </c>
      <c r="C1600" s="29">
        <v>79</v>
      </c>
      <c r="D1600" s="35">
        <v>79</v>
      </c>
      <c r="E1600" s="35">
        <v>78</v>
      </c>
      <c r="F1600" s="33">
        <v>78</v>
      </c>
      <c r="G1600" s="29">
        <v>-0.64</v>
      </c>
      <c r="H1600" s="29">
        <v>-0.5</v>
      </c>
      <c r="I1600" s="35">
        <v>78.5</v>
      </c>
      <c r="J1600" s="34">
        <v>113800</v>
      </c>
      <c r="K1600" s="34">
        <v>8889300</v>
      </c>
    </row>
    <row r="1601" spans="1:11" hidden="1">
      <c r="A1601" s="29" t="s">
        <v>138</v>
      </c>
      <c r="B1601" s="32">
        <v>40254</v>
      </c>
      <c r="C1601" s="29">
        <v>78</v>
      </c>
      <c r="D1601" s="35">
        <v>79</v>
      </c>
      <c r="E1601" s="35">
        <v>77.5</v>
      </c>
      <c r="F1601" s="33">
        <v>78</v>
      </c>
      <c r="G1601" s="29">
        <v>0</v>
      </c>
      <c r="H1601" s="29">
        <v>0</v>
      </c>
      <c r="I1601" s="35">
        <v>78</v>
      </c>
      <c r="J1601" s="34">
        <v>92400</v>
      </c>
      <c r="K1601" s="34">
        <v>7210800</v>
      </c>
    </row>
    <row r="1602" spans="1:11" hidden="1">
      <c r="A1602" s="29" t="s">
        <v>138</v>
      </c>
      <c r="B1602" s="32">
        <v>40255</v>
      </c>
      <c r="C1602" s="29">
        <v>78.5</v>
      </c>
      <c r="D1602" s="35">
        <v>78.5</v>
      </c>
      <c r="E1602" s="35">
        <v>78</v>
      </c>
      <c r="F1602" s="33">
        <v>78.25</v>
      </c>
      <c r="G1602" s="29">
        <v>0.32</v>
      </c>
      <c r="H1602" s="29">
        <v>0.25</v>
      </c>
      <c r="I1602" s="35">
        <v>78</v>
      </c>
      <c r="J1602" s="34">
        <v>11800</v>
      </c>
      <c r="K1602" s="34">
        <v>921050</v>
      </c>
    </row>
    <row r="1603" spans="1:11" hidden="1">
      <c r="A1603" s="29" t="s">
        <v>138</v>
      </c>
      <c r="B1603" s="32">
        <v>40256</v>
      </c>
      <c r="C1603" s="29">
        <v>78</v>
      </c>
      <c r="D1603" s="35">
        <v>78</v>
      </c>
      <c r="E1603" s="35">
        <v>77.5</v>
      </c>
      <c r="F1603" s="33">
        <v>77.5</v>
      </c>
      <c r="G1603" s="29">
        <v>-0.96</v>
      </c>
      <c r="H1603" s="29">
        <v>-0.75</v>
      </c>
      <c r="I1603" s="35">
        <v>78.25</v>
      </c>
      <c r="J1603" s="34">
        <v>31200</v>
      </c>
      <c r="K1603" s="34">
        <v>2425600</v>
      </c>
    </row>
    <row r="1604" spans="1:11" hidden="1">
      <c r="A1604" s="29" t="s">
        <v>138</v>
      </c>
      <c r="B1604" s="32">
        <v>40259</v>
      </c>
      <c r="C1604" s="29">
        <v>77.5</v>
      </c>
      <c r="D1604" s="35">
        <v>77.75</v>
      </c>
      <c r="E1604" s="35">
        <v>77.25</v>
      </c>
      <c r="F1604" s="33">
        <v>77.5</v>
      </c>
      <c r="G1604" s="29">
        <v>0</v>
      </c>
      <c r="H1604" s="29">
        <v>0</v>
      </c>
      <c r="I1604" s="35">
        <v>77.5</v>
      </c>
      <c r="J1604" s="34">
        <v>17500</v>
      </c>
      <c r="K1604" s="34">
        <v>1356125</v>
      </c>
    </row>
    <row r="1605" spans="1:11" hidden="1">
      <c r="A1605" s="29" t="s">
        <v>138</v>
      </c>
      <c r="B1605" s="32">
        <v>40260</v>
      </c>
      <c r="C1605" s="29">
        <v>77.5</v>
      </c>
      <c r="D1605" s="35">
        <v>77.5</v>
      </c>
      <c r="E1605" s="35">
        <v>77</v>
      </c>
      <c r="F1605" s="33">
        <v>77</v>
      </c>
      <c r="G1605" s="29">
        <v>-0.65</v>
      </c>
      <c r="H1605" s="29">
        <v>-0.5</v>
      </c>
      <c r="I1605" s="35">
        <v>77.5</v>
      </c>
      <c r="J1605" s="34">
        <v>29600</v>
      </c>
      <c r="K1605" s="34">
        <v>2280000</v>
      </c>
    </row>
    <row r="1606" spans="1:11" hidden="1">
      <c r="A1606" s="29" t="s">
        <v>138</v>
      </c>
      <c r="B1606" s="32">
        <v>40261</v>
      </c>
      <c r="C1606" s="29">
        <v>76</v>
      </c>
      <c r="D1606" s="35">
        <v>76</v>
      </c>
      <c r="E1606" s="35">
        <v>75</v>
      </c>
      <c r="F1606" s="33">
        <v>75.5</v>
      </c>
      <c r="G1606" s="29">
        <v>-1.95</v>
      </c>
      <c r="H1606" s="29">
        <v>-1.5</v>
      </c>
      <c r="I1606" s="35">
        <v>77</v>
      </c>
      <c r="J1606" s="34">
        <v>21800</v>
      </c>
      <c r="K1606" s="34">
        <v>1637275</v>
      </c>
    </row>
    <row r="1607" spans="1:11" hidden="1">
      <c r="A1607" s="29" t="s">
        <v>138</v>
      </c>
      <c r="B1607" s="32">
        <v>40262</v>
      </c>
      <c r="C1607" s="29">
        <v>75.5</v>
      </c>
      <c r="D1607" s="35">
        <v>76</v>
      </c>
      <c r="E1607" s="35">
        <v>75</v>
      </c>
      <c r="F1607" s="33">
        <v>76</v>
      </c>
      <c r="G1607" s="29">
        <v>0.66</v>
      </c>
      <c r="H1607" s="29">
        <v>0.5</v>
      </c>
      <c r="I1607" s="35">
        <v>75.5</v>
      </c>
      <c r="J1607" s="34">
        <v>5400</v>
      </c>
      <c r="K1607" s="34">
        <v>408150</v>
      </c>
    </row>
    <row r="1608" spans="1:11" hidden="1">
      <c r="A1608" s="29" t="s">
        <v>138</v>
      </c>
      <c r="B1608" s="32">
        <v>40263</v>
      </c>
      <c r="C1608" s="29">
        <v>76.25</v>
      </c>
      <c r="D1608" s="35">
        <v>76.25</v>
      </c>
      <c r="E1608" s="35">
        <v>75.75</v>
      </c>
      <c r="F1608" s="33">
        <v>76</v>
      </c>
      <c r="G1608" s="29">
        <v>0</v>
      </c>
      <c r="H1608" s="29">
        <v>0</v>
      </c>
      <c r="I1608" s="35">
        <v>76</v>
      </c>
      <c r="J1608" s="34">
        <v>12600</v>
      </c>
      <c r="K1608" s="34">
        <v>957725</v>
      </c>
    </row>
    <row r="1609" spans="1:11" hidden="1">
      <c r="A1609" s="29" t="s">
        <v>138</v>
      </c>
      <c r="B1609" s="32">
        <v>40267</v>
      </c>
      <c r="C1609" s="29">
        <v>76</v>
      </c>
      <c r="D1609" s="35">
        <v>76</v>
      </c>
      <c r="E1609" s="35">
        <v>75.5</v>
      </c>
      <c r="F1609" s="33">
        <v>75.75</v>
      </c>
      <c r="G1609" s="29">
        <v>-0.33</v>
      </c>
      <c r="H1609" s="29">
        <v>-0.25</v>
      </c>
      <c r="I1609" s="35">
        <v>76</v>
      </c>
      <c r="J1609" s="34">
        <v>4900</v>
      </c>
      <c r="K1609" s="34">
        <v>371500</v>
      </c>
    </row>
    <row r="1610" spans="1:11" hidden="1">
      <c r="A1610" s="29" t="s">
        <v>138</v>
      </c>
      <c r="B1610" s="32">
        <v>40268</v>
      </c>
      <c r="C1610" s="29">
        <v>75.25</v>
      </c>
      <c r="D1610" s="35">
        <v>75.5</v>
      </c>
      <c r="E1610" s="35">
        <v>75</v>
      </c>
      <c r="F1610" s="33">
        <v>75</v>
      </c>
      <c r="G1610" s="29">
        <v>-0.99</v>
      </c>
      <c r="H1610" s="29">
        <v>-0.75</v>
      </c>
      <c r="I1610" s="35">
        <v>75.75</v>
      </c>
      <c r="J1610" s="34">
        <v>69500</v>
      </c>
      <c r="K1610" s="34">
        <v>5217325</v>
      </c>
    </row>
    <row r="1611" spans="1:11" hidden="1">
      <c r="A1611" s="29" t="s">
        <v>138</v>
      </c>
      <c r="B1611" s="32">
        <v>40269</v>
      </c>
      <c r="C1611" s="29">
        <v>75.75</v>
      </c>
      <c r="D1611" s="35">
        <v>75.75</v>
      </c>
      <c r="E1611" s="35">
        <v>75</v>
      </c>
      <c r="F1611" s="33">
        <v>75</v>
      </c>
      <c r="G1611" s="29">
        <v>0</v>
      </c>
      <c r="H1611" s="29">
        <v>0</v>
      </c>
      <c r="I1611" s="35">
        <v>75</v>
      </c>
      <c r="J1611" s="34">
        <v>62600</v>
      </c>
      <c r="K1611" s="34">
        <v>4702150</v>
      </c>
    </row>
    <row r="1612" spans="1:11" hidden="1">
      <c r="A1612" s="29" t="s">
        <v>138</v>
      </c>
      <c r="B1612" s="32">
        <v>40273</v>
      </c>
      <c r="C1612" s="29">
        <v>77.5</v>
      </c>
      <c r="D1612" s="35">
        <v>77.5</v>
      </c>
      <c r="E1612" s="35">
        <v>76</v>
      </c>
      <c r="F1612" s="33">
        <v>77.25</v>
      </c>
      <c r="G1612" s="29">
        <v>3</v>
      </c>
      <c r="H1612" s="29">
        <v>2.25</v>
      </c>
      <c r="I1612" s="35">
        <v>75</v>
      </c>
      <c r="J1612" s="34">
        <v>900</v>
      </c>
      <c r="K1612" s="34">
        <v>69000</v>
      </c>
    </row>
    <row r="1613" spans="1:11" hidden="1">
      <c r="A1613" s="29" t="s">
        <v>138</v>
      </c>
      <c r="B1613" s="32">
        <v>40274</v>
      </c>
      <c r="C1613" s="29">
        <v>77</v>
      </c>
      <c r="D1613" s="35">
        <v>81</v>
      </c>
      <c r="E1613" s="35">
        <v>77</v>
      </c>
      <c r="F1613" s="33">
        <v>80</v>
      </c>
      <c r="G1613" s="29">
        <v>3.56</v>
      </c>
      <c r="H1613" s="29">
        <v>2.75</v>
      </c>
      <c r="I1613" s="35">
        <v>77.25</v>
      </c>
      <c r="J1613" s="34">
        <v>84200</v>
      </c>
      <c r="K1613" s="34">
        <v>6729225</v>
      </c>
    </row>
    <row r="1614" spans="1:11" hidden="1">
      <c r="A1614" s="29" t="s">
        <v>138</v>
      </c>
      <c r="B1614" s="32">
        <v>40275</v>
      </c>
      <c r="C1614" s="29">
        <v>81</v>
      </c>
      <c r="D1614" s="35">
        <v>82</v>
      </c>
      <c r="E1614" s="35">
        <v>80.5</v>
      </c>
      <c r="F1614" s="33">
        <v>81</v>
      </c>
      <c r="G1614" s="29">
        <v>1.25</v>
      </c>
      <c r="H1614" s="29">
        <v>1</v>
      </c>
      <c r="I1614" s="35">
        <v>80</v>
      </c>
      <c r="J1614" s="34">
        <v>71800</v>
      </c>
      <c r="K1614" s="34">
        <v>5871425</v>
      </c>
    </row>
    <row r="1615" spans="1:11" hidden="1">
      <c r="A1615" s="29" t="s">
        <v>138</v>
      </c>
      <c r="B1615" s="32">
        <v>40280</v>
      </c>
      <c r="C1615" s="29">
        <v>83.5</v>
      </c>
      <c r="D1615" s="35">
        <v>84</v>
      </c>
      <c r="E1615" s="35">
        <v>83.5</v>
      </c>
      <c r="F1615" s="33">
        <v>84</v>
      </c>
      <c r="G1615" s="29">
        <v>1.2</v>
      </c>
      <c r="H1615" s="29">
        <v>1</v>
      </c>
      <c r="I1615" s="35">
        <v>83</v>
      </c>
      <c r="J1615" s="34">
        <v>43600</v>
      </c>
      <c r="K1615" s="34">
        <v>3659675</v>
      </c>
    </row>
    <row r="1616" spans="1:11" hidden="1">
      <c r="A1616" s="29" t="s">
        <v>138</v>
      </c>
      <c r="B1616" s="32">
        <v>40283</v>
      </c>
      <c r="C1616" s="29">
        <v>83.75</v>
      </c>
      <c r="D1616" s="35">
        <v>84.25</v>
      </c>
      <c r="E1616" s="35">
        <v>83.75</v>
      </c>
      <c r="F1616" s="33">
        <v>84</v>
      </c>
      <c r="G1616" s="29">
        <v>0</v>
      </c>
      <c r="H1616" s="29">
        <v>0</v>
      </c>
      <c r="I1616" s="35">
        <v>84</v>
      </c>
      <c r="J1616" s="34">
        <v>55700</v>
      </c>
      <c r="K1616" s="34">
        <v>4676125</v>
      </c>
    </row>
    <row r="1617" spans="1:11" hidden="1">
      <c r="A1617" s="29" t="s">
        <v>138</v>
      </c>
      <c r="B1617" s="32">
        <v>40284</v>
      </c>
      <c r="C1617" s="29">
        <v>84</v>
      </c>
      <c r="D1617" s="35">
        <v>84</v>
      </c>
      <c r="E1617" s="35">
        <v>82.5</v>
      </c>
      <c r="F1617" s="33">
        <v>82.5</v>
      </c>
      <c r="G1617" s="29">
        <v>-1.79</v>
      </c>
      <c r="H1617" s="29">
        <v>-1.5</v>
      </c>
      <c r="I1617" s="35">
        <v>84</v>
      </c>
      <c r="J1617" s="34">
        <v>4100</v>
      </c>
      <c r="K1617" s="34">
        <v>340825</v>
      </c>
    </row>
    <row r="1618" spans="1:11" hidden="1">
      <c r="A1618" s="29" t="s">
        <v>138</v>
      </c>
      <c r="B1618" s="32">
        <v>40287</v>
      </c>
      <c r="C1618" s="29">
        <v>82.5</v>
      </c>
      <c r="D1618" s="35">
        <v>84</v>
      </c>
      <c r="E1618" s="35">
        <v>82.25</v>
      </c>
      <c r="F1618" s="33">
        <v>83.75</v>
      </c>
      <c r="G1618" s="29">
        <v>1.52</v>
      </c>
      <c r="H1618" s="29">
        <v>1.25</v>
      </c>
      <c r="I1618" s="35">
        <v>82.5</v>
      </c>
      <c r="J1618" s="34">
        <v>105900</v>
      </c>
      <c r="K1618" s="34">
        <v>8797725</v>
      </c>
    </row>
    <row r="1619" spans="1:11" hidden="1">
      <c r="A1619" s="29" t="s">
        <v>138</v>
      </c>
      <c r="B1619" s="32">
        <v>40288</v>
      </c>
      <c r="C1619" s="29">
        <v>82.5</v>
      </c>
      <c r="D1619" s="35">
        <v>83</v>
      </c>
      <c r="E1619" s="35">
        <v>82</v>
      </c>
      <c r="F1619" s="33">
        <v>82.5</v>
      </c>
      <c r="G1619" s="29">
        <v>-1.49</v>
      </c>
      <c r="H1619" s="29">
        <v>-1.25</v>
      </c>
      <c r="I1619" s="35">
        <v>83.75</v>
      </c>
      <c r="J1619" s="34">
        <v>10200</v>
      </c>
      <c r="K1619" s="34">
        <v>840350</v>
      </c>
    </row>
    <row r="1620" spans="1:11" hidden="1">
      <c r="A1620" s="29" t="s">
        <v>138</v>
      </c>
      <c r="B1620" s="32">
        <v>40289</v>
      </c>
      <c r="C1620" s="29">
        <v>81.5</v>
      </c>
      <c r="D1620" s="35">
        <v>82.25</v>
      </c>
      <c r="E1620" s="35">
        <v>81.5</v>
      </c>
      <c r="F1620" s="33">
        <v>82</v>
      </c>
      <c r="G1620" s="29">
        <v>-0.61</v>
      </c>
      <c r="H1620" s="29">
        <v>-0.5</v>
      </c>
      <c r="I1620" s="35">
        <v>82.5</v>
      </c>
      <c r="J1620" s="34">
        <v>27500</v>
      </c>
      <c r="K1620" s="34">
        <v>2252375</v>
      </c>
    </row>
    <row r="1621" spans="1:11" hidden="1">
      <c r="A1621" s="29" t="s">
        <v>138</v>
      </c>
      <c r="B1621" s="32">
        <v>40290</v>
      </c>
      <c r="C1621" s="29">
        <v>82.5</v>
      </c>
      <c r="D1621" s="35">
        <v>82.5</v>
      </c>
      <c r="E1621" s="35">
        <v>80</v>
      </c>
      <c r="F1621" s="33">
        <v>80</v>
      </c>
      <c r="G1621" s="29">
        <v>-2.44</v>
      </c>
      <c r="H1621" s="29">
        <v>-2</v>
      </c>
      <c r="I1621" s="35">
        <v>82</v>
      </c>
      <c r="J1621" s="34">
        <v>40200</v>
      </c>
      <c r="K1621" s="34">
        <v>3237450</v>
      </c>
    </row>
    <row r="1622" spans="1:11" hidden="1">
      <c r="A1622" s="29" t="s">
        <v>138</v>
      </c>
      <c r="B1622" s="32">
        <v>40291</v>
      </c>
      <c r="C1622" s="29">
        <v>80</v>
      </c>
      <c r="D1622" s="35">
        <v>84</v>
      </c>
      <c r="E1622" s="35">
        <v>80</v>
      </c>
      <c r="F1622" s="33">
        <v>83.5</v>
      </c>
      <c r="G1622" s="29">
        <v>4.38</v>
      </c>
      <c r="H1622" s="29">
        <v>3.5</v>
      </c>
      <c r="I1622" s="35">
        <v>80</v>
      </c>
      <c r="J1622" s="34">
        <v>133600</v>
      </c>
      <c r="K1622" s="34">
        <v>11097925</v>
      </c>
    </row>
    <row r="1623" spans="1:11" hidden="1">
      <c r="A1623" s="29" t="s">
        <v>138</v>
      </c>
      <c r="B1623" s="32">
        <v>40294</v>
      </c>
      <c r="C1623" s="29">
        <v>83</v>
      </c>
      <c r="D1623" s="35">
        <v>83</v>
      </c>
      <c r="E1623" s="35">
        <v>80.25</v>
      </c>
      <c r="F1623" s="33">
        <v>80.75</v>
      </c>
      <c r="G1623" s="29">
        <v>-3.29</v>
      </c>
      <c r="H1623" s="29">
        <v>-2.75</v>
      </c>
      <c r="I1623" s="35">
        <v>83.5</v>
      </c>
      <c r="J1623" s="34">
        <v>23100</v>
      </c>
      <c r="K1623" s="34">
        <v>1872525</v>
      </c>
    </row>
    <row r="1624" spans="1:11" hidden="1">
      <c r="A1624" s="29" t="s">
        <v>138</v>
      </c>
      <c r="B1624" s="32">
        <v>40295</v>
      </c>
      <c r="C1624" s="29">
        <v>81</v>
      </c>
      <c r="D1624" s="35">
        <v>81.5</v>
      </c>
      <c r="E1624" s="35">
        <v>80.5</v>
      </c>
      <c r="F1624" s="33">
        <v>81</v>
      </c>
      <c r="G1624" s="29">
        <v>0.31</v>
      </c>
      <c r="H1624" s="29">
        <v>0.25</v>
      </c>
      <c r="I1624" s="35">
        <v>80.75</v>
      </c>
      <c r="J1624" s="34">
        <v>10500</v>
      </c>
      <c r="K1624" s="34">
        <v>850650</v>
      </c>
    </row>
    <row r="1625" spans="1:11" hidden="1">
      <c r="A1625" s="29" t="s">
        <v>138</v>
      </c>
      <c r="B1625" s="32">
        <v>40297</v>
      </c>
      <c r="C1625" s="29">
        <v>81.25</v>
      </c>
      <c r="D1625" s="35">
        <v>81.25</v>
      </c>
      <c r="E1625" s="35">
        <v>81</v>
      </c>
      <c r="F1625" s="33">
        <v>81</v>
      </c>
      <c r="G1625" s="29">
        <v>0</v>
      </c>
      <c r="H1625" s="29">
        <v>0</v>
      </c>
      <c r="I1625" s="35">
        <v>81</v>
      </c>
      <c r="J1625" s="34">
        <v>15700</v>
      </c>
      <c r="K1625" s="34">
        <v>1272100</v>
      </c>
    </row>
    <row r="1626" spans="1:11" hidden="1">
      <c r="A1626" s="29" t="s">
        <v>138</v>
      </c>
      <c r="B1626" s="32">
        <v>40298</v>
      </c>
      <c r="C1626" s="29">
        <v>81</v>
      </c>
      <c r="D1626" s="35">
        <v>82.25</v>
      </c>
      <c r="E1626" s="35">
        <v>81</v>
      </c>
      <c r="F1626" s="33">
        <v>81</v>
      </c>
      <c r="G1626" s="29">
        <v>0</v>
      </c>
      <c r="H1626" s="29">
        <v>0</v>
      </c>
      <c r="I1626" s="35">
        <v>81</v>
      </c>
      <c r="J1626" s="34">
        <v>35100</v>
      </c>
      <c r="K1626" s="34">
        <v>2845825</v>
      </c>
    </row>
    <row r="1627" spans="1:11" hidden="1">
      <c r="A1627" s="29" t="s">
        <v>138</v>
      </c>
      <c r="B1627" s="32">
        <v>40301</v>
      </c>
      <c r="C1627" s="29">
        <v>82</v>
      </c>
      <c r="D1627" s="35">
        <v>82.25</v>
      </c>
      <c r="E1627" s="35">
        <v>81.25</v>
      </c>
      <c r="F1627" s="33">
        <v>82</v>
      </c>
      <c r="G1627" s="29">
        <v>1.23</v>
      </c>
      <c r="H1627" s="29">
        <v>1</v>
      </c>
      <c r="I1627" s="35">
        <v>81</v>
      </c>
      <c r="J1627" s="34">
        <v>8300</v>
      </c>
      <c r="K1627" s="34">
        <v>679450</v>
      </c>
    </row>
    <row r="1628" spans="1:11" hidden="1">
      <c r="A1628" s="29" t="s">
        <v>138</v>
      </c>
      <c r="B1628" s="32">
        <v>40302</v>
      </c>
      <c r="C1628" s="29">
        <v>81</v>
      </c>
      <c r="D1628" s="35">
        <v>81</v>
      </c>
      <c r="E1628" s="35">
        <v>81</v>
      </c>
      <c r="F1628" s="33">
        <v>81</v>
      </c>
      <c r="G1628" s="29">
        <v>-1.22</v>
      </c>
      <c r="H1628" s="29">
        <v>-1</v>
      </c>
      <c r="I1628" s="35">
        <v>82</v>
      </c>
      <c r="J1628" s="34">
        <v>2600</v>
      </c>
      <c r="K1628" s="34">
        <v>210600</v>
      </c>
    </row>
    <row r="1629" spans="1:11" hidden="1">
      <c r="A1629" s="29" t="s">
        <v>138</v>
      </c>
      <c r="B1629" s="32">
        <v>40303</v>
      </c>
      <c r="C1629" s="29">
        <v>80.5</v>
      </c>
      <c r="D1629" s="35">
        <v>81</v>
      </c>
      <c r="E1629" s="35">
        <v>80</v>
      </c>
      <c r="F1629" s="33">
        <v>80.25</v>
      </c>
      <c r="G1629" s="29">
        <v>-0.93</v>
      </c>
      <c r="H1629" s="29">
        <v>-0.75</v>
      </c>
      <c r="I1629" s="35">
        <v>81</v>
      </c>
      <c r="J1629" s="34">
        <v>20700</v>
      </c>
      <c r="K1629" s="34">
        <v>1658725</v>
      </c>
    </row>
    <row r="1630" spans="1:11" hidden="1">
      <c r="A1630" s="29" t="s">
        <v>138</v>
      </c>
      <c r="B1630" s="32">
        <v>40304</v>
      </c>
      <c r="C1630" s="29">
        <v>80.25</v>
      </c>
      <c r="D1630" s="35">
        <v>81</v>
      </c>
      <c r="E1630" s="35">
        <v>79.5</v>
      </c>
      <c r="F1630" s="33">
        <v>81</v>
      </c>
      <c r="G1630" s="29">
        <v>0.93</v>
      </c>
      <c r="H1630" s="29">
        <v>0.75</v>
      </c>
      <c r="I1630" s="35">
        <v>80.25</v>
      </c>
      <c r="J1630" s="34">
        <v>19400</v>
      </c>
      <c r="K1630" s="34">
        <v>1563225</v>
      </c>
    </row>
    <row r="1631" spans="1:11" hidden="1">
      <c r="A1631" s="29" t="s">
        <v>138</v>
      </c>
      <c r="B1631" s="32">
        <v>40305</v>
      </c>
      <c r="C1631" s="29">
        <v>80.75</v>
      </c>
      <c r="D1631" s="35">
        <v>80.75</v>
      </c>
      <c r="E1631" s="35">
        <v>80</v>
      </c>
      <c r="F1631" s="33">
        <v>80</v>
      </c>
      <c r="G1631" s="29">
        <v>-1.23</v>
      </c>
      <c r="H1631" s="29">
        <v>-1</v>
      </c>
      <c r="I1631" s="35">
        <v>81</v>
      </c>
      <c r="J1631" s="34">
        <v>24000</v>
      </c>
      <c r="K1631" s="34">
        <v>1924125</v>
      </c>
    </row>
    <row r="1632" spans="1:11" hidden="1">
      <c r="A1632" s="29" t="s">
        <v>138</v>
      </c>
      <c r="B1632" s="32">
        <v>40308</v>
      </c>
      <c r="C1632" s="29">
        <v>80</v>
      </c>
      <c r="D1632" s="35">
        <v>80.75</v>
      </c>
      <c r="E1632" s="35">
        <v>79.75</v>
      </c>
      <c r="F1632" s="33">
        <v>80</v>
      </c>
      <c r="G1632" s="29">
        <v>0</v>
      </c>
      <c r="H1632" s="29">
        <v>0</v>
      </c>
      <c r="I1632" s="35">
        <v>80</v>
      </c>
      <c r="J1632" s="34">
        <v>73600</v>
      </c>
      <c r="K1632" s="34">
        <v>5892375</v>
      </c>
    </row>
    <row r="1633" spans="1:11" hidden="1">
      <c r="A1633" s="29" t="s">
        <v>138</v>
      </c>
      <c r="B1633" s="32">
        <v>40309</v>
      </c>
      <c r="C1633" s="29">
        <v>79.5</v>
      </c>
      <c r="D1633" s="35">
        <v>80</v>
      </c>
      <c r="E1633" s="35">
        <v>79.5</v>
      </c>
      <c r="F1633" s="33">
        <v>80</v>
      </c>
      <c r="G1633" s="29">
        <v>0</v>
      </c>
      <c r="H1633" s="29">
        <v>0</v>
      </c>
      <c r="I1633" s="35">
        <v>80</v>
      </c>
      <c r="J1633" s="34">
        <v>35800</v>
      </c>
      <c r="K1633" s="34">
        <v>2863725</v>
      </c>
    </row>
    <row r="1634" spans="1:11" hidden="1">
      <c r="A1634" s="29" t="s">
        <v>138</v>
      </c>
      <c r="B1634" s="32">
        <v>40310</v>
      </c>
      <c r="C1634" s="29">
        <v>79.5</v>
      </c>
      <c r="D1634" s="35">
        <v>80</v>
      </c>
      <c r="E1634" s="35">
        <v>79.5</v>
      </c>
      <c r="F1634" s="33">
        <v>80</v>
      </c>
      <c r="G1634" s="29">
        <v>0</v>
      </c>
      <c r="H1634" s="29">
        <v>0</v>
      </c>
      <c r="I1634" s="35">
        <v>80</v>
      </c>
      <c r="J1634" s="34">
        <v>12000</v>
      </c>
      <c r="K1634" s="34">
        <v>959150</v>
      </c>
    </row>
    <row r="1635" spans="1:11" hidden="1">
      <c r="A1635" s="29" t="s">
        <v>138</v>
      </c>
      <c r="B1635" s="32">
        <v>40311</v>
      </c>
      <c r="C1635" s="29">
        <v>80</v>
      </c>
      <c r="D1635" s="35">
        <v>80</v>
      </c>
      <c r="E1635" s="35">
        <v>80</v>
      </c>
      <c r="F1635" s="33">
        <v>80</v>
      </c>
      <c r="G1635" s="29">
        <v>0</v>
      </c>
      <c r="H1635" s="29">
        <v>0</v>
      </c>
      <c r="I1635" s="35">
        <v>80</v>
      </c>
      <c r="J1635" s="34">
        <v>18100</v>
      </c>
      <c r="K1635" s="34">
        <v>1448000</v>
      </c>
    </row>
    <row r="1636" spans="1:11" hidden="1">
      <c r="A1636" s="29" t="s">
        <v>138</v>
      </c>
      <c r="B1636" s="32">
        <v>40312</v>
      </c>
      <c r="C1636" s="29">
        <v>80</v>
      </c>
      <c r="D1636" s="35">
        <v>80.25</v>
      </c>
      <c r="E1636" s="35">
        <v>80</v>
      </c>
      <c r="F1636" s="33">
        <v>80</v>
      </c>
      <c r="G1636" s="29">
        <v>0</v>
      </c>
      <c r="H1636" s="29">
        <v>0</v>
      </c>
      <c r="I1636" s="35">
        <v>80</v>
      </c>
      <c r="J1636" s="34">
        <v>19100</v>
      </c>
      <c r="K1636" s="34">
        <v>1528775</v>
      </c>
    </row>
    <row r="1637" spans="1:11" hidden="1">
      <c r="A1637" s="29" t="s">
        <v>138</v>
      </c>
      <c r="B1637" s="32">
        <v>40315</v>
      </c>
      <c r="C1637" s="29">
        <v>79.5</v>
      </c>
      <c r="D1637" s="35">
        <v>80.5</v>
      </c>
      <c r="E1637" s="35">
        <v>78</v>
      </c>
      <c r="F1637" s="33">
        <v>80</v>
      </c>
      <c r="G1637" s="29">
        <v>0</v>
      </c>
      <c r="H1637" s="29">
        <v>0</v>
      </c>
      <c r="I1637" s="35">
        <v>80</v>
      </c>
      <c r="J1637" s="34">
        <v>11300</v>
      </c>
      <c r="K1637" s="34">
        <v>895750</v>
      </c>
    </row>
    <row r="1638" spans="1:11" hidden="1">
      <c r="A1638" s="29" t="s">
        <v>138</v>
      </c>
      <c r="B1638" s="32">
        <v>40316</v>
      </c>
      <c r="C1638" s="29">
        <v>80</v>
      </c>
      <c r="D1638" s="35">
        <v>82</v>
      </c>
      <c r="E1638" s="35">
        <v>80</v>
      </c>
      <c r="F1638" s="33">
        <v>80</v>
      </c>
      <c r="G1638" s="29">
        <v>0</v>
      </c>
      <c r="H1638" s="29">
        <v>0</v>
      </c>
      <c r="I1638" s="35">
        <v>80</v>
      </c>
      <c r="J1638" s="34">
        <v>253700</v>
      </c>
      <c r="K1638" s="34">
        <v>20765200</v>
      </c>
    </row>
    <row r="1639" spans="1:11" hidden="1">
      <c r="A1639" s="29" t="s">
        <v>138</v>
      </c>
      <c r="B1639" s="32">
        <v>40317</v>
      </c>
      <c r="C1639" s="29">
        <v>80</v>
      </c>
      <c r="D1639" s="35">
        <v>82</v>
      </c>
      <c r="E1639" s="35">
        <v>80</v>
      </c>
      <c r="F1639" s="33">
        <v>80</v>
      </c>
      <c r="G1639" s="29">
        <v>0</v>
      </c>
      <c r="H1639" s="29">
        <v>0</v>
      </c>
      <c r="I1639" s="35">
        <v>80</v>
      </c>
      <c r="J1639" s="34">
        <v>28600</v>
      </c>
      <c r="K1639" s="34">
        <v>2307375</v>
      </c>
    </row>
    <row r="1640" spans="1:11" hidden="1">
      <c r="A1640" s="29" t="s">
        <v>138</v>
      </c>
      <c r="B1640" s="32">
        <v>40318</v>
      </c>
      <c r="C1640" s="29">
        <v>80</v>
      </c>
      <c r="D1640" s="35">
        <v>80</v>
      </c>
      <c r="E1640" s="35">
        <v>79.5</v>
      </c>
      <c r="F1640" s="33">
        <v>79.5</v>
      </c>
      <c r="G1640" s="29">
        <v>-0.63</v>
      </c>
      <c r="H1640" s="29">
        <v>-0.5</v>
      </c>
      <c r="I1640" s="35">
        <v>80</v>
      </c>
      <c r="J1640" s="34">
        <v>3700</v>
      </c>
      <c r="K1640" s="34">
        <v>295500</v>
      </c>
    </row>
    <row r="1641" spans="1:11" hidden="1">
      <c r="A1641" s="29" t="s">
        <v>138</v>
      </c>
      <c r="B1641" s="32">
        <v>40319</v>
      </c>
      <c r="C1641" s="29">
        <v>79.5</v>
      </c>
      <c r="D1641" s="35">
        <v>80</v>
      </c>
      <c r="E1641" s="35">
        <v>79.5</v>
      </c>
      <c r="F1641" s="33">
        <v>79.75</v>
      </c>
      <c r="G1641" s="29">
        <v>0.31</v>
      </c>
      <c r="H1641" s="29">
        <v>0.25</v>
      </c>
      <c r="I1641" s="35">
        <v>79.5</v>
      </c>
      <c r="J1641" s="34">
        <v>4800</v>
      </c>
      <c r="K1641" s="34">
        <v>382975</v>
      </c>
    </row>
    <row r="1642" spans="1:11" hidden="1">
      <c r="A1642" s="29" t="s">
        <v>138</v>
      </c>
      <c r="B1642" s="32">
        <v>40322</v>
      </c>
      <c r="C1642" s="29">
        <v>79.5</v>
      </c>
      <c r="D1642" s="35">
        <v>80</v>
      </c>
      <c r="E1642" s="35">
        <v>78.25</v>
      </c>
      <c r="F1642" s="33">
        <v>78.5</v>
      </c>
      <c r="G1642" s="29">
        <v>-1.57</v>
      </c>
      <c r="H1642" s="29">
        <v>-1.25</v>
      </c>
      <c r="I1642" s="35">
        <v>79.75</v>
      </c>
      <c r="J1642" s="34">
        <v>21900</v>
      </c>
      <c r="K1642" s="34">
        <v>1719925</v>
      </c>
    </row>
    <row r="1643" spans="1:11" hidden="1">
      <c r="A1643" s="29" t="s">
        <v>138</v>
      </c>
      <c r="B1643" s="32">
        <v>40323</v>
      </c>
      <c r="C1643" s="29">
        <v>78.5</v>
      </c>
      <c r="D1643" s="35">
        <v>78.5</v>
      </c>
      <c r="E1643" s="35">
        <v>78</v>
      </c>
      <c r="F1643" s="33">
        <v>78</v>
      </c>
      <c r="G1643" s="29">
        <v>-0.64</v>
      </c>
      <c r="H1643" s="29">
        <v>-0.5</v>
      </c>
      <c r="I1643" s="35">
        <v>78.5</v>
      </c>
      <c r="J1643" s="34">
        <v>4900</v>
      </c>
      <c r="K1643" s="34">
        <v>382450</v>
      </c>
    </row>
    <row r="1644" spans="1:11" hidden="1">
      <c r="A1644" s="29" t="s">
        <v>138</v>
      </c>
      <c r="B1644" s="32">
        <v>40324</v>
      </c>
      <c r="C1644" s="29">
        <v>78</v>
      </c>
      <c r="D1644" s="35">
        <v>78</v>
      </c>
      <c r="E1644" s="35">
        <v>77.75</v>
      </c>
      <c r="F1644" s="33">
        <v>77.75</v>
      </c>
      <c r="G1644" s="29">
        <v>-0.32</v>
      </c>
      <c r="H1644" s="29">
        <v>-0.25</v>
      </c>
      <c r="I1644" s="35">
        <v>78</v>
      </c>
      <c r="J1644" s="34">
        <v>2300</v>
      </c>
      <c r="K1644" s="34">
        <v>179300</v>
      </c>
    </row>
    <row r="1645" spans="1:11" hidden="1">
      <c r="A1645" s="29" t="s">
        <v>138</v>
      </c>
      <c r="B1645" s="32">
        <v>40329</v>
      </c>
      <c r="C1645" s="29">
        <v>77.75</v>
      </c>
      <c r="D1645" s="35">
        <v>79.75</v>
      </c>
      <c r="E1645" s="35">
        <v>77.5</v>
      </c>
      <c r="F1645" s="33">
        <v>78.75</v>
      </c>
      <c r="G1645" s="29">
        <v>1.29</v>
      </c>
      <c r="H1645" s="29">
        <v>1</v>
      </c>
      <c r="I1645" s="35">
        <v>77.75</v>
      </c>
      <c r="J1645" s="34">
        <v>9300</v>
      </c>
      <c r="K1645" s="34">
        <v>724400</v>
      </c>
    </row>
    <row r="1646" spans="1:11" hidden="1">
      <c r="A1646" s="29" t="s">
        <v>138</v>
      </c>
      <c r="B1646" s="32">
        <v>40330</v>
      </c>
      <c r="C1646" s="29">
        <v>78</v>
      </c>
      <c r="D1646" s="35">
        <v>78.25</v>
      </c>
      <c r="E1646" s="35">
        <v>78</v>
      </c>
      <c r="F1646" s="33">
        <v>78</v>
      </c>
      <c r="G1646" s="29">
        <v>-0.95</v>
      </c>
      <c r="H1646" s="29">
        <v>-0.75</v>
      </c>
      <c r="I1646" s="35">
        <v>78.75</v>
      </c>
      <c r="J1646" s="34">
        <v>48400</v>
      </c>
      <c r="K1646" s="34">
        <v>3775375</v>
      </c>
    </row>
    <row r="1647" spans="1:11" hidden="1">
      <c r="A1647" s="29" t="s">
        <v>138</v>
      </c>
      <c r="B1647" s="32">
        <v>40331</v>
      </c>
      <c r="C1647" s="29">
        <v>79</v>
      </c>
      <c r="D1647" s="35">
        <v>79</v>
      </c>
      <c r="E1647" s="35">
        <v>77.75</v>
      </c>
      <c r="F1647" s="33">
        <v>78</v>
      </c>
      <c r="G1647" s="29">
        <v>0</v>
      </c>
      <c r="H1647" s="29">
        <v>0</v>
      </c>
      <c r="I1647" s="35">
        <v>78</v>
      </c>
      <c r="J1647" s="34">
        <v>54400</v>
      </c>
      <c r="K1647" s="34">
        <v>4244300</v>
      </c>
    </row>
    <row r="1648" spans="1:11" hidden="1">
      <c r="A1648" s="29" t="s">
        <v>138</v>
      </c>
      <c r="B1648" s="32">
        <v>40332</v>
      </c>
      <c r="C1648" s="29">
        <v>78</v>
      </c>
      <c r="D1648" s="35">
        <v>78</v>
      </c>
      <c r="E1648" s="35">
        <v>77.5</v>
      </c>
      <c r="F1648" s="33">
        <v>77.5</v>
      </c>
      <c r="G1648" s="29">
        <v>-0.64</v>
      </c>
      <c r="H1648" s="29">
        <v>-0.5</v>
      </c>
      <c r="I1648" s="35">
        <v>78</v>
      </c>
      <c r="J1648" s="34">
        <v>14100</v>
      </c>
      <c r="K1648" s="34">
        <v>1096450</v>
      </c>
    </row>
    <row r="1649" spans="1:11" hidden="1">
      <c r="A1649" s="29" t="s">
        <v>138</v>
      </c>
      <c r="B1649" s="32">
        <v>40333</v>
      </c>
      <c r="C1649" s="29">
        <v>77.5</v>
      </c>
      <c r="D1649" s="35">
        <v>78</v>
      </c>
      <c r="E1649" s="35">
        <v>77.25</v>
      </c>
      <c r="F1649" s="33">
        <v>77.5</v>
      </c>
      <c r="G1649" s="29">
        <v>0</v>
      </c>
      <c r="H1649" s="29">
        <v>0</v>
      </c>
      <c r="I1649" s="35">
        <v>77.5</v>
      </c>
      <c r="J1649" s="34">
        <v>20000</v>
      </c>
      <c r="K1649" s="34">
        <v>1553225</v>
      </c>
    </row>
    <row r="1650" spans="1:11" hidden="1">
      <c r="A1650" s="29" t="s">
        <v>138</v>
      </c>
      <c r="B1650" s="32">
        <v>40336</v>
      </c>
      <c r="C1650" s="29">
        <v>77.5</v>
      </c>
      <c r="D1650" s="35">
        <v>78</v>
      </c>
      <c r="E1650" s="35">
        <v>76.25</v>
      </c>
      <c r="F1650" s="33">
        <v>77.25</v>
      </c>
      <c r="G1650" s="29">
        <v>-0.32</v>
      </c>
      <c r="H1650" s="29">
        <v>-0.25</v>
      </c>
      <c r="I1650" s="35">
        <v>77.5</v>
      </c>
      <c r="J1650" s="34">
        <v>32400</v>
      </c>
      <c r="K1650" s="34">
        <v>2503325</v>
      </c>
    </row>
    <row r="1651" spans="1:11" hidden="1">
      <c r="A1651" s="29" t="s">
        <v>138</v>
      </c>
      <c r="B1651" s="32">
        <v>40337</v>
      </c>
      <c r="C1651" s="29">
        <v>77</v>
      </c>
      <c r="D1651" s="35">
        <v>78</v>
      </c>
      <c r="E1651" s="35">
        <v>77</v>
      </c>
      <c r="F1651" s="33">
        <v>77.5</v>
      </c>
      <c r="G1651" s="29">
        <v>0.32</v>
      </c>
      <c r="H1651" s="29">
        <v>0.25</v>
      </c>
      <c r="I1651" s="35">
        <v>77.25</v>
      </c>
      <c r="J1651" s="34">
        <v>20700</v>
      </c>
      <c r="K1651" s="34">
        <v>1603300</v>
      </c>
    </row>
    <row r="1652" spans="1:11" hidden="1">
      <c r="A1652" s="29" t="s">
        <v>138</v>
      </c>
      <c r="B1652" s="32">
        <v>40338</v>
      </c>
      <c r="C1652" s="29">
        <v>77.5</v>
      </c>
      <c r="D1652" s="35">
        <v>78.5</v>
      </c>
      <c r="E1652" s="35">
        <v>77.25</v>
      </c>
      <c r="F1652" s="33">
        <v>77.5</v>
      </c>
      <c r="G1652" s="29">
        <v>0</v>
      </c>
      <c r="H1652" s="29">
        <v>0</v>
      </c>
      <c r="I1652" s="35">
        <v>77.5</v>
      </c>
      <c r="J1652" s="34">
        <v>100400</v>
      </c>
      <c r="K1652" s="34">
        <v>7787075</v>
      </c>
    </row>
    <row r="1653" spans="1:11" hidden="1">
      <c r="A1653" s="29" t="s">
        <v>138</v>
      </c>
      <c r="B1653" s="32">
        <v>40339</v>
      </c>
      <c r="C1653" s="29">
        <v>77.5</v>
      </c>
      <c r="D1653" s="35">
        <v>81</v>
      </c>
      <c r="E1653" s="35">
        <v>77.5</v>
      </c>
      <c r="F1653" s="33">
        <v>80</v>
      </c>
      <c r="G1653" s="29">
        <v>3.23</v>
      </c>
      <c r="H1653" s="29">
        <v>2.5</v>
      </c>
      <c r="I1653" s="35">
        <v>77.5</v>
      </c>
      <c r="J1653" s="34">
        <v>84700</v>
      </c>
      <c r="K1653" s="34">
        <v>6769750</v>
      </c>
    </row>
    <row r="1654" spans="1:11" hidden="1">
      <c r="A1654" s="29" t="s">
        <v>138</v>
      </c>
      <c r="B1654" s="32">
        <v>40340</v>
      </c>
      <c r="C1654" s="29">
        <v>80.5</v>
      </c>
      <c r="D1654" s="35">
        <v>82.75</v>
      </c>
      <c r="E1654" s="35">
        <v>80.5</v>
      </c>
      <c r="F1654" s="33">
        <v>81.5</v>
      </c>
      <c r="G1654" s="29">
        <v>1.88</v>
      </c>
      <c r="H1654" s="29">
        <v>1.5</v>
      </c>
      <c r="I1654" s="35">
        <v>80</v>
      </c>
      <c r="J1654" s="34">
        <v>162000</v>
      </c>
      <c r="K1654" s="34">
        <v>13268375</v>
      </c>
    </row>
    <row r="1655" spans="1:11" hidden="1">
      <c r="A1655" s="29" t="s">
        <v>138</v>
      </c>
      <c r="B1655" s="32">
        <v>40343</v>
      </c>
      <c r="C1655" s="29">
        <v>82</v>
      </c>
      <c r="D1655" s="35">
        <v>90.5</v>
      </c>
      <c r="E1655" s="35">
        <v>82</v>
      </c>
      <c r="F1655" s="33">
        <v>89.5</v>
      </c>
      <c r="G1655" s="29">
        <v>9.82</v>
      </c>
      <c r="H1655" s="29">
        <v>8</v>
      </c>
      <c r="I1655" s="35">
        <v>81.5</v>
      </c>
      <c r="J1655" s="34">
        <v>562300</v>
      </c>
      <c r="K1655" s="34">
        <v>49300000</v>
      </c>
    </row>
    <row r="1656" spans="1:11" hidden="1">
      <c r="A1656" s="29" t="s">
        <v>138</v>
      </c>
      <c r="B1656" s="32">
        <v>40344</v>
      </c>
      <c r="C1656" s="29">
        <v>90</v>
      </c>
      <c r="D1656" s="35">
        <v>92.25</v>
      </c>
      <c r="E1656" s="35">
        <v>89.5</v>
      </c>
      <c r="F1656" s="33">
        <v>90</v>
      </c>
      <c r="G1656" s="29">
        <v>0.56000000000000005</v>
      </c>
      <c r="H1656" s="29">
        <v>0.5</v>
      </c>
      <c r="I1656" s="35">
        <v>89.5</v>
      </c>
      <c r="J1656" s="34">
        <v>315800</v>
      </c>
      <c r="K1656" s="34">
        <v>28804725</v>
      </c>
    </row>
    <row r="1657" spans="1:11" hidden="1">
      <c r="A1657" s="29" t="s">
        <v>138</v>
      </c>
      <c r="B1657" s="32">
        <v>40345</v>
      </c>
      <c r="C1657" s="29">
        <v>89</v>
      </c>
      <c r="D1657" s="35">
        <v>90.75</v>
      </c>
      <c r="E1657" s="35">
        <v>89</v>
      </c>
      <c r="F1657" s="33">
        <v>90.25</v>
      </c>
      <c r="G1657" s="29">
        <v>0.28000000000000003</v>
      </c>
      <c r="H1657" s="29">
        <v>0.25</v>
      </c>
      <c r="I1657" s="35">
        <v>90</v>
      </c>
      <c r="J1657" s="34">
        <v>293700</v>
      </c>
      <c r="K1657" s="34">
        <v>26434750</v>
      </c>
    </row>
    <row r="1658" spans="1:11" hidden="1">
      <c r="A1658" s="29" t="s">
        <v>138</v>
      </c>
      <c r="B1658" s="32">
        <v>40346</v>
      </c>
      <c r="C1658" s="29">
        <v>90.75</v>
      </c>
      <c r="D1658" s="35">
        <v>90.75</v>
      </c>
      <c r="E1658" s="35">
        <v>89</v>
      </c>
      <c r="F1658" s="33">
        <v>89.75</v>
      </c>
      <c r="G1658" s="29">
        <v>-0.55000000000000004</v>
      </c>
      <c r="H1658" s="29">
        <v>-0.5</v>
      </c>
      <c r="I1658" s="35">
        <v>90.25</v>
      </c>
      <c r="J1658" s="34">
        <v>50000</v>
      </c>
      <c r="K1658" s="34">
        <v>4489975</v>
      </c>
    </row>
    <row r="1659" spans="1:11" hidden="1">
      <c r="A1659" s="29" t="s">
        <v>138</v>
      </c>
      <c r="B1659" s="32">
        <v>40350</v>
      </c>
      <c r="C1659" s="29">
        <v>90</v>
      </c>
      <c r="D1659" s="35">
        <v>96</v>
      </c>
      <c r="E1659" s="35">
        <v>89</v>
      </c>
      <c r="F1659" s="33">
        <v>94.25</v>
      </c>
      <c r="G1659" s="29">
        <v>5.01</v>
      </c>
      <c r="H1659" s="29">
        <v>4.5</v>
      </c>
      <c r="I1659" s="35">
        <v>89.75</v>
      </c>
      <c r="J1659" s="34">
        <v>894100</v>
      </c>
      <c r="K1659" s="34">
        <v>83384300</v>
      </c>
    </row>
    <row r="1660" spans="1:11" hidden="1">
      <c r="A1660" s="29" t="s">
        <v>138</v>
      </c>
      <c r="B1660" s="32">
        <v>40351</v>
      </c>
      <c r="C1660" s="29">
        <v>95.5</v>
      </c>
      <c r="D1660" s="35">
        <v>96</v>
      </c>
      <c r="E1660" s="35">
        <v>93</v>
      </c>
      <c r="F1660" s="33">
        <v>94.5</v>
      </c>
      <c r="G1660" s="29">
        <v>0.27</v>
      </c>
      <c r="H1660" s="29">
        <v>0.25</v>
      </c>
      <c r="I1660" s="35">
        <v>94.25</v>
      </c>
      <c r="J1660" s="34">
        <v>228600</v>
      </c>
      <c r="K1660" s="34">
        <v>21722225</v>
      </c>
    </row>
    <row r="1661" spans="1:11" hidden="1">
      <c r="A1661" s="29" t="s">
        <v>138</v>
      </c>
      <c r="B1661" s="32">
        <v>40352</v>
      </c>
      <c r="C1661" s="29">
        <v>94</v>
      </c>
      <c r="D1661" s="35">
        <v>95</v>
      </c>
      <c r="E1661" s="35">
        <v>92.5</v>
      </c>
      <c r="F1661" s="33">
        <v>92.75</v>
      </c>
      <c r="G1661" s="29">
        <v>-1.85</v>
      </c>
      <c r="H1661" s="29">
        <v>-1.75</v>
      </c>
      <c r="I1661" s="35">
        <v>94.5</v>
      </c>
      <c r="J1661" s="34">
        <v>71100</v>
      </c>
      <c r="K1661" s="34">
        <v>6659800</v>
      </c>
    </row>
    <row r="1662" spans="1:11" hidden="1">
      <c r="A1662" s="29" t="s">
        <v>138</v>
      </c>
      <c r="B1662" s="32">
        <v>40353</v>
      </c>
      <c r="C1662" s="29">
        <v>91.75</v>
      </c>
      <c r="D1662" s="35">
        <v>91.75</v>
      </c>
      <c r="E1662" s="35">
        <v>90.25</v>
      </c>
      <c r="F1662" s="33">
        <v>91.5</v>
      </c>
      <c r="G1662" s="29">
        <v>-1.35</v>
      </c>
      <c r="H1662" s="29">
        <v>-1.25</v>
      </c>
      <c r="I1662" s="35">
        <v>92.75</v>
      </c>
      <c r="J1662" s="34">
        <v>29400</v>
      </c>
      <c r="K1662" s="34">
        <v>2681850</v>
      </c>
    </row>
    <row r="1663" spans="1:11" hidden="1">
      <c r="A1663" s="29" t="s">
        <v>138</v>
      </c>
      <c r="B1663" s="32">
        <v>40357</v>
      </c>
      <c r="C1663" s="29">
        <v>90.5</v>
      </c>
      <c r="D1663" s="35">
        <v>92</v>
      </c>
      <c r="E1663" s="35">
        <v>90</v>
      </c>
      <c r="F1663" s="33">
        <v>90.25</v>
      </c>
      <c r="G1663" s="29">
        <v>-1.37</v>
      </c>
      <c r="H1663" s="29">
        <v>-1.25</v>
      </c>
      <c r="I1663" s="35">
        <v>91.5</v>
      </c>
      <c r="J1663" s="34">
        <v>20400</v>
      </c>
      <c r="K1663" s="34">
        <v>1842050</v>
      </c>
    </row>
    <row r="1664" spans="1:11" hidden="1">
      <c r="A1664" s="29" t="s">
        <v>138</v>
      </c>
      <c r="B1664" s="32">
        <v>40358</v>
      </c>
      <c r="C1664" s="29">
        <v>90</v>
      </c>
      <c r="D1664" s="35">
        <v>94.5</v>
      </c>
      <c r="E1664" s="35">
        <v>87.5</v>
      </c>
      <c r="F1664" s="33">
        <v>93.75</v>
      </c>
      <c r="G1664" s="29">
        <v>3.88</v>
      </c>
      <c r="H1664" s="29">
        <v>3.5</v>
      </c>
      <c r="I1664" s="35">
        <v>90.25</v>
      </c>
      <c r="J1664" s="34">
        <v>243900</v>
      </c>
      <c r="K1664" s="34">
        <v>22786475</v>
      </c>
    </row>
    <row r="1665" spans="1:11" hidden="1">
      <c r="A1665" s="29" t="s">
        <v>138</v>
      </c>
      <c r="B1665" s="32">
        <v>40359</v>
      </c>
      <c r="C1665" s="29">
        <v>95</v>
      </c>
      <c r="D1665" s="35">
        <v>95</v>
      </c>
      <c r="E1665" s="35">
        <v>92.75</v>
      </c>
      <c r="F1665" s="33">
        <v>94</v>
      </c>
      <c r="G1665" s="29">
        <v>0.27</v>
      </c>
      <c r="H1665" s="29">
        <v>0.25</v>
      </c>
      <c r="I1665" s="35">
        <v>93.75</v>
      </c>
      <c r="J1665" s="34">
        <v>160000</v>
      </c>
      <c r="K1665" s="34">
        <v>15006450</v>
      </c>
    </row>
    <row r="1666" spans="1:11" hidden="1">
      <c r="A1666" s="29" t="s">
        <v>138</v>
      </c>
      <c r="B1666" s="32">
        <v>40360</v>
      </c>
      <c r="C1666" s="29">
        <v>92</v>
      </c>
      <c r="D1666" s="35">
        <v>95</v>
      </c>
      <c r="E1666" s="35">
        <v>92</v>
      </c>
      <c r="F1666" s="33">
        <v>95</v>
      </c>
      <c r="G1666" s="29">
        <v>1.06</v>
      </c>
      <c r="H1666" s="29">
        <v>1</v>
      </c>
      <c r="I1666" s="35">
        <v>94</v>
      </c>
      <c r="J1666" s="34">
        <v>334200</v>
      </c>
      <c r="K1666" s="34">
        <v>31707550</v>
      </c>
    </row>
    <row r="1667" spans="1:11" hidden="1">
      <c r="A1667" s="29" t="s">
        <v>138</v>
      </c>
      <c r="B1667" s="32">
        <v>40361</v>
      </c>
      <c r="C1667" s="29">
        <v>95</v>
      </c>
      <c r="D1667" s="35">
        <v>95</v>
      </c>
      <c r="E1667" s="35">
        <v>92</v>
      </c>
      <c r="F1667" s="33">
        <v>94</v>
      </c>
      <c r="G1667" s="29">
        <v>-1.05</v>
      </c>
      <c r="H1667" s="29">
        <v>-1</v>
      </c>
      <c r="I1667" s="35">
        <v>95</v>
      </c>
      <c r="J1667" s="34">
        <v>391500</v>
      </c>
      <c r="K1667" s="34">
        <v>37073700</v>
      </c>
    </row>
    <row r="1668" spans="1:11" hidden="1">
      <c r="A1668" s="29" t="s">
        <v>138</v>
      </c>
      <c r="B1668" s="32">
        <v>40364</v>
      </c>
      <c r="C1668" s="29">
        <v>94</v>
      </c>
      <c r="D1668" s="35">
        <v>94</v>
      </c>
      <c r="E1668" s="35">
        <v>92</v>
      </c>
      <c r="F1668" s="33">
        <v>92.25</v>
      </c>
      <c r="G1668" s="29">
        <v>-1.86</v>
      </c>
      <c r="H1668" s="29">
        <v>-1.75</v>
      </c>
      <c r="I1668" s="35">
        <v>94</v>
      </c>
      <c r="J1668" s="34">
        <v>17700</v>
      </c>
      <c r="K1668" s="34">
        <v>1652975</v>
      </c>
    </row>
    <row r="1669" spans="1:11" hidden="1">
      <c r="A1669" s="29" t="s">
        <v>138</v>
      </c>
      <c r="B1669" s="32">
        <v>40365</v>
      </c>
      <c r="C1669" s="29">
        <v>91</v>
      </c>
      <c r="D1669" s="35">
        <v>93</v>
      </c>
      <c r="E1669" s="35">
        <v>89</v>
      </c>
      <c r="F1669" s="33">
        <v>92</v>
      </c>
      <c r="G1669" s="29">
        <v>-0.27</v>
      </c>
      <c r="H1669" s="29">
        <v>-0.25</v>
      </c>
      <c r="I1669" s="35">
        <v>92.25</v>
      </c>
      <c r="J1669" s="34">
        <v>21000</v>
      </c>
      <c r="K1669" s="34">
        <v>1926275</v>
      </c>
    </row>
    <row r="1670" spans="1:11" hidden="1">
      <c r="A1670" s="29" t="s">
        <v>138</v>
      </c>
      <c r="B1670" s="32">
        <v>40366</v>
      </c>
      <c r="C1670" s="29">
        <v>91</v>
      </c>
      <c r="D1670" s="35">
        <v>91</v>
      </c>
      <c r="E1670" s="35">
        <v>89</v>
      </c>
      <c r="F1670" s="33">
        <v>89.5</v>
      </c>
      <c r="G1670" s="29">
        <v>-2.72</v>
      </c>
      <c r="H1670" s="29">
        <v>-2.5</v>
      </c>
      <c r="I1670" s="35">
        <v>92</v>
      </c>
      <c r="J1670" s="34">
        <v>36300</v>
      </c>
      <c r="K1670" s="34">
        <v>3249775</v>
      </c>
    </row>
    <row r="1671" spans="1:11" hidden="1">
      <c r="A1671" s="29" t="s">
        <v>138</v>
      </c>
      <c r="B1671" s="32">
        <v>40367</v>
      </c>
      <c r="C1671" s="29">
        <v>89.75</v>
      </c>
      <c r="D1671" s="35">
        <v>90</v>
      </c>
      <c r="E1671" s="35">
        <v>88.5</v>
      </c>
      <c r="F1671" s="33">
        <v>90</v>
      </c>
      <c r="G1671" s="29">
        <v>0.56000000000000005</v>
      </c>
      <c r="H1671" s="29">
        <v>0.5</v>
      </c>
      <c r="I1671" s="35">
        <v>89.5</v>
      </c>
      <c r="J1671" s="34">
        <v>17700</v>
      </c>
      <c r="K1671" s="34">
        <v>1590075</v>
      </c>
    </row>
    <row r="1672" spans="1:11" hidden="1">
      <c r="A1672" s="29" t="s">
        <v>138</v>
      </c>
      <c r="B1672" s="32">
        <v>40368</v>
      </c>
      <c r="C1672" s="29">
        <v>90</v>
      </c>
      <c r="D1672" s="35">
        <v>90</v>
      </c>
      <c r="E1672" s="35">
        <v>87</v>
      </c>
      <c r="F1672" s="33">
        <v>87.5</v>
      </c>
      <c r="G1672" s="29">
        <v>-2.78</v>
      </c>
      <c r="H1672" s="29">
        <v>-2.5</v>
      </c>
      <c r="I1672" s="35">
        <v>90</v>
      </c>
      <c r="J1672" s="34">
        <v>5100</v>
      </c>
      <c r="K1672" s="34">
        <v>452850</v>
      </c>
    </row>
    <row r="1673" spans="1:11" hidden="1">
      <c r="A1673" s="29" t="s">
        <v>138</v>
      </c>
      <c r="B1673" s="32">
        <v>40371</v>
      </c>
      <c r="C1673" s="29">
        <v>87.5</v>
      </c>
      <c r="D1673" s="35">
        <v>90</v>
      </c>
      <c r="E1673" s="35">
        <v>87.5</v>
      </c>
      <c r="F1673" s="33">
        <v>89.75</v>
      </c>
      <c r="G1673" s="29">
        <v>2.57</v>
      </c>
      <c r="H1673" s="29">
        <v>2.25</v>
      </c>
      <c r="I1673" s="35">
        <v>87.5</v>
      </c>
      <c r="J1673" s="34">
        <v>17000</v>
      </c>
      <c r="K1673" s="34">
        <v>1511575</v>
      </c>
    </row>
    <row r="1674" spans="1:11" hidden="1">
      <c r="A1674" s="29" t="s">
        <v>138</v>
      </c>
      <c r="B1674" s="32">
        <v>40372</v>
      </c>
      <c r="C1674" s="29">
        <v>87.25</v>
      </c>
      <c r="D1674" s="35">
        <v>90</v>
      </c>
      <c r="E1674" s="35">
        <v>87.25</v>
      </c>
      <c r="F1674" s="33">
        <v>90</v>
      </c>
      <c r="G1674" s="29">
        <v>0.28000000000000003</v>
      </c>
      <c r="H1674" s="29">
        <v>0.25</v>
      </c>
      <c r="I1674" s="35">
        <v>89.75</v>
      </c>
      <c r="J1674" s="34">
        <v>15000</v>
      </c>
      <c r="K1674" s="34">
        <v>1343775</v>
      </c>
    </row>
    <row r="1675" spans="1:11" hidden="1">
      <c r="A1675" s="29" t="s">
        <v>138</v>
      </c>
      <c r="B1675" s="32">
        <v>40373</v>
      </c>
      <c r="C1675" s="29">
        <v>87.25</v>
      </c>
      <c r="D1675" s="35">
        <v>90.5</v>
      </c>
      <c r="E1675" s="35">
        <v>87.25</v>
      </c>
      <c r="F1675" s="33">
        <v>90</v>
      </c>
      <c r="G1675" s="29">
        <v>0</v>
      </c>
      <c r="H1675" s="29">
        <v>0</v>
      </c>
      <c r="I1675" s="35">
        <v>90</v>
      </c>
      <c r="J1675" s="34">
        <v>122800</v>
      </c>
      <c r="K1675" s="34">
        <v>11054225</v>
      </c>
    </row>
    <row r="1676" spans="1:11" hidden="1">
      <c r="A1676" s="29" t="s">
        <v>138</v>
      </c>
      <c r="B1676" s="32">
        <v>40374</v>
      </c>
      <c r="C1676" s="29">
        <v>88.5</v>
      </c>
      <c r="D1676" s="35">
        <v>91</v>
      </c>
      <c r="E1676" s="35">
        <v>88.5</v>
      </c>
      <c r="F1676" s="33">
        <v>90</v>
      </c>
      <c r="G1676" s="29">
        <v>0</v>
      </c>
      <c r="H1676" s="29">
        <v>0</v>
      </c>
      <c r="I1676" s="35">
        <v>90</v>
      </c>
      <c r="J1676" s="34">
        <v>119500</v>
      </c>
      <c r="K1676" s="34">
        <v>10755100</v>
      </c>
    </row>
    <row r="1677" spans="1:11" hidden="1">
      <c r="A1677" s="29" t="s">
        <v>138</v>
      </c>
      <c r="B1677" s="32">
        <v>40375</v>
      </c>
      <c r="C1677" s="29">
        <v>91</v>
      </c>
      <c r="D1677" s="35">
        <v>95</v>
      </c>
      <c r="E1677" s="35">
        <v>90.5</v>
      </c>
      <c r="F1677" s="33">
        <v>94.75</v>
      </c>
      <c r="G1677" s="29">
        <v>5.28</v>
      </c>
      <c r="H1677" s="29">
        <v>4.75</v>
      </c>
      <c r="I1677" s="35">
        <v>90</v>
      </c>
      <c r="J1677" s="34">
        <v>64100</v>
      </c>
      <c r="K1677" s="34">
        <v>6059325</v>
      </c>
    </row>
    <row r="1678" spans="1:11" hidden="1">
      <c r="A1678" s="29" t="s">
        <v>138</v>
      </c>
      <c r="B1678" s="32">
        <v>40378</v>
      </c>
      <c r="C1678" s="29">
        <v>92</v>
      </c>
      <c r="D1678" s="35">
        <v>92</v>
      </c>
      <c r="E1678" s="35">
        <v>90</v>
      </c>
      <c r="F1678" s="33">
        <v>91</v>
      </c>
      <c r="G1678" s="29">
        <v>-3.96</v>
      </c>
      <c r="H1678" s="29">
        <v>-3.75</v>
      </c>
      <c r="I1678" s="35">
        <v>94.75</v>
      </c>
      <c r="J1678" s="34">
        <v>371400</v>
      </c>
      <c r="K1678" s="34">
        <v>34120450</v>
      </c>
    </row>
    <row r="1679" spans="1:11" hidden="1">
      <c r="A1679" s="29" t="s">
        <v>138</v>
      </c>
      <c r="B1679" s="32">
        <v>40379</v>
      </c>
      <c r="C1679" s="29">
        <v>92</v>
      </c>
      <c r="D1679" s="35">
        <v>92</v>
      </c>
      <c r="E1679" s="35">
        <v>90.75</v>
      </c>
      <c r="F1679" s="33">
        <v>92</v>
      </c>
      <c r="G1679" s="29">
        <v>1.1000000000000001</v>
      </c>
      <c r="H1679" s="29">
        <v>1</v>
      </c>
      <c r="I1679" s="35">
        <v>91</v>
      </c>
      <c r="J1679" s="34">
        <v>52400</v>
      </c>
      <c r="K1679" s="34">
        <v>4803875</v>
      </c>
    </row>
    <row r="1680" spans="1:11" hidden="1">
      <c r="A1680" s="29" t="s">
        <v>138</v>
      </c>
      <c r="B1680" s="32">
        <v>40380</v>
      </c>
      <c r="C1680" s="29">
        <v>92</v>
      </c>
      <c r="D1680" s="35">
        <v>93.25</v>
      </c>
      <c r="E1680" s="35">
        <v>90.5</v>
      </c>
      <c r="F1680" s="33">
        <v>93</v>
      </c>
      <c r="G1680" s="29">
        <v>1.0900000000000001</v>
      </c>
      <c r="H1680" s="29">
        <v>1</v>
      </c>
      <c r="I1680" s="35">
        <v>92</v>
      </c>
      <c r="J1680" s="34">
        <v>42600</v>
      </c>
      <c r="K1680" s="34">
        <v>3924750</v>
      </c>
    </row>
    <row r="1681" spans="1:11" hidden="1">
      <c r="A1681" s="29" t="s">
        <v>138</v>
      </c>
      <c r="B1681" s="32">
        <v>40381</v>
      </c>
      <c r="C1681" s="29">
        <v>92</v>
      </c>
      <c r="D1681" s="35">
        <v>92</v>
      </c>
      <c r="E1681" s="35">
        <v>90</v>
      </c>
      <c r="F1681" s="33">
        <v>90.25</v>
      </c>
      <c r="G1681" s="29">
        <v>-2.96</v>
      </c>
      <c r="H1681" s="29">
        <v>-2.75</v>
      </c>
      <c r="I1681" s="35">
        <v>93</v>
      </c>
      <c r="J1681" s="34">
        <v>47200</v>
      </c>
      <c r="K1681" s="34">
        <v>4300300</v>
      </c>
    </row>
    <row r="1682" spans="1:11" hidden="1">
      <c r="A1682" s="29" t="s">
        <v>138</v>
      </c>
      <c r="B1682" s="32">
        <v>40382</v>
      </c>
      <c r="C1682" s="29">
        <v>91</v>
      </c>
      <c r="D1682" s="35">
        <v>91</v>
      </c>
      <c r="E1682" s="35">
        <v>90.5</v>
      </c>
      <c r="F1682" s="33">
        <v>91</v>
      </c>
      <c r="G1682" s="29">
        <v>0.83</v>
      </c>
      <c r="H1682" s="29">
        <v>0.75</v>
      </c>
      <c r="I1682" s="35">
        <v>90.25</v>
      </c>
      <c r="J1682" s="34">
        <v>19300</v>
      </c>
      <c r="K1682" s="34">
        <v>1756250</v>
      </c>
    </row>
    <row r="1683" spans="1:11" hidden="1">
      <c r="A1683" s="29" t="s">
        <v>138</v>
      </c>
      <c r="B1683" s="32">
        <v>40385</v>
      </c>
      <c r="C1683" s="29">
        <v>91</v>
      </c>
      <c r="D1683" s="35">
        <v>92.5</v>
      </c>
      <c r="E1683" s="35">
        <v>91</v>
      </c>
      <c r="F1683" s="33">
        <v>92.5</v>
      </c>
      <c r="G1683" s="29">
        <v>1.65</v>
      </c>
      <c r="H1683" s="29">
        <v>1.5</v>
      </c>
      <c r="I1683" s="35">
        <v>91</v>
      </c>
      <c r="J1683" s="34">
        <v>36900</v>
      </c>
      <c r="K1683" s="34">
        <v>3407925</v>
      </c>
    </row>
    <row r="1684" spans="1:11" hidden="1">
      <c r="A1684" s="29" t="s">
        <v>138</v>
      </c>
      <c r="B1684" s="32">
        <v>40386</v>
      </c>
      <c r="C1684" s="29">
        <v>92.75</v>
      </c>
      <c r="D1684" s="35">
        <v>95</v>
      </c>
      <c r="E1684" s="35">
        <v>92.75</v>
      </c>
      <c r="F1684" s="33">
        <v>94</v>
      </c>
      <c r="G1684" s="29">
        <v>1.62</v>
      </c>
      <c r="H1684" s="29">
        <v>1.5</v>
      </c>
      <c r="I1684" s="35">
        <v>92.5</v>
      </c>
      <c r="J1684" s="34">
        <v>274800</v>
      </c>
      <c r="K1684" s="34">
        <v>26040700</v>
      </c>
    </row>
    <row r="1685" spans="1:11" hidden="1">
      <c r="A1685" s="29" t="s">
        <v>138</v>
      </c>
      <c r="B1685" s="32">
        <v>40387</v>
      </c>
      <c r="C1685" s="29">
        <v>94</v>
      </c>
      <c r="D1685" s="35">
        <v>95.5</v>
      </c>
      <c r="E1685" s="35">
        <v>94</v>
      </c>
      <c r="F1685" s="33">
        <v>95</v>
      </c>
      <c r="G1685" s="29">
        <v>1.06</v>
      </c>
      <c r="H1685" s="29">
        <v>1</v>
      </c>
      <c r="I1685" s="35">
        <v>94</v>
      </c>
      <c r="J1685" s="34">
        <v>254900</v>
      </c>
      <c r="K1685" s="34">
        <v>24212550</v>
      </c>
    </row>
    <row r="1686" spans="1:11" hidden="1">
      <c r="A1686" s="29" t="s">
        <v>138</v>
      </c>
      <c r="B1686" s="32">
        <v>40388</v>
      </c>
      <c r="C1686" s="29">
        <v>95</v>
      </c>
      <c r="D1686" s="35">
        <v>95</v>
      </c>
      <c r="E1686" s="35">
        <v>93</v>
      </c>
      <c r="F1686" s="33">
        <v>93.5</v>
      </c>
      <c r="G1686" s="29">
        <v>-1.58</v>
      </c>
      <c r="H1686" s="29">
        <v>-1.5</v>
      </c>
      <c r="I1686" s="35">
        <v>95</v>
      </c>
      <c r="J1686" s="34">
        <v>41600</v>
      </c>
      <c r="K1686" s="34">
        <v>3916050</v>
      </c>
    </row>
    <row r="1687" spans="1:11" hidden="1">
      <c r="A1687" s="29" t="s">
        <v>138</v>
      </c>
      <c r="B1687" s="32">
        <v>40389</v>
      </c>
      <c r="C1687" s="29">
        <v>92</v>
      </c>
      <c r="D1687" s="35">
        <v>95</v>
      </c>
      <c r="E1687" s="35">
        <v>92</v>
      </c>
      <c r="F1687" s="33">
        <v>94</v>
      </c>
      <c r="G1687" s="29">
        <v>0.53</v>
      </c>
      <c r="H1687" s="29">
        <v>0.5</v>
      </c>
      <c r="I1687" s="35">
        <v>93.5</v>
      </c>
      <c r="J1687" s="34">
        <v>41700</v>
      </c>
      <c r="K1687" s="34">
        <v>3921875</v>
      </c>
    </row>
    <row r="1688" spans="1:11" hidden="1">
      <c r="A1688" s="29" t="s">
        <v>138</v>
      </c>
      <c r="B1688" s="32">
        <v>40392</v>
      </c>
      <c r="C1688" s="29">
        <v>94</v>
      </c>
      <c r="D1688" s="35">
        <v>94.300003000000004</v>
      </c>
      <c r="E1688" s="35">
        <v>93</v>
      </c>
      <c r="F1688" s="33">
        <v>94.199996999999996</v>
      </c>
      <c r="G1688" s="29">
        <v>0.21</v>
      </c>
      <c r="H1688" s="29">
        <v>0.2</v>
      </c>
      <c r="I1688" s="35">
        <v>94</v>
      </c>
      <c r="J1688" s="34">
        <v>318800</v>
      </c>
      <c r="K1688" s="34">
        <v>30009480</v>
      </c>
    </row>
    <row r="1689" spans="1:11" hidden="1">
      <c r="A1689" s="29" t="s">
        <v>138</v>
      </c>
      <c r="B1689" s="32">
        <v>40393</v>
      </c>
      <c r="C1689" s="29">
        <v>93</v>
      </c>
      <c r="D1689" s="35">
        <v>94</v>
      </c>
      <c r="E1689" s="35">
        <v>92</v>
      </c>
      <c r="F1689" s="33">
        <v>93.400002000000001</v>
      </c>
      <c r="G1689" s="29">
        <v>-0.9</v>
      </c>
      <c r="H1689" s="29">
        <v>-0.85</v>
      </c>
      <c r="I1689" s="35">
        <v>94.25</v>
      </c>
      <c r="J1689" s="34">
        <v>446000</v>
      </c>
      <c r="K1689" s="34">
        <v>41679900</v>
      </c>
    </row>
    <row r="1690" spans="1:11" hidden="1">
      <c r="A1690" s="29" t="s">
        <v>138</v>
      </c>
      <c r="B1690" s="32">
        <v>40394</v>
      </c>
      <c r="C1690" s="29">
        <v>93.5</v>
      </c>
      <c r="D1690" s="35">
        <v>93.5</v>
      </c>
      <c r="E1690" s="35">
        <v>92</v>
      </c>
      <c r="F1690" s="33">
        <v>92</v>
      </c>
      <c r="G1690" s="29">
        <v>-1.6</v>
      </c>
      <c r="H1690" s="29">
        <v>-1.5</v>
      </c>
      <c r="I1690" s="35">
        <v>93.5</v>
      </c>
      <c r="J1690" s="34">
        <v>42200</v>
      </c>
      <c r="K1690" s="34">
        <v>3894490</v>
      </c>
    </row>
    <row r="1691" spans="1:11" hidden="1">
      <c r="A1691" s="29" t="s">
        <v>138</v>
      </c>
      <c r="B1691" s="32">
        <v>40395</v>
      </c>
      <c r="C1691" s="29">
        <v>93</v>
      </c>
      <c r="D1691" s="35">
        <v>93</v>
      </c>
      <c r="E1691" s="35">
        <v>88</v>
      </c>
      <c r="F1691" s="33">
        <v>90.599997999999999</v>
      </c>
      <c r="G1691" s="29">
        <v>-1.79</v>
      </c>
      <c r="H1691" s="29">
        <v>-1.65</v>
      </c>
      <c r="I1691" s="35">
        <v>92.25</v>
      </c>
      <c r="J1691" s="34">
        <v>109200</v>
      </c>
      <c r="K1691" s="34">
        <v>9860330</v>
      </c>
    </row>
    <row r="1692" spans="1:11" hidden="1">
      <c r="A1692" s="29" t="s">
        <v>138</v>
      </c>
      <c r="B1692" s="32">
        <v>40396</v>
      </c>
      <c r="C1692" s="29">
        <v>85</v>
      </c>
      <c r="D1692" s="35">
        <v>90.5</v>
      </c>
      <c r="E1692" s="35">
        <v>85</v>
      </c>
      <c r="F1692" s="33">
        <v>90.099997999999999</v>
      </c>
      <c r="G1692" s="29">
        <v>-0.55000000000000004</v>
      </c>
      <c r="H1692" s="29">
        <v>-0.5</v>
      </c>
      <c r="I1692" s="35">
        <v>90.599997999999999</v>
      </c>
      <c r="J1692" s="34">
        <v>101000</v>
      </c>
      <c r="K1692" s="34">
        <v>9092790</v>
      </c>
    </row>
    <row r="1693" spans="1:11" hidden="1">
      <c r="A1693" s="29" t="s">
        <v>138</v>
      </c>
      <c r="B1693" s="32">
        <v>40399</v>
      </c>
      <c r="C1693" s="29">
        <v>86</v>
      </c>
      <c r="D1693" s="35">
        <v>91.5</v>
      </c>
      <c r="E1693" s="35">
        <v>86</v>
      </c>
      <c r="F1693" s="33">
        <v>88.099997999999999</v>
      </c>
      <c r="G1693" s="29">
        <v>-2.2200000000000002</v>
      </c>
      <c r="H1693" s="29">
        <v>-2</v>
      </c>
      <c r="I1693" s="35">
        <v>90.099997999999999</v>
      </c>
      <c r="J1693" s="34">
        <v>15800</v>
      </c>
      <c r="K1693" s="34">
        <v>1387040</v>
      </c>
    </row>
    <row r="1694" spans="1:11" hidden="1">
      <c r="A1694" s="29" t="s">
        <v>138</v>
      </c>
      <c r="B1694" s="32">
        <v>40400</v>
      </c>
      <c r="C1694" s="29">
        <v>85.1</v>
      </c>
      <c r="D1694" s="35">
        <v>94</v>
      </c>
      <c r="E1694" s="35">
        <v>85</v>
      </c>
      <c r="F1694" s="33">
        <v>93.099997999999999</v>
      </c>
      <c r="G1694" s="29">
        <v>5.68</v>
      </c>
      <c r="H1694" s="29">
        <v>5</v>
      </c>
      <c r="I1694" s="35">
        <v>88.099997999999999</v>
      </c>
      <c r="J1694" s="34">
        <v>47400</v>
      </c>
      <c r="K1694" s="34">
        <v>4227950</v>
      </c>
    </row>
    <row r="1695" spans="1:11" hidden="1">
      <c r="A1695" s="29" t="s">
        <v>138</v>
      </c>
      <c r="B1695" s="32">
        <v>40401</v>
      </c>
      <c r="C1695" s="29">
        <v>91</v>
      </c>
      <c r="D1695" s="35">
        <v>91</v>
      </c>
      <c r="E1695" s="35">
        <v>90.5</v>
      </c>
      <c r="F1695" s="33">
        <v>90.5</v>
      </c>
      <c r="G1695" s="29">
        <v>-2.79</v>
      </c>
      <c r="H1695" s="29">
        <v>-2.6</v>
      </c>
      <c r="I1695" s="35">
        <v>93.099997999999999</v>
      </c>
      <c r="J1695" s="34">
        <v>5700</v>
      </c>
      <c r="K1695" s="34">
        <v>516150</v>
      </c>
    </row>
    <row r="1696" spans="1:11" hidden="1">
      <c r="A1696" s="29" t="s">
        <v>138</v>
      </c>
      <c r="B1696" s="32">
        <v>40402</v>
      </c>
      <c r="C1696" s="29">
        <v>90.1</v>
      </c>
      <c r="D1696" s="35">
        <v>90.5</v>
      </c>
      <c r="E1696" s="35">
        <v>90</v>
      </c>
      <c r="F1696" s="33">
        <v>90</v>
      </c>
      <c r="G1696" s="29">
        <v>-0.55000000000000004</v>
      </c>
      <c r="H1696" s="29">
        <v>-0.5</v>
      </c>
      <c r="I1696" s="35">
        <v>90.5</v>
      </c>
      <c r="J1696" s="34">
        <v>32300</v>
      </c>
      <c r="K1696" s="34">
        <v>2907610</v>
      </c>
    </row>
    <row r="1697" spans="1:11" hidden="1">
      <c r="A1697" s="29" t="s">
        <v>138</v>
      </c>
      <c r="B1697" s="32">
        <v>40403</v>
      </c>
      <c r="C1697" s="29">
        <v>90</v>
      </c>
      <c r="D1697" s="35">
        <v>92.900002000000001</v>
      </c>
      <c r="E1697" s="35">
        <v>90</v>
      </c>
      <c r="F1697" s="33">
        <v>92.5</v>
      </c>
      <c r="G1697" s="29">
        <v>2.78</v>
      </c>
      <c r="H1697" s="29">
        <v>2.5</v>
      </c>
      <c r="I1697" s="35">
        <v>90</v>
      </c>
      <c r="J1697" s="34">
        <v>3300</v>
      </c>
      <c r="K1697" s="34">
        <v>302720</v>
      </c>
    </row>
    <row r="1698" spans="1:11" hidden="1">
      <c r="A1698" s="29" t="s">
        <v>138</v>
      </c>
      <c r="B1698" s="32">
        <v>40406</v>
      </c>
      <c r="C1698" s="29">
        <v>91.2</v>
      </c>
      <c r="D1698" s="35">
        <v>91.2</v>
      </c>
      <c r="E1698" s="35">
        <v>91</v>
      </c>
      <c r="F1698" s="33">
        <v>91</v>
      </c>
      <c r="G1698" s="29">
        <v>-1.62</v>
      </c>
      <c r="H1698" s="29">
        <v>-1.5</v>
      </c>
      <c r="I1698" s="35">
        <v>92.5</v>
      </c>
      <c r="J1698" s="34">
        <v>8000</v>
      </c>
      <c r="K1698" s="34">
        <v>728110</v>
      </c>
    </row>
    <row r="1699" spans="1:11" hidden="1">
      <c r="A1699" s="29" t="s">
        <v>138</v>
      </c>
      <c r="B1699" s="32">
        <v>40407</v>
      </c>
      <c r="C1699" s="29">
        <v>94.5</v>
      </c>
      <c r="D1699" s="35">
        <v>94.5</v>
      </c>
      <c r="E1699" s="35">
        <v>91</v>
      </c>
      <c r="F1699" s="33">
        <v>91</v>
      </c>
      <c r="G1699" s="29">
        <v>0</v>
      </c>
      <c r="H1699" s="29">
        <v>0</v>
      </c>
      <c r="I1699" s="35">
        <v>91</v>
      </c>
      <c r="J1699" s="34">
        <v>14500</v>
      </c>
      <c r="K1699" s="34">
        <v>1339920</v>
      </c>
    </row>
    <row r="1700" spans="1:11" hidden="1">
      <c r="A1700" s="29" t="s">
        <v>138</v>
      </c>
      <c r="B1700" s="32">
        <v>40408</v>
      </c>
      <c r="C1700" s="29">
        <v>92</v>
      </c>
      <c r="D1700" s="35">
        <v>92</v>
      </c>
      <c r="E1700" s="35">
        <v>91</v>
      </c>
      <c r="F1700" s="33">
        <v>91.099997999999999</v>
      </c>
      <c r="G1700" s="29">
        <v>0.11</v>
      </c>
      <c r="H1700" s="29">
        <v>0.1</v>
      </c>
      <c r="I1700" s="35">
        <v>91</v>
      </c>
      <c r="J1700" s="34">
        <v>11800</v>
      </c>
      <c r="K1700" s="34">
        <v>1074110</v>
      </c>
    </row>
    <row r="1701" spans="1:11" hidden="1">
      <c r="A1701" s="29" t="s">
        <v>138</v>
      </c>
      <c r="B1701" s="32">
        <v>40409</v>
      </c>
      <c r="C1701" s="29">
        <v>91</v>
      </c>
      <c r="D1701" s="35">
        <v>93</v>
      </c>
      <c r="E1701" s="35">
        <v>91</v>
      </c>
      <c r="F1701" s="33">
        <v>92.599997999999999</v>
      </c>
      <c r="G1701" s="29">
        <v>1.65</v>
      </c>
      <c r="H1701" s="29">
        <v>1.5</v>
      </c>
      <c r="I1701" s="35">
        <v>91.099997999999999</v>
      </c>
      <c r="J1701" s="34">
        <v>9900</v>
      </c>
      <c r="K1701" s="34">
        <v>911650</v>
      </c>
    </row>
    <row r="1702" spans="1:11" hidden="1">
      <c r="A1702" s="29" t="s">
        <v>138</v>
      </c>
      <c r="B1702" s="32">
        <v>40410</v>
      </c>
      <c r="C1702" s="29">
        <v>90.5</v>
      </c>
      <c r="D1702" s="35">
        <v>91.5</v>
      </c>
      <c r="E1702" s="35">
        <v>90.5</v>
      </c>
      <c r="F1702" s="33">
        <v>91.199996999999996</v>
      </c>
      <c r="G1702" s="29">
        <v>-1.51</v>
      </c>
      <c r="H1702" s="29">
        <v>-1.4</v>
      </c>
      <c r="I1702" s="35">
        <v>92.599997999999999</v>
      </c>
      <c r="J1702" s="34">
        <v>6000</v>
      </c>
      <c r="K1702" s="34">
        <v>545900</v>
      </c>
    </row>
    <row r="1703" spans="1:11" hidden="1">
      <c r="A1703" s="29" t="s">
        <v>138</v>
      </c>
      <c r="B1703" s="32">
        <v>40413</v>
      </c>
      <c r="C1703" s="29">
        <v>92</v>
      </c>
      <c r="D1703" s="35">
        <v>93</v>
      </c>
      <c r="E1703" s="35">
        <v>90.099997999999999</v>
      </c>
      <c r="F1703" s="33">
        <v>91.699996999999996</v>
      </c>
      <c r="G1703" s="29">
        <v>0.55000000000000004</v>
      </c>
      <c r="H1703" s="29">
        <v>0.5</v>
      </c>
      <c r="I1703" s="35">
        <v>91.199996999999996</v>
      </c>
      <c r="J1703" s="34">
        <v>41400</v>
      </c>
      <c r="K1703" s="34">
        <v>3811970</v>
      </c>
    </row>
    <row r="1704" spans="1:11" hidden="1">
      <c r="A1704" s="29" t="s">
        <v>138</v>
      </c>
      <c r="B1704" s="32">
        <v>40415</v>
      </c>
      <c r="C1704" s="29">
        <v>92</v>
      </c>
      <c r="D1704" s="35">
        <v>92.5</v>
      </c>
      <c r="E1704" s="35">
        <v>91</v>
      </c>
      <c r="F1704" s="33">
        <v>91.199996999999996</v>
      </c>
      <c r="G1704" s="29">
        <v>-0.55000000000000004</v>
      </c>
      <c r="H1704" s="29">
        <v>-0.5</v>
      </c>
      <c r="I1704" s="35">
        <v>91.699996999999996</v>
      </c>
      <c r="J1704" s="34">
        <v>119900</v>
      </c>
      <c r="K1704" s="34">
        <v>10929740</v>
      </c>
    </row>
    <row r="1705" spans="1:11" hidden="1">
      <c r="A1705" s="29" t="s">
        <v>138</v>
      </c>
      <c r="B1705" s="32">
        <v>40416</v>
      </c>
      <c r="C1705" s="29">
        <v>91</v>
      </c>
      <c r="D1705" s="35">
        <v>91</v>
      </c>
      <c r="E1705" s="35">
        <v>90</v>
      </c>
      <c r="F1705" s="33">
        <v>90.800003000000004</v>
      </c>
      <c r="G1705" s="29">
        <v>-0.44</v>
      </c>
      <c r="H1705" s="29">
        <v>-0.4</v>
      </c>
      <c r="I1705" s="35">
        <v>91.199996999999996</v>
      </c>
      <c r="J1705" s="34">
        <v>56100</v>
      </c>
      <c r="K1705" s="34">
        <v>5093650</v>
      </c>
    </row>
    <row r="1706" spans="1:11" hidden="1">
      <c r="A1706" s="29" t="s">
        <v>138</v>
      </c>
      <c r="B1706" s="32">
        <v>40417</v>
      </c>
      <c r="C1706" s="29">
        <v>92</v>
      </c>
      <c r="D1706" s="35">
        <v>92</v>
      </c>
      <c r="E1706" s="35">
        <v>90</v>
      </c>
      <c r="F1706" s="33">
        <v>90.599997999999999</v>
      </c>
      <c r="G1706" s="29">
        <v>-0.22</v>
      </c>
      <c r="H1706" s="29">
        <v>-0.2</v>
      </c>
      <c r="I1706" s="35">
        <v>90.800003000000004</v>
      </c>
      <c r="J1706" s="34">
        <v>7100</v>
      </c>
      <c r="K1706" s="34">
        <v>647530</v>
      </c>
    </row>
    <row r="1707" spans="1:11" hidden="1">
      <c r="A1707" s="29" t="s">
        <v>138</v>
      </c>
      <c r="B1707" s="32">
        <v>40420</v>
      </c>
      <c r="C1707" s="29">
        <v>91.9</v>
      </c>
      <c r="D1707" s="35">
        <v>91.900002000000001</v>
      </c>
      <c r="E1707" s="35">
        <v>90.699996999999996</v>
      </c>
      <c r="F1707" s="33">
        <v>90.900002000000001</v>
      </c>
      <c r="G1707" s="29">
        <v>0.33</v>
      </c>
      <c r="H1707" s="29">
        <v>0.3</v>
      </c>
      <c r="I1707" s="35">
        <v>90.599997999999999</v>
      </c>
      <c r="J1707" s="34">
        <v>20700</v>
      </c>
      <c r="K1707" s="34">
        <v>1884780</v>
      </c>
    </row>
    <row r="1708" spans="1:11" hidden="1">
      <c r="A1708" s="29" t="s">
        <v>138</v>
      </c>
      <c r="B1708" s="32">
        <v>40421</v>
      </c>
      <c r="C1708" s="29">
        <v>90.1</v>
      </c>
      <c r="D1708" s="35">
        <v>91.5</v>
      </c>
      <c r="E1708" s="35">
        <v>90</v>
      </c>
      <c r="F1708" s="33">
        <v>90.699996999999996</v>
      </c>
      <c r="G1708" s="29">
        <v>-0.22</v>
      </c>
      <c r="H1708" s="29">
        <v>-0.2</v>
      </c>
      <c r="I1708" s="35">
        <v>90.900002000000001</v>
      </c>
      <c r="J1708" s="34">
        <v>10700</v>
      </c>
      <c r="K1708" s="34">
        <v>970030</v>
      </c>
    </row>
    <row r="1709" spans="1:11" hidden="1">
      <c r="A1709" s="29" t="s">
        <v>138</v>
      </c>
      <c r="B1709" s="32">
        <v>40422</v>
      </c>
      <c r="C1709" s="29">
        <v>91.1</v>
      </c>
      <c r="D1709" s="35">
        <v>91.1</v>
      </c>
      <c r="E1709" s="35">
        <v>90</v>
      </c>
      <c r="F1709" s="33">
        <v>90.300003000000004</v>
      </c>
      <c r="G1709" s="29">
        <v>-0.44</v>
      </c>
      <c r="H1709" s="29">
        <v>-0.4</v>
      </c>
      <c r="I1709" s="35">
        <v>90.699996999999996</v>
      </c>
      <c r="J1709" s="34">
        <v>52800</v>
      </c>
      <c r="K1709" s="34">
        <v>4765170</v>
      </c>
    </row>
    <row r="1710" spans="1:11" hidden="1">
      <c r="A1710" s="29" t="s">
        <v>138</v>
      </c>
      <c r="B1710" s="32">
        <v>40423</v>
      </c>
      <c r="C1710" s="29">
        <v>91</v>
      </c>
      <c r="D1710" s="35">
        <v>93</v>
      </c>
      <c r="E1710" s="35">
        <v>90.099997999999999</v>
      </c>
      <c r="F1710" s="33">
        <v>90.900002000000001</v>
      </c>
      <c r="G1710" s="29">
        <v>0.66</v>
      </c>
      <c r="H1710" s="29">
        <v>0.6</v>
      </c>
      <c r="I1710" s="35">
        <v>90.300003000000004</v>
      </c>
      <c r="J1710" s="34">
        <v>47300</v>
      </c>
      <c r="K1710" s="34">
        <v>4295230</v>
      </c>
    </row>
    <row r="1711" spans="1:11" hidden="1">
      <c r="A1711" s="29" t="s">
        <v>138</v>
      </c>
      <c r="B1711" s="32">
        <v>40424</v>
      </c>
      <c r="C1711" s="29">
        <v>91</v>
      </c>
      <c r="D1711" s="35">
        <v>93.5</v>
      </c>
      <c r="E1711" s="35">
        <v>90</v>
      </c>
      <c r="F1711" s="33">
        <v>92.300003000000004</v>
      </c>
      <c r="G1711" s="29">
        <v>1.54</v>
      </c>
      <c r="H1711" s="29">
        <v>1.4</v>
      </c>
      <c r="I1711" s="35">
        <v>90.900002000000001</v>
      </c>
      <c r="J1711" s="34">
        <v>285400</v>
      </c>
      <c r="K1711" s="34">
        <v>26121280</v>
      </c>
    </row>
    <row r="1712" spans="1:11" hidden="1">
      <c r="A1712" s="29" t="s">
        <v>138</v>
      </c>
      <c r="B1712" s="32">
        <v>40427</v>
      </c>
      <c r="C1712" s="29">
        <v>93</v>
      </c>
      <c r="D1712" s="35">
        <v>95</v>
      </c>
      <c r="E1712" s="35">
        <v>92.900002000000001</v>
      </c>
      <c r="F1712" s="33">
        <v>93</v>
      </c>
      <c r="G1712" s="29">
        <v>0.76</v>
      </c>
      <c r="H1712" s="29">
        <v>0.7</v>
      </c>
      <c r="I1712" s="35">
        <v>92.300003000000004</v>
      </c>
      <c r="J1712" s="34">
        <v>108200</v>
      </c>
      <c r="K1712" s="34">
        <v>10086730</v>
      </c>
    </row>
    <row r="1713" spans="1:11" hidden="1">
      <c r="A1713" s="29" t="s">
        <v>138</v>
      </c>
      <c r="B1713" s="32">
        <v>40428</v>
      </c>
      <c r="C1713" s="29">
        <v>92.9</v>
      </c>
      <c r="D1713" s="35">
        <v>93.800003000000004</v>
      </c>
      <c r="E1713" s="35">
        <v>92.599997999999999</v>
      </c>
      <c r="F1713" s="33">
        <v>93.300003000000004</v>
      </c>
      <c r="G1713" s="29">
        <v>0.32</v>
      </c>
      <c r="H1713" s="29">
        <v>0.3</v>
      </c>
      <c r="I1713" s="35">
        <v>93</v>
      </c>
      <c r="J1713" s="34">
        <v>32900</v>
      </c>
      <c r="K1713" s="34">
        <v>3047930</v>
      </c>
    </row>
    <row r="1714" spans="1:11" hidden="1">
      <c r="A1714" s="29" t="s">
        <v>138</v>
      </c>
      <c r="B1714" s="32">
        <v>40429</v>
      </c>
      <c r="C1714" s="29">
        <v>93</v>
      </c>
      <c r="D1714" s="35">
        <v>95</v>
      </c>
      <c r="E1714" s="35">
        <v>92</v>
      </c>
      <c r="F1714" s="33">
        <v>93.300003000000004</v>
      </c>
      <c r="G1714" s="29">
        <v>0</v>
      </c>
      <c r="H1714" s="29">
        <v>0</v>
      </c>
      <c r="I1714" s="35">
        <v>93.300003000000004</v>
      </c>
      <c r="J1714" s="34">
        <v>48900</v>
      </c>
      <c r="K1714" s="34">
        <v>4577440</v>
      </c>
    </row>
    <row r="1715" spans="1:11" hidden="1">
      <c r="A1715" s="29" t="s">
        <v>138</v>
      </c>
      <c r="B1715" s="32">
        <v>40430</v>
      </c>
      <c r="C1715" s="29">
        <v>94</v>
      </c>
      <c r="D1715" s="35">
        <v>96</v>
      </c>
      <c r="E1715" s="35">
        <v>94</v>
      </c>
      <c r="F1715" s="33">
        <v>95.900002000000001</v>
      </c>
      <c r="G1715" s="29">
        <v>2.79</v>
      </c>
      <c r="H1715" s="29">
        <v>2.6</v>
      </c>
      <c r="I1715" s="35">
        <v>93.300003000000004</v>
      </c>
      <c r="J1715" s="34">
        <v>118700</v>
      </c>
      <c r="K1715" s="34">
        <v>11334190</v>
      </c>
    </row>
    <row r="1716" spans="1:11" hidden="1">
      <c r="A1716" s="29" t="s">
        <v>138</v>
      </c>
      <c r="B1716" s="32">
        <v>40434</v>
      </c>
      <c r="C1716" s="29">
        <v>95.5</v>
      </c>
      <c r="D1716" s="35">
        <v>95.900002000000001</v>
      </c>
      <c r="E1716" s="35">
        <v>95</v>
      </c>
      <c r="F1716" s="33">
        <v>95</v>
      </c>
      <c r="G1716" s="29">
        <v>-0.94</v>
      </c>
      <c r="H1716" s="29">
        <v>-0.9</v>
      </c>
      <c r="I1716" s="35">
        <v>95.900002000000001</v>
      </c>
      <c r="J1716" s="34">
        <v>142500</v>
      </c>
      <c r="K1716" s="34">
        <v>13577470</v>
      </c>
    </row>
    <row r="1717" spans="1:11" hidden="1">
      <c r="A1717" s="29" t="s">
        <v>138</v>
      </c>
      <c r="B1717" s="32">
        <v>40435</v>
      </c>
      <c r="C1717" s="29">
        <v>95</v>
      </c>
      <c r="D1717" s="35">
        <v>97</v>
      </c>
      <c r="E1717" s="35">
        <v>93.5</v>
      </c>
      <c r="F1717" s="33">
        <v>93.599997999999999</v>
      </c>
      <c r="G1717" s="29">
        <v>-1.47</v>
      </c>
      <c r="H1717" s="29">
        <v>-1.4</v>
      </c>
      <c r="I1717" s="35">
        <v>95</v>
      </c>
      <c r="J1717" s="34">
        <v>89200</v>
      </c>
      <c r="K1717" s="34">
        <v>8429250</v>
      </c>
    </row>
    <row r="1718" spans="1:11" hidden="1">
      <c r="A1718" s="29" t="s">
        <v>138</v>
      </c>
      <c r="B1718" s="32">
        <v>40436</v>
      </c>
      <c r="C1718" s="29">
        <v>95</v>
      </c>
      <c r="D1718" s="35">
        <v>98.900002000000001</v>
      </c>
      <c r="E1718" s="35">
        <v>90</v>
      </c>
      <c r="F1718" s="33">
        <v>95.800003000000004</v>
      </c>
      <c r="G1718" s="29">
        <v>2.35</v>
      </c>
      <c r="H1718" s="29">
        <v>2.2000000000000002</v>
      </c>
      <c r="I1718" s="35">
        <v>93.599997999999999</v>
      </c>
      <c r="J1718" s="34">
        <v>180000</v>
      </c>
      <c r="K1718" s="34">
        <v>17290450</v>
      </c>
    </row>
    <row r="1719" spans="1:11" hidden="1">
      <c r="A1719" s="29" t="s">
        <v>138</v>
      </c>
      <c r="B1719" s="32">
        <v>40437</v>
      </c>
      <c r="C1719" s="29">
        <v>96</v>
      </c>
      <c r="D1719" s="35">
        <v>103</v>
      </c>
      <c r="E1719" s="35">
        <v>96</v>
      </c>
      <c r="F1719" s="33">
        <v>101.5</v>
      </c>
      <c r="G1719" s="29">
        <v>5.95</v>
      </c>
      <c r="H1719" s="29">
        <v>5.7</v>
      </c>
      <c r="I1719" s="35">
        <v>95.800003000000004</v>
      </c>
      <c r="J1719" s="34">
        <v>221000</v>
      </c>
      <c r="K1719" s="34">
        <v>22010010</v>
      </c>
    </row>
    <row r="1720" spans="1:11" hidden="1">
      <c r="A1720" s="29" t="s">
        <v>138</v>
      </c>
      <c r="B1720" s="32">
        <v>40438</v>
      </c>
      <c r="C1720" s="29">
        <v>102.5</v>
      </c>
      <c r="D1720" s="35">
        <v>107</v>
      </c>
      <c r="E1720" s="35">
        <v>100.900002</v>
      </c>
      <c r="F1720" s="33">
        <v>102.199997</v>
      </c>
      <c r="G1720" s="29">
        <v>0.69</v>
      </c>
      <c r="H1720" s="29">
        <v>0.7</v>
      </c>
      <c r="I1720" s="35">
        <v>101.5</v>
      </c>
      <c r="J1720" s="34">
        <v>135400</v>
      </c>
      <c r="K1720" s="34">
        <v>14168470</v>
      </c>
    </row>
    <row r="1721" spans="1:11" hidden="1">
      <c r="A1721" s="29" t="s">
        <v>138</v>
      </c>
      <c r="B1721" s="32">
        <v>40441</v>
      </c>
      <c r="C1721" s="29">
        <v>104.5</v>
      </c>
      <c r="D1721" s="35">
        <v>104.5</v>
      </c>
      <c r="E1721" s="35">
        <v>98</v>
      </c>
      <c r="F1721" s="33">
        <v>98.800003000000004</v>
      </c>
      <c r="G1721" s="29">
        <v>-3.33</v>
      </c>
      <c r="H1721" s="29">
        <v>-3.4</v>
      </c>
      <c r="I1721" s="35">
        <v>102.199997</v>
      </c>
      <c r="J1721" s="34">
        <v>29800</v>
      </c>
      <c r="K1721" s="34">
        <v>2983390</v>
      </c>
    </row>
    <row r="1722" spans="1:11" hidden="1">
      <c r="A1722" s="29" t="s">
        <v>138</v>
      </c>
      <c r="B1722" s="32">
        <v>40442</v>
      </c>
      <c r="C1722" s="29">
        <v>102</v>
      </c>
      <c r="D1722" s="35">
        <v>105</v>
      </c>
      <c r="E1722" s="35">
        <v>99</v>
      </c>
      <c r="F1722" s="33">
        <v>104.699997</v>
      </c>
      <c r="G1722" s="29">
        <v>5.97</v>
      </c>
      <c r="H1722" s="29">
        <v>5.9</v>
      </c>
      <c r="I1722" s="35">
        <v>98.800003000000004</v>
      </c>
      <c r="J1722" s="34">
        <v>95200</v>
      </c>
      <c r="K1722" s="34">
        <v>9698980</v>
      </c>
    </row>
    <row r="1723" spans="1:11" hidden="1">
      <c r="A1723" s="29" t="s">
        <v>138</v>
      </c>
      <c r="B1723" s="32">
        <v>40444</v>
      </c>
      <c r="C1723" s="29">
        <v>105</v>
      </c>
      <c r="D1723" s="35">
        <v>105</v>
      </c>
      <c r="E1723" s="35">
        <v>98.099997999999999</v>
      </c>
      <c r="F1723" s="33">
        <v>101.800003</v>
      </c>
      <c r="G1723" s="29">
        <v>-2.77</v>
      </c>
      <c r="H1723" s="29">
        <v>-2.9</v>
      </c>
      <c r="I1723" s="35">
        <v>104.699997</v>
      </c>
      <c r="J1723" s="34">
        <v>187700</v>
      </c>
      <c r="K1723" s="34">
        <v>19375600</v>
      </c>
    </row>
    <row r="1724" spans="1:11" hidden="1">
      <c r="A1724" s="29" t="s">
        <v>138</v>
      </c>
      <c r="B1724" s="32">
        <v>40445</v>
      </c>
      <c r="C1724" s="29">
        <v>100</v>
      </c>
      <c r="D1724" s="35">
        <v>102</v>
      </c>
      <c r="E1724" s="35">
        <v>98.5</v>
      </c>
      <c r="F1724" s="33">
        <v>101.199997</v>
      </c>
      <c r="G1724" s="29">
        <v>-0.59</v>
      </c>
      <c r="H1724" s="29">
        <v>-0.6</v>
      </c>
      <c r="I1724" s="35">
        <v>101.800003</v>
      </c>
      <c r="J1724" s="34">
        <v>35000</v>
      </c>
      <c r="K1724" s="34">
        <v>3517480</v>
      </c>
    </row>
    <row r="1725" spans="1:11" hidden="1">
      <c r="A1725" s="29" t="s">
        <v>138</v>
      </c>
      <c r="B1725" s="32">
        <v>40448</v>
      </c>
      <c r="C1725" s="29">
        <v>102</v>
      </c>
      <c r="D1725" s="35">
        <v>103</v>
      </c>
      <c r="E1725" s="35">
        <v>99</v>
      </c>
      <c r="F1725" s="33">
        <v>99.699996999999996</v>
      </c>
      <c r="G1725" s="29">
        <v>-1.48</v>
      </c>
      <c r="H1725" s="29">
        <v>-1.5</v>
      </c>
      <c r="I1725" s="35">
        <v>101.199997</v>
      </c>
      <c r="J1725" s="34">
        <v>72600</v>
      </c>
      <c r="K1725" s="34">
        <v>7357200</v>
      </c>
    </row>
    <row r="1726" spans="1:11" hidden="1">
      <c r="A1726" s="29" t="s">
        <v>138</v>
      </c>
      <c r="B1726" s="32">
        <v>40449</v>
      </c>
      <c r="C1726" s="29">
        <v>100</v>
      </c>
      <c r="D1726" s="35">
        <v>101</v>
      </c>
      <c r="E1726" s="35">
        <v>97.099997999999999</v>
      </c>
      <c r="F1726" s="33">
        <v>99.800003000000004</v>
      </c>
      <c r="G1726" s="29">
        <v>0.1</v>
      </c>
      <c r="H1726" s="29">
        <v>0.1</v>
      </c>
      <c r="I1726" s="35">
        <v>99.699996999999996</v>
      </c>
      <c r="J1726" s="34">
        <v>67000</v>
      </c>
      <c r="K1726" s="34">
        <v>6668100</v>
      </c>
    </row>
    <row r="1727" spans="1:11" hidden="1">
      <c r="A1727" s="29" t="s">
        <v>138</v>
      </c>
      <c r="B1727" s="32">
        <v>40450</v>
      </c>
      <c r="C1727" s="29">
        <v>99</v>
      </c>
      <c r="D1727" s="35">
        <v>100</v>
      </c>
      <c r="E1727" s="35">
        <v>98.5</v>
      </c>
      <c r="F1727" s="33">
        <v>99</v>
      </c>
      <c r="G1727" s="29">
        <v>-0.8</v>
      </c>
      <c r="H1727" s="29">
        <v>-0.8</v>
      </c>
      <c r="I1727" s="35">
        <v>99.800003000000004</v>
      </c>
      <c r="J1727" s="34">
        <v>72200</v>
      </c>
      <c r="K1727" s="34">
        <v>7149750</v>
      </c>
    </row>
    <row r="1728" spans="1:11" hidden="1">
      <c r="A1728" s="29" t="s">
        <v>138</v>
      </c>
      <c r="B1728" s="32">
        <v>40451</v>
      </c>
      <c r="C1728" s="29">
        <v>99</v>
      </c>
      <c r="D1728" s="35">
        <v>103</v>
      </c>
      <c r="E1728" s="35">
        <v>98.199996999999996</v>
      </c>
      <c r="F1728" s="33">
        <v>99.699996999999996</v>
      </c>
      <c r="G1728" s="29">
        <v>0.71</v>
      </c>
      <c r="H1728" s="29">
        <v>0.7</v>
      </c>
      <c r="I1728" s="35">
        <v>99</v>
      </c>
      <c r="J1728" s="34">
        <v>76800</v>
      </c>
      <c r="K1728" s="34">
        <v>7662970</v>
      </c>
    </row>
    <row r="1729" spans="1:11" hidden="1">
      <c r="A1729" s="29" t="s">
        <v>138</v>
      </c>
      <c r="B1729" s="32">
        <v>40452</v>
      </c>
      <c r="C1729" s="29">
        <v>99.1</v>
      </c>
      <c r="D1729" s="35">
        <v>100</v>
      </c>
      <c r="E1729" s="35">
        <v>97.900002000000001</v>
      </c>
      <c r="F1729" s="33">
        <v>98</v>
      </c>
      <c r="G1729" s="29">
        <v>-1.71</v>
      </c>
      <c r="H1729" s="29">
        <v>-1.7</v>
      </c>
      <c r="I1729" s="35">
        <v>99.699996999999996</v>
      </c>
      <c r="J1729" s="34">
        <v>40100</v>
      </c>
      <c r="K1729" s="34">
        <v>3961850</v>
      </c>
    </row>
    <row r="1730" spans="1:11" hidden="1">
      <c r="A1730" s="29" t="s">
        <v>138</v>
      </c>
      <c r="B1730" s="32">
        <v>40455</v>
      </c>
      <c r="C1730" s="29">
        <v>99</v>
      </c>
      <c r="D1730" s="35">
        <v>100</v>
      </c>
      <c r="E1730" s="35">
        <v>97</v>
      </c>
      <c r="F1730" s="33">
        <v>98</v>
      </c>
      <c r="G1730" s="29">
        <v>0</v>
      </c>
      <c r="H1730" s="29">
        <v>0</v>
      </c>
      <c r="I1730" s="35">
        <v>98</v>
      </c>
      <c r="J1730" s="34">
        <v>73700</v>
      </c>
      <c r="K1730" s="34">
        <v>7282720</v>
      </c>
    </row>
    <row r="1731" spans="1:11" hidden="1">
      <c r="A1731" s="29" t="s">
        <v>138</v>
      </c>
      <c r="B1731" s="32">
        <v>40456</v>
      </c>
      <c r="C1731" s="29">
        <v>95</v>
      </c>
      <c r="D1731" s="35">
        <v>97</v>
      </c>
      <c r="E1731" s="35">
        <v>95</v>
      </c>
      <c r="F1731" s="33">
        <v>95.599997999999999</v>
      </c>
      <c r="G1731" s="29">
        <v>-2.4500000000000002</v>
      </c>
      <c r="H1731" s="29">
        <v>-2.4</v>
      </c>
      <c r="I1731" s="35">
        <v>98</v>
      </c>
      <c r="J1731" s="34">
        <v>6600</v>
      </c>
      <c r="K1731" s="34">
        <v>628560</v>
      </c>
    </row>
    <row r="1732" spans="1:11" hidden="1">
      <c r="A1732" s="29" t="s">
        <v>138</v>
      </c>
      <c r="B1732" s="32">
        <v>40457</v>
      </c>
      <c r="C1732" s="29">
        <v>95</v>
      </c>
      <c r="D1732" s="35">
        <v>95</v>
      </c>
      <c r="E1732" s="35">
        <v>93.099997999999999</v>
      </c>
      <c r="F1732" s="33">
        <v>94.400002000000001</v>
      </c>
      <c r="G1732" s="29">
        <v>-1.26</v>
      </c>
      <c r="H1732" s="29">
        <v>-1.2</v>
      </c>
      <c r="I1732" s="35">
        <v>95.599997999999999</v>
      </c>
      <c r="J1732" s="34">
        <v>16400</v>
      </c>
      <c r="K1732" s="34">
        <v>1552800</v>
      </c>
    </row>
    <row r="1733" spans="1:11" hidden="1">
      <c r="A1733" s="29" t="s">
        <v>138</v>
      </c>
      <c r="B1733" s="32">
        <v>40458</v>
      </c>
      <c r="C1733" s="29">
        <v>92</v>
      </c>
      <c r="D1733" s="35">
        <v>96</v>
      </c>
      <c r="E1733" s="35">
        <v>90</v>
      </c>
      <c r="F1733" s="33">
        <v>92.599997999999999</v>
      </c>
      <c r="G1733" s="29">
        <v>-1.91</v>
      </c>
      <c r="H1733" s="29">
        <v>-1.8</v>
      </c>
      <c r="I1733" s="35">
        <v>94.400002000000001</v>
      </c>
      <c r="J1733" s="34">
        <v>26600</v>
      </c>
      <c r="K1733" s="34">
        <v>2477340</v>
      </c>
    </row>
    <row r="1734" spans="1:11" hidden="1">
      <c r="A1734" s="29" t="s">
        <v>138</v>
      </c>
      <c r="B1734" s="32">
        <v>40459</v>
      </c>
      <c r="C1734" s="29">
        <v>92</v>
      </c>
      <c r="D1734" s="35">
        <v>94.5</v>
      </c>
      <c r="E1734" s="35">
        <v>90.099997999999999</v>
      </c>
      <c r="F1734" s="33">
        <v>94</v>
      </c>
      <c r="G1734" s="29">
        <v>1.51</v>
      </c>
      <c r="H1734" s="29">
        <v>1.4</v>
      </c>
      <c r="I1734" s="35">
        <v>92.599997999999999</v>
      </c>
      <c r="J1734" s="34">
        <v>13100</v>
      </c>
      <c r="K1734" s="34">
        <v>1208480</v>
      </c>
    </row>
    <row r="1735" spans="1:11" hidden="1">
      <c r="A1735" s="29" t="s">
        <v>138</v>
      </c>
      <c r="B1735" s="32">
        <v>40462</v>
      </c>
      <c r="C1735" s="29">
        <v>94</v>
      </c>
      <c r="D1735" s="35">
        <v>94.900002000000001</v>
      </c>
      <c r="E1735" s="35">
        <v>93</v>
      </c>
      <c r="F1735" s="33">
        <v>93</v>
      </c>
      <c r="G1735" s="29">
        <v>-1.06</v>
      </c>
      <c r="H1735" s="29">
        <v>-1</v>
      </c>
      <c r="I1735" s="35">
        <v>94</v>
      </c>
      <c r="J1735" s="34">
        <v>77400</v>
      </c>
      <c r="K1735" s="34">
        <v>7239890</v>
      </c>
    </row>
    <row r="1736" spans="1:11" hidden="1">
      <c r="A1736" s="29" t="s">
        <v>138</v>
      </c>
      <c r="B1736" s="32">
        <v>40463</v>
      </c>
      <c r="C1736" s="29">
        <v>92.5</v>
      </c>
      <c r="D1736" s="35">
        <v>93</v>
      </c>
      <c r="E1736" s="35">
        <v>89</v>
      </c>
      <c r="F1736" s="33">
        <v>89.300003000000004</v>
      </c>
      <c r="G1736" s="29">
        <v>-3.98</v>
      </c>
      <c r="H1736" s="29">
        <v>-3.7</v>
      </c>
      <c r="I1736" s="35">
        <v>93</v>
      </c>
      <c r="J1736" s="34">
        <v>23400</v>
      </c>
      <c r="K1736" s="34">
        <v>2125860</v>
      </c>
    </row>
    <row r="1737" spans="1:11" hidden="1">
      <c r="A1737" s="29" t="s">
        <v>138</v>
      </c>
      <c r="B1737" s="32">
        <v>40464</v>
      </c>
      <c r="C1737" s="29">
        <v>90</v>
      </c>
      <c r="D1737" s="35">
        <v>92</v>
      </c>
      <c r="E1737" s="35">
        <v>87.5</v>
      </c>
      <c r="F1737" s="33">
        <v>90</v>
      </c>
      <c r="G1737" s="29">
        <v>0.78</v>
      </c>
      <c r="H1737" s="29">
        <v>0.7</v>
      </c>
      <c r="I1737" s="35">
        <v>89.300003000000004</v>
      </c>
      <c r="J1737" s="34">
        <v>98500</v>
      </c>
      <c r="K1737" s="34">
        <v>8862950</v>
      </c>
    </row>
    <row r="1738" spans="1:11" hidden="1">
      <c r="A1738" s="29" t="s">
        <v>138</v>
      </c>
      <c r="B1738" s="32">
        <v>40465</v>
      </c>
      <c r="C1738" s="29">
        <v>92</v>
      </c>
      <c r="D1738" s="35">
        <v>92</v>
      </c>
      <c r="E1738" s="35">
        <v>90</v>
      </c>
      <c r="F1738" s="33">
        <v>90</v>
      </c>
      <c r="G1738" s="29">
        <v>0</v>
      </c>
      <c r="H1738" s="29">
        <v>0</v>
      </c>
      <c r="I1738" s="35">
        <v>90</v>
      </c>
      <c r="J1738" s="34">
        <v>15500</v>
      </c>
      <c r="K1738" s="34">
        <v>1402600</v>
      </c>
    </row>
    <row r="1739" spans="1:11" hidden="1">
      <c r="A1739" s="29" t="s">
        <v>138</v>
      </c>
      <c r="B1739" s="32">
        <v>40466</v>
      </c>
      <c r="C1739" s="29">
        <v>93</v>
      </c>
      <c r="D1739" s="35">
        <v>94.900002000000001</v>
      </c>
      <c r="E1739" s="35">
        <v>89</v>
      </c>
      <c r="F1739" s="33">
        <v>89</v>
      </c>
      <c r="G1739" s="29">
        <v>-1.1100000000000001</v>
      </c>
      <c r="H1739" s="29">
        <v>-1</v>
      </c>
      <c r="I1739" s="35">
        <v>90</v>
      </c>
      <c r="J1739" s="34">
        <v>31400</v>
      </c>
      <c r="K1739" s="34">
        <v>2867040</v>
      </c>
    </row>
    <row r="1740" spans="1:11" hidden="1">
      <c r="A1740" s="29" t="s">
        <v>138</v>
      </c>
      <c r="B1740" s="32">
        <v>40469</v>
      </c>
      <c r="C1740" s="29">
        <v>90</v>
      </c>
      <c r="D1740" s="35">
        <v>91</v>
      </c>
      <c r="E1740" s="35">
        <v>88</v>
      </c>
      <c r="F1740" s="33">
        <v>88.699996999999996</v>
      </c>
      <c r="G1740" s="29">
        <v>-0.34</v>
      </c>
      <c r="H1740" s="29">
        <v>-0.3</v>
      </c>
      <c r="I1740" s="35">
        <v>89</v>
      </c>
      <c r="J1740" s="34">
        <v>47000</v>
      </c>
      <c r="K1740" s="34">
        <v>4218200</v>
      </c>
    </row>
    <row r="1741" spans="1:11" hidden="1">
      <c r="A1741" s="29" t="s">
        <v>138</v>
      </c>
      <c r="B1741" s="32">
        <v>40470</v>
      </c>
      <c r="C1741" s="29">
        <v>90</v>
      </c>
      <c r="D1741" s="35">
        <v>93.099997999999999</v>
      </c>
      <c r="E1741" s="35">
        <v>90</v>
      </c>
      <c r="F1741" s="33">
        <v>92</v>
      </c>
      <c r="G1741" s="29">
        <v>3.72</v>
      </c>
      <c r="H1741" s="29">
        <v>3.3</v>
      </c>
      <c r="I1741" s="35">
        <v>88.699996999999996</v>
      </c>
      <c r="J1741" s="34">
        <v>16700</v>
      </c>
      <c r="K1741" s="34">
        <v>1525250</v>
      </c>
    </row>
    <row r="1742" spans="1:11" hidden="1">
      <c r="A1742" s="29" t="s">
        <v>138</v>
      </c>
      <c r="B1742" s="32">
        <v>40471</v>
      </c>
      <c r="C1742" s="29">
        <v>90</v>
      </c>
      <c r="D1742" s="35">
        <v>90</v>
      </c>
      <c r="E1742" s="35">
        <v>89.5</v>
      </c>
      <c r="F1742" s="33">
        <v>89.800003000000004</v>
      </c>
      <c r="G1742" s="29">
        <v>-2.39</v>
      </c>
      <c r="H1742" s="29">
        <v>-2.2000000000000002</v>
      </c>
      <c r="I1742" s="35">
        <v>92</v>
      </c>
      <c r="J1742" s="34">
        <v>20200</v>
      </c>
      <c r="K1742" s="34">
        <v>1817950</v>
      </c>
    </row>
    <row r="1743" spans="1:11" hidden="1">
      <c r="A1743" s="29" t="s">
        <v>138</v>
      </c>
      <c r="B1743" s="32">
        <v>40472</v>
      </c>
      <c r="C1743" s="29">
        <v>89</v>
      </c>
      <c r="D1743" s="35">
        <v>90</v>
      </c>
      <c r="E1743" s="35">
        <v>89</v>
      </c>
      <c r="F1743" s="33">
        <v>89.300003000000004</v>
      </c>
      <c r="G1743" s="29">
        <v>-0.56000000000000005</v>
      </c>
      <c r="H1743" s="29">
        <v>-0.5</v>
      </c>
      <c r="I1743" s="35">
        <v>89.800003000000004</v>
      </c>
      <c r="J1743" s="34">
        <v>5100</v>
      </c>
      <c r="K1743" s="34">
        <v>454900</v>
      </c>
    </row>
    <row r="1744" spans="1:11" hidden="1">
      <c r="A1744" s="29" t="s">
        <v>138</v>
      </c>
      <c r="B1744" s="32">
        <v>40476</v>
      </c>
      <c r="C1744" s="29">
        <v>90.4</v>
      </c>
      <c r="D1744" s="35">
        <v>90.400002000000001</v>
      </c>
      <c r="E1744" s="35">
        <v>90.4</v>
      </c>
      <c r="F1744" s="33">
        <v>90.400002000000001</v>
      </c>
      <c r="G1744" s="29">
        <v>1.23</v>
      </c>
      <c r="H1744" s="29">
        <v>1.1000000000000001</v>
      </c>
      <c r="I1744" s="35">
        <v>89.300003000000004</v>
      </c>
      <c r="J1744" s="34">
        <v>4700</v>
      </c>
      <c r="K1744" s="34">
        <v>424880</v>
      </c>
    </row>
    <row r="1745" spans="1:11" hidden="1">
      <c r="A1745" s="29" t="s">
        <v>138</v>
      </c>
      <c r="B1745" s="32">
        <v>40477</v>
      </c>
      <c r="C1745" s="29">
        <v>88</v>
      </c>
      <c r="D1745" s="35">
        <v>88</v>
      </c>
      <c r="E1745" s="35">
        <v>87.900002000000001</v>
      </c>
      <c r="F1745" s="33">
        <v>88</v>
      </c>
      <c r="G1745" s="29">
        <v>-2.65</v>
      </c>
      <c r="H1745" s="29">
        <v>-2.4</v>
      </c>
      <c r="I1745" s="35">
        <v>90.400002000000001</v>
      </c>
      <c r="J1745" s="34">
        <v>87500</v>
      </c>
      <c r="K1745" s="34">
        <v>7698000</v>
      </c>
    </row>
    <row r="1746" spans="1:11" hidden="1">
      <c r="A1746" s="29" t="s">
        <v>138</v>
      </c>
      <c r="B1746" s="32">
        <v>40478</v>
      </c>
      <c r="C1746" s="29">
        <v>87.5</v>
      </c>
      <c r="D1746" s="35">
        <v>87.5</v>
      </c>
      <c r="E1746" s="35">
        <v>85.5</v>
      </c>
      <c r="F1746" s="33">
        <v>87</v>
      </c>
      <c r="G1746" s="29">
        <v>-1.1399999999999999</v>
      </c>
      <c r="H1746" s="29">
        <v>-1</v>
      </c>
      <c r="I1746" s="35">
        <v>88</v>
      </c>
      <c r="J1746" s="34">
        <v>35800</v>
      </c>
      <c r="K1746" s="34">
        <v>3112210</v>
      </c>
    </row>
    <row r="1747" spans="1:11" hidden="1">
      <c r="A1747" s="29" t="s">
        <v>138</v>
      </c>
      <c r="B1747" s="32">
        <v>40479</v>
      </c>
      <c r="C1747" s="29">
        <v>87</v>
      </c>
      <c r="D1747" s="35">
        <v>87.5</v>
      </c>
      <c r="E1747" s="35">
        <v>87</v>
      </c>
      <c r="F1747" s="33">
        <v>87.099997999999999</v>
      </c>
      <c r="G1747" s="29">
        <v>0.11</v>
      </c>
      <c r="H1747" s="29">
        <v>0.1</v>
      </c>
      <c r="I1747" s="35">
        <v>87</v>
      </c>
      <c r="J1747" s="34">
        <v>100200</v>
      </c>
      <c r="K1747" s="34">
        <v>8718680</v>
      </c>
    </row>
    <row r="1748" spans="1:11" hidden="1">
      <c r="A1748" s="29" t="s">
        <v>138</v>
      </c>
      <c r="B1748" s="32">
        <v>40480</v>
      </c>
      <c r="C1748" s="29">
        <v>87</v>
      </c>
      <c r="D1748" s="35">
        <v>89.199996999999996</v>
      </c>
      <c r="E1748" s="35">
        <v>87</v>
      </c>
      <c r="F1748" s="33">
        <v>88.599997999999999</v>
      </c>
      <c r="G1748" s="29">
        <v>1.72</v>
      </c>
      <c r="H1748" s="29">
        <v>1.5</v>
      </c>
      <c r="I1748" s="35">
        <v>87.099997999999999</v>
      </c>
      <c r="J1748" s="34">
        <v>68100</v>
      </c>
      <c r="K1748" s="34">
        <v>6040120</v>
      </c>
    </row>
    <row r="1749" spans="1:11" hidden="1">
      <c r="A1749" s="29" t="s">
        <v>138</v>
      </c>
      <c r="B1749" s="32">
        <v>40483</v>
      </c>
      <c r="C1749" s="29">
        <v>89</v>
      </c>
      <c r="D1749" s="35">
        <v>90</v>
      </c>
      <c r="E1749" s="35">
        <v>89</v>
      </c>
      <c r="F1749" s="33">
        <v>89.900002000000001</v>
      </c>
      <c r="G1749" s="29">
        <v>1.47</v>
      </c>
      <c r="H1749" s="29">
        <v>1.3</v>
      </c>
      <c r="I1749" s="35">
        <v>88.599997999999999</v>
      </c>
      <c r="J1749" s="34">
        <v>38600</v>
      </c>
      <c r="K1749" s="34">
        <v>3442090</v>
      </c>
    </row>
    <row r="1750" spans="1:11" hidden="1">
      <c r="A1750" s="29" t="s">
        <v>138</v>
      </c>
      <c r="B1750" s="32">
        <v>40484</v>
      </c>
      <c r="C1750" s="29">
        <v>90</v>
      </c>
      <c r="D1750" s="35">
        <v>90</v>
      </c>
      <c r="E1750" s="35">
        <v>89</v>
      </c>
      <c r="F1750" s="33">
        <v>89.900002000000001</v>
      </c>
      <c r="G1750" s="29">
        <v>0</v>
      </c>
      <c r="H1750" s="29">
        <v>0</v>
      </c>
      <c r="I1750" s="35">
        <v>89.900002000000001</v>
      </c>
      <c r="J1750" s="34">
        <v>23400</v>
      </c>
      <c r="K1750" s="34">
        <v>2103880</v>
      </c>
    </row>
    <row r="1751" spans="1:11" hidden="1">
      <c r="A1751" s="29" t="s">
        <v>138</v>
      </c>
      <c r="B1751" s="32">
        <v>40485</v>
      </c>
      <c r="C1751" s="29">
        <v>88.1</v>
      </c>
      <c r="D1751" s="35">
        <v>90</v>
      </c>
      <c r="E1751" s="35">
        <v>87.5</v>
      </c>
      <c r="F1751" s="33">
        <v>90</v>
      </c>
      <c r="G1751" s="29">
        <v>0.11</v>
      </c>
      <c r="H1751" s="29">
        <v>0.1</v>
      </c>
      <c r="I1751" s="35">
        <v>89.900002000000001</v>
      </c>
      <c r="J1751" s="34">
        <v>40000</v>
      </c>
      <c r="K1751" s="34">
        <v>3543470</v>
      </c>
    </row>
    <row r="1752" spans="1:11" hidden="1">
      <c r="A1752" s="29" t="s">
        <v>138</v>
      </c>
      <c r="B1752" s="32">
        <v>40486</v>
      </c>
      <c r="C1752" s="29">
        <v>87.5</v>
      </c>
      <c r="D1752" s="35">
        <v>88</v>
      </c>
      <c r="E1752" s="35">
        <v>87.5</v>
      </c>
      <c r="F1752" s="33">
        <v>88</v>
      </c>
      <c r="G1752" s="29">
        <v>-2.2200000000000002</v>
      </c>
      <c r="H1752" s="29">
        <v>-2</v>
      </c>
      <c r="I1752" s="35">
        <v>90</v>
      </c>
      <c r="J1752" s="34">
        <v>12600</v>
      </c>
      <c r="K1752" s="34">
        <v>1103450</v>
      </c>
    </row>
    <row r="1753" spans="1:11" hidden="1">
      <c r="A1753" s="29" t="s">
        <v>138</v>
      </c>
      <c r="B1753" s="32">
        <v>40490</v>
      </c>
      <c r="C1753" s="29">
        <v>88</v>
      </c>
      <c r="D1753" s="35">
        <v>92.5</v>
      </c>
      <c r="E1753" s="35">
        <v>88</v>
      </c>
      <c r="F1753" s="33">
        <v>88.699996999999996</v>
      </c>
      <c r="G1753" s="29">
        <v>0.8</v>
      </c>
      <c r="H1753" s="29">
        <v>0.7</v>
      </c>
      <c r="I1753" s="35">
        <v>88</v>
      </c>
      <c r="J1753" s="34">
        <v>19300</v>
      </c>
      <c r="K1753" s="34">
        <v>1714940</v>
      </c>
    </row>
    <row r="1754" spans="1:11" hidden="1">
      <c r="A1754" s="29" t="s">
        <v>138</v>
      </c>
      <c r="B1754" s="32">
        <v>40491</v>
      </c>
      <c r="C1754" s="29">
        <v>88.2</v>
      </c>
      <c r="D1754" s="35">
        <v>89.5</v>
      </c>
      <c r="E1754" s="35">
        <v>88</v>
      </c>
      <c r="F1754" s="33">
        <v>88</v>
      </c>
      <c r="G1754" s="29">
        <v>-0.79</v>
      </c>
      <c r="H1754" s="29">
        <v>-0.7</v>
      </c>
      <c r="I1754" s="35">
        <v>88.699996999999996</v>
      </c>
      <c r="J1754" s="34">
        <v>11800</v>
      </c>
      <c r="K1754" s="34">
        <v>1039230</v>
      </c>
    </row>
    <row r="1755" spans="1:11" hidden="1">
      <c r="A1755" s="29" t="s">
        <v>138</v>
      </c>
      <c r="B1755" s="32">
        <v>40492</v>
      </c>
      <c r="C1755" s="29">
        <v>88</v>
      </c>
      <c r="D1755" s="35">
        <v>88</v>
      </c>
      <c r="E1755" s="35">
        <v>87.800003000000004</v>
      </c>
      <c r="F1755" s="33">
        <v>87.800003000000004</v>
      </c>
      <c r="G1755" s="29">
        <v>-0.23</v>
      </c>
      <c r="H1755" s="29">
        <v>-0.2</v>
      </c>
      <c r="I1755" s="35">
        <v>88</v>
      </c>
      <c r="J1755" s="34">
        <v>9000</v>
      </c>
      <c r="K1755" s="34">
        <v>790240</v>
      </c>
    </row>
    <row r="1756" spans="1:11" hidden="1">
      <c r="A1756" s="29" t="s">
        <v>138</v>
      </c>
      <c r="B1756" s="32">
        <v>40493</v>
      </c>
      <c r="C1756" s="29">
        <v>88</v>
      </c>
      <c r="D1756" s="35">
        <v>88</v>
      </c>
      <c r="E1756" s="35">
        <v>87.800003000000004</v>
      </c>
      <c r="F1756" s="33">
        <v>87.800003000000004</v>
      </c>
      <c r="G1756" s="29">
        <v>0</v>
      </c>
      <c r="H1756" s="29">
        <v>0</v>
      </c>
      <c r="I1756" s="35">
        <v>87.800003000000004</v>
      </c>
      <c r="J1756" s="34">
        <v>5100</v>
      </c>
      <c r="K1756" s="34">
        <v>447800</v>
      </c>
    </row>
    <row r="1757" spans="1:11" hidden="1">
      <c r="A1757" s="29" t="s">
        <v>138</v>
      </c>
      <c r="B1757" s="32">
        <v>40494</v>
      </c>
      <c r="C1757" s="29">
        <v>88</v>
      </c>
      <c r="D1757" s="35">
        <v>91</v>
      </c>
      <c r="E1757" s="35">
        <v>88</v>
      </c>
      <c r="F1757" s="33">
        <v>88</v>
      </c>
      <c r="G1757" s="29">
        <v>0.23</v>
      </c>
      <c r="H1757" s="29">
        <v>0.2</v>
      </c>
      <c r="I1757" s="35">
        <v>87.800003000000004</v>
      </c>
      <c r="J1757" s="34">
        <v>72900</v>
      </c>
      <c r="K1757" s="34">
        <v>6416790</v>
      </c>
    </row>
    <row r="1758" spans="1:11" hidden="1">
      <c r="A1758" s="29" t="s">
        <v>138</v>
      </c>
      <c r="B1758" s="32">
        <v>40497</v>
      </c>
      <c r="C1758" s="29">
        <v>87.5</v>
      </c>
      <c r="D1758" s="35">
        <v>88.5</v>
      </c>
      <c r="E1758" s="35">
        <v>86.599997999999999</v>
      </c>
      <c r="F1758" s="33">
        <v>86.599997999999999</v>
      </c>
      <c r="G1758" s="29">
        <v>-1.59</v>
      </c>
      <c r="H1758" s="29">
        <v>-1.4</v>
      </c>
      <c r="I1758" s="35">
        <v>88</v>
      </c>
      <c r="J1758" s="34">
        <v>22300</v>
      </c>
      <c r="K1758" s="34">
        <v>1944260</v>
      </c>
    </row>
    <row r="1759" spans="1:11" hidden="1">
      <c r="A1759" s="29" t="s">
        <v>138</v>
      </c>
      <c r="B1759" s="32">
        <v>40498</v>
      </c>
      <c r="C1759" s="29">
        <v>86.5</v>
      </c>
      <c r="D1759" s="35">
        <v>87.5</v>
      </c>
      <c r="E1759" s="35">
        <v>85</v>
      </c>
      <c r="F1759" s="33">
        <v>85.199996999999996</v>
      </c>
      <c r="G1759" s="29">
        <v>-1.62</v>
      </c>
      <c r="H1759" s="29">
        <v>-1.4</v>
      </c>
      <c r="I1759" s="35">
        <v>86.599997999999999</v>
      </c>
      <c r="J1759" s="34">
        <v>30600</v>
      </c>
      <c r="K1759" s="34">
        <v>2608210</v>
      </c>
    </row>
    <row r="1760" spans="1:11" hidden="1">
      <c r="A1760" s="29" t="s">
        <v>138</v>
      </c>
      <c r="B1760" s="32">
        <v>40500</v>
      </c>
      <c r="C1760" s="29">
        <v>85</v>
      </c>
      <c r="D1760" s="35">
        <v>88</v>
      </c>
      <c r="E1760" s="35">
        <v>85</v>
      </c>
      <c r="F1760" s="33">
        <v>88</v>
      </c>
      <c r="G1760" s="29">
        <v>3.29</v>
      </c>
      <c r="H1760" s="29">
        <v>2.8</v>
      </c>
      <c r="I1760" s="35">
        <v>85.199996999999996</v>
      </c>
      <c r="J1760" s="34">
        <v>8300</v>
      </c>
      <c r="K1760" s="34">
        <v>708520</v>
      </c>
    </row>
    <row r="1761" spans="1:11" hidden="1">
      <c r="A1761" s="29" t="s">
        <v>138</v>
      </c>
      <c r="B1761" s="32">
        <v>40504</v>
      </c>
      <c r="C1761" s="29">
        <v>87</v>
      </c>
      <c r="D1761" s="35">
        <v>87</v>
      </c>
      <c r="E1761" s="35">
        <v>86</v>
      </c>
      <c r="F1761" s="33">
        <v>86</v>
      </c>
      <c r="G1761" s="29">
        <v>-2.27</v>
      </c>
      <c r="H1761" s="29">
        <v>-2</v>
      </c>
      <c r="I1761" s="35">
        <v>88</v>
      </c>
      <c r="J1761" s="34">
        <v>28200</v>
      </c>
      <c r="K1761" s="34">
        <v>2445230</v>
      </c>
    </row>
    <row r="1762" spans="1:11" hidden="1">
      <c r="A1762" s="29" t="s">
        <v>138</v>
      </c>
      <c r="B1762" s="32">
        <v>40505</v>
      </c>
      <c r="C1762" s="29">
        <v>89</v>
      </c>
      <c r="D1762" s="35">
        <v>89</v>
      </c>
      <c r="E1762" s="35">
        <v>85</v>
      </c>
      <c r="F1762" s="33">
        <v>85</v>
      </c>
      <c r="G1762" s="29">
        <v>-1.1599999999999999</v>
      </c>
      <c r="H1762" s="29">
        <v>-1</v>
      </c>
      <c r="I1762" s="35">
        <v>86</v>
      </c>
      <c r="J1762" s="34">
        <v>11500</v>
      </c>
      <c r="K1762" s="34">
        <v>978720</v>
      </c>
    </row>
    <row r="1763" spans="1:11" hidden="1">
      <c r="A1763" s="29" t="s">
        <v>138</v>
      </c>
      <c r="B1763" s="32">
        <v>40506</v>
      </c>
      <c r="C1763" s="29">
        <v>85</v>
      </c>
      <c r="D1763" s="35">
        <v>85.900002000000001</v>
      </c>
      <c r="E1763" s="35">
        <v>85</v>
      </c>
      <c r="F1763" s="33">
        <v>85</v>
      </c>
      <c r="G1763" s="29">
        <v>0</v>
      </c>
      <c r="H1763" s="29">
        <v>0</v>
      </c>
      <c r="I1763" s="35">
        <v>85</v>
      </c>
      <c r="J1763" s="34">
        <v>14400</v>
      </c>
      <c r="K1763" s="34">
        <v>1224270</v>
      </c>
    </row>
    <row r="1764" spans="1:11" hidden="1">
      <c r="A1764" s="29" t="s">
        <v>138</v>
      </c>
      <c r="B1764" s="32">
        <v>40507</v>
      </c>
      <c r="C1764" s="29">
        <v>85</v>
      </c>
      <c r="D1764" s="35">
        <v>85</v>
      </c>
      <c r="E1764" s="35">
        <v>84.5</v>
      </c>
      <c r="F1764" s="33">
        <v>84.5</v>
      </c>
      <c r="G1764" s="29">
        <v>-0.59</v>
      </c>
      <c r="H1764" s="29">
        <v>-0.5</v>
      </c>
      <c r="I1764" s="35">
        <v>85</v>
      </c>
      <c r="J1764" s="34">
        <v>32800</v>
      </c>
      <c r="K1764" s="34">
        <v>2787090</v>
      </c>
    </row>
    <row r="1765" spans="1:11" hidden="1">
      <c r="A1765" s="29" t="s">
        <v>138</v>
      </c>
      <c r="B1765" s="32">
        <v>40508</v>
      </c>
      <c r="C1765" s="29">
        <v>85</v>
      </c>
      <c r="D1765" s="35">
        <v>85</v>
      </c>
      <c r="E1765" s="35">
        <v>84</v>
      </c>
      <c r="F1765" s="33">
        <v>84</v>
      </c>
      <c r="G1765" s="29">
        <v>-0.59</v>
      </c>
      <c r="H1765" s="29">
        <v>-0.5</v>
      </c>
      <c r="I1765" s="35">
        <v>84.5</v>
      </c>
      <c r="J1765" s="34">
        <v>11000</v>
      </c>
      <c r="K1765" s="34">
        <v>929060</v>
      </c>
    </row>
    <row r="1766" spans="1:11" hidden="1">
      <c r="A1766" s="29" t="s">
        <v>138</v>
      </c>
      <c r="B1766" s="32">
        <v>40511</v>
      </c>
      <c r="C1766" s="29">
        <v>83.1</v>
      </c>
      <c r="D1766" s="35">
        <v>83.1</v>
      </c>
      <c r="E1766" s="35">
        <v>80</v>
      </c>
      <c r="F1766" s="33">
        <v>80.599997999999999</v>
      </c>
      <c r="G1766" s="29">
        <v>-4.05</v>
      </c>
      <c r="H1766" s="29">
        <v>-3.4</v>
      </c>
      <c r="I1766" s="35">
        <v>84</v>
      </c>
      <c r="J1766" s="34">
        <v>2600</v>
      </c>
      <c r="K1766" s="34">
        <v>210460</v>
      </c>
    </row>
    <row r="1767" spans="1:11" hidden="1">
      <c r="A1767" s="29" t="s">
        <v>138</v>
      </c>
      <c r="B1767" s="32">
        <v>40512</v>
      </c>
      <c r="C1767" s="29">
        <v>86.5</v>
      </c>
      <c r="D1767" s="35">
        <v>86.5</v>
      </c>
      <c r="E1767" s="35">
        <v>83</v>
      </c>
      <c r="F1767" s="33">
        <v>83</v>
      </c>
      <c r="G1767" s="29">
        <v>2.98</v>
      </c>
      <c r="H1767" s="29">
        <v>2.4</v>
      </c>
      <c r="I1767" s="35">
        <v>80.599997999999999</v>
      </c>
      <c r="J1767" s="34">
        <v>9600</v>
      </c>
      <c r="K1767" s="34">
        <v>805530</v>
      </c>
    </row>
    <row r="1768" spans="1:11" hidden="1">
      <c r="A1768" s="29" t="s">
        <v>138</v>
      </c>
      <c r="B1768" s="32">
        <v>40513</v>
      </c>
      <c r="C1768" s="29">
        <v>85</v>
      </c>
      <c r="D1768" s="35">
        <v>86.5</v>
      </c>
      <c r="E1768" s="35">
        <v>85</v>
      </c>
      <c r="F1768" s="33">
        <v>86</v>
      </c>
      <c r="G1768" s="29">
        <v>3.61</v>
      </c>
      <c r="H1768" s="29">
        <v>3</v>
      </c>
      <c r="I1768" s="35">
        <v>83</v>
      </c>
      <c r="J1768" s="34">
        <v>37800</v>
      </c>
      <c r="K1768" s="34">
        <v>3238800</v>
      </c>
    </row>
    <row r="1769" spans="1:11" hidden="1">
      <c r="A1769" s="29" t="s">
        <v>138</v>
      </c>
      <c r="B1769" s="32">
        <v>40514</v>
      </c>
      <c r="C1769" s="29">
        <v>83.5</v>
      </c>
      <c r="D1769" s="35">
        <v>85</v>
      </c>
      <c r="E1769" s="35">
        <v>83.5</v>
      </c>
      <c r="F1769" s="33">
        <v>85</v>
      </c>
      <c r="G1769" s="29">
        <v>-1.1599999999999999</v>
      </c>
      <c r="H1769" s="29">
        <v>-1</v>
      </c>
      <c r="I1769" s="35">
        <v>86</v>
      </c>
      <c r="J1769" s="34">
        <v>7000</v>
      </c>
      <c r="K1769" s="34">
        <v>594850</v>
      </c>
    </row>
    <row r="1770" spans="1:11" hidden="1">
      <c r="A1770" s="29" t="s">
        <v>138</v>
      </c>
      <c r="B1770" s="32">
        <v>40515</v>
      </c>
      <c r="C1770" s="29">
        <v>85</v>
      </c>
      <c r="D1770" s="35">
        <v>85</v>
      </c>
      <c r="E1770" s="35">
        <v>85</v>
      </c>
      <c r="F1770" s="33">
        <v>85</v>
      </c>
      <c r="G1770" s="29">
        <v>0</v>
      </c>
      <c r="H1770" s="29">
        <v>0</v>
      </c>
      <c r="I1770" s="35">
        <v>85</v>
      </c>
      <c r="J1770" s="34">
        <v>1000</v>
      </c>
      <c r="K1770" s="34">
        <v>85000</v>
      </c>
    </row>
    <row r="1771" spans="1:11" hidden="1">
      <c r="A1771" s="29" t="s">
        <v>138</v>
      </c>
      <c r="B1771" s="32">
        <v>40518</v>
      </c>
      <c r="C1771" s="29">
        <v>83.2</v>
      </c>
      <c r="D1771" s="35">
        <v>83.2</v>
      </c>
      <c r="E1771" s="35">
        <v>83.199996999999996</v>
      </c>
      <c r="F1771" s="33">
        <v>83.199996999999996</v>
      </c>
      <c r="G1771" s="29">
        <v>-2.12</v>
      </c>
      <c r="H1771" s="29">
        <v>-1.8</v>
      </c>
      <c r="I1771" s="35">
        <v>85</v>
      </c>
      <c r="J1771" s="34">
        <v>1000</v>
      </c>
      <c r="K1771" s="34">
        <v>83200</v>
      </c>
    </row>
    <row r="1772" spans="1:11" hidden="1">
      <c r="A1772" s="29" t="s">
        <v>138</v>
      </c>
      <c r="B1772" s="32">
        <v>40519</v>
      </c>
      <c r="C1772" s="29">
        <v>83.2</v>
      </c>
      <c r="D1772" s="35">
        <v>83.2</v>
      </c>
      <c r="E1772" s="35">
        <v>81</v>
      </c>
      <c r="F1772" s="33">
        <v>81.099997999999999</v>
      </c>
      <c r="G1772" s="29">
        <v>-2.52</v>
      </c>
      <c r="H1772" s="29">
        <v>-2.1</v>
      </c>
      <c r="I1772" s="35">
        <v>83.199996999999996</v>
      </c>
      <c r="J1772" s="34">
        <v>28400</v>
      </c>
      <c r="K1772" s="34">
        <v>2311710</v>
      </c>
    </row>
    <row r="1773" spans="1:11" hidden="1">
      <c r="A1773" s="29" t="s">
        <v>138</v>
      </c>
      <c r="B1773" s="32">
        <v>40520</v>
      </c>
      <c r="C1773" s="29">
        <v>81.599999999999994</v>
      </c>
      <c r="D1773" s="35">
        <v>83.199996999999996</v>
      </c>
      <c r="E1773" s="35">
        <v>81.5</v>
      </c>
      <c r="F1773" s="33">
        <v>81.5</v>
      </c>
      <c r="G1773" s="29">
        <v>0.49</v>
      </c>
      <c r="H1773" s="29">
        <v>0.4</v>
      </c>
      <c r="I1773" s="35">
        <v>81.099997999999999</v>
      </c>
      <c r="J1773" s="34">
        <v>14500</v>
      </c>
      <c r="K1773" s="34">
        <v>1182700</v>
      </c>
    </row>
    <row r="1774" spans="1:11" hidden="1">
      <c r="A1774" s="29" t="s">
        <v>138</v>
      </c>
      <c r="B1774" s="32">
        <v>40521</v>
      </c>
      <c r="C1774" s="29">
        <v>80.099999999999994</v>
      </c>
      <c r="D1774" s="35">
        <v>81</v>
      </c>
      <c r="E1774" s="35">
        <v>80.099997999999999</v>
      </c>
      <c r="F1774" s="33">
        <v>81</v>
      </c>
      <c r="G1774" s="29">
        <v>-0.61</v>
      </c>
      <c r="H1774" s="29">
        <v>-0.5</v>
      </c>
      <c r="I1774" s="35">
        <v>81.5</v>
      </c>
      <c r="J1774" s="34">
        <v>8600</v>
      </c>
      <c r="K1774" s="34">
        <v>691200</v>
      </c>
    </row>
    <row r="1775" spans="1:11" hidden="1">
      <c r="A1775" s="29" t="s">
        <v>138</v>
      </c>
      <c r="B1775" s="32">
        <v>40522</v>
      </c>
      <c r="C1775" s="29">
        <v>81</v>
      </c>
      <c r="D1775" s="35">
        <v>83.199996999999996</v>
      </c>
      <c r="E1775" s="35">
        <v>81</v>
      </c>
      <c r="F1775" s="33">
        <v>83.199996999999996</v>
      </c>
      <c r="G1775" s="29">
        <v>2.72</v>
      </c>
      <c r="H1775" s="29">
        <v>2.2000000000000002</v>
      </c>
      <c r="I1775" s="35">
        <v>81</v>
      </c>
      <c r="J1775" s="34">
        <v>19900</v>
      </c>
      <c r="K1775" s="34">
        <v>1636220</v>
      </c>
    </row>
    <row r="1776" spans="1:11" hidden="1">
      <c r="A1776" s="29" t="s">
        <v>138</v>
      </c>
      <c r="B1776" s="32">
        <v>40525</v>
      </c>
      <c r="C1776" s="29">
        <v>82.5</v>
      </c>
      <c r="D1776" s="35">
        <v>82.5</v>
      </c>
      <c r="E1776" s="35">
        <v>82.5</v>
      </c>
      <c r="F1776" s="33">
        <v>82.5</v>
      </c>
      <c r="G1776" s="29">
        <v>-0.84</v>
      </c>
      <c r="H1776" s="29">
        <v>-0.7</v>
      </c>
      <c r="I1776" s="35">
        <v>83.199996999999996</v>
      </c>
      <c r="J1776" s="34">
        <v>100</v>
      </c>
      <c r="K1776" s="34">
        <v>8250</v>
      </c>
    </row>
    <row r="1777" spans="1:11" hidden="1">
      <c r="A1777" s="29" t="s">
        <v>138</v>
      </c>
      <c r="B1777" s="32">
        <v>40526</v>
      </c>
      <c r="C1777" s="29">
        <v>81.099999999999994</v>
      </c>
      <c r="D1777" s="35">
        <v>81.099999999999994</v>
      </c>
      <c r="E1777" s="35">
        <v>80</v>
      </c>
      <c r="F1777" s="33">
        <v>80.599997999999999</v>
      </c>
      <c r="G1777" s="29">
        <v>-2.2999999999999998</v>
      </c>
      <c r="H1777" s="29">
        <v>-1.9</v>
      </c>
      <c r="I1777" s="35">
        <v>82.5</v>
      </c>
      <c r="J1777" s="34">
        <v>46100</v>
      </c>
      <c r="K1777" s="34">
        <v>3733680</v>
      </c>
    </row>
    <row r="1778" spans="1:11" hidden="1">
      <c r="A1778" s="29" t="s">
        <v>138</v>
      </c>
      <c r="B1778" s="32">
        <v>40527</v>
      </c>
      <c r="C1778" s="29">
        <v>80</v>
      </c>
      <c r="D1778" s="35">
        <v>82</v>
      </c>
      <c r="E1778" s="35">
        <v>80</v>
      </c>
      <c r="F1778" s="33">
        <v>82</v>
      </c>
      <c r="G1778" s="29">
        <v>1.74</v>
      </c>
      <c r="H1778" s="29">
        <v>1.4</v>
      </c>
      <c r="I1778" s="35">
        <v>80.599997999999999</v>
      </c>
      <c r="J1778" s="34">
        <v>5800</v>
      </c>
      <c r="K1778" s="34">
        <v>464800</v>
      </c>
    </row>
    <row r="1779" spans="1:11" hidden="1">
      <c r="A1779" s="29" t="s">
        <v>138</v>
      </c>
      <c r="B1779" s="32">
        <v>40528</v>
      </c>
      <c r="C1779" s="29">
        <v>80</v>
      </c>
      <c r="D1779" s="35">
        <v>82</v>
      </c>
      <c r="E1779" s="35">
        <v>80</v>
      </c>
      <c r="F1779" s="33">
        <v>80.199996999999996</v>
      </c>
      <c r="G1779" s="29">
        <v>-2.2000000000000002</v>
      </c>
      <c r="H1779" s="29">
        <v>-1.8</v>
      </c>
      <c r="I1779" s="35">
        <v>82</v>
      </c>
      <c r="J1779" s="34">
        <v>2400</v>
      </c>
      <c r="K1779" s="34">
        <v>195320</v>
      </c>
    </row>
    <row r="1780" spans="1:11" hidden="1">
      <c r="A1780" s="29" t="s">
        <v>138</v>
      </c>
      <c r="B1780" s="32">
        <v>40529</v>
      </c>
      <c r="C1780" s="29">
        <v>80.2</v>
      </c>
      <c r="D1780" s="35">
        <v>80.5</v>
      </c>
      <c r="E1780" s="35">
        <v>80.199996999999996</v>
      </c>
      <c r="F1780" s="33">
        <v>80.5</v>
      </c>
      <c r="G1780" s="29">
        <v>0.37</v>
      </c>
      <c r="H1780" s="29">
        <v>0.3</v>
      </c>
      <c r="I1780" s="35">
        <v>80.199996999999996</v>
      </c>
      <c r="J1780" s="34">
        <v>12100</v>
      </c>
      <c r="K1780" s="34">
        <v>973930</v>
      </c>
    </row>
    <row r="1781" spans="1:11" hidden="1">
      <c r="A1781" s="29" t="s">
        <v>138</v>
      </c>
      <c r="B1781" s="32">
        <v>40533</v>
      </c>
      <c r="C1781" s="29">
        <v>80.5</v>
      </c>
      <c r="D1781" s="35">
        <v>80.5</v>
      </c>
      <c r="E1781" s="35">
        <v>80.300003000000004</v>
      </c>
      <c r="F1781" s="33">
        <v>80.300003000000004</v>
      </c>
      <c r="G1781" s="29">
        <v>-0.25</v>
      </c>
      <c r="H1781" s="29">
        <v>-0.2</v>
      </c>
      <c r="I1781" s="35">
        <v>80.5</v>
      </c>
      <c r="J1781" s="34">
        <v>1200</v>
      </c>
      <c r="K1781" s="34">
        <v>96400</v>
      </c>
    </row>
    <row r="1782" spans="1:11" hidden="1">
      <c r="A1782" s="29" t="s">
        <v>138</v>
      </c>
      <c r="B1782" s="32">
        <v>40534</v>
      </c>
      <c r="C1782" s="29">
        <v>82</v>
      </c>
      <c r="D1782" s="35">
        <v>84</v>
      </c>
      <c r="E1782" s="35">
        <v>82</v>
      </c>
      <c r="F1782" s="33">
        <v>82.800003000000004</v>
      </c>
      <c r="G1782" s="29">
        <v>3.11</v>
      </c>
      <c r="H1782" s="29">
        <v>2.5</v>
      </c>
      <c r="I1782" s="35">
        <v>80.300003000000004</v>
      </c>
      <c r="J1782" s="34">
        <v>500</v>
      </c>
      <c r="K1782" s="34">
        <v>41400</v>
      </c>
    </row>
    <row r="1783" spans="1:11" hidden="1">
      <c r="A1783" s="29" t="s">
        <v>138</v>
      </c>
      <c r="B1783" s="32">
        <v>40535</v>
      </c>
      <c r="C1783" s="29">
        <v>84</v>
      </c>
      <c r="D1783" s="35">
        <v>85</v>
      </c>
      <c r="E1783" s="35">
        <v>83.5</v>
      </c>
      <c r="F1783" s="33">
        <v>83.5</v>
      </c>
      <c r="G1783" s="29">
        <v>0.85</v>
      </c>
      <c r="H1783" s="29">
        <v>0.7</v>
      </c>
      <c r="I1783" s="35">
        <v>82.800003000000004</v>
      </c>
      <c r="J1783" s="34">
        <v>19000</v>
      </c>
      <c r="K1783" s="34">
        <v>1607050</v>
      </c>
    </row>
    <row r="1784" spans="1:11" hidden="1">
      <c r="A1784" s="29" t="s">
        <v>138</v>
      </c>
      <c r="B1784" s="32">
        <v>40536</v>
      </c>
      <c r="C1784" s="29">
        <v>84</v>
      </c>
      <c r="D1784" s="35">
        <v>86.900002000000001</v>
      </c>
      <c r="E1784" s="35">
        <v>84</v>
      </c>
      <c r="F1784" s="33">
        <v>86.400002000000001</v>
      </c>
      <c r="G1784" s="29">
        <v>3.47</v>
      </c>
      <c r="H1784" s="29">
        <v>2.9</v>
      </c>
      <c r="I1784" s="35">
        <v>83.5</v>
      </c>
      <c r="J1784" s="34">
        <v>79000</v>
      </c>
      <c r="K1784" s="34">
        <v>6750340</v>
      </c>
    </row>
    <row r="1785" spans="1:11" hidden="1">
      <c r="A1785" s="29" t="s">
        <v>138</v>
      </c>
      <c r="B1785" s="32">
        <v>40539</v>
      </c>
      <c r="C1785" s="29">
        <v>85</v>
      </c>
      <c r="D1785" s="35">
        <v>85</v>
      </c>
      <c r="E1785" s="35">
        <v>85</v>
      </c>
      <c r="F1785" s="33">
        <v>85</v>
      </c>
      <c r="G1785" s="29">
        <v>-1.62</v>
      </c>
      <c r="H1785" s="29">
        <v>-1.4</v>
      </c>
      <c r="I1785" s="35">
        <v>86.400002000000001</v>
      </c>
      <c r="J1785" s="34">
        <v>6100</v>
      </c>
      <c r="K1785" s="34">
        <v>518500</v>
      </c>
    </row>
    <row r="1786" spans="1:11" hidden="1">
      <c r="A1786" s="29" t="s">
        <v>138</v>
      </c>
      <c r="B1786" s="32">
        <v>40540</v>
      </c>
      <c r="C1786" s="29">
        <v>85.1</v>
      </c>
      <c r="D1786" s="35">
        <v>86</v>
      </c>
      <c r="E1786" s="35">
        <v>85</v>
      </c>
      <c r="F1786" s="33">
        <v>85</v>
      </c>
      <c r="G1786" s="29">
        <v>0</v>
      </c>
      <c r="H1786" s="29">
        <v>0</v>
      </c>
      <c r="I1786" s="35">
        <v>85</v>
      </c>
      <c r="J1786" s="34">
        <v>18000</v>
      </c>
      <c r="K1786" s="34">
        <v>1531440</v>
      </c>
    </row>
    <row r="1787" spans="1:11" hidden="1">
      <c r="A1787" s="29" t="s">
        <v>138</v>
      </c>
      <c r="B1787" s="32">
        <v>40541</v>
      </c>
      <c r="C1787" s="29">
        <v>85</v>
      </c>
      <c r="D1787" s="35">
        <v>85.099997999999999</v>
      </c>
      <c r="E1787" s="35">
        <v>85</v>
      </c>
      <c r="F1787" s="33">
        <v>85</v>
      </c>
      <c r="G1787" s="29">
        <v>0</v>
      </c>
      <c r="H1787" s="29">
        <v>0</v>
      </c>
      <c r="I1787" s="35">
        <v>85</v>
      </c>
      <c r="J1787" s="34">
        <v>10500</v>
      </c>
      <c r="K1787" s="34">
        <v>892600</v>
      </c>
    </row>
    <row r="1788" spans="1:11" hidden="1">
      <c r="A1788" s="29" t="s">
        <v>138</v>
      </c>
      <c r="B1788" s="32">
        <v>40542</v>
      </c>
      <c r="C1788" s="29">
        <v>85.1</v>
      </c>
      <c r="D1788" s="35">
        <v>85.199996999999996</v>
      </c>
      <c r="E1788" s="35">
        <v>85</v>
      </c>
      <c r="F1788" s="33">
        <v>85.099997999999999</v>
      </c>
      <c r="G1788" s="29">
        <v>0.12</v>
      </c>
      <c r="H1788" s="29">
        <v>0.1</v>
      </c>
      <c r="I1788" s="35">
        <v>85</v>
      </c>
      <c r="J1788" s="34">
        <v>9600</v>
      </c>
      <c r="K1788" s="34">
        <v>816380</v>
      </c>
    </row>
    <row r="1789" spans="1:11" hidden="1">
      <c r="A1789" s="29" t="s">
        <v>138</v>
      </c>
      <c r="B1789" s="32">
        <v>40543</v>
      </c>
      <c r="C1789" s="29">
        <v>85</v>
      </c>
      <c r="D1789" s="35">
        <v>86</v>
      </c>
      <c r="E1789" s="35">
        <v>85</v>
      </c>
      <c r="F1789" s="33">
        <v>85.099997999999999</v>
      </c>
      <c r="G1789" s="29">
        <v>0</v>
      </c>
      <c r="H1789" s="29">
        <v>0</v>
      </c>
      <c r="I1789" s="35">
        <v>85.099997999999999</v>
      </c>
      <c r="J1789" s="34">
        <v>10200</v>
      </c>
      <c r="K1789" s="34">
        <v>867750</v>
      </c>
    </row>
    <row r="1790" spans="1:11" hidden="1">
      <c r="A1790" s="29" t="s">
        <v>138</v>
      </c>
      <c r="B1790" s="32">
        <v>40910</v>
      </c>
      <c r="C1790" s="29">
        <v>72.099999999999994</v>
      </c>
      <c r="D1790" s="35">
        <v>72.099999999999994</v>
      </c>
      <c r="E1790" s="35">
        <v>72.099997999999999</v>
      </c>
      <c r="F1790" s="33">
        <v>72.099997999999999</v>
      </c>
      <c r="G1790" s="29">
        <v>-2.57</v>
      </c>
      <c r="H1790" s="29">
        <v>-1.9</v>
      </c>
      <c r="I1790" s="35">
        <v>74</v>
      </c>
      <c r="J1790" s="34">
        <v>1000</v>
      </c>
      <c r="K1790" s="34">
        <v>72100</v>
      </c>
    </row>
    <row r="1791" spans="1:11" hidden="1">
      <c r="A1791" s="29" t="s">
        <v>138</v>
      </c>
      <c r="B1791" s="32">
        <v>40911</v>
      </c>
      <c r="C1791" s="29">
        <v>71.5</v>
      </c>
      <c r="D1791" s="35">
        <v>71.5</v>
      </c>
      <c r="E1791" s="35">
        <v>71.5</v>
      </c>
      <c r="F1791" s="33">
        <v>71.5</v>
      </c>
      <c r="G1791" s="29">
        <v>-0.83</v>
      </c>
      <c r="H1791" s="29">
        <v>-0.6</v>
      </c>
      <c r="I1791" s="35">
        <v>72.099997999999999</v>
      </c>
      <c r="J1791" s="34">
        <v>500</v>
      </c>
      <c r="K1791" s="34">
        <v>35750</v>
      </c>
    </row>
    <row r="1792" spans="1:11" hidden="1">
      <c r="A1792" s="29" t="s">
        <v>138</v>
      </c>
      <c r="B1792" s="32">
        <v>40912</v>
      </c>
      <c r="C1792" s="29">
        <v>72.3</v>
      </c>
      <c r="D1792" s="35">
        <v>72.300003000000004</v>
      </c>
      <c r="E1792" s="35">
        <v>72.3</v>
      </c>
      <c r="F1792" s="33">
        <v>72.300003000000004</v>
      </c>
      <c r="G1792" s="29">
        <v>1.1200000000000001</v>
      </c>
      <c r="H1792" s="29">
        <v>0.8</v>
      </c>
      <c r="I1792" s="35">
        <v>71.5</v>
      </c>
      <c r="J1792" s="34">
        <v>300</v>
      </c>
      <c r="K1792" s="34">
        <v>21690</v>
      </c>
    </row>
    <row r="1793" spans="1:11" hidden="1">
      <c r="A1793" s="29" t="s">
        <v>138</v>
      </c>
      <c r="B1793" s="32">
        <v>40913</v>
      </c>
      <c r="C1793" s="29">
        <v>71.5</v>
      </c>
      <c r="D1793" s="35">
        <v>71.5</v>
      </c>
      <c r="E1793" s="35">
        <v>71.5</v>
      </c>
      <c r="F1793" s="33">
        <v>71.5</v>
      </c>
      <c r="G1793" s="29">
        <v>-1.1100000000000001</v>
      </c>
      <c r="H1793" s="29">
        <v>-0.8</v>
      </c>
      <c r="I1793" s="35">
        <v>72.300003000000004</v>
      </c>
      <c r="J1793" s="34">
        <v>500</v>
      </c>
      <c r="K1793" s="34">
        <v>35750</v>
      </c>
    </row>
    <row r="1794" spans="1:11" hidden="1">
      <c r="A1794" s="29" t="s">
        <v>138</v>
      </c>
      <c r="B1794" s="32">
        <v>40917</v>
      </c>
      <c r="C1794" s="29">
        <v>72.900000000000006</v>
      </c>
      <c r="D1794" s="35">
        <v>72.900002000000001</v>
      </c>
      <c r="E1794" s="35">
        <v>71.5</v>
      </c>
      <c r="F1794" s="33">
        <v>71.699996999999996</v>
      </c>
      <c r="G1794" s="29">
        <v>0.28000000000000003</v>
      </c>
      <c r="H1794" s="29">
        <v>0.2</v>
      </c>
      <c r="I1794" s="35">
        <v>71.5</v>
      </c>
      <c r="J1794" s="34">
        <v>700</v>
      </c>
      <c r="K1794" s="34">
        <v>50320</v>
      </c>
    </row>
    <row r="1795" spans="1:11" hidden="1">
      <c r="A1795" s="29" t="s">
        <v>138</v>
      </c>
      <c r="B1795" s="32">
        <v>40918</v>
      </c>
      <c r="C1795" s="29">
        <v>71.5</v>
      </c>
      <c r="D1795" s="35">
        <v>71.5</v>
      </c>
      <c r="E1795" s="35">
        <v>69</v>
      </c>
      <c r="F1795" s="33">
        <v>70.5</v>
      </c>
      <c r="G1795" s="29">
        <v>-1.67</v>
      </c>
      <c r="H1795" s="29">
        <v>-1.2</v>
      </c>
      <c r="I1795" s="35">
        <v>71.699996999999996</v>
      </c>
      <c r="J1795" s="34">
        <v>4200</v>
      </c>
      <c r="K1795" s="34">
        <v>296300</v>
      </c>
    </row>
    <row r="1796" spans="1:11" hidden="1">
      <c r="A1796" s="29" t="s">
        <v>138</v>
      </c>
      <c r="B1796" s="32">
        <v>40919</v>
      </c>
      <c r="C1796" s="29">
        <v>70</v>
      </c>
      <c r="D1796" s="35">
        <v>70</v>
      </c>
      <c r="E1796" s="35">
        <v>70</v>
      </c>
      <c r="F1796" s="33">
        <v>70</v>
      </c>
      <c r="G1796" s="29">
        <v>-0.71</v>
      </c>
      <c r="H1796" s="29">
        <v>-0.5</v>
      </c>
      <c r="I1796" s="35">
        <v>70.5</v>
      </c>
      <c r="J1796" s="34">
        <v>15000</v>
      </c>
      <c r="K1796" s="34">
        <v>1050000</v>
      </c>
    </row>
    <row r="1797" spans="1:11" hidden="1">
      <c r="A1797" s="29" t="s">
        <v>138</v>
      </c>
      <c r="B1797" s="32">
        <v>40920</v>
      </c>
      <c r="C1797" s="29">
        <v>70</v>
      </c>
      <c r="D1797" s="35">
        <v>70</v>
      </c>
      <c r="E1797" s="35">
        <v>70</v>
      </c>
      <c r="F1797" s="33">
        <v>70</v>
      </c>
      <c r="G1797" s="29">
        <v>0</v>
      </c>
      <c r="H1797" s="29">
        <v>0</v>
      </c>
      <c r="I1797" s="35">
        <v>70</v>
      </c>
      <c r="J1797" s="34">
        <v>20000</v>
      </c>
      <c r="K1797" s="34">
        <v>1400000</v>
      </c>
    </row>
    <row r="1798" spans="1:11" hidden="1">
      <c r="A1798" s="29" t="s">
        <v>138</v>
      </c>
      <c r="B1798" s="32">
        <v>40921</v>
      </c>
      <c r="C1798" s="29">
        <v>74</v>
      </c>
      <c r="D1798" s="35">
        <v>74</v>
      </c>
      <c r="E1798" s="35">
        <v>72</v>
      </c>
      <c r="F1798" s="33">
        <v>73</v>
      </c>
      <c r="G1798" s="29">
        <v>4.29</v>
      </c>
      <c r="H1798" s="29">
        <v>3</v>
      </c>
      <c r="I1798" s="35">
        <v>70</v>
      </c>
      <c r="J1798" s="34">
        <v>200</v>
      </c>
      <c r="K1798" s="34">
        <v>14600</v>
      </c>
    </row>
    <row r="1799" spans="1:11" hidden="1">
      <c r="A1799" s="29" t="s">
        <v>138</v>
      </c>
      <c r="B1799" s="32">
        <v>40925</v>
      </c>
      <c r="C1799" s="29">
        <v>73.900000000000006</v>
      </c>
      <c r="D1799" s="35">
        <v>74</v>
      </c>
      <c r="E1799" s="35">
        <v>70</v>
      </c>
      <c r="F1799" s="33">
        <v>70.300003000000004</v>
      </c>
      <c r="G1799" s="29">
        <v>-3.7</v>
      </c>
      <c r="H1799" s="29">
        <v>-2.7</v>
      </c>
      <c r="I1799" s="35">
        <v>73</v>
      </c>
      <c r="J1799" s="34">
        <v>4200</v>
      </c>
      <c r="K1799" s="34">
        <v>298110</v>
      </c>
    </row>
    <row r="1800" spans="1:11" hidden="1">
      <c r="A1800" s="29" t="s">
        <v>138</v>
      </c>
      <c r="B1800" s="32">
        <v>40926</v>
      </c>
      <c r="C1800" s="29">
        <v>70</v>
      </c>
      <c r="D1800" s="35">
        <v>70</v>
      </c>
      <c r="E1800" s="35">
        <v>70</v>
      </c>
      <c r="F1800" s="33">
        <v>70</v>
      </c>
      <c r="G1800" s="29">
        <v>-0.43</v>
      </c>
      <c r="H1800" s="29">
        <v>-0.3</v>
      </c>
      <c r="I1800" s="35">
        <v>70.300003000000004</v>
      </c>
      <c r="J1800" s="34">
        <v>1000</v>
      </c>
      <c r="K1800" s="34">
        <v>70000</v>
      </c>
    </row>
    <row r="1801" spans="1:11" hidden="1">
      <c r="A1801" s="29" t="s">
        <v>138</v>
      </c>
      <c r="B1801" s="32">
        <v>40927</v>
      </c>
      <c r="C1801" s="29">
        <v>70</v>
      </c>
      <c r="D1801" s="35">
        <v>70</v>
      </c>
      <c r="E1801" s="35">
        <v>70</v>
      </c>
      <c r="F1801" s="33">
        <v>70</v>
      </c>
      <c r="G1801" s="29">
        <v>0</v>
      </c>
      <c r="H1801" s="29">
        <v>0</v>
      </c>
      <c r="I1801" s="35">
        <v>70</v>
      </c>
      <c r="J1801" s="34">
        <v>4400</v>
      </c>
      <c r="K1801" s="34">
        <v>308000</v>
      </c>
    </row>
    <row r="1802" spans="1:11" hidden="1">
      <c r="A1802" s="29" t="s">
        <v>138</v>
      </c>
      <c r="B1802" s="32">
        <v>40928</v>
      </c>
      <c r="C1802" s="29">
        <v>70</v>
      </c>
      <c r="D1802" s="35">
        <v>70</v>
      </c>
      <c r="E1802" s="35">
        <v>69.599997999999999</v>
      </c>
      <c r="F1802" s="33">
        <v>69.599997999999999</v>
      </c>
      <c r="G1802" s="29">
        <v>-0.56999999999999995</v>
      </c>
      <c r="H1802" s="29">
        <v>-0.4</v>
      </c>
      <c r="I1802" s="35">
        <v>70</v>
      </c>
      <c r="J1802" s="34">
        <v>7100</v>
      </c>
      <c r="K1802" s="34">
        <v>496960</v>
      </c>
    </row>
    <row r="1803" spans="1:11" hidden="1">
      <c r="A1803" s="29" t="s">
        <v>138</v>
      </c>
      <c r="B1803" s="32">
        <v>40931</v>
      </c>
      <c r="C1803" s="29">
        <v>69.599999999999994</v>
      </c>
      <c r="D1803" s="35">
        <v>69.599999999999994</v>
      </c>
      <c r="E1803" s="35">
        <v>69</v>
      </c>
      <c r="F1803" s="33">
        <v>69.300003000000004</v>
      </c>
      <c r="G1803" s="29">
        <v>-0.43</v>
      </c>
      <c r="H1803" s="29">
        <v>-0.3</v>
      </c>
      <c r="I1803" s="35">
        <v>69.599997999999999</v>
      </c>
      <c r="J1803" s="34">
        <v>4600</v>
      </c>
      <c r="K1803" s="34">
        <v>319140</v>
      </c>
    </row>
    <row r="1804" spans="1:11" hidden="1">
      <c r="A1804" s="29" t="s">
        <v>138</v>
      </c>
      <c r="B1804" s="32">
        <v>40932</v>
      </c>
      <c r="C1804" s="29">
        <v>69</v>
      </c>
      <c r="D1804" s="35">
        <v>69</v>
      </c>
      <c r="E1804" s="35">
        <v>67</v>
      </c>
      <c r="F1804" s="33">
        <v>67.5</v>
      </c>
      <c r="G1804" s="29">
        <v>-2.6</v>
      </c>
      <c r="H1804" s="29">
        <v>-1.8</v>
      </c>
      <c r="I1804" s="35">
        <v>69.300003000000004</v>
      </c>
      <c r="J1804" s="34">
        <v>6100</v>
      </c>
      <c r="K1804" s="34">
        <v>411850</v>
      </c>
    </row>
    <row r="1805" spans="1:11" hidden="1">
      <c r="A1805" s="29" t="s">
        <v>138</v>
      </c>
      <c r="B1805" s="32">
        <v>40933</v>
      </c>
      <c r="C1805" s="29">
        <v>68</v>
      </c>
      <c r="D1805" s="35">
        <v>70.900002000000001</v>
      </c>
      <c r="E1805" s="35">
        <v>68</v>
      </c>
      <c r="F1805" s="33">
        <v>70.900002000000001</v>
      </c>
      <c r="G1805" s="29">
        <v>5.04</v>
      </c>
      <c r="H1805" s="29">
        <v>3.4</v>
      </c>
      <c r="I1805" s="35">
        <v>67.5</v>
      </c>
      <c r="J1805" s="34">
        <v>400</v>
      </c>
      <c r="K1805" s="34">
        <v>27510</v>
      </c>
    </row>
    <row r="1806" spans="1:11" hidden="1">
      <c r="A1806" s="29" t="s">
        <v>138</v>
      </c>
      <c r="B1806" s="32">
        <v>40934</v>
      </c>
      <c r="C1806" s="29">
        <v>69</v>
      </c>
      <c r="D1806" s="35">
        <v>69</v>
      </c>
      <c r="E1806" s="35">
        <v>69</v>
      </c>
      <c r="F1806" s="33">
        <v>69</v>
      </c>
      <c r="G1806" s="29">
        <v>-2.68</v>
      </c>
      <c r="H1806" s="29">
        <v>-1.9</v>
      </c>
      <c r="I1806" s="35">
        <v>70.900002000000001</v>
      </c>
      <c r="J1806" s="34">
        <v>100</v>
      </c>
      <c r="K1806" s="34">
        <v>6900</v>
      </c>
    </row>
    <row r="1807" spans="1:11" hidden="1">
      <c r="A1807" s="29" t="s">
        <v>138</v>
      </c>
      <c r="B1807" s="32">
        <v>40935</v>
      </c>
      <c r="C1807" s="29">
        <v>70</v>
      </c>
      <c r="D1807" s="35">
        <v>71</v>
      </c>
      <c r="E1807" s="35">
        <v>70</v>
      </c>
      <c r="F1807" s="33">
        <v>70.099997999999999</v>
      </c>
      <c r="G1807" s="29">
        <v>1.59</v>
      </c>
      <c r="H1807" s="29">
        <v>1.1000000000000001</v>
      </c>
      <c r="I1807" s="35">
        <v>69</v>
      </c>
      <c r="J1807" s="34">
        <v>19700</v>
      </c>
      <c r="K1807" s="34">
        <v>1383200</v>
      </c>
    </row>
    <row r="1808" spans="1:11" hidden="1">
      <c r="A1808" s="29" t="s">
        <v>138</v>
      </c>
      <c r="B1808" s="32">
        <v>40938</v>
      </c>
      <c r="C1808" s="29">
        <v>72</v>
      </c>
      <c r="D1808" s="35">
        <v>72</v>
      </c>
      <c r="E1808" s="35">
        <v>69</v>
      </c>
      <c r="F1808" s="33">
        <v>69.5</v>
      </c>
      <c r="G1808" s="29">
        <v>-0.86</v>
      </c>
      <c r="H1808" s="29">
        <v>-0.6</v>
      </c>
      <c r="I1808" s="35">
        <v>70.099997999999999</v>
      </c>
      <c r="J1808" s="34">
        <v>4300</v>
      </c>
      <c r="K1808" s="34">
        <v>301200</v>
      </c>
    </row>
    <row r="1809" spans="1:11" hidden="1">
      <c r="A1809" s="29" t="s">
        <v>138</v>
      </c>
      <c r="B1809" s="32">
        <v>40939</v>
      </c>
      <c r="C1809" s="29">
        <v>69.5</v>
      </c>
      <c r="D1809" s="35">
        <v>70</v>
      </c>
      <c r="E1809" s="35">
        <v>69.5</v>
      </c>
      <c r="F1809" s="33">
        <v>69.699996999999996</v>
      </c>
      <c r="G1809" s="29">
        <v>0.28999999999999998</v>
      </c>
      <c r="H1809" s="29">
        <v>0.2</v>
      </c>
      <c r="I1809" s="35">
        <v>69.5</v>
      </c>
      <c r="J1809" s="34">
        <v>8200</v>
      </c>
      <c r="K1809" s="34">
        <v>571750</v>
      </c>
    </row>
    <row r="1810" spans="1:11" hidden="1">
      <c r="A1810" s="29" t="s">
        <v>138</v>
      </c>
      <c r="B1810" s="32">
        <v>40940</v>
      </c>
      <c r="C1810" s="29">
        <v>69.900000000000006</v>
      </c>
      <c r="D1810" s="35">
        <v>71</v>
      </c>
      <c r="E1810" s="35">
        <v>69.900000000000006</v>
      </c>
      <c r="F1810" s="33">
        <v>70.5</v>
      </c>
      <c r="G1810" s="29">
        <v>1.1499999999999999</v>
      </c>
      <c r="H1810" s="29">
        <v>0.8</v>
      </c>
      <c r="I1810" s="35">
        <v>69.699996999999996</v>
      </c>
      <c r="J1810" s="34">
        <v>200</v>
      </c>
      <c r="K1810" s="34">
        <v>14090</v>
      </c>
    </row>
    <row r="1811" spans="1:11" hidden="1">
      <c r="A1811" s="29" t="s">
        <v>138</v>
      </c>
      <c r="B1811" s="32">
        <v>40941</v>
      </c>
      <c r="C1811" s="29">
        <v>67.2</v>
      </c>
      <c r="D1811" s="35">
        <v>68</v>
      </c>
      <c r="E1811" s="35">
        <v>67.199996999999996</v>
      </c>
      <c r="F1811" s="33">
        <v>68</v>
      </c>
      <c r="G1811" s="29">
        <v>-3.55</v>
      </c>
      <c r="H1811" s="29">
        <v>-2.5</v>
      </c>
      <c r="I1811" s="35">
        <v>70.5</v>
      </c>
      <c r="J1811" s="34">
        <v>1000</v>
      </c>
      <c r="K1811" s="34">
        <v>67760</v>
      </c>
    </row>
    <row r="1812" spans="1:11" hidden="1">
      <c r="A1812" s="29" t="s">
        <v>138</v>
      </c>
      <c r="B1812" s="32">
        <v>40945</v>
      </c>
      <c r="C1812" s="29">
        <v>66.599999999999994</v>
      </c>
      <c r="D1812" s="35">
        <v>66.599999999999994</v>
      </c>
      <c r="E1812" s="35">
        <v>66</v>
      </c>
      <c r="F1812" s="33">
        <v>66.300003000000004</v>
      </c>
      <c r="G1812" s="29">
        <v>-2.5</v>
      </c>
      <c r="H1812" s="29">
        <v>-1.7</v>
      </c>
      <c r="I1812" s="35">
        <v>68</v>
      </c>
      <c r="J1812" s="34">
        <v>1500</v>
      </c>
      <c r="K1812" s="34">
        <v>99490</v>
      </c>
    </row>
    <row r="1813" spans="1:11" hidden="1">
      <c r="A1813" s="29" t="s">
        <v>138</v>
      </c>
      <c r="B1813" s="32">
        <v>40947</v>
      </c>
      <c r="C1813" s="29">
        <v>67</v>
      </c>
      <c r="D1813" s="35">
        <v>67</v>
      </c>
      <c r="E1813" s="35">
        <v>66</v>
      </c>
      <c r="F1813" s="33">
        <v>66</v>
      </c>
      <c r="G1813" s="29">
        <v>-0.45</v>
      </c>
      <c r="H1813" s="29">
        <v>-0.3</v>
      </c>
      <c r="I1813" s="35">
        <v>66.300003000000004</v>
      </c>
      <c r="J1813" s="34">
        <v>5000</v>
      </c>
      <c r="K1813" s="34">
        <v>331160</v>
      </c>
    </row>
    <row r="1814" spans="1:11" hidden="1">
      <c r="A1814" s="29" t="s">
        <v>138</v>
      </c>
      <c r="B1814" s="32">
        <v>40948</v>
      </c>
      <c r="C1814" s="29">
        <v>66</v>
      </c>
      <c r="D1814" s="35">
        <v>66</v>
      </c>
      <c r="E1814" s="35">
        <v>65.800003000000004</v>
      </c>
      <c r="F1814" s="33">
        <v>65.800003000000004</v>
      </c>
      <c r="G1814" s="29">
        <v>-0.3</v>
      </c>
      <c r="H1814" s="29">
        <v>-0.2</v>
      </c>
      <c r="I1814" s="35">
        <v>66</v>
      </c>
      <c r="J1814" s="34">
        <v>3000</v>
      </c>
      <c r="K1814" s="34">
        <v>197600</v>
      </c>
    </row>
    <row r="1815" spans="1:11" hidden="1">
      <c r="A1815" s="29" t="s">
        <v>138</v>
      </c>
      <c r="B1815" s="32">
        <v>40952</v>
      </c>
      <c r="C1815" s="29">
        <v>64</v>
      </c>
      <c r="D1815" s="35">
        <v>64</v>
      </c>
      <c r="E1815" s="35">
        <v>60</v>
      </c>
      <c r="F1815" s="33">
        <v>62.900002000000001</v>
      </c>
      <c r="G1815" s="29">
        <v>-4.41</v>
      </c>
      <c r="H1815" s="29">
        <v>-2.9</v>
      </c>
      <c r="I1815" s="35">
        <v>65.800003000000004</v>
      </c>
      <c r="J1815" s="34">
        <v>20800</v>
      </c>
      <c r="K1815" s="34">
        <v>1286580</v>
      </c>
    </row>
    <row r="1816" spans="1:11" hidden="1">
      <c r="A1816" s="29" t="s">
        <v>138</v>
      </c>
      <c r="B1816" s="32">
        <v>40953</v>
      </c>
      <c r="C1816" s="29">
        <v>60</v>
      </c>
      <c r="D1816" s="35">
        <v>60</v>
      </c>
      <c r="E1816" s="35">
        <v>58</v>
      </c>
      <c r="F1816" s="33">
        <v>58</v>
      </c>
      <c r="G1816" s="29">
        <v>-7.79</v>
      </c>
      <c r="H1816" s="29">
        <v>-4.9000000000000004</v>
      </c>
      <c r="I1816" s="35">
        <v>62.900002000000001</v>
      </c>
      <c r="J1816" s="34">
        <v>22400</v>
      </c>
      <c r="K1816" s="34">
        <v>1327300</v>
      </c>
    </row>
    <row r="1817" spans="1:11" hidden="1">
      <c r="A1817" s="29" t="s">
        <v>138</v>
      </c>
      <c r="B1817" s="32">
        <v>40954</v>
      </c>
      <c r="C1817" s="29">
        <v>57.5</v>
      </c>
      <c r="D1817" s="35">
        <v>57.5</v>
      </c>
      <c r="E1817" s="35">
        <v>56</v>
      </c>
      <c r="F1817" s="33">
        <v>56</v>
      </c>
      <c r="G1817" s="29">
        <v>-3.45</v>
      </c>
      <c r="H1817" s="29">
        <v>-2</v>
      </c>
      <c r="I1817" s="35">
        <v>58</v>
      </c>
      <c r="J1817" s="34">
        <v>1300</v>
      </c>
      <c r="K1817" s="34">
        <v>72950</v>
      </c>
    </row>
    <row r="1818" spans="1:11" hidden="1">
      <c r="A1818" s="29" t="s">
        <v>138</v>
      </c>
      <c r="B1818" s="32">
        <v>40955</v>
      </c>
      <c r="C1818" s="29">
        <v>59.9</v>
      </c>
      <c r="D1818" s="35">
        <v>64</v>
      </c>
      <c r="E1818" s="35">
        <v>59.9</v>
      </c>
      <c r="F1818" s="33">
        <v>63.400002000000001</v>
      </c>
      <c r="G1818" s="29">
        <v>13.21</v>
      </c>
      <c r="H1818" s="29">
        <v>7.4</v>
      </c>
      <c r="I1818" s="35">
        <v>56</v>
      </c>
      <c r="J1818" s="34">
        <v>8600</v>
      </c>
      <c r="K1818" s="34">
        <v>536760</v>
      </c>
    </row>
    <row r="1819" spans="1:11" hidden="1">
      <c r="A1819" s="29" t="s">
        <v>138</v>
      </c>
      <c r="B1819" s="32">
        <v>40956</v>
      </c>
      <c r="C1819" s="29">
        <v>64</v>
      </c>
      <c r="D1819" s="35">
        <v>69</v>
      </c>
      <c r="E1819" s="35">
        <v>64</v>
      </c>
      <c r="F1819" s="33">
        <v>65.5</v>
      </c>
      <c r="G1819" s="29">
        <v>3.31</v>
      </c>
      <c r="H1819" s="29">
        <v>2.1</v>
      </c>
      <c r="I1819" s="35">
        <v>63.400002000000001</v>
      </c>
      <c r="J1819" s="34">
        <v>4500</v>
      </c>
      <c r="K1819" s="34">
        <v>292800</v>
      </c>
    </row>
    <row r="1820" spans="1:11" hidden="1">
      <c r="A1820" s="29" t="s">
        <v>138</v>
      </c>
      <c r="B1820" s="32">
        <v>40960</v>
      </c>
      <c r="C1820" s="29">
        <v>64.5</v>
      </c>
      <c r="D1820" s="35">
        <v>65</v>
      </c>
      <c r="E1820" s="35">
        <v>64.5</v>
      </c>
      <c r="F1820" s="33">
        <v>65</v>
      </c>
      <c r="G1820" s="29">
        <v>-0.76</v>
      </c>
      <c r="H1820" s="29">
        <v>-0.5</v>
      </c>
      <c r="I1820" s="35">
        <v>65.5</v>
      </c>
      <c r="J1820" s="34">
        <v>1500</v>
      </c>
      <c r="K1820" s="34">
        <v>97000</v>
      </c>
    </row>
    <row r="1821" spans="1:11" hidden="1">
      <c r="A1821" s="29" t="s">
        <v>138</v>
      </c>
      <c r="B1821" s="32">
        <v>40962</v>
      </c>
      <c r="C1821" s="29">
        <v>66</v>
      </c>
      <c r="D1821" s="35">
        <v>70</v>
      </c>
      <c r="E1821" s="35">
        <v>66</v>
      </c>
      <c r="F1821" s="33">
        <v>69.699996999999996</v>
      </c>
      <c r="G1821" s="29">
        <v>7.23</v>
      </c>
      <c r="H1821" s="29">
        <v>4.7</v>
      </c>
      <c r="I1821" s="35">
        <v>65</v>
      </c>
      <c r="J1821" s="34">
        <v>4300</v>
      </c>
      <c r="K1821" s="34">
        <v>298760</v>
      </c>
    </row>
    <row r="1822" spans="1:11" hidden="1">
      <c r="A1822" s="29" t="s">
        <v>138</v>
      </c>
      <c r="B1822" s="32">
        <v>40963</v>
      </c>
      <c r="C1822" s="29">
        <v>65</v>
      </c>
      <c r="D1822" s="35">
        <v>68</v>
      </c>
      <c r="E1822" s="35">
        <v>65</v>
      </c>
      <c r="F1822" s="33">
        <v>68</v>
      </c>
      <c r="G1822" s="29">
        <v>-2.44</v>
      </c>
      <c r="H1822" s="29">
        <v>-1.7</v>
      </c>
      <c r="I1822" s="35">
        <v>69.699996999999996</v>
      </c>
      <c r="J1822" s="34">
        <v>520</v>
      </c>
      <c r="K1822" s="34">
        <v>33860</v>
      </c>
    </row>
    <row r="1823" spans="1:11" hidden="1">
      <c r="A1823" s="29" t="s">
        <v>138</v>
      </c>
      <c r="B1823" s="32">
        <v>40966</v>
      </c>
      <c r="C1823" s="29">
        <v>67</v>
      </c>
      <c r="D1823" s="35">
        <v>67</v>
      </c>
      <c r="E1823" s="35">
        <v>65.5</v>
      </c>
      <c r="F1823" s="33">
        <v>65.5</v>
      </c>
      <c r="G1823" s="29">
        <v>-3.68</v>
      </c>
      <c r="H1823" s="29">
        <v>-2.5</v>
      </c>
      <c r="I1823" s="35">
        <v>68</v>
      </c>
      <c r="J1823" s="34">
        <v>902</v>
      </c>
      <c r="K1823" s="34">
        <v>59831</v>
      </c>
    </row>
    <row r="1824" spans="1:11" hidden="1">
      <c r="A1824" s="29" t="s">
        <v>138</v>
      </c>
      <c r="B1824" s="32">
        <v>40967</v>
      </c>
      <c r="C1824" s="29">
        <v>65</v>
      </c>
      <c r="D1824" s="35">
        <v>65</v>
      </c>
      <c r="E1824" s="35">
        <v>62</v>
      </c>
      <c r="F1824" s="33">
        <v>62</v>
      </c>
      <c r="G1824" s="29">
        <v>-5.34</v>
      </c>
      <c r="H1824" s="29">
        <v>-3.5</v>
      </c>
      <c r="I1824" s="35">
        <v>65.5</v>
      </c>
      <c r="J1824" s="34">
        <v>188000</v>
      </c>
      <c r="K1824" s="34">
        <v>11657530</v>
      </c>
    </row>
    <row r="1825" spans="1:11" hidden="1">
      <c r="A1825" s="29" t="s">
        <v>138</v>
      </c>
      <c r="B1825" s="32">
        <v>40969</v>
      </c>
      <c r="C1825" s="29">
        <v>62.1</v>
      </c>
      <c r="D1825" s="35">
        <v>65</v>
      </c>
      <c r="E1825" s="35">
        <v>62.099997999999999</v>
      </c>
      <c r="F1825" s="33">
        <v>62.099997999999999</v>
      </c>
      <c r="G1825" s="29">
        <v>4.84</v>
      </c>
      <c r="H1825" s="29">
        <v>3</v>
      </c>
      <c r="I1825" s="35">
        <v>62</v>
      </c>
      <c r="J1825" s="34">
        <v>201</v>
      </c>
      <c r="K1825" s="34">
        <v>12485</v>
      </c>
    </row>
    <row r="1826" spans="1:11" hidden="1">
      <c r="A1826" s="29" t="s">
        <v>138</v>
      </c>
      <c r="B1826" s="32">
        <v>40970</v>
      </c>
      <c r="C1826" s="29">
        <v>62</v>
      </c>
      <c r="D1826" s="35">
        <v>62.5</v>
      </c>
      <c r="E1826" s="35">
        <v>62</v>
      </c>
      <c r="F1826" s="33">
        <v>62.099997999999999</v>
      </c>
      <c r="G1826" s="29">
        <v>-0.16</v>
      </c>
      <c r="H1826" s="29">
        <v>-0.1</v>
      </c>
      <c r="I1826" s="35">
        <v>62.099997999999999</v>
      </c>
      <c r="J1826" s="34">
        <v>1305</v>
      </c>
      <c r="K1826" s="34">
        <v>81010</v>
      </c>
    </row>
    <row r="1827" spans="1:11" hidden="1">
      <c r="A1827" s="29" t="s">
        <v>138</v>
      </c>
      <c r="B1827" s="32">
        <v>40973</v>
      </c>
      <c r="C1827" s="29">
        <v>62</v>
      </c>
      <c r="D1827" s="35">
        <v>65</v>
      </c>
      <c r="E1827" s="35">
        <v>62</v>
      </c>
      <c r="F1827" s="33">
        <v>62</v>
      </c>
      <c r="G1827" s="29">
        <v>-0.16</v>
      </c>
      <c r="H1827" s="29">
        <v>-0.1</v>
      </c>
      <c r="I1827" s="35">
        <v>62.099997999999999</v>
      </c>
      <c r="J1827" s="34">
        <v>2202</v>
      </c>
      <c r="K1827" s="34">
        <v>136540</v>
      </c>
    </row>
    <row r="1828" spans="1:11" hidden="1">
      <c r="A1828" s="29" t="s">
        <v>138</v>
      </c>
      <c r="B1828" s="32">
        <v>40974</v>
      </c>
      <c r="C1828" s="29">
        <v>66</v>
      </c>
      <c r="D1828" s="35">
        <v>66</v>
      </c>
      <c r="E1828" s="35">
        <v>63</v>
      </c>
      <c r="F1828" s="33">
        <v>63</v>
      </c>
      <c r="G1828" s="29">
        <v>1.61</v>
      </c>
      <c r="H1828" s="29">
        <v>1</v>
      </c>
      <c r="I1828" s="35">
        <v>62</v>
      </c>
      <c r="J1828" s="34">
        <v>212</v>
      </c>
      <c r="K1828" s="34">
        <v>13690</v>
      </c>
    </row>
    <row r="1829" spans="1:11" hidden="1">
      <c r="A1829" s="29" t="s">
        <v>138</v>
      </c>
      <c r="B1829" s="32">
        <v>40976</v>
      </c>
      <c r="C1829" s="29">
        <v>62</v>
      </c>
      <c r="D1829" s="35">
        <v>62</v>
      </c>
      <c r="E1829" s="35">
        <v>62</v>
      </c>
      <c r="F1829" s="33">
        <v>62</v>
      </c>
      <c r="G1829" s="29">
        <v>-1.59</v>
      </c>
      <c r="H1829" s="29">
        <v>-1</v>
      </c>
      <c r="I1829" s="35">
        <v>63</v>
      </c>
      <c r="J1829" s="34">
        <v>3000</v>
      </c>
      <c r="K1829" s="34">
        <v>186000</v>
      </c>
    </row>
    <row r="1830" spans="1:11" hidden="1">
      <c r="A1830" s="29" t="s">
        <v>138</v>
      </c>
      <c r="B1830" s="32">
        <v>40977</v>
      </c>
      <c r="C1830" s="29">
        <v>62.1</v>
      </c>
      <c r="D1830" s="35">
        <v>62.1</v>
      </c>
      <c r="E1830" s="35">
        <v>62.099997999999999</v>
      </c>
      <c r="F1830" s="33">
        <v>62.099997999999999</v>
      </c>
      <c r="G1830" s="29">
        <v>0.16</v>
      </c>
      <c r="H1830" s="29">
        <v>0.1</v>
      </c>
      <c r="I1830" s="35">
        <v>62</v>
      </c>
      <c r="J1830" s="34">
        <v>8</v>
      </c>
      <c r="K1830" s="34">
        <v>496</v>
      </c>
    </row>
    <row r="1831" spans="1:11" hidden="1">
      <c r="A1831" s="29" t="s">
        <v>138</v>
      </c>
      <c r="B1831" s="32">
        <v>40980</v>
      </c>
      <c r="C1831" s="29">
        <v>62.2</v>
      </c>
      <c r="D1831" s="35">
        <v>64</v>
      </c>
      <c r="E1831" s="35">
        <v>62.099997999999999</v>
      </c>
      <c r="F1831" s="33">
        <v>64</v>
      </c>
      <c r="G1831" s="29">
        <v>3.06</v>
      </c>
      <c r="H1831" s="29">
        <v>1.9</v>
      </c>
      <c r="I1831" s="35">
        <v>62.099997999999999</v>
      </c>
      <c r="J1831" s="34">
        <v>380</v>
      </c>
      <c r="K1831" s="34">
        <v>24168</v>
      </c>
    </row>
    <row r="1832" spans="1:11" hidden="1">
      <c r="A1832" s="29" t="s">
        <v>138</v>
      </c>
      <c r="B1832" s="32">
        <v>40981</v>
      </c>
      <c r="C1832" s="29">
        <v>62.1</v>
      </c>
      <c r="D1832" s="35">
        <v>62.1</v>
      </c>
      <c r="E1832" s="35">
        <v>62.099997999999999</v>
      </c>
      <c r="F1832" s="33">
        <v>62.099997999999999</v>
      </c>
      <c r="G1832" s="29">
        <v>-2.97</v>
      </c>
      <c r="H1832" s="29">
        <v>-1.9</v>
      </c>
      <c r="I1832" s="35">
        <v>64</v>
      </c>
      <c r="J1832" s="34">
        <v>1049</v>
      </c>
      <c r="K1832" s="34">
        <v>65142</v>
      </c>
    </row>
    <row r="1833" spans="1:11" hidden="1">
      <c r="A1833" s="29" t="s">
        <v>138</v>
      </c>
      <c r="B1833" s="32">
        <v>40982</v>
      </c>
      <c r="C1833" s="29">
        <v>62.1</v>
      </c>
      <c r="D1833" s="35">
        <v>64</v>
      </c>
      <c r="E1833" s="35">
        <v>62.099997999999999</v>
      </c>
      <c r="F1833" s="33">
        <v>63.099997999999999</v>
      </c>
      <c r="G1833" s="29">
        <v>0.64</v>
      </c>
      <c r="H1833" s="29">
        <v>0.4</v>
      </c>
      <c r="I1833" s="35">
        <v>62.099997999999999</v>
      </c>
      <c r="J1833" s="34">
        <v>1540</v>
      </c>
      <c r="K1833" s="34">
        <v>95880</v>
      </c>
    </row>
    <row r="1834" spans="1:11" hidden="1">
      <c r="A1834" s="29" t="s">
        <v>138</v>
      </c>
      <c r="B1834" s="32">
        <v>40983</v>
      </c>
      <c r="C1834" s="29">
        <v>62.5</v>
      </c>
      <c r="D1834" s="35">
        <v>62.5</v>
      </c>
      <c r="E1834" s="35">
        <v>62.5</v>
      </c>
      <c r="F1834" s="33">
        <v>62.5</v>
      </c>
      <c r="G1834" s="29">
        <v>-0.95</v>
      </c>
      <c r="H1834" s="29">
        <v>-0.6</v>
      </c>
      <c r="I1834" s="35">
        <v>63.099997999999999</v>
      </c>
      <c r="J1834" s="34">
        <v>2860</v>
      </c>
      <c r="K1834" s="34">
        <v>178750</v>
      </c>
    </row>
    <row r="1835" spans="1:11" hidden="1">
      <c r="A1835" s="29" t="s">
        <v>138</v>
      </c>
      <c r="B1835" s="32">
        <v>40987</v>
      </c>
      <c r="C1835" s="29">
        <v>64</v>
      </c>
      <c r="D1835" s="35">
        <v>64</v>
      </c>
      <c r="E1835" s="35">
        <v>64</v>
      </c>
      <c r="F1835" s="33">
        <v>64</v>
      </c>
      <c r="G1835" s="29">
        <v>2.4</v>
      </c>
      <c r="H1835" s="29">
        <v>1.5</v>
      </c>
      <c r="I1835" s="35">
        <v>62.5</v>
      </c>
      <c r="J1835" s="34">
        <v>100</v>
      </c>
      <c r="K1835" s="34">
        <v>6400</v>
      </c>
    </row>
    <row r="1836" spans="1:11" hidden="1">
      <c r="A1836" s="29" t="s">
        <v>138</v>
      </c>
      <c r="B1836" s="32">
        <v>40988</v>
      </c>
      <c r="C1836" s="29">
        <v>67.900000000000006</v>
      </c>
      <c r="D1836" s="35">
        <v>67.900002000000001</v>
      </c>
      <c r="E1836" s="35">
        <v>66</v>
      </c>
      <c r="F1836" s="33">
        <v>66</v>
      </c>
      <c r="G1836" s="29">
        <v>3.91</v>
      </c>
      <c r="H1836" s="29">
        <v>2.5</v>
      </c>
      <c r="I1836" s="35">
        <v>64</v>
      </c>
      <c r="J1836" s="34">
        <v>106</v>
      </c>
      <c r="K1836" s="34">
        <v>7000</v>
      </c>
    </row>
    <row r="1837" spans="1:11" hidden="1">
      <c r="A1837" s="29" t="s">
        <v>138</v>
      </c>
      <c r="B1837" s="32">
        <v>40989</v>
      </c>
      <c r="C1837" s="29">
        <v>65</v>
      </c>
      <c r="D1837" s="35">
        <v>65</v>
      </c>
      <c r="E1837" s="35">
        <v>60.5</v>
      </c>
      <c r="F1837" s="33">
        <v>60.5</v>
      </c>
      <c r="G1837" s="29">
        <v>-8.33</v>
      </c>
      <c r="H1837" s="29">
        <v>-5.5</v>
      </c>
      <c r="I1837" s="35">
        <v>66</v>
      </c>
      <c r="J1837" s="34">
        <v>1100</v>
      </c>
      <c r="K1837" s="34">
        <v>67072</v>
      </c>
    </row>
    <row r="1838" spans="1:11" hidden="1">
      <c r="A1838" s="29" t="s">
        <v>138</v>
      </c>
      <c r="B1838" s="32">
        <v>40990</v>
      </c>
      <c r="C1838" s="29">
        <v>60.5</v>
      </c>
      <c r="D1838" s="35">
        <v>60.599997999999999</v>
      </c>
      <c r="E1838" s="35">
        <v>60.5</v>
      </c>
      <c r="F1838" s="33">
        <v>60.5</v>
      </c>
      <c r="G1838" s="29">
        <v>0</v>
      </c>
      <c r="H1838" s="29">
        <v>0</v>
      </c>
      <c r="I1838" s="35">
        <v>60.5</v>
      </c>
      <c r="J1838" s="34">
        <v>7495</v>
      </c>
      <c r="K1838" s="34">
        <v>453497</v>
      </c>
    </row>
    <row r="1839" spans="1:11" hidden="1">
      <c r="A1839" s="29" t="s">
        <v>138</v>
      </c>
      <c r="B1839" s="32">
        <v>40991</v>
      </c>
      <c r="C1839" s="29">
        <v>61</v>
      </c>
      <c r="D1839" s="35">
        <v>61</v>
      </c>
      <c r="E1839" s="35">
        <v>61</v>
      </c>
      <c r="F1839" s="33">
        <v>61</v>
      </c>
      <c r="G1839" s="29">
        <v>0.83</v>
      </c>
      <c r="H1839" s="29">
        <v>0.5</v>
      </c>
      <c r="I1839" s="35">
        <v>60.5</v>
      </c>
      <c r="J1839" s="34">
        <v>5140</v>
      </c>
      <c r="K1839" s="34">
        <v>313540</v>
      </c>
    </row>
    <row r="1840" spans="1:11" hidden="1">
      <c r="A1840" s="29" t="s">
        <v>138</v>
      </c>
      <c r="B1840" s="32">
        <v>40995</v>
      </c>
      <c r="C1840" s="29">
        <v>60.7</v>
      </c>
      <c r="D1840" s="35">
        <v>61</v>
      </c>
      <c r="E1840" s="35">
        <v>60.7</v>
      </c>
      <c r="F1840" s="33">
        <v>61</v>
      </c>
      <c r="G1840" s="29">
        <v>0</v>
      </c>
      <c r="H1840" s="29">
        <v>0</v>
      </c>
      <c r="I1840" s="35">
        <v>61</v>
      </c>
      <c r="J1840" s="34">
        <v>2001</v>
      </c>
      <c r="K1840" s="34">
        <v>122060</v>
      </c>
    </row>
    <row r="1841" spans="1:11" hidden="1">
      <c r="A1841" s="29" t="s">
        <v>138</v>
      </c>
      <c r="B1841" s="32">
        <v>40998</v>
      </c>
      <c r="C1841" s="29">
        <v>62</v>
      </c>
      <c r="D1841" s="35">
        <v>63.5</v>
      </c>
      <c r="E1841" s="35">
        <v>62</v>
      </c>
      <c r="F1841" s="33">
        <v>62.599997999999999</v>
      </c>
      <c r="G1841" s="29">
        <v>-2.95</v>
      </c>
      <c r="H1841" s="29">
        <v>-1.9</v>
      </c>
      <c r="I1841" s="35">
        <v>64.5</v>
      </c>
      <c r="J1841" s="34">
        <v>5401</v>
      </c>
      <c r="K1841" s="34">
        <v>337543</v>
      </c>
    </row>
    <row r="1842" spans="1:11" hidden="1">
      <c r="A1842" s="29" t="s">
        <v>138</v>
      </c>
      <c r="B1842" s="32">
        <v>41001</v>
      </c>
      <c r="C1842" s="29">
        <v>62.5</v>
      </c>
      <c r="D1842" s="35">
        <v>62.5</v>
      </c>
      <c r="E1842" s="35">
        <v>62</v>
      </c>
      <c r="F1842" s="33">
        <v>62.400002000000001</v>
      </c>
      <c r="G1842" s="29">
        <v>-0.16</v>
      </c>
      <c r="H1842" s="29">
        <v>-0.1</v>
      </c>
      <c r="I1842" s="35">
        <v>62.599997999999999</v>
      </c>
      <c r="J1842" s="34">
        <v>10436</v>
      </c>
      <c r="K1842" s="34">
        <v>652182</v>
      </c>
    </row>
    <row r="1843" spans="1:11" hidden="1">
      <c r="A1843" s="29" t="s">
        <v>138</v>
      </c>
      <c r="B1843" s="32">
        <v>41002</v>
      </c>
      <c r="C1843" s="29">
        <v>63.6</v>
      </c>
      <c r="D1843" s="35">
        <v>63.6</v>
      </c>
      <c r="E1843" s="35">
        <v>63.599997999999999</v>
      </c>
      <c r="F1843" s="33">
        <v>63.599997999999999</v>
      </c>
      <c r="G1843" s="29">
        <v>1.92</v>
      </c>
      <c r="H1843" s="29">
        <v>1.2</v>
      </c>
      <c r="I1843" s="35">
        <v>62.400002000000001</v>
      </c>
      <c r="J1843" s="34">
        <v>5</v>
      </c>
      <c r="K1843" s="34">
        <v>318</v>
      </c>
    </row>
    <row r="1844" spans="1:11" hidden="1">
      <c r="A1844" s="29" t="s">
        <v>138</v>
      </c>
      <c r="B1844" s="32">
        <v>41003</v>
      </c>
      <c r="C1844" s="29">
        <v>63.3</v>
      </c>
      <c r="D1844" s="35">
        <v>63.3</v>
      </c>
      <c r="E1844" s="35">
        <v>63.299999</v>
      </c>
      <c r="F1844" s="33">
        <v>63.299999</v>
      </c>
      <c r="G1844" s="29">
        <v>-0.47</v>
      </c>
      <c r="H1844" s="29">
        <v>-0.3</v>
      </c>
      <c r="I1844" s="35">
        <v>63.599997999999999</v>
      </c>
      <c r="J1844" s="34">
        <v>5</v>
      </c>
      <c r="K1844" s="34">
        <v>316</v>
      </c>
    </row>
    <row r="1845" spans="1:11" hidden="1">
      <c r="A1845" s="29" t="s">
        <v>138</v>
      </c>
      <c r="B1845" s="32">
        <v>41010</v>
      </c>
      <c r="C1845" s="29">
        <v>62</v>
      </c>
      <c r="D1845" s="35">
        <v>62</v>
      </c>
      <c r="E1845" s="35">
        <v>61.5</v>
      </c>
      <c r="F1845" s="33">
        <v>62</v>
      </c>
      <c r="G1845" s="29">
        <v>-2.0499999999999998</v>
      </c>
      <c r="H1845" s="29">
        <v>-1.3</v>
      </c>
      <c r="I1845" s="35">
        <v>63.299999</v>
      </c>
      <c r="J1845" s="34">
        <v>211</v>
      </c>
      <c r="K1845" s="34">
        <v>13032</v>
      </c>
    </row>
    <row r="1846" spans="1:11" hidden="1">
      <c r="A1846" s="29" t="s">
        <v>138</v>
      </c>
      <c r="B1846" s="32">
        <v>41015</v>
      </c>
      <c r="C1846" s="29">
        <v>60</v>
      </c>
      <c r="D1846" s="35">
        <v>62</v>
      </c>
      <c r="E1846" s="35">
        <v>60</v>
      </c>
      <c r="F1846" s="33">
        <v>62</v>
      </c>
      <c r="G1846" s="29">
        <v>0</v>
      </c>
      <c r="H1846" s="29">
        <v>0</v>
      </c>
      <c r="I1846" s="35">
        <v>62</v>
      </c>
      <c r="J1846" s="34">
        <v>716</v>
      </c>
      <c r="K1846" s="34">
        <v>44245</v>
      </c>
    </row>
    <row r="1847" spans="1:11" hidden="1">
      <c r="A1847" s="29" t="s">
        <v>138</v>
      </c>
      <c r="B1847" s="32">
        <v>41016</v>
      </c>
      <c r="C1847" s="29">
        <v>60</v>
      </c>
      <c r="D1847" s="35">
        <v>61.700001</v>
      </c>
      <c r="E1847" s="35">
        <v>60</v>
      </c>
      <c r="F1847" s="33">
        <v>61.700001</v>
      </c>
      <c r="G1847" s="29">
        <v>-0.48</v>
      </c>
      <c r="H1847" s="29">
        <v>-0.3</v>
      </c>
      <c r="I1847" s="35">
        <v>62</v>
      </c>
      <c r="J1847" s="34">
        <v>290</v>
      </c>
      <c r="K1847" s="34">
        <v>17741</v>
      </c>
    </row>
    <row r="1848" spans="1:11" hidden="1">
      <c r="A1848" s="29" t="s">
        <v>138</v>
      </c>
      <c r="B1848" s="32">
        <v>41017</v>
      </c>
      <c r="C1848" s="29">
        <v>61</v>
      </c>
      <c r="D1848" s="35">
        <v>61</v>
      </c>
      <c r="E1848" s="35">
        <v>61</v>
      </c>
      <c r="F1848" s="33">
        <v>61</v>
      </c>
      <c r="G1848" s="29">
        <v>-1.1299999999999999</v>
      </c>
      <c r="H1848" s="29">
        <v>-0.7</v>
      </c>
      <c r="I1848" s="35">
        <v>61.700001</v>
      </c>
      <c r="J1848" s="34">
        <v>26</v>
      </c>
      <c r="K1848" s="34">
        <v>1586</v>
      </c>
    </row>
    <row r="1849" spans="1:11" hidden="1">
      <c r="A1849" s="29" t="s">
        <v>138</v>
      </c>
      <c r="B1849" s="32">
        <v>41018</v>
      </c>
      <c r="C1849" s="29">
        <v>60.1</v>
      </c>
      <c r="D1849" s="35">
        <v>60.1</v>
      </c>
      <c r="E1849" s="35">
        <v>60</v>
      </c>
      <c r="F1849" s="33">
        <v>60</v>
      </c>
      <c r="G1849" s="29">
        <v>-1.64</v>
      </c>
      <c r="H1849" s="29">
        <v>-1</v>
      </c>
      <c r="I1849" s="35">
        <v>61</v>
      </c>
      <c r="J1849" s="34">
        <v>1600</v>
      </c>
      <c r="K1849" s="34">
        <v>96010</v>
      </c>
    </row>
    <row r="1850" spans="1:11" hidden="1">
      <c r="A1850" s="29" t="s">
        <v>138</v>
      </c>
      <c r="B1850" s="32">
        <v>41019</v>
      </c>
      <c r="C1850" s="29">
        <v>61.7</v>
      </c>
      <c r="D1850" s="35">
        <v>61.700001</v>
      </c>
      <c r="E1850" s="35">
        <v>60.099997999999999</v>
      </c>
      <c r="F1850" s="33">
        <v>60.099997999999999</v>
      </c>
      <c r="G1850" s="29">
        <v>0.17</v>
      </c>
      <c r="H1850" s="29">
        <v>0.1</v>
      </c>
      <c r="I1850" s="35">
        <v>60</v>
      </c>
      <c r="J1850" s="34">
        <v>913</v>
      </c>
      <c r="K1850" s="34">
        <v>56149</v>
      </c>
    </row>
    <row r="1851" spans="1:11" hidden="1">
      <c r="A1851" s="29" t="s">
        <v>138</v>
      </c>
      <c r="B1851" s="32">
        <v>41022</v>
      </c>
      <c r="C1851" s="29">
        <v>60.1</v>
      </c>
      <c r="D1851" s="35">
        <v>60.1</v>
      </c>
      <c r="E1851" s="35">
        <v>60.099997999999999</v>
      </c>
      <c r="F1851" s="33">
        <v>60.099997999999999</v>
      </c>
      <c r="G1851" s="29">
        <v>0</v>
      </c>
      <c r="H1851" s="29">
        <v>0</v>
      </c>
      <c r="I1851" s="35">
        <v>60.099997999999999</v>
      </c>
      <c r="J1851" s="34">
        <v>145</v>
      </c>
      <c r="K1851" s="34">
        <v>8714</v>
      </c>
    </row>
    <row r="1852" spans="1:11" hidden="1">
      <c r="A1852" s="29" t="s">
        <v>138</v>
      </c>
      <c r="B1852" s="32">
        <v>41023</v>
      </c>
      <c r="C1852" s="29">
        <v>60.1</v>
      </c>
      <c r="D1852" s="35">
        <v>60.1</v>
      </c>
      <c r="E1852" s="35">
        <v>60</v>
      </c>
      <c r="F1852" s="33">
        <v>60</v>
      </c>
      <c r="G1852" s="29">
        <v>-0.17</v>
      </c>
      <c r="H1852" s="29">
        <v>-0.1</v>
      </c>
      <c r="I1852" s="35">
        <v>60.099997999999999</v>
      </c>
      <c r="J1852" s="34">
        <v>5104</v>
      </c>
      <c r="K1852" s="34">
        <v>306410</v>
      </c>
    </row>
    <row r="1853" spans="1:11" hidden="1">
      <c r="A1853" s="29" t="s">
        <v>138</v>
      </c>
      <c r="B1853" s="32">
        <v>41024</v>
      </c>
      <c r="C1853" s="29">
        <v>59.2</v>
      </c>
      <c r="D1853" s="35">
        <v>60</v>
      </c>
      <c r="E1853" s="35">
        <v>59.2</v>
      </c>
      <c r="F1853" s="33">
        <v>60</v>
      </c>
      <c r="G1853" s="29">
        <v>0</v>
      </c>
      <c r="H1853" s="29">
        <v>0</v>
      </c>
      <c r="I1853" s="35">
        <v>60</v>
      </c>
      <c r="J1853" s="34">
        <v>126</v>
      </c>
      <c r="K1853" s="34">
        <v>7499</v>
      </c>
    </row>
    <row r="1854" spans="1:11" hidden="1">
      <c r="A1854" s="29" t="s">
        <v>138</v>
      </c>
      <c r="B1854" s="32">
        <v>41025</v>
      </c>
      <c r="C1854" s="29">
        <v>59.1</v>
      </c>
      <c r="D1854" s="35">
        <v>60.5</v>
      </c>
      <c r="E1854" s="35">
        <v>59</v>
      </c>
      <c r="F1854" s="33">
        <v>60.5</v>
      </c>
      <c r="G1854" s="29">
        <v>0.83</v>
      </c>
      <c r="H1854" s="29">
        <v>0.5</v>
      </c>
      <c r="I1854" s="35">
        <v>60</v>
      </c>
      <c r="J1854" s="34">
        <v>2534</v>
      </c>
      <c r="K1854" s="34">
        <v>149661</v>
      </c>
    </row>
    <row r="1855" spans="1:11" hidden="1">
      <c r="A1855" s="29" t="s">
        <v>138</v>
      </c>
      <c r="B1855" s="32">
        <v>41026</v>
      </c>
      <c r="C1855" s="29">
        <v>59</v>
      </c>
      <c r="D1855" s="35">
        <v>59.099997999999999</v>
      </c>
      <c r="E1855" s="35">
        <v>59</v>
      </c>
      <c r="F1855" s="33">
        <v>59</v>
      </c>
      <c r="G1855" s="29">
        <v>-2.31</v>
      </c>
      <c r="H1855" s="29">
        <v>-1.4</v>
      </c>
      <c r="I1855" s="35">
        <v>60.5</v>
      </c>
      <c r="J1855" s="34">
        <v>474</v>
      </c>
      <c r="K1855" s="34">
        <v>27976</v>
      </c>
    </row>
    <row r="1856" spans="1:11" hidden="1">
      <c r="A1856" s="29" t="s">
        <v>138</v>
      </c>
      <c r="B1856" s="32">
        <v>41029</v>
      </c>
      <c r="C1856" s="29">
        <v>59</v>
      </c>
      <c r="D1856" s="35">
        <v>61</v>
      </c>
      <c r="E1856" s="35">
        <v>59</v>
      </c>
      <c r="F1856" s="33">
        <v>61</v>
      </c>
      <c r="G1856" s="29">
        <v>3.39</v>
      </c>
      <c r="H1856" s="29">
        <v>2</v>
      </c>
      <c r="I1856" s="35">
        <v>59</v>
      </c>
      <c r="J1856" s="34">
        <v>151</v>
      </c>
      <c r="K1856" s="34">
        <v>9011</v>
      </c>
    </row>
    <row r="1857" spans="1:11" hidden="1">
      <c r="A1857" s="29" t="s">
        <v>138</v>
      </c>
      <c r="B1857" s="32">
        <v>41031</v>
      </c>
      <c r="C1857" s="29">
        <v>60</v>
      </c>
      <c r="D1857" s="35">
        <v>60</v>
      </c>
      <c r="E1857" s="35">
        <v>59</v>
      </c>
      <c r="F1857" s="33">
        <v>59.099997999999999</v>
      </c>
      <c r="G1857" s="29">
        <v>-3.28</v>
      </c>
      <c r="H1857" s="29">
        <v>-2</v>
      </c>
      <c r="I1857" s="35">
        <v>61</v>
      </c>
      <c r="J1857" s="34">
        <v>7383</v>
      </c>
      <c r="K1857" s="34">
        <v>440829</v>
      </c>
    </row>
    <row r="1858" spans="1:11" hidden="1">
      <c r="A1858" s="29" t="s">
        <v>138</v>
      </c>
      <c r="B1858" s="32">
        <v>41032</v>
      </c>
      <c r="C1858" s="29">
        <v>59</v>
      </c>
      <c r="D1858" s="35">
        <v>59</v>
      </c>
      <c r="E1858" s="35">
        <v>59</v>
      </c>
      <c r="F1858" s="33">
        <v>59</v>
      </c>
      <c r="G1858" s="29">
        <v>-0.17</v>
      </c>
      <c r="H1858" s="29">
        <v>-0.1</v>
      </c>
      <c r="I1858" s="35">
        <v>59.099997999999999</v>
      </c>
      <c r="J1858" s="34">
        <v>210</v>
      </c>
      <c r="K1858" s="34">
        <v>12390</v>
      </c>
    </row>
    <row r="1859" spans="1:11" hidden="1">
      <c r="A1859" s="29" t="s">
        <v>138</v>
      </c>
      <c r="B1859" s="32">
        <v>41033</v>
      </c>
      <c r="C1859" s="29">
        <v>58.6</v>
      </c>
      <c r="D1859" s="35">
        <v>59</v>
      </c>
      <c r="E1859" s="35">
        <v>58.599997999999999</v>
      </c>
      <c r="F1859" s="33">
        <v>58.599997999999999</v>
      </c>
      <c r="G1859" s="29">
        <v>-0.68</v>
      </c>
      <c r="H1859" s="29">
        <v>-0.4</v>
      </c>
      <c r="I1859" s="35">
        <v>59</v>
      </c>
      <c r="J1859" s="34">
        <v>300</v>
      </c>
      <c r="K1859" s="34">
        <v>17660</v>
      </c>
    </row>
    <row r="1860" spans="1:11" hidden="1">
      <c r="A1860" s="29" t="s">
        <v>138</v>
      </c>
      <c r="B1860" s="32">
        <v>41037</v>
      </c>
      <c r="C1860" s="29">
        <v>58.5</v>
      </c>
      <c r="D1860" s="35">
        <v>58.5</v>
      </c>
      <c r="E1860" s="35">
        <v>58.5</v>
      </c>
      <c r="F1860" s="33">
        <v>58.5</v>
      </c>
      <c r="G1860" s="29">
        <v>-0.17</v>
      </c>
      <c r="H1860" s="29">
        <v>-0.1</v>
      </c>
      <c r="I1860" s="35">
        <v>58.599997999999999</v>
      </c>
      <c r="J1860" s="34">
        <v>3000</v>
      </c>
      <c r="K1860" s="34">
        <v>175500</v>
      </c>
    </row>
    <row r="1861" spans="1:11" hidden="1">
      <c r="A1861" s="29" t="s">
        <v>138</v>
      </c>
      <c r="B1861" s="32">
        <v>41038</v>
      </c>
      <c r="C1861" s="29">
        <v>56.1</v>
      </c>
      <c r="D1861" s="35">
        <v>58.5</v>
      </c>
      <c r="E1861" s="35">
        <v>56.099997999999999</v>
      </c>
      <c r="F1861" s="33">
        <v>57.200001</v>
      </c>
      <c r="G1861" s="29">
        <v>0</v>
      </c>
      <c r="H1861" s="29">
        <v>0</v>
      </c>
      <c r="I1861" s="35">
        <v>58.5</v>
      </c>
      <c r="J1861" s="34">
        <v>2232</v>
      </c>
      <c r="K1861" s="34">
        <v>127595</v>
      </c>
    </row>
    <row r="1862" spans="1:11" hidden="1">
      <c r="A1862" s="29" t="s">
        <v>138</v>
      </c>
      <c r="B1862" s="32">
        <v>41039</v>
      </c>
      <c r="C1862" s="29">
        <v>56.1</v>
      </c>
      <c r="D1862" s="35">
        <v>56.200001</v>
      </c>
      <c r="E1862" s="35">
        <v>56.099997999999999</v>
      </c>
      <c r="F1862" s="33">
        <v>56.200001</v>
      </c>
      <c r="G1862" s="29">
        <v>-1.75</v>
      </c>
      <c r="H1862" s="29">
        <v>-1</v>
      </c>
      <c r="I1862" s="35">
        <v>57.200001</v>
      </c>
      <c r="J1862" s="34">
        <v>1072</v>
      </c>
      <c r="K1862" s="34">
        <v>60236</v>
      </c>
    </row>
    <row r="1863" spans="1:11" hidden="1">
      <c r="A1863" s="29" t="s">
        <v>138</v>
      </c>
      <c r="B1863" s="32">
        <v>41040</v>
      </c>
      <c r="C1863" s="29">
        <v>57</v>
      </c>
      <c r="D1863" s="35">
        <v>57</v>
      </c>
      <c r="E1863" s="35">
        <v>56.200001</v>
      </c>
      <c r="F1863" s="33">
        <v>57</v>
      </c>
      <c r="G1863" s="29">
        <v>1.42</v>
      </c>
      <c r="H1863" s="29">
        <v>0.8</v>
      </c>
      <c r="I1863" s="35">
        <v>56.200001</v>
      </c>
      <c r="J1863" s="34">
        <v>372</v>
      </c>
      <c r="K1863" s="34">
        <v>21044</v>
      </c>
    </row>
    <row r="1864" spans="1:11" hidden="1">
      <c r="A1864" s="29" t="s">
        <v>138</v>
      </c>
      <c r="B1864" s="32">
        <v>41043</v>
      </c>
      <c r="C1864" s="29">
        <v>58</v>
      </c>
      <c r="D1864" s="35">
        <v>58</v>
      </c>
      <c r="E1864" s="35">
        <v>56</v>
      </c>
      <c r="F1864" s="33">
        <v>56.200001</v>
      </c>
      <c r="G1864" s="29">
        <v>-1.4</v>
      </c>
      <c r="H1864" s="29">
        <v>-0.8</v>
      </c>
      <c r="I1864" s="35">
        <v>57</v>
      </c>
      <c r="J1864" s="34">
        <v>1705</v>
      </c>
      <c r="K1864" s="34">
        <v>97010</v>
      </c>
    </row>
    <row r="1865" spans="1:11" hidden="1">
      <c r="A1865" s="29" t="s">
        <v>138</v>
      </c>
      <c r="B1865" s="32">
        <v>41044</v>
      </c>
      <c r="C1865" s="29">
        <v>56</v>
      </c>
      <c r="D1865" s="35">
        <v>57</v>
      </c>
      <c r="E1865" s="35">
        <v>56</v>
      </c>
      <c r="F1865" s="33">
        <v>57</v>
      </c>
      <c r="G1865" s="29">
        <v>1.42</v>
      </c>
      <c r="H1865" s="29">
        <v>0.8</v>
      </c>
      <c r="I1865" s="35">
        <v>56.200001</v>
      </c>
      <c r="J1865" s="34">
        <v>2100</v>
      </c>
      <c r="K1865" s="34">
        <v>119600</v>
      </c>
    </row>
    <row r="1866" spans="1:11" hidden="1">
      <c r="A1866" s="29" t="s">
        <v>138</v>
      </c>
      <c r="B1866" s="32">
        <v>41045</v>
      </c>
      <c r="C1866" s="29">
        <v>57</v>
      </c>
      <c r="D1866" s="35">
        <v>57.900002000000001</v>
      </c>
      <c r="E1866" s="35">
        <v>56.900002000000001</v>
      </c>
      <c r="F1866" s="33">
        <v>57.900002000000001</v>
      </c>
      <c r="G1866" s="29">
        <v>1.58</v>
      </c>
      <c r="H1866" s="29">
        <v>0.9</v>
      </c>
      <c r="I1866" s="35">
        <v>57</v>
      </c>
      <c r="J1866" s="34">
        <v>8866</v>
      </c>
      <c r="K1866" s="34">
        <v>505892</v>
      </c>
    </row>
    <row r="1867" spans="1:11" hidden="1">
      <c r="A1867" s="29" t="s">
        <v>138</v>
      </c>
      <c r="B1867" s="32">
        <v>41046</v>
      </c>
      <c r="C1867" s="29">
        <v>57.9</v>
      </c>
      <c r="D1867" s="35">
        <v>60.099997999999999</v>
      </c>
      <c r="E1867" s="35">
        <v>57.9</v>
      </c>
      <c r="F1867" s="33">
        <v>58</v>
      </c>
      <c r="G1867" s="29">
        <v>0.17</v>
      </c>
      <c r="H1867" s="29">
        <v>0.1</v>
      </c>
      <c r="I1867" s="35">
        <v>57.900002000000001</v>
      </c>
      <c r="J1867" s="34">
        <v>2660</v>
      </c>
      <c r="K1867" s="34">
        <v>154540</v>
      </c>
    </row>
    <row r="1868" spans="1:11" hidden="1">
      <c r="A1868" s="29" t="s">
        <v>138</v>
      </c>
      <c r="B1868" s="32">
        <v>41047</v>
      </c>
      <c r="C1868" s="29">
        <v>55.3</v>
      </c>
      <c r="D1868" s="35">
        <v>55.799999</v>
      </c>
      <c r="E1868" s="35">
        <v>55.299999</v>
      </c>
      <c r="F1868" s="33">
        <v>55.400002000000001</v>
      </c>
      <c r="G1868" s="29">
        <v>-3.79</v>
      </c>
      <c r="H1868" s="29">
        <v>-2.2000000000000002</v>
      </c>
      <c r="I1868" s="35">
        <v>58</v>
      </c>
      <c r="J1868" s="34">
        <v>250</v>
      </c>
      <c r="K1868" s="34">
        <v>13850</v>
      </c>
    </row>
    <row r="1869" spans="1:11" hidden="1">
      <c r="A1869" s="29" t="s">
        <v>138</v>
      </c>
      <c r="B1869" s="32">
        <v>41051</v>
      </c>
      <c r="C1869" s="29">
        <v>59</v>
      </c>
      <c r="D1869" s="35">
        <v>59</v>
      </c>
      <c r="E1869" s="35">
        <v>57.200001</v>
      </c>
      <c r="F1869" s="33">
        <v>57.200001</v>
      </c>
      <c r="G1869" s="29">
        <v>3.25</v>
      </c>
      <c r="H1869" s="29">
        <v>1.8</v>
      </c>
      <c r="I1869" s="35">
        <v>55.400002000000001</v>
      </c>
      <c r="J1869" s="34">
        <v>556</v>
      </c>
      <c r="K1869" s="34">
        <v>32801</v>
      </c>
    </row>
    <row r="1870" spans="1:11" hidden="1">
      <c r="A1870" s="29" t="s">
        <v>138</v>
      </c>
      <c r="B1870" s="32">
        <v>41052</v>
      </c>
      <c r="C1870" s="29">
        <v>55.7</v>
      </c>
      <c r="D1870" s="35">
        <v>57.5</v>
      </c>
      <c r="E1870" s="35">
        <v>55.5</v>
      </c>
      <c r="F1870" s="33">
        <v>57.5</v>
      </c>
      <c r="G1870" s="29">
        <v>-2.1</v>
      </c>
      <c r="H1870" s="29">
        <v>-1.2</v>
      </c>
      <c r="I1870" s="35">
        <v>57.200001</v>
      </c>
      <c r="J1870" s="34">
        <v>3996</v>
      </c>
      <c r="K1870" s="34">
        <v>223897</v>
      </c>
    </row>
    <row r="1871" spans="1:11" hidden="1">
      <c r="A1871" s="29" t="s">
        <v>138</v>
      </c>
      <c r="B1871" s="32">
        <v>41053</v>
      </c>
      <c r="C1871" s="29">
        <v>55.3</v>
      </c>
      <c r="D1871" s="35">
        <v>57.900002000000001</v>
      </c>
      <c r="E1871" s="35">
        <v>55.299999</v>
      </c>
      <c r="F1871" s="33">
        <v>57.900002000000001</v>
      </c>
      <c r="G1871" s="29">
        <v>0.7</v>
      </c>
      <c r="H1871" s="29">
        <v>0.4</v>
      </c>
      <c r="I1871" s="35">
        <v>57.5</v>
      </c>
      <c r="J1871" s="34">
        <v>30153</v>
      </c>
      <c r="K1871" s="34">
        <v>1676811</v>
      </c>
    </row>
    <row r="1872" spans="1:11" hidden="1">
      <c r="A1872" s="29" t="s">
        <v>138</v>
      </c>
      <c r="B1872" s="32">
        <v>41054</v>
      </c>
      <c r="C1872" s="29">
        <v>56.5</v>
      </c>
      <c r="D1872" s="35">
        <v>56.5</v>
      </c>
      <c r="E1872" s="35">
        <v>55.5</v>
      </c>
      <c r="F1872" s="33">
        <v>56.5</v>
      </c>
      <c r="G1872" s="29">
        <v>-2.42</v>
      </c>
      <c r="H1872" s="29">
        <v>-1.4</v>
      </c>
      <c r="I1872" s="35">
        <v>57.900002000000001</v>
      </c>
      <c r="J1872" s="34">
        <v>1020</v>
      </c>
      <c r="K1872" s="34">
        <v>57120</v>
      </c>
    </row>
    <row r="1873" spans="1:11" hidden="1">
      <c r="A1873" s="29" t="s">
        <v>138</v>
      </c>
      <c r="B1873" s="32">
        <v>41057</v>
      </c>
      <c r="C1873" s="29">
        <v>56.5</v>
      </c>
      <c r="D1873" s="35">
        <v>56.5</v>
      </c>
      <c r="E1873" s="35">
        <v>54</v>
      </c>
      <c r="F1873" s="33">
        <v>54.5</v>
      </c>
      <c r="G1873" s="29">
        <v>-4.42</v>
      </c>
      <c r="H1873" s="29">
        <v>-2.5</v>
      </c>
      <c r="I1873" s="35">
        <v>56.5</v>
      </c>
      <c r="J1873" s="34">
        <v>7200</v>
      </c>
      <c r="K1873" s="34">
        <v>395530</v>
      </c>
    </row>
    <row r="1874" spans="1:11" hidden="1">
      <c r="A1874" s="29" t="s">
        <v>138</v>
      </c>
      <c r="B1874" s="32">
        <v>41058</v>
      </c>
      <c r="C1874" s="29">
        <v>53</v>
      </c>
      <c r="D1874" s="35">
        <v>53</v>
      </c>
      <c r="E1874" s="35">
        <v>53</v>
      </c>
      <c r="F1874" s="33">
        <v>53</v>
      </c>
      <c r="G1874" s="29">
        <v>-2.75</v>
      </c>
      <c r="H1874" s="29">
        <v>-1.5</v>
      </c>
      <c r="I1874" s="35">
        <v>54.5</v>
      </c>
      <c r="J1874" s="34">
        <v>2308</v>
      </c>
      <c r="K1874" s="34">
        <v>122324</v>
      </c>
    </row>
    <row r="1875" spans="1:11" hidden="1">
      <c r="A1875" s="29" t="s">
        <v>138</v>
      </c>
      <c r="B1875" s="32">
        <v>41059</v>
      </c>
      <c r="C1875" s="29">
        <v>53.5</v>
      </c>
      <c r="D1875" s="35">
        <v>54</v>
      </c>
      <c r="E1875" s="35">
        <v>53</v>
      </c>
      <c r="F1875" s="33">
        <v>53.5</v>
      </c>
      <c r="G1875" s="29">
        <v>0.94</v>
      </c>
      <c r="H1875" s="29">
        <v>0.5</v>
      </c>
      <c r="I1875" s="35">
        <v>53</v>
      </c>
      <c r="J1875" s="34">
        <v>1800</v>
      </c>
      <c r="K1875" s="34">
        <v>95855</v>
      </c>
    </row>
    <row r="1876" spans="1:11" hidden="1">
      <c r="A1876" s="29" t="s">
        <v>138</v>
      </c>
      <c r="B1876" s="32">
        <v>41060</v>
      </c>
      <c r="C1876" s="29">
        <v>54.5</v>
      </c>
      <c r="D1876" s="35">
        <v>54.5</v>
      </c>
      <c r="E1876" s="35">
        <v>54</v>
      </c>
      <c r="F1876" s="33">
        <v>54</v>
      </c>
      <c r="G1876" s="29">
        <v>0.93</v>
      </c>
      <c r="H1876" s="29">
        <v>0.5</v>
      </c>
      <c r="I1876" s="35">
        <v>53.5</v>
      </c>
      <c r="J1876" s="34">
        <v>120</v>
      </c>
      <c r="K1876" s="34">
        <v>6530</v>
      </c>
    </row>
    <row r="1877" spans="1:11" hidden="1">
      <c r="A1877" s="29" t="s">
        <v>138</v>
      </c>
      <c r="B1877" s="32">
        <v>41061</v>
      </c>
      <c r="C1877" s="29">
        <v>55</v>
      </c>
      <c r="D1877" s="35">
        <v>55</v>
      </c>
      <c r="E1877" s="35">
        <v>53.5</v>
      </c>
      <c r="F1877" s="33">
        <v>53.900002000000001</v>
      </c>
      <c r="G1877" s="29">
        <v>0</v>
      </c>
      <c r="H1877" s="29">
        <v>0</v>
      </c>
      <c r="I1877" s="35">
        <v>54</v>
      </c>
      <c r="J1877" s="34">
        <v>1201</v>
      </c>
      <c r="K1877" s="34">
        <v>64755</v>
      </c>
    </row>
    <row r="1878" spans="1:11" hidden="1">
      <c r="A1878" s="29" t="s">
        <v>138</v>
      </c>
      <c r="B1878" s="32">
        <v>41065</v>
      </c>
      <c r="C1878" s="29">
        <v>54</v>
      </c>
      <c r="D1878" s="35">
        <v>54</v>
      </c>
      <c r="E1878" s="35">
        <v>53.5</v>
      </c>
      <c r="F1878" s="33">
        <v>53.5</v>
      </c>
      <c r="G1878" s="29">
        <v>-0.74</v>
      </c>
      <c r="H1878" s="29">
        <v>-0.4</v>
      </c>
      <c r="I1878" s="35">
        <v>53.900002000000001</v>
      </c>
      <c r="J1878" s="34">
        <v>1500</v>
      </c>
      <c r="K1878" s="34">
        <v>80750</v>
      </c>
    </row>
    <row r="1879" spans="1:11" hidden="1">
      <c r="A1879" s="29" t="s">
        <v>138</v>
      </c>
      <c r="B1879" s="32">
        <v>41066</v>
      </c>
      <c r="C1879" s="29">
        <v>53.1</v>
      </c>
      <c r="D1879" s="35">
        <v>53.1</v>
      </c>
      <c r="E1879" s="35">
        <v>52.099997999999999</v>
      </c>
      <c r="F1879" s="33">
        <v>52.599997999999999</v>
      </c>
      <c r="G1879" s="29">
        <v>-1.87</v>
      </c>
      <c r="H1879" s="29">
        <v>-1</v>
      </c>
      <c r="I1879" s="35">
        <v>53.5</v>
      </c>
      <c r="J1879" s="34">
        <v>1324</v>
      </c>
      <c r="K1879" s="34">
        <v>69583</v>
      </c>
    </row>
    <row r="1880" spans="1:11" hidden="1">
      <c r="A1880" s="29" t="s">
        <v>138</v>
      </c>
      <c r="B1880" s="32">
        <v>41067</v>
      </c>
      <c r="C1880" s="29">
        <v>52.1</v>
      </c>
      <c r="D1880" s="35">
        <v>52.599997999999999</v>
      </c>
      <c r="E1880" s="35">
        <v>52</v>
      </c>
      <c r="F1880" s="33">
        <v>52.599997999999999</v>
      </c>
      <c r="G1880" s="29">
        <v>0</v>
      </c>
      <c r="H1880" s="29">
        <v>0</v>
      </c>
      <c r="I1880" s="35">
        <v>52.599997999999999</v>
      </c>
      <c r="J1880" s="34">
        <v>8001</v>
      </c>
      <c r="K1880" s="34">
        <v>420272</v>
      </c>
    </row>
    <row r="1881" spans="1:11" hidden="1">
      <c r="A1881" s="29" t="s">
        <v>138</v>
      </c>
      <c r="B1881" s="32">
        <v>41068</v>
      </c>
      <c r="C1881" s="29">
        <v>54</v>
      </c>
      <c r="D1881" s="35">
        <v>54</v>
      </c>
      <c r="E1881" s="35">
        <v>54</v>
      </c>
      <c r="F1881" s="33">
        <v>54</v>
      </c>
      <c r="G1881" s="29">
        <v>2.66</v>
      </c>
      <c r="H1881" s="29">
        <v>1.4</v>
      </c>
      <c r="I1881" s="35">
        <v>52.599997999999999</v>
      </c>
      <c r="J1881" s="34">
        <v>2002</v>
      </c>
      <c r="K1881" s="34">
        <v>108108</v>
      </c>
    </row>
    <row r="1882" spans="1:11" hidden="1">
      <c r="A1882" s="29" t="s">
        <v>138</v>
      </c>
      <c r="B1882" s="32">
        <v>41072</v>
      </c>
      <c r="C1882" s="29">
        <v>54</v>
      </c>
      <c r="D1882" s="35">
        <v>54</v>
      </c>
      <c r="E1882" s="35">
        <v>52.099997999999999</v>
      </c>
      <c r="F1882" s="33">
        <v>52.900002000000001</v>
      </c>
      <c r="G1882" s="29">
        <v>-3.52</v>
      </c>
      <c r="H1882" s="29">
        <v>-1.9</v>
      </c>
      <c r="I1882" s="35">
        <v>54</v>
      </c>
      <c r="J1882" s="34">
        <v>254</v>
      </c>
      <c r="K1882" s="34">
        <v>13545</v>
      </c>
    </row>
    <row r="1883" spans="1:11" hidden="1">
      <c r="A1883" s="29" t="s">
        <v>138</v>
      </c>
      <c r="B1883" s="32">
        <v>41073</v>
      </c>
      <c r="C1883" s="29">
        <v>52</v>
      </c>
      <c r="D1883" s="35">
        <v>55</v>
      </c>
      <c r="E1883" s="35">
        <v>52</v>
      </c>
      <c r="F1883" s="33">
        <v>55</v>
      </c>
      <c r="G1883" s="29">
        <v>3.97</v>
      </c>
      <c r="H1883" s="29">
        <v>2.1</v>
      </c>
      <c r="I1883" s="35">
        <v>52.900002000000001</v>
      </c>
      <c r="J1883" s="34">
        <v>32799</v>
      </c>
      <c r="K1883" s="34">
        <v>1758347</v>
      </c>
    </row>
    <row r="1884" spans="1:11" hidden="1">
      <c r="A1884" s="29" t="s">
        <v>138</v>
      </c>
      <c r="B1884" s="32">
        <v>41074</v>
      </c>
      <c r="C1884" s="29">
        <v>52</v>
      </c>
      <c r="D1884" s="35">
        <v>56</v>
      </c>
      <c r="E1884" s="35">
        <v>52</v>
      </c>
      <c r="F1884" s="33">
        <v>55.5</v>
      </c>
      <c r="G1884" s="29">
        <v>1.82</v>
      </c>
      <c r="H1884" s="29">
        <v>1</v>
      </c>
      <c r="I1884" s="35">
        <v>55</v>
      </c>
      <c r="J1884" s="34">
        <v>21113</v>
      </c>
      <c r="K1884" s="34">
        <v>1171853</v>
      </c>
    </row>
    <row r="1885" spans="1:11" hidden="1">
      <c r="A1885" s="29" t="s">
        <v>138</v>
      </c>
      <c r="B1885" s="32">
        <v>41075</v>
      </c>
      <c r="C1885" s="29">
        <v>56</v>
      </c>
      <c r="D1885" s="35">
        <v>58</v>
      </c>
      <c r="E1885" s="35">
        <v>56</v>
      </c>
      <c r="F1885" s="33">
        <v>56.400002000000001</v>
      </c>
      <c r="G1885" s="29">
        <v>4.5</v>
      </c>
      <c r="H1885" s="29">
        <v>2.5</v>
      </c>
      <c r="I1885" s="35">
        <v>55.5</v>
      </c>
      <c r="J1885" s="34">
        <v>6261</v>
      </c>
      <c r="K1885" s="34">
        <v>352966</v>
      </c>
    </row>
    <row r="1886" spans="1:11" hidden="1">
      <c r="A1886" s="29" t="s">
        <v>138</v>
      </c>
      <c r="B1886" s="32">
        <v>41078</v>
      </c>
      <c r="C1886" s="29">
        <v>55</v>
      </c>
      <c r="D1886" s="35">
        <v>55</v>
      </c>
      <c r="E1886" s="35">
        <v>55</v>
      </c>
      <c r="F1886" s="33">
        <v>55</v>
      </c>
      <c r="G1886" s="29">
        <v>-2.48</v>
      </c>
      <c r="H1886" s="29">
        <v>-1.4</v>
      </c>
      <c r="I1886" s="35">
        <v>56.400002000000001</v>
      </c>
      <c r="J1886" s="34">
        <v>7000</v>
      </c>
      <c r="K1886" s="34">
        <v>385000</v>
      </c>
    </row>
    <row r="1887" spans="1:11" hidden="1">
      <c r="A1887" s="29" t="s">
        <v>138</v>
      </c>
      <c r="B1887" s="32">
        <v>41079</v>
      </c>
      <c r="C1887" s="29">
        <v>52.1</v>
      </c>
      <c r="D1887" s="35">
        <v>58</v>
      </c>
      <c r="E1887" s="35">
        <v>52.099997999999999</v>
      </c>
      <c r="F1887" s="33">
        <v>56</v>
      </c>
      <c r="G1887" s="29">
        <v>1.82</v>
      </c>
      <c r="H1887" s="29">
        <v>1</v>
      </c>
      <c r="I1887" s="35">
        <v>55</v>
      </c>
      <c r="J1887" s="34">
        <v>7521</v>
      </c>
      <c r="K1887" s="34">
        <v>409448</v>
      </c>
    </row>
    <row r="1888" spans="1:11" hidden="1">
      <c r="A1888" s="29" t="s">
        <v>138</v>
      </c>
      <c r="B1888" s="32">
        <v>41080</v>
      </c>
      <c r="C1888" s="29">
        <v>55</v>
      </c>
      <c r="D1888" s="35">
        <v>56</v>
      </c>
      <c r="E1888" s="35">
        <v>55</v>
      </c>
      <c r="F1888" s="33">
        <v>55</v>
      </c>
      <c r="G1888" s="29">
        <v>0</v>
      </c>
      <c r="H1888" s="29">
        <v>0</v>
      </c>
      <c r="I1888" s="35">
        <v>56</v>
      </c>
      <c r="J1888" s="34">
        <v>21982</v>
      </c>
      <c r="K1888" s="34">
        <v>1209142</v>
      </c>
    </row>
    <row r="1889" spans="1:11" hidden="1">
      <c r="A1889" s="29" t="s">
        <v>138</v>
      </c>
      <c r="B1889" s="32">
        <v>41081</v>
      </c>
      <c r="C1889" s="29">
        <v>56</v>
      </c>
      <c r="D1889" s="35">
        <v>56</v>
      </c>
      <c r="E1889" s="35">
        <v>54</v>
      </c>
      <c r="F1889" s="33">
        <v>55.900002000000001</v>
      </c>
      <c r="G1889" s="29">
        <v>1.82</v>
      </c>
      <c r="H1889" s="29">
        <v>1</v>
      </c>
      <c r="I1889" s="35">
        <v>55</v>
      </c>
      <c r="J1889" s="34">
        <v>13407</v>
      </c>
      <c r="K1889" s="34">
        <v>749868</v>
      </c>
    </row>
    <row r="1890" spans="1:11" hidden="1">
      <c r="A1890" s="29" t="s">
        <v>138</v>
      </c>
      <c r="B1890" s="32">
        <v>41082</v>
      </c>
      <c r="C1890" s="29">
        <v>56</v>
      </c>
      <c r="D1890" s="35">
        <v>56</v>
      </c>
      <c r="E1890" s="35">
        <v>55</v>
      </c>
      <c r="F1890" s="33">
        <v>55</v>
      </c>
      <c r="G1890" s="29">
        <v>-1.61</v>
      </c>
      <c r="H1890" s="29">
        <v>-0.9</v>
      </c>
      <c r="I1890" s="35">
        <v>55.900002000000001</v>
      </c>
      <c r="J1890" s="34">
        <v>2100</v>
      </c>
      <c r="K1890" s="34">
        <v>115600</v>
      </c>
    </row>
    <row r="1891" spans="1:11" hidden="1">
      <c r="A1891" s="29" t="s">
        <v>138</v>
      </c>
      <c r="B1891" s="32">
        <v>41085</v>
      </c>
      <c r="C1891" s="29">
        <v>55</v>
      </c>
      <c r="D1891" s="35">
        <v>55</v>
      </c>
      <c r="E1891" s="35">
        <v>54</v>
      </c>
      <c r="F1891" s="33">
        <v>55</v>
      </c>
      <c r="G1891" s="29">
        <v>0</v>
      </c>
      <c r="H1891" s="29">
        <v>0</v>
      </c>
      <c r="I1891" s="35">
        <v>55</v>
      </c>
      <c r="J1891" s="34">
        <v>183400</v>
      </c>
      <c r="K1891" s="34">
        <v>10086900</v>
      </c>
    </row>
    <row r="1892" spans="1:11" hidden="1">
      <c r="A1892" s="29" t="s">
        <v>138</v>
      </c>
      <c r="B1892" s="32">
        <v>41086</v>
      </c>
      <c r="C1892" s="29">
        <v>55</v>
      </c>
      <c r="D1892" s="35">
        <v>55</v>
      </c>
      <c r="E1892" s="35">
        <v>53.5</v>
      </c>
      <c r="F1892" s="33">
        <v>55</v>
      </c>
      <c r="G1892" s="29">
        <v>0</v>
      </c>
      <c r="H1892" s="29">
        <v>0</v>
      </c>
      <c r="I1892" s="35">
        <v>55</v>
      </c>
      <c r="J1892" s="34">
        <v>34255</v>
      </c>
      <c r="K1892" s="34">
        <v>1883017</v>
      </c>
    </row>
    <row r="1893" spans="1:11" hidden="1">
      <c r="A1893" s="29" t="s">
        <v>138</v>
      </c>
      <c r="B1893" s="32">
        <v>41087</v>
      </c>
      <c r="C1893" s="29">
        <v>54.1</v>
      </c>
      <c r="D1893" s="35">
        <v>54.1</v>
      </c>
      <c r="E1893" s="35">
        <v>54.099997999999999</v>
      </c>
      <c r="F1893" s="33">
        <v>54.099997999999999</v>
      </c>
      <c r="G1893" s="29">
        <v>-1.64</v>
      </c>
      <c r="H1893" s="29">
        <v>-0.9</v>
      </c>
      <c r="I1893" s="35">
        <v>55</v>
      </c>
      <c r="J1893" s="34">
        <v>13</v>
      </c>
      <c r="K1893" s="34">
        <v>703</v>
      </c>
    </row>
    <row r="1894" spans="1:11" hidden="1">
      <c r="A1894" s="29" t="s">
        <v>138</v>
      </c>
      <c r="B1894" s="32">
        <v>41088</v>
      </c>
      <c r="C1894" s="29">
        <v>56.3</v>
      </c>
      <c r="D1894" s="35">
        <v>56.3</v>
      </c>
      <c r="E1894" s="35">
        <v>56.299999</v>
      </c>
      <c r="F1894" s="33">
        <v>56.299999</v>
      </c>
      <c r="G1894" s="29">
        <v>4.07</v>
      </c>
      <c r="H1894" s="29">
        <v>2.2000000000000002</v>
      </c>
      <c r="I1894" s="35">
        <v>54.099997999999999</v>
      </c>
      <c r="J1894" s="34">
        <v>20</v>
      </c>
      <c r="K1894" s="34">
        <v>1126</v>
      </c>
    </row>
    <row r="1895" spans="1:11" hidden="1">
      <c r="A1895" s="29" t="s">
        <v>138</v>
      </c>
      <c r="B1895" s="32">
        <v>41089</v>
      </c>
      <c r="C1895" s="29">
        <v>57.9</v>
      </c>
      <c r="D1895" s="35">
        <v>57.900002000000001</v>
      </c>
      <c r="E1895" s="35">
        <v>55</v>
      </c>
      <c r="F1895" s="33">
        <v>55.299999</v>
      </c>
      <c r="G1895" s="29">
        <v>-2.31</v>
      </c>
      <c r="H1895" s="29">
        <v>-1.3</v>
      </c>
      <c r="I1895" s="35">
        <v>56.299999</v>
      </c>
      <c r="J1895" s="34">
        <v>18</v>
      </c>
      <c r="K1895" s="34">
        <v>995</v>
      </c>
    </row>
    <row r="1896" spans="1:11" hidden="1">
      <c r="A1896" s="29" t="s">
        <v>138</v>
      </c>
      <c r="B1896" s="32">
        <v>41092</v>
      </c>
      <c r="C1896" s="29">
        <v>58</v>
      </c>
      <c r="D1896" s="35">
        <v>58</v>
      </c>
      <c r="E1896" s="35">
        <v>58</v>
      </c>
      <c r="F1896" s="33">
        <v>58</v>
      </c>
      <c r="G1896" s="29">
        <v>4.88</v>
      </c>
      <c r="H1896" s="29">
        <v>2.7</v>
      </c>
      <c r="I1896" s="35">
        <v>55.299999</v>
      </c>
      <c r="J1896" s="34">
        <v>1</v>
      </c>
      <c r="K1896" s="34">
        <v>58</v>
      </c>
    </row>
    <row r="1897" spans="1:11" hidden="1">
      <c r="A1897" s="29" t="s">
        <v>138</v>
      </c>
      <c r="B1897" s="32">
        <v>41094</v>
      </c>
      <c r="C1897" s="29">
        <v>55</v>
      </c>
      <c r="D1897" s="35">
        <v>57.700001</v>
      </c>
      <c r="E1897" s="35">
        <v>55</v>
      </c>
      <c r="F1897" s="33">
        <v>55.799999</v>
      </c>
      <c r="G1897" s="29">
        <v>-0.52</v>
      </c>
      <c r="H1897" s="29">
        <v>-0.3</v>
      </c>
      <c r="I1897" s="35">
        <v>58</v>
      </c>
      <c r="J1897" s="34">
        <v>140</v>
      </c>
      <c r="K1897" s="34">
        <v>7808</v>
      </c>
    </row>
    <row r="1898" spans="1:11" hidden="1">
      <c r="A1898" s="29" t="s">
        <v>138</v>
      </c>
      <c r="B1898" s="32">
        <v>41095</v>
      </c>
      <c r="C1898" s="29">
        <v>55.8</v>
      </c>
      <c r="D1898" s="35">
        <v>55.8</v>
      </c>
      <c r="E1898" s="35">
        <v>55</v>
      </c>
      <c r="F1898" s="33">
        <v>55</v>
      </c>
      <c r="G1898" s="29">
        <v>-1.43</v>
      </c>
      <c r="H1898" s="29">
        <v>-0.8</v>
      </c>
      <c r="I1898" s="35">
        <v>55.799999</v>
      </c>
      <c r="J1898" s="34">
        <v>2000</v>
      </c>
      <c r="K1898" s="34">
        <v>110000</v>
      </c>
    </row>
    <row r="1899" spans="1:11" hidden="1">
      <c r="A1899" s="29" t="s">
        <v>138</v>
      </c>
      <c r="B1899" s="32">
        <v>41096</v>
      </c>
      <c r="C1899" s="29">
        <v>55.1</v>
      </c>
      <c r="D1899" s="35">
        <v>55.1</v>
      </c>
      <c r="E1899" s="35">
        <v>55</v>
      </c>
      <c r="F1899" s="33">
        <v>55</v>
      </c>
      <c r="G1899" s="29">
        <v>0</v>
      </c>
      <c r="H1899" s="29">
        <v>0</v>
      </c>
      <c r="I1899" s="35">
        <v>55</v>
      </c>
      <c r="J1899" s="34">
        <v>24900</v>
      </c>
      <c r="K1899" s="34">
        <v>1370700</v>
      </c>
    </row>
    <row r="1900" spans="1:11" hidden="1">
      <c r="A1900" s="29" t="s">
        <v>138</v>
      </c>
      <c r="B1900" s="32">
        <v>41099</v>
      </c>
      <c r="C1900" s="29">
        <v>54.5</v>
      </c>
      <c r="D1900" s="35">
        <v>54.5</v>
      </c>
      <c r="E1900" s="35">
        <v>54.5</v>
      </c>
      <c r="F1900" s="33">
        <v>54.5</v>
      </c>
      <c r="G1900" s="29">
        <v>-0.91</v>
      </c>
      <c r="H1900" s="29">
        <v>-0.5</v>
      </c>
      <c r="I1900" s="35">
        <v>55</v>
      </c>
      <c r="J1900" s="34">
        <v>1500</v>
      </c>
      <c r="K1900" s="34">
        <v>81750</v>
      </c>
    </row>
    <row r="1901" spans="1:11" hidden="1">
      <c r="A1901" s="29" t="s">
        <v>138</v>
      </c>
      <c r="B1901" s="32">
        <v>41100</v>
      </c>
      <c r="C1901" s="29">
        <v>54.3</v>
      </c>
      <c r="D1901" s="35">
        <v>54.3</v>
      </c>
      <c r="E1901" s="35">
        <v>54</v>
      </c>
      <c r="F1901" s="33">
        <v>54</v>
      </c>
      <c r="G1901" s="29">
        <v>-0.92</v>
      </c>
      <c r="H1901" s="29">
        <v>-0.5</v>
      </c>
      <c r="I1901" s="35">
        <v>54.5</v>
      </c>
      <c r="J1901" s="34">
        <v>510</v>
      </c>
      <c r="K1901" s="34">
        <v>27543</v>
      </c>
    </row>
    <row r="1902" spans="1:11" hidden="1">
      <c r="A1902" s="29" t="s">
        <v>138</v>
      </c>
      <c r="B1902" s="32">
        <v>41101</v>
      </c>
      <c r="C1902" s="29">
        <v>54</v>
      </c>
      <c r="D1902" s="35">
        <v>54</v>
      </c>
      <c r="E1902" s="35">
        <v>54</v>
      </c>
      <c r="F1902" s="33">
        <v>54</v>
      </c>
      <c r="G1902" s="29">
        <v>0</v>
      </c>
      <c r="H1902" s="29">
        <v>0</v>
      </c>
      <c r="I1902" s="35">
        <v>54</v>
      </c>
      <c r="J1902" s="34">
        <v>600</v>
      </c>
      <c r="K1902" s="34">
        <v>32400</v>
      </c>
    </row>
    <row r="1903" spans="1:11" hidden="1">
      <c r="A1903" s="29" t="s">
        <v>138</v>
      </c>
      <c r="B1903" s="32">
        <v>41102</v>
      </c>
      <c r="C1903" s="29">
        <v>54.9</v>
      </c>
      <c r="D1903" s="35">
        <v>55</v>
      </c>
      <c r="E1903" s="35">
        <v>54.9</v>
      </c>
      <c r="F1903" s="33">
        <v>55</v>
      </c>
      <c r="G1903" s="29">
        <v>1.85</v>
      </c>
      <c r="H1903" s="29">
        <v>1</v>
      </c>
      <c r="I1903" s="35">
        <v>54</v>
      </c>
      <c r="J1903" s="34">
        <v>14000</v>
      </c>
      <c r="K1903" s="34">
        <v>769919</v>
      </c>
    </row>
    <row r="1904" spans="1:11" hidden="1">
      <c r="A1904" s="29" t="s">
        <v>138</v>
      </c>
      <c r="B1904" s="32">
        <v>41103</v>
      </c>
      <c r="C1904" s="29">
        <v>54</v>
      </c>
      <c r="D1904" s="35">
        <v>55</v>
      </c>
      <c r="E1904" s="35">
        <v>54</v>
      </c>
      <c r="F1904" s="33">
        <v>54.200001</v>
      </c>
      <c r="G1904" s="29">
        <v>0</v>
      </c>
      <c r="H1904" s="29">
        <v>0</v>
      </c>
      <c r="I1904" s="35">
        <v>55</v>
      </c>
      <c r="J1904" s="34">
        <v>1237</v>
      </c>
      <c r="K1904" s="34">
        <v>67035</v>
      </c>
    </row>
    <row r="1905" spans="1:11" hidden="1">
      <c r="A1905" s="29" t="s">
        <v>138</v>
      </c>
      <c r="B1905" s="32">
        <v>41106</v>
      </c>
      <c r="C1905" s="29">
        <v>55</v>
      </c>
      <c r="D1905" s="35">
        <v>55</v>
      </c>
      <c r="E1905" s="35">
        <v>54</v>
      </c>
      <c r="F1905" s="33">
        <v>54</v>
      </c>
      <c r="G1905" s="29">
        <v>-0.37</v>
      </c>
      <c r="H1905" s="29">
        <v>-0.2</v>
      </c>
      <c r="I1905" s="35">
        <v>54.200001</v>
      </c>
      <c r="J1905" s="34">
        <v>1523</v>
      </c>
      <c r="K1905" s="34">
        <v>82447</v>
      </c>
    </row>
    <row r="1906" spans="1:11" hidden="1">
      <c r="A1906" s="29" t="s">
        <v>138</v>
      </c>
      <c r="B1906" s="32">
        <v>41107</v>
      </c>
      <c r="C1906" s="29">
        <v>52.5</v>
      </c>
      <c r="D1906" s="35">
        <v>55</v>
      </c>
      <c r="E1906" s="35">
        <v>52.5</v>
      </c>
      <c r="F1906" s="33">
        <v>54</v>
      </c>
      <c r="G1906" s="29">
        <v>0</v>
      </c>
      <c r="H1906" s="29">
        <v>0</v>
      </c>
      <c r="I1906" s="35">
        <v>54</v>
      </c>
      <c r="J1906" s="34">
        <v>1700</v>
      </c>
      <c r="K1906" s="34">
        <v>91248</v>
      </c>
    </row>
    <row r="1907" spans="1:11" hidden="1">
      <c r="A1907" s="29" t="s">
        <v>138</v>
      </c>
      <c r="B1907" s="32">
        <v>41108</v>
      </c>
      <c r="C1907" s="29">
        <v>53.1</v>
      </c>
      <c r="D1907" s="35">
        <v>53.1</v>
      </c>
      <c r="E1907" s="35">
        <v>53.099997999999999</v>
      </c>
      <c r="F1907" s="33">
        <v>53.099997999999999</v>
      </c>
      <c r="G1907" s="29">
        <v>-1.67</v>
      </c>
      <c r="H1907" s="29">
        <v>-0.9</v>
      </c>
      <c r="I1907" s="35">
        <v>54</v>
      </c>
      <c r="J1907" s="34">
        <v>40</v>
      </c>
      <c r="K1907" s="34">
        <v>2124</v>
      </c>
    </row>
    <row r="1908" spans="1:11" hidden="1">
      <c r="A1908" s="29" t="s">
        <v>138</v>
      </c>
      <c r="B1908" s="32">
        <v>41109</v>
      </c>
      <c r="C1908" s="29">
        <v>53.3</v>
      </c>
      <c r="D1908" s="35">
        <v>53.5</v>
      </c>
      <c r="E1908" s="35">
        <v>53.299999</v>
      </c>
      <c r="F1908" s="33">
        <v>53.5</v>
      </c>
      <c r="G1908" s="29">
        <v>0.75</v>
      </c>
      <c r="H1908" s="29">
        <v>0.4</v>
      </c>
      <c r="I1908" s="35">
        <v>53.099997999999999</v>
      </c>
      <c r="J1908" s="34">
        <v>300</v>
      </c>
      <c r="K1908" s="34">
        <v>16030</v>
      </c>
    </row>
    <row r="1909" spans="1:11" hidden="1">
      <c r="A1909" s="29" t="s">
        <v>138</v>
      </c>
      <c r="B1909" s="32">
        <v>41110</v>
      </c>
      <c r="C1909" s="29">
        <v>55</v>
      </c>
      <c r="D1909" s="35">
        <v>55</v>
      </c>
      <c r="E1909" s="35">
        <v>52.5</v>
      </c>
      <c r="F1909" s="33">
        <v>53</v>
      </c>
      <c r="G1909" s="29">
        <v>-1.87</v>
      </c>
      <c r="H1909" s="29">
        <v>-1</v>
      </c>
      <c r="I1909" s="35">
        <v>53.5</v>
      </c>
      <c r="J1909" s="34">
        <v>4851</v>
      </c>
      <c r="K1909" s="34">
        <v>257203</v>
      </c>
    </row>
    <row r="1910" spans="1:11" hidden="1">
      <c r="A1910" s="29" t="s">
        <v>138</v>
      </c>
      <c r="B1910" s="32">
        <v>41113</v>
      </c>
      <c r="C1910" s="29">
        <v>51.4</v>
      </c>
      <c r="D1910" s="35">
        <v>51.400002000000001</v>
      </c>
      <c r="E1910" s="35">
        <v>51.4</v>
      </c>
      <c r="F1910" s="33">
        <v>51.400002000000001</v>
      </c>
      <c r="G1910" s="29">
        <v>-3.02</v>
      </c>
      <c r="H1910" s="29">
        <v>-1.6</v>
      </c>
      <c r="I1910" s="35">
        <v>53</v>
      </c>
      <c r="J1910" s="34">
        <v>26</v>
      </c>
      <c r="K1910" s="34">
        <v>1336</v>
      </c>
    </row>
    <row r="1911" spans="1:11" hidden="1">
      <c r="A1911" s="29" t="s">
        <v>138</v>
      </c>
      <c r="B1911" s="32">
        <v>41114</v>
      </c>
      <c r="C1911" s="29">
        <v>52</v>
      </c>
      <c r="D1911" s="35">
        <v>52</v>
      </c>
      <c r="E1911" s="35">
        <v>51.599997999999999</v>
      </c>
      <c r="F1911" s="33">
        <v>51.799999</v>
      </c>
      <c r="G1911" s="29">
        <v>0.39</v>
      </c>
      <c r="H1911" s="29">
        <v>0.2</v>
      </c>
      <c r="I1911" s="35">
        <v>51.400002000000001</v>
      </c>
      <c r="J1911" s="34">
        <v>2850</v>
      </c>
      <c r="K1911" s="34">
        <v>147917</v>
      </c>
    </row>
    <row r="1912" spans="1:11" hidden="1">
      <c r="A1912" s="29" t="s">
        <v>138</v>
      </c>
      <c r="B1912" s="32">
        <v>41115</v>
      </c>
      <c r="C1912" s="29">
        <v>51.7</v>
      </c>
      <c r="D1912" s="35">
        <v>52</v>
      </c>
      <c r="E1912" s="35">
        <v>51.7</v>
      </c>
      <c r="F1912" s="33">
        <v>52</v>
      </c>
      <c r="G1912" s="29">
        <v>0.39</v>
      </c>
      <c r="H1912" s="29">
        <v>0.2</v>
      </c>
      <c r="I1912" s="35">
        <v>51.799999</v>
      </c>
      <c r="J1912" s="34">
        <v>4700</v>
      </c>
      <c r="K1912" s="34">
        <v>243890</v>
      </c>
    </row>
    <row r="1913" spans="1:11" hidden="1">
      <c r="A1913" s="29" t="s">
        <v>138</v>
      </c>
      <c r="B1913" s="32">
        <v>41116</v>
      </c>
      <c r="C1913" s="29">
        <v>51.6</v>
      </c>
      <c r="D1913" s="35">
        <v>52.900002000000001</v>
      </c>
      <c r="E1913" s="35">
        <v>51.5</v>
      </c>
      <c r="F1913" s="33">
        <v>52</v>
      </c>
      <c r="G1913" s="29">
        <v>0</v>
      </c>
      <c r="H1913" s="29">
        <v>0</v>
      </c>
      <c r="I1913" s="35">
        <v>52</v>
      </c>
      <c r="J1913" s="34">
        <v>23310</v>
      </c>
      <c r="K1913" s="34">
        <v>1212080</v>
      </c>
    </row>
    <row r="1914" spans="1:11" hidden="1">
      <c r="A1914" s="29" t="s">
        <v>138</v>
      </c>
      <c r="B1914" s="32">
        <v>41117</v>
      </c>
      <c r="C1914" s="29">
        <v>51.6</v>
      </c>
      <c r="D1914" s="35">
        <v>52</v>
      </c>
      <c r="E1914" s="35">
        <v>50.5</v>
      </c>
      <c r="F1914" s="33">
        <v>51.700001</v>
      </c>
      <c r="G1914" s="29">
        <v>0</v>
      </c>
      <c r="H1914" s="29">
        <v>0</v>
      </c>
      <c r="I1914" s="35">
        <v>52</v>
      </c>
      <c r="J1914" s="34">
        <v>44130</v>
      </c>
      <c r="K1914" s="34">
        <v>2277421</v>
      </c>
    </row>
    <row r="1915" spans="1:11" hidden="1">
      <c r="A1915" s="29" t="s">
        <v>138</v>
      </c>
      <c r="B1915" s="32">
        <v>41120</v>
      </c>
      <c r="C1915" s="29">
        <v>52</v>
      </c>
      <c r="D1915" s="35">
        <v>55</v>
      </c>
      <c r="E1915" s="35">
        <v>51</v>
      </c>
      <c r="F1915" s="33">
        <v>51.900002000000001</v>
      </c>
      <c r="G1915" s="29">
        <v>0.57999999999999996</v>
      </c>
      <c r="H1915" s="29">
        <v>0.3</v>
      </c>
      <c r="I1915" s="35">
        <v>51.700001</v>
      </c>
      <c r="J1915" s="34">
        <v>211337</v>
      </c>
      <c r="K1915" s="34">
        <v>11034722</v>
      </c>
    </row>
    <row r="1916" spans="1:11" hidden="1">
      <c r="A1916" s="29" t="s">
        <v>138</v>
      </c>
      <c r="B1916" s="32">
        <v>41121</v>
      </c>
      <c r="C1916" s="29">
        <v>52</v>
      </c>
      <c r="D1916" s="35">
        <v>52</v>
      </c>
      <c r="E1916" s="35">
        <v>51.099997999999999</v>
      </c>
      <c r="F1916" s="33">
        <v>51.900002000000001</v>
      </c>
      <c r="G1916" s="29">
        <v>0.19</v>
      </c>
      <c r="H1916" s="29">
        <v>0.1</v>
      </c>
      <c r="I1916" s="35">
        <v>51.900002000000001</v>
      </c>
      <c r="J1916" s="34">
        <v>19931</v>
      </c>
      <c r="K1916" s="34">
        <v>1035225</v>
      </c>
    </row>
    <row r="1917" spans="1:11" hidden="1">
      <c r="A1917" s="29" t="s">
        <v>138</v>
      </c>
      <c r="B1917" s="32">
        <v>41123</v>
      </c>
      <c r="C1917" s="29">
        <v>53.5</v>
      </c>
      <c r="D1917" s="35">
        <v>54</v>
      </c>
      <c r="E1917" s="35">
        <v>51.700001</v>
      </c>
      <c r="F1917" s="33">
        <v>52.799999</v>
      </c>
      <c r="G1917" s="29">
        <v>1.35</v>
      </c>
      <c r="H1917" s="29">
        <v>0.7</v>
      </c>
      <c r="I1917" s="35">
        <v>51.900002000000001</v>
      </c>
      <c r="J1917" s="34">
        <v>21720</v>
      </c>
      <c r="K1917" s="34">
        <v>1152228</v>
      </c>
    </row>
    <row r="1918" spans="1:11" hidden="1">
      <c r="A1918" s="29" t="s">
        <v>138</v>
      </c>
      <c r="B1918" s="32">
        <v>41124</v>
      </c>
      <c r="C1918" s="29">
        <v>53.8</v>
      </c>
      <c r="D1918" s="35">
        <v>54.400002000000001</v>
      </c>
      <c r="E1918" s="35">
        <v>53</v>
      </c>
      <c r="F1918" s="33">
        <v>53.5</v>
      </c>
      <c r="G1918" s="29">
        <v>1.33</v>
      </c>
      <c r="H1918" s="29">
        <v>0.7</v>
      </c>
      <c r="I1918" s="35">
        <v>52.799999</v>
      </c>
      <c r="J1918" s="34">
        <v>137095</v>
      </c>
      <c r="K1918" s="34">
        <v>7355963</v>
      </c>
    </row>
    <row r="1919" spans="1:11" hidden="1">
      <c r="A1919" s="29" t="s">
        <v>138</v>
      </c>
      <c r="B1919" s="32">
        <v>41127</v>
      </c>
      <c r="C1919" s="29">
        <v>53.6</v>
      </c>
      <c r="D1919" s="35">
        <v>54</v>
      </c>
      <c r="E1919" s="35">
        <v>53.599997999999999</v>
      </c>
      <c r="F1919" s="33">
        <v>53.599997999999999</v>
      </c>
      <c r="G1919" s="29">
        <v>0.19</v>
      </c>
      <c r="H1919" s="29">
        <v>0.1</v>
      </c>
      <c r="I1919" s="35">
        <v>53.5</v>
      </c>
      <c r="J1919" s="34">
        <v>175996</v>
      </c>
      <c r="K1919" s="34">
        <v>9433476</v>
      </c>
    </row>
    <row r="1920" spans="1:11" hidden="1">
      <c r="A1920" s="29" t="s">
        <v>138</v>
      </c>
      <c r="B1920" s="32">
        <v>41128</v>
      </c>
      <c r="C1920" s="29">
        <v>53.6</v>
      </c>
      <c r="D1920" s="35">
        <v>53.6</v>
      </c>
      <c r="E1920" s="35">
        <v>53.599997999999999</v>
      </c>
      <c r="F1920" s="33">
        <v>53.599997999999999</v>
      </c>
      <c r="G1920" s="29">
        <v>0</v>
      </c>
      <c r="H1920" s="29">
        <v>0</v>
      </c>
      <c r="I1920" s="35">
        <v>53.599997999999999</v>
      </c>
      <c r="J1920" s="34">
        <v>1000</v>
      </c>
      <c r="K1920" s="34">
        <v>53600</v>
      </c>
    </row>
    <row r="1921" spans="1:11" hidden="1">
      <c r="A1921" s="29" t="s">
        <v>138</v>
      </c>
      <c r="B1921" s="32">
        <v>41129</v>
      </c>
      <c r="C1921" s="29">
        <v>53.9</v>
      </c>
      <c r="D1921" s="35">
        <v>53.900002000000001</v>
      </c>
      <c r="E1921" s="35">
        <v>53.9</v>
      </c>
      <c r="F1921" s="33">
        <v>53.900002000000001</v>
      </c>
      <c r="G1921" s="29">
        <v>0.56000000000000005</v>
      </c>
      <c r="H1921" s="29">
        <v>0.3</v>
      </c>
      <c r="I1921" s="35">
        <v>53.599997999999999</v>
      </c>
      <c r="J1921" s="34">
        <v>10</v>
      </c>
      <c r="K1921" s="34">
        <v>539</v>
      </c>
    </row>
    <row r="1922" spans="1:11" hidden="1">
      <c r="A1922" s="29" t="s">
        <v>138</v>
      </c>
      <c r="B1922" s="32">
        <v>41130</v>
      </c>
      <c r="C1922" s="29">
        <v>53.9</v>
      </c>
      <c r="D1922" s="35">
        <v>53.900002000000001</v>
      </c>
      <c r="E1922" s="35">
        <v>53.9</v>
      </c>
      <c r="F1922" s="33">
        <v>53.900002000000001</v>
      </c>
      <c r="G1922" s="29">
        <v>0</v>
      </c>
      <c r="H1922" s="29">
        <v>0</v>
      </c>
      <c r="I1922" s="35">
        <v>53.900002000000001</v>
      </c>
      <c r="J1922" s="34">
        <v>15</v>
      </c>
      <c r="K1922" s="34">
        <v>808</v>
      </c>
    </row>
    <row r="1923" spans="1:11" hidden="1">
      <c r="A1923" s="29" t="s">
        <v>138</v>
      </c>
      <c r="B1923" s="32">
        <v>41131</v>
      </c>
      <c r="C1923" s="29">
        <v>52</v>
      </c>
      <c r="D1923" s="35">
        <v>52.200001</v>
      </c>
      <c r="E1923" s="35">
        <v>52</v>
      </c>
      <c r="F1923" s="33">
        <v>52.099997999999999</v>
      </c>
      <c r="G1923" s="29">
        <v>-3.15</v>
      </c>
      <c r="H1923" s="29">
        <v>-1.7</v>
      </c>
      <c r="I1923" s="35">
        <v>53.900002000000001</v>
      </c>
      <c r="J1923" s="34">
        <v>3165</v>
      </c>
      <c r="K1923" s="34">
        <v>164808</v>
      </c>
    </row>
    <row r="1924" spans="1:11" hidden="1">
      <c r="A1924" s="29" t="s">
        <v>138</v>
      </c>
      <c r="B1924" s="32">
        <v>41134</v>
      </c>
      <c r="C1924" s="29">
        <v>51.8</v>
      </c>
      <c r="D1924" s="35">
        <v>51.900002000000001</v>
      </c>
      <c r="E1924" s="35">
        <v>51.799999</v>
      </c>
      <c r="F1924" s="33">
        <v>51.799999</v>
      </c>
      <c r="G1924" s="29">
        <v>-0.38</v>
      </c>
      <c r="H1924" s="29">
        <v>-0.2</v>
      </c>
      <c r="I1924" s="35">
        <v>52.099997999999999</v>
      </c>
      <c r="J1924" s="34">
        <v>301</v>
      </c>
      <c r="K1924" s="34">
        <v>15591</v>
      </c>
    </row>
    <row r="1925" spans="1:11" hidden="1">
      <c r="A1925" s="29" t="s">
        <v>138</v>
      </c>
      <c r="B1925" s="32">
        <v>41135</v>
      </c>
      <c r="C1925" s="29">
        <v>53.8</v>
      </c>
      <c r="D1925" s="35">
        <v>53.900002000000001</v>
      </c>
      <c r="E1925" s="35">
        <v>53</v>
      </c>
      <c r="F1925" s="33">
        <v>53</v>
      </c>
      <c r="G1925" s="29">
        <v>2.3199999999999998</v>
      </c>
      <c r="H1925" s="29">
        <v>1.2</v>
      </c>
      <c r="I1925" s="35">
        <v>51.799999</v>
      </c>
      <c r="J1925" s="34">
        <v>8080</v>
      </c>
      <c r="K1925" s="34">
        <v>435049</v>
      </c>
    </row>
    <row r="1926" spans="1:11" hidden="1">
      <c r="A1926" s="29" t="s">
        <v>138</v>
      </c>
      <c r="B1926" s="32">
        <v>41136</v>
      </c>
      <c r="C1926" s="29">
        <v>54</v>
      </c>
      <c r="D1926" s="35">
        <v>54</v>
      </c>
      <c r="E1926" s="35">
        <v>53.900002000000001</v>
      </c>
      <c r="F1926" s="33">
        <v>54</v>
      </c>
      <c r="G1926" s="29">
        <v>1.89</v>
      </c>
      <c r="H1926" s="29">
        <v>1</v>
      </c>
      <c r="I1926" s="35">
        <v>53</v>
      </c>
      <c r="J1926" s="34">
        <v>11860</v>
      </c>
      <c r="K1926" s="34">
        <v>640435</v>
      </c>
    </row>
    <row r="1927" spans="1:11" hidden="1">
      <c r="A1927" s="29" t="s">
        <v>138</v>
      </c>
      <c r="B1927" s="32">
        <v>41137</v>
      </c>
      <c r="C1927" s="29">
        <v>54.1</v>
      </c>
      <c r="D1927" s="35">
        <v>54.1</v>
      </c>
      <c r="E1927" s="35">
        <v>54</v>
      </c>
      <c r="F1927" s="33">
        <v>54</v>
      </c>
      <c r="G1927" s="29">
        <v>0</v>
      </c>
      <c r="H1927" s="29">
        <v>0</v>
      </c>
      <c r="I1927" s="35">
        <v>54</v>
      </c>
      <c r="J1927" s="34">
        <v>8244</v>
      </c>
      <c r="K1927" s="34">
        <v>445576</v>
      </c>
    </row>
    <row r="1928" spans="1:11" hidden="1">
      <c r="A1928" s="29" t="s">
        <v>138</v>
      </c>
      <c r="B1928" s="32">
        <v>41138</v>
      </c>
      <c r="C1928" s="29">
        <v>54</v>
      </c>
      <c r="D1928" s="35">
        <v>55.099997999999999</v>
      </c>
      <c r="E1928" s="35">
        <v>53.900002000000001</v>
      </c>
      <c r="F1928" s="33">
        <v>54.900002000000001</v>
      </c>
      <c r="G1928" s="29">
        <v>1.85</v>
      </c>
      <c r="H1928" s="29">
        <v>1</v>
      </c>
      <c r="I1928" s="35">
        <v>54</v>
      </c>
      <c r="J1928" s="34">
        <v>11795</v>
      </c>
      <c r="K1928" s="34">
        <v>641831</v>
      </c>
    </row>
    <row r="1929" spans="1:11" hidden="1">
      <c r="A1929" s="29" t="s">
        <v>138</v>
      </c>
      <c r="B1929" s="32">
        <v>41141</v>
      </c>
      <c r="C1929" s="29">
        <v>55.3</v>
      </c>
      <c r="D1929" s="35">
        <v>56.599997999999999</v>
      </c>
      <c r="E1929" s="35">
        <v>55.299999</v>
      </c>
      <c r="F1929" s="33">
        <v>56</v>
      </c>
      <c r="G1929" s="29">
        <v>3.1</v>
      </c>
      <c r="H1929" s="29">
        <v>1.7</v>
      </c>
      <c r="I1929" s="35">
        <v>54.900002000000001</v>
      </c>
      <c r="J1929" s="34">
        <v>15201</v>
      </c>
      <c r="K1929" s="34">
        <v>851072</v>
      </c>
    </row>
    <row r="1930" spans="1:11" hidden="1">
      <c r="A1930" s="29" t="s">
        <v>138</v>
      </c>
      <c r="B1930" s="32">
        <v>41142</v>
      </c>
      <c r="C1930" s="29">
        <v>56</v>
      </c>
      <c r="D1930" s="35">
        <v>57.599997999999999</v>
      </c>
      <c r="E1930" s="35">
        <v>56</v>
      </c>
      <c r="F1930" s="33">
        <v>57</v>
      </c>
      <c r="G1930" s="29">
        <v>2.68</v>
      </c>
      <c r="H1930" s="29">
        <v>1.5</v>
      </c>
      <c r="I1930" s="35">
        <v>56</v>
      </c>
      <c r="J1930" s="34">
        <v>12228</v>
      </c>
      <c r="K1930" s="34">
        <v>692066</v>
      </c>
    </row>
    <row r="1931" spans="1:11" hidden="1">
      <c r="A1931" s="29" t="s">
        <v>138</v>
      </c>
      <c r="B1931" s="32">
        <v>41143</v>
      </c>
      <c r="C1931" s="29">
        <v>57.6</v>
      </c>
      <c r="D1931" s="35">
        <v>58.599997999999999</v>
      </c>
      <c r="E1931" s="35">
        <v>57.5</v>
      </c>
      <c r="F1931" s="33">
        <v>58</v>
      </c>
      <c r="G1931" s="29">
        <v>1.75</v>
      </c>
      <c r="H1931" s="29">
        <v>1</v>
      </c>
      <c r="I1931" s="35">
        <v>57</v>
      </c>
      <c r="J1931" s="34">
        <v>195822</v>
      </c>
      <c r="K1931" s="34">
        <v>11340942</v>
      </c>
    </row>
    <row r="1932" spans="1:11" hidden="1">
      <c r="A1932" s="29" t="s">
        <v>138</v>
      </c>
      <c r="B1932" s="32">
        <v>41144</v>
      </c>
      <c r="C1932" s="29">
        <v>58</v>
      </c>
      <c r="D1932" s="35">
        <v>58.799999</v>
      </c>
      <c r="E1932" s="35">
        <v>57.799999</v>
      </c>
      <c r="F1932" s="33">
        <v>58</v>
      </c>
      <c r="G1932" s="29">
        <v>0</v>
      </c>
      <c r="H1932" s="29">
        <v>0</v>
      </c>
      <c r="I1932" s="35">
        <v>58</v>
      </c>
      <c r="J1932" s="34">
        <v>40940</v>
      </c>
      <c r="K1932" s="34">
        <v>2374523</v>
      </c>
    </row>
    <row r="1933" spans="1:11" hidden="1">
      <c r="A1933" s="29" t="s">
        <v>138</v>
      </c>
      <c r="B1933" s="32">
        <v>41145</v>
      </c>
      <c r="C1933" s="29">
        <v>55.1</v>
      </c>
      <c r="D1933" s="35">
        <v>58.5</v>
      </c>
      <c r="E1933" s="35">
        <v>55.099997999999999</v>
      </c>
      <c r="F1933" s="33">
        <v>57.5</v>
      </c>
      <c r="G1933" s="29">
        <v>0.69</v>
      </c>
      <c r="H1933" s="29">
        <v>0.4</v>
      </c>
      <c r="I1933" s="35">
        <v>58</v>
      </c>
      <c r="J1933" s="34">
        <v>25540</v>
      </c>
      <c r="K1933" s="34">
        <v>1468833</v>
      </c>
    </row>
    <row r="1934" spans="1:11" hidden="1">
      <c r="A1934" s="29" t="s">
        <v>138</v>
      </c>
      <c r="B1934" s="32">
        <v>41148</v>
      </c>
      <c r="C1934" s="29">
        <v>58</v>
      </c>
      <c r="D1934" s="35">
        <v>59.299999</v>
      </c>
      <c r="E1934" s="35">
        <v>58</v>
      </c>
      <c r="F1934" s="33">
        <v>58.799999</v>
      </c>
      <c r="G1934" s="29">
        <v>2.2599999999999998</v>
      </c>
      <c r="H1934" s="29">
        <v>1.3</v>
      </c>
      <c r="I1934" s="35">
        <v>57.5</v>
      </c>
      <c r="J1934" s="34">
        <v>83114</v>
      </c>
      <c r="K1934" s="34">
        <v>4827552</v>
      </c>
    </row>
    <row r="1935" spans="1:11" hidden="1">
      <c r="A1935" s="29" t="s">
        <v>138</v>
      </c>
      <c r="B1935" s="32">
        <v>41149</v>
      </c>
      <c r="C1935" s="29">
        <v>59.3</v>
      </c>
      <c r="D1935" s="35">
        <v>62.799999</v>
      </c>
      <c r="E1935" s="35">
        <v>59.299999</v>
      </c>
      <c r="F1935" s="33">
        <v>61</v>
      </c>
      <c r="G1935" s="29">
        <v>3.74</v>
      </c>
      <c r="H1935" s="29">
        <v>2.2000000000000002</v>
      </c>
      <c r="I1935" s="35">
        <v>58.799999</v>
      </c>
      <c r="J1935" s="34">
        <v>370630</v>
      </c>
      <c r="K1935" s="34">
        <v>22592030</v>
      </c>
    </row>
    <row r="1936" spans="1:11" hidden="1">
      <c r="A1936" s="29" t="s">
        <v>138</v>
      </c>
      <c r="B1936" s="32">
        <v>41150</v>
      </c>
      <c r="C1936" s="29">
        <v>61</v>
      </c>
      <c r="D1936" s="35">
        <v>61</v>
      </c>
      <c r="E1936" s="35">
        <v>60</v>
      </c>
      <c r="F1936" s="33">
        <v>60.700001</v>
      </c>
      <c r="G1936" s="29">
        <v>0</v>
      </c>
      <c r="H1936" s="29">
        <v>0</v>
      </c>
      <c r="I1936" s="35">
        <v>61</v>
      </c>
      <c r="J1936" s="34">
        <v>71322</v>
      </c>
      <c r="K1936" s="34">
        <v>4322295</v>
      </c>
    </row>
    <row r="1937" spans="1:11" hidden="1">
      <c r="A1937" s="29" t="s">
        <v>138</v>
      </c>
      <c r="B1937" s="32">
        <v>41151</v>
      </c>
      <c r="C1937" s="29">
        <v>60</v>
      </c>
      <c r="D1937" s="35">
        <v>61</v>
      </c>
      <c r="E1937" s="35">
        <v>60</v>
      </c>
      <c r="F1937" s="33">
        <v>60.700001</v>
      </c>
      <c r="G1937" s="29">
        <v>0.49</v>
      </c>
      <c r="H1937" s="29">
        <v>0.3</v>
      </c>
      <c r="I1937" s="35">
        <v>60.700001</v>
      </c>
      <c r="J1937" s="34">
        <v>63513</v>
      </c>
      <c r="K1937" s="34">
        <v>3854758</v>
      </c>
    </row>
    <row r="1938" spans="1:11" hidden="1">
      <c r="A1938" s="29" t="s">
        <v>138</v>
      </c>
      <c r="B1938" s="32">
        <v>41155</v>
      </c>
      <c r="C1938" s="29">
        <v>62.7</v>
      </c>
      <c r="D1938" s="35">
        <v>63.799999</v>
      </c>
      <c r="E1938" s="35">
        <v>62</v>
      </c>
      <c r="F1938" s="33">
        <v>63.200001</v>
      </c>
      <c r="G1938" s="29">
        <v>5.1100000000000003</v>
      </c>
      <c r="H1938" s="29">
        <v>3.1</v>
      </c>
      <c r="I1938" s="35">
        <v>60.700001</v>
      </c>
      <c r="J1938" s="34">
        <v>8528</v>
      </c>
      <c r="K1938" s="34">
        <v>534845</v>
      </c>
    </row>
    <row r="1939" spans="1:11" hidden="1">
      <c r="A1939" s="29" t="s">
        <v>138</v>
      </c>
      <c r="B1939" s="32">
        <v>41156</v>
      </c>
      <c r="C1939" s="29">
        <v>63.9</v>
      </c>
      <c r="D1939" s="35">
        <v>64.5</v>
      </c>
      <c r="E1939" s="35">
        <v>63</v>
      </c>
      <c r="F1939" s="33">
        <v>63</v>
      </c>
      <c r="G1939" s="29">
        <v>-0.32</v>
      </c>
      <c r="H1939" s="29">
        <v>-0.2</v>
      </c>
      <c r="I1939" s="35">
        <v>63.200001</v>
      </c>
      <c r="J1939" s="34">
        <v>18872</v>
      </c>
      <c r="K1939" s="34">
        <v>1204016</v>
      </c>
    </row>
    <row r="1940" spans="1:11" hidden="1">
      <c r="A1940" s="29" t="s">
        <v>138</v>
      </c>
      <c r="B1940" s="32">
        <v>41157</v>
      </c>
      <c r="C1940" s="29">
        <v>62.1</v>
      </c>
      <c r="D1940" s="35">
        <v>63</v>
      </c>
      <c r="E1940" s="35">
        <v>62</v>
      </c>
      <c r="F1940" s="33">
        <v>63</v>
      </c>
      <c r="G1940" s="29">
        <v>0</v>
      </c>
      <c r="H1940" s="29">
        <v>0</v>
      </c>
      <c r="I1940" s="35">
        <v>63</v>
      </c>
      <c r="J1940" s="34">
        <v>240210</v>
      </c>
      <c r="K1940" s="34">
        <v>14918323</v>
      </c>
    </row>
    <row r="1941" spans="1:11" hidden="1">
      <c r="A1941" s="29" t="s">
        <v>138</v>
      </c>
      <c r="B1941" s="32">
        <v>41158</v>
      </c>
      <c r="C1941" s="29">
        <v>63</v>
      </c>
      <c r="D1941" s="35">
        <v>64</v>
      </c>
      <c r="E1941" s="35">
        <v>62</v>
      </c>
      <c r="F1941" s="33">
        <v>63.799999</v>
      </c>
      <c r="G1941" s="29">
        <v>1.59</v>
      </c>
      <c r="H1941" s="29">
        <v>1</v>
      </c>
      <c r="I1941" s="35">
        <v>63</v>
      </c>
      <c r="J1941" s="34">
        <v>79278</v>
      </c>
      <c r="K1941" s="34">
        <v>4940803</v>
      </c>
    </row>
    <row r="1942" spans="1:11" hidden="1">
      <c r="A1942" s="29" t="s">
        <v>138</v>
      </c>
      <c r="B1942" s="32">
        <v>41159</v>
      </c>
      <c r="C1942" s="29">
        <v>64.5</v>
      </c>
      <c r="D1942" s="35">
        <v>64.699996999999996</v>
      </c>
      <c r="E1942" s="35">
        <v>64</v>
      </c>
      <c r="F1942" s="33">
        <v>64.199996999999996</v>
      </c>
      <c r="G1942" s="29">
        <v>0.31</v>
      </c>
      <c r="H1942" s="29">
        <v>0.2</v>
      </c>
      <c r="I1942" s="35">
        <v>63.799999</v>
      </c>
      <c r="J1942" s="34">
        <v>5897</v>
      </c>
      <c r="K1942" s="34">
        <v>379088</v>
      </c>
    </row>
    <row r="1943" spans="1:11" hidden="1">
      <c r="A1943" s="29" t="s">
        <v>138</v>
      </c>
      <c r="B1943" s="32">
        <v>41162</v>
      </c>
      <c r="C1943" s="29">
        <v>64.900000000000006</v>
      </c>
      <c r="D1943" s="35">
        <v>67</v>
      </c>
      <c r="E1943" s="35">
        <v>64.900000000000006</v>
      </c>
      <c r="F1943" s="33">
        <v>66.699996999999996</v>
      </c>
      <c r="G1943" s="29">
        <v>3.89</v>
      </c>
      <c r="H1943" s="29">
        <v>2.5</v>
      </c>
      <c r="I1943" s="35">
        <v>64.199996999999996</v>
      </c>
      <c r="J1943" s="34">
        <v>31032</v>
      </c>
      <c r="K1943" s="34">
        <v>2041021</v>
      </c>
    </row>
    <row r="1944" spans="1:11" hidden="1">
      <c r="A1944" s="29" t="s">
        <v>138</v>
      </c>
      <c r="B1944" s="32">
        <v>41163</v>
      </c>
      <c r="C1944" s="29">
        <v>67.099999999999994</v>
      </c>
      <c r="D1944" s="35">
        <v>72</v>
      </c>
      <c r="E1944" s="35">
        <v>67.099997999999999</v>
      </c>
      <c r="F1944" s="33">
        <v>68.099997999999999</v>
      </c>
      <c r="G1944" s="29">
        <v>2.1</v>
      </c>
      <c r="H1944" s="29">
        <v>1.4</v>
      </c>
      <c r="I1944" s="35">
        <v>66.699996999999996</v>
      </c>
      <c r="J1944" s="34">
        <v>25352</v>
      </c>
      <c r="K1944" s="34">
        <v>1750756</v>
      </c>
    </row>
    <row r="1945" spans="1:11" hidden="1">
      <c r="A1945" s="29" t="s">
        <v>138</v>
      </c>
      <c r="B1945" s="32">
        <v>41164</v>
      </c>
      <c r="C1945" s="29">
        <v>68.099999999999994</v>
      </c>
      <c r="D1945" s="35">
        <v>68.900002000000001</v>
      </c>
      <c r="E1945" s="35">
        <v>65</v>
      </c>
      <c r="F1945" s="33">
        <v>65</v>
      </c>
      <c r="G1945" s="29">
        <v>-3.67</v>
      </c>
      <c r="H1945" s="29">
        <v>-2.5</v>
      </c>
      <c r="I1945" s="35">
        <v>68.099997999999999</v>
      </c>
      <c r="J1945" s="34">
        <v>7128</v>
      </c>
      <c r="K1945" s="34">
        <v>469619</v>
      </c>
    </row>
    <row r="1946" spans="1:11" hidden="1">
      <c r="A1946" s="29" t="s">
        <v>138</v>
      </c>
      <c r="B1946" s="32">
        <v>41165</v>
      </c>
      <c r="C1946" s="29">
        <v>66.099999999999994</v>
      </c>
      <c r="D1946" s="35">
        <v>72</v>
      </c>
      <c r="E1946" s="35">
        <v>66.099997999999999</v>
      </c>
      <c r="F1946" s="33">
        <v>70.300003000000004</v>
      </c>
      <c r="G1946" s="29">
        <v>7.85</v>
      </c>
      <c r="H1946" s="29">
        <v>5.0999999999999996</v>
      </c>
      <c r="I1946" s="35">
        <v>65</v>
      </c>
      <c r="J1946" s="34">
        <v>130776</v>
      </c>
      <c r="K1946" s="34">
        <v>9132215</v>
      </c>
    </row>
    <row r="1947" spans="1:11" hidden="1">
      <c r="A1947" s="29" t="s">
        <v>138</v>
      </c>
      <c r="B1947" s="32">
        <v>41166</v>
      </c>
      <c r="C1947" s="29">
        <v>71</v>
      </c>
      <c r="D1947" s="35">
        <v>73</v>
      </c>
      <c r="E1947" s="35">
        <v>68</v>
      </c>
      <c r="F1947" s="33">
        <v>72.900002000000001</v>
      </c>
      <c r="G1947" s="29">
        <v>1.1399999999999999</v>
      </c>
      <c r="H1947" s="29">
        <v>0.8</v>
      </c>
      <c r="I1947" s="35">
        <v>70.300003000000004</v>
      </c>
      <c r="J1947" s="34">
        <v>207453</v>
      </c>
      <c r="K1947" s="34">
        <v>14914482</v>
      </c>
    </row>
    <row r="1948" spans="1:11" hidden="1">
      <c r="A1948" s="29" t="s">
        <v>138</v>
      </c>
      <c r="B1948" s="32">
        <v>41169</v>
      </c>
      <c r="C1948" s="29">
        <v>72.900000000000006</v>
      </c>
      <c r="D1948" s="35">
        <v>75</v>
      </c>
      <c r="E1948" s="35">
        <v>72</v>
      </c>
      <c r="F1948" s="33">
        <v>74.300003000000004</v>
      </c>
      <c r="G1948" s="29">
        <v>0.14000000000000001</v>
      </c>
      <c r="H1948" s="29">
        <v>0.1</v>
      </c>
      <c r="I1948" s="35">
        <v>72.900002000000001</v>
      </c>
      <c r="J1948" s="34">
        <v>69931</v>
      </c>
      <c r="K1948" s="34">
        <v>5205452</v>
      </c>
    </row>
    <row r="1949" spans="1:11" hidden="1">
      <c r="A1949" s="29" t="s">
        <v>138</v>
      </c>
      <c r="B1949" s="32">
        <v>41170</v>
      </c>
      <c r="C1949" s="29">
        <v>73</v>
      </c>
      <c r="D1949" s="35">
        <v>74</v>
      </c>
      <c r="E1949" s="35">
        <v>72.5</v>
      </c>
      <c r="F1949" s="33">
        <v>73.099997999999999</v>
      </c>
      <c r="G1949" s="29">
        <v>-2.42</v>
      </c>
      <c r="H1949" s="29">
        <v>-1.8</v>
      </c>
      <c r="I1949" s="35">
        <v>74.300003000000004</v>
      </c>
      <c r="J1949" s="34">
        <v>65320</v>
      </c>
      <c r="K1949" s="34">
        <v>4783214</v>
      </c>
    </row>
    <row r="1950" spans="1:11" hidden="1">
      <c r="A1950" s="29" t="s">
        <v>138</v>
      </c>
      <c r="B1950" s="32">
        <v>41171</v>
      </c>
      <c r="C1950" s="29">
        <v>71</v>
      </c>
      <c r="D1950" s="35">
        <v>73.5</v>
      </c>
      <c r="E1950" s="35">
        <v>71</v>
      </c>
      <c r="F1950" s="33">
        <v>71.099997999999999</v>
      </c>
      <c r="G1950" s="29">
        <v>0.14000000000000001</v>
      </c>
      <c r="H1950" s="29">
        <v>0.1</v>
      </c>
      <c r="I1950" s="35">
        <v>73.099997999999999</v>
      </c>
      <c r="J1950" s="34">
        <v>13201</v>
      </c>
      <c r="K1950" s="34">
        <v>947718</v>
      </c>
    </row>
    <row r="1951" spans="1:11" hidden="1">
      <c r="A1951" s="29" t="s">
        <v>138</v>
      </c>
      <c r="B1951" s="32">
        <v>41172</v>
      </c>
      <c r="C1951" s="29">
        <v>71</v>
      </c>
      <c r="D1951" s="35">
        <v>73.400002000000001</v>
      </c>
      <c r="E1951" s="35">
        <v>70</v>
      </c>
      <c r="F1951" s="33">
        <v>70.099997999999999</v>
      </c>
      <c r="G1951" s="29">
        <v>-1.55</v>
      </c>
      <c r="H1951" s="29">
        <v>-1.1000000000000001</v>
      </c>
      <c r="I1951" s="35">
        <v>71.099997999999999</v>
      </c>
      <c r="J1951" s="34">
        <v>13625</v>
      </c>
      <c r="K1951" s="34">
        <v>977455</v>
      </c>
    </row>
    <row r="1952" spans="1:11" hidden="1">
      <c r="A1952" s="29" t="s">
        <v>138</v>
      </c>
      <c r="B1952" s="32">
        <v>41173</v>
      </c>
      <c r="C1952" s="29">
        <v>70</v>
      </c>
      <c r="D1952" s="35">
        <v>72</v>
      </c>
      <c r="E1952" s="35">
        <v>70</v>
      </c>
      <c r="F1952" s="33">
        <v>70</v>
      </c>
      <c r="G1952" s="29">
        <v>-0.14000000000000001</v>
      </c>
      <c r="H1952" s="29">
        <v>-0.1</v>
      </c>
      <c r="I1952" s="35">
        <v>70.099997999999999</v>
      </c>
      <c r="J1952" s="34">
        <v>5701</v>
      </c>
      <c r="K1952" s="34">
        <v>399332</v>
      </c>
    </row>
    <row r="1953" spans="1:11" hidden="1">
      <c r="A1953" s="29" t="s">
        <v>138</v>
      </c>
      <c r="B1953" s="32">
        <v>41176</v>
      </c>
      <c r="C1953" s="29">
        <v>70.5</v>
      </c>
      <c r="D1953" s="35">
        <v>72</v>
      </c>
      <c r="E1953" s="35">
        <v>68.699996999999996</v>
      </c>
      <c r="F1953" s="33">
        <v>68.699996999999996</v>
      </c>
      <c r="G1953" s="29">
        <v>-1.86</v>
      </c>
      <c r="H1953" s="29">
        <v>-1.3</v>
      </c>
      <c r="I1953" s="35">
        <v>70</v>
      </c>
      <c r="J1953" s="34">
        <v>23408</v>
      </c>
      <c r="K1953" s="34">
        <v>1675298</v>
      </c>
    </row>
    <row r="1954" spans="1:11" hidden="1">
      <c r="A1954" s="29" t="s">
        <v>138</v>
      </c>
      <c r="B1954" s="32">
        <v>41177</v>
      </c>
      <c r="C1954" s="29">
        <v>68.900000000000006</v>
      </c>
      <c r="D1954" s="35">
        <v>71.5</v>
      </c>
      <c r="E1954" s="35">
        <v>68.900000000000006</v>
      </c>
      <c r="F1954" s="33">
        <v>71.300003000000004</v>
      </c>
      <c r="G1954" s="29">
        <v>2.62</v>
      </c>
      <c r="H1954" s="29">
        <v>1.8</v>
      </c>
      <c r="I1954" s="35">
        <v>68.699996999999996</v>
      </c>
      <c r="J1954" s="34">
        <v>5460</v>
      </c>
      <c r="K1954" s="34">
        <v>384274</v>
      </c>
    </row>
    <row r="1955" spans="1:11" hidden="1">
      <c r="A1955" s="29" t="s">
        <v>138</v>
      </c>
      <c r="B1955" s="32">
        <v>41178</v>
      </c>
      <c r="C1955" s="29">
        <v>70.599999999999994</v>
      </c>
      <c r="D1955" s="35">
        <v>75</v>
      </c>
      <c r="E1955" s="35">
        <v>70.199996999999996</v>
      </c>
      <c r="F1955" s="33">
        <v>74.699996999999996</v>
      </c>
      <c r="G1955" s="29">
        <v>5.19</v>
      </c>
      <c r="H1955" s="29">
        <v>3.7</v>
      </c>
      <c r="I1955" s="35">
        <v>71.300003000000004</v>
      </c>
      <c r="J1955" s="34">
        <v>223024</v>
      </c>
      <c r="K1955" s="34">
        <v>16397915</v>
      </c>
    </row>
    <row r="1956" spans="1:11" hidden="1">
      <c r="A1956" s="29" t="s">
        <v>138</v>
      </c>
      <c r="B1956" s="32">
        <v>41179</v>
      </c>
      <c r="C1956" s="29">
        <v>76</v>
      </c>
      <c r="D1956" s="35">
        <v>76</v>
      </c>
      <c r="E1956" s="35">
        <v>71.099997999999999</v>
      </c>
      <c r="F1956" s="33">
        <v>75</v>
      </c>
      <c r="G1956" s="29">
        <v>0.4</v>
      </c>
      <c r="H1956" s="29">
        <v>0.3</v>
      </c>
      <c r="I1956" s="35">
        <v>74.699996999999996</v>
      </c>
      <c r="J1956" s="34">
        <v>209308</v>
      </c>
      <c r="K1956" s="34">
        <v>15699438</v>
      </c>
    </row>
    <row r="1957" spans="1:11" hidden="1">
      <c r="A1957" s="29" t="s">
        <v>138</v>
      </c>
      <c r="B1957" s="32">
        <v>41180</v>
      </c>
      <c r="C1957" s="29">
        <v>71.599999999999994</v>
      </c>
      <c r="D1957" s="35">
        <v>75</v>
      </c>
      <c r="E1957" s="35">
        <v>71.599997999999999</v>
      </c>
      <c r="F1957" s="33">
        <v>75</v>
      </c>
      <c r="G1957" s="29">
        <v>0</v>
      </c>
      <c r="H1957" s="29">
        <v>0</v>
      </c>
      <c r="I1957" s="35">
        <v>75</v>
      </c>
      <c r="J1957" s="34">
        <v>208486</v>
      </c>
      <c r="K1957" s="34">
        <v>15636237</v>
      </c>
    </row>
    <row r="1958" spans="1:11" hidden="1">
      <c r="A1958" s="29" t="s">
        <v>138</v>
      </c>
      <c r="B1958" s="32">
        <v>41183</v>
      </c>
      <c r="C1958" s="29">
        <v>74.900000000000006</v>
      </c>
      <c r="D1958" s="35">
        <v>74.900002000000001</v>
      </c>
      <c r="E1958" s="35">
        <v>72</v>
      </c>
      <c r="F1958" s="33">
        <v>72.099997999999999</v>
      </c>
      <c r="G1958" s="29">
        <v>-4</v>
      </c>
      <c r="H1958" s="29">
        <v>-3</v>
      </c>
      <c r="I1958" s="35">
        <v>75</v>
      </c>
      <c r="J1958" s="34">
        <v>9700</v>
      </c>
      <c r="K1958" s="34">
        <v>700100</v>
      </c>
    </row>
    <row r="1959" spans="1:11" hidden="1">
      <c r="A1959" s="29" t="s">
        <v>138</v>
      </c>
      <c r="B1959" s="32">
        <v>41184</v>
      </c>
      <c r="C1959" s="29">
        <v>72.099999999999994</v>
      </c>
      <c r="D1959" s="35">
        <v>74.800003000000004</v>
      </c>
      <c r="E1959" s="35">
        <v>72.099997999999999</v>
      </c>
      <c r="F1959" s="33">
        <v>74.5</v>
      </c>
      <c r="G1959" s="29">
        <v>3.33</v>
      </c>
      <c r="H1959" s="29">
        <v>2.4</v>
      </c>
      <c r="I1959" s="35">
        <v>72.099997999999999</v>
      </c>
      <c r="J1959" s="34">
        <v>1512</v>
      </c>
      <c r="K1959" s="34">
        <v>109044</v>
      </c>
    </row>
    <row r="1960" spans="1:11" hidden="1">
      <c r="A1960" s="29" t="s">
        <v>138</v>
      </c>
      <c r="B1960" s="32">
        <v>41185</v>
      </c>
      <c r="C1960" s="29">
        <v>73</v>
      </c>
      <c r="D1960" s="35">
        <v>74.5</v>
      </c>
      <c r="E1960" s="35">
        <v>71</v>
      </c>
      <c r="F1960" s="33">
        <v>71.300003000000004</v>
      </c>
      <c r="G1960" s="29">
        <v>0</v>
      </c>
      <c r="H1960" s="29">
        <v>0</v>
      </c>
      <c r="I1960" s="35">
        <v>74.5</v>
      </c>
      <c r="J1960" s="34">
        <v>26231</v>
      </c>
      <c r="K1960" s="34">
        <v>1873550</v>
      </c>
    </row>
    <row r="1961" spans="1:11" hidden="1">
      <c r="A1961" s="29" t="s">
        <v>138</v>
      </c>
      <c r="B1961" s="32">
        <v>41186</v>
      </c>
      <c r="C1961" s="29">
        <v>71.5</v>
      </c>
      <c r="D1961" s="35">
        <v>74</v>
      </c>
      <c r="E1961" s="35">
        <v>71.5</v>
      </c>
      <c r="F1961" s="33">
        <v>71.5</v>
      </c>
      <c r="G1961" s="29">
        <v>0.28000000000000003</v>
      </c>
      <c r="H1961" s="29">
        <v>0.2</v>
      </c>
      <c r="I1961" s="35">
        <v>71.300003000000004</v>
      </c>
      <c r="J1961" s="34">
        <v>7209</v>
      </c>
      <c r="K1961" s="34">
        <v>515933</v>
      </c>
    </row>
    <row r="1962" spans="1:11" hidden="1">
      <c r="A1962" s="29" t="s">
        <v>138</v>
      </c>
      <c r="B1962" s="32">
        <v>41187</v>
      </c>
      <c r="C1962" s="29">
        <v>71.5</v>
      </c>
      <c r="D1962" s="35">
        <v>74</v>
      </c>
      <c r="E1962" s="35">
        <v>71.5</v>
      </c>
      <c r="F1962" s="33">
        <v>71.5</v>
      </c>
      <c r="G1962" s="29">
        <v>0</v>
      </c>
      <c r="H1962" s="29">
        <v>0</v>
      </c>
      <c r="I1962" s="35">
        <v>71.5</v>
      </c>
      <c r="J1962" s="34">
        <v>725</v>
      </c>
      <c r="K1962" s="34">
        <v>51840</v>
      </c>
    </row>
    <row r="1963" spans="1:11" hidden="1">
      <c r="A1963" s="29" t="s">
        <v>138</v>
      </c>
      <c r="B1963" s="32">
        <v>41190</v>
      </c>
      <c r="C1963" s="29">
        <v>71.5</v>
      </c>
      <c r="D1963" s="35">
        <v>71.5</v>
      </c>
      <c r="E1963" s="35">
        <v>71.5</v>
      </c>
      <c r="F1963" s="33">
        <v>71.5</v>
      </c>
      <c r="G1963" s="29">
        <v>0</v>
      </c>
      <c r="H1963" s="29">
        <v>0</v>
      </c>
      <c r="I1963" s="35">
        <v>71.5</v>
      </c>
      <c r="J1963" s="34">
        <v>90</v>
      </c>
      <c r="K1963" s="34">
        <v>6435</v>
      </c>
    </row>
    <row r="1964" spans="1:11" hidden="1">
      <c r="A1964" s="29" t="s">
        <v>138</v>
      </c>
      <c r="B1964" s="32">
        <v>41191</v>
      </c>
      <c r="C1964" s="29">
        <v>73.8</v>
      </c>
      <c r="D1964" s="35">
        <v>73.800003000000004</v>
      </c>
      <c r="E1964" s="35">
        <v>70.800003000000004</v>
      </c>
      <c r="F1964" s="33">
        <v>71.199996999999996</v>
      </c>
      <c r="G1964" s="29">
        <v>-0.98</v>
      </c>
      <c r="H1964" s="29">
        <v>-0.7</v>
      </c>
      <c r="I1964" s="35">
        <v>71.5</v>
      </c>
      <c r="J1964" s="34">
        <v>24740</v>
      </c>
      <c r="K1964" s="34">
        <v>1765435</v>
      </c>
    </row>
    <row r="1965" spans="1:11" hidden="1">
      <c r="A1965" s="29" t="s">
        <v>138</v>
      </c>
      <c r="B1965" s="32">
        <v>41192</v>
      </c>
      <c r="C1965" s="29">
        <v>70.8</v>
      </c>
      <c r="D1965" s="35">
        <v>71.400002000000001</v>
      </c>
      <c r="E1965" s="35">
        <v>70</v>
      </c>
      <c r="F1965" s="33">
        <v>70</v>
      </c>
      <c r="G1965" s="29">
        <v>-1.69</v>
      </c>
      <c r="H1965" s="29">
        <v>-1.2</v>
      </c>
      <c r="I1965" s="35">
        <v>71.199996999999996</v>
      </c>
      <c r="J1965" s="34">
        <v>6803</v>
      </c>
      <c r="K1965" s="34">
        <v>476719</v>
      </c>
    </row>
    <row r="1966" spans="1:11" hidden="1">
      <c r="A1966" s="29" t="s">
        <v>138</v>
      </c>
      <c r="B1966" s="32">
        <v>41193</v>
      </c>
      <c r="C1966" s="29">
        <v>70</v>
      </c>
      <c r="D1966" s="35">
        <v>70.099997999999999</v>
      </c>
      <c r="E1966" s="35">
        <v>70</v>
      </c>
      <c r="F1966" s="33">
        <v>70</v>
      </c>
      <c r="G1966" s="29">
        <v>0</v>
      </c>
      <c r="H1966" s="29">
        <v>0</v>
      </c>
      <c r="I1966" s="35">
        <v>70</v>
      </c>
      <c r="J1966" s="34">
        <v>15558</v>
      </c>
      <c r="K1966" s="34">
        <v>1089160</v>
      </c>
    </row>
    <row r="1967" spans="1:11" hidden="1">
      <c r="A1967" s="29" t="s">
        <v>138</v>
      </c>
      <c r="B1967" s="32">
        <v>41197</v>
      </c>
      <c r="C1967" s="29">
        <v>69.599999999999994</v>
      </c>
      <c r="D1967" s="35">
        <v>70</v>
      </c>
      <c r="E1967" s="35">
        <v>69.5</v>
      </c>
      <c r="F1967" s="33">
        <v>69.599997999999999</v>
      </c>
      <c r="G1967" s="29">
        <v>-0.71</v>
      </c>
      <c r="H1967" s="29">
        <v>-0.5</v>
      </c>
      <c r="I1967" s="35">
        <v>70</v>
      </c>
      <c r="J1967" s="34">
        <v>800</v>
      </c>
      <c r="K1967" s="34">
        <v>55679</v>
      </c>
    </row>
    <row r="1968" spans="1:11" hidden="1">
      <c r="A1968" s="29" t="s">
        <v>138</v>
      </c>
      <c r="B1968" s="32">
        <v>41198</v>
      </c>
      <c r="C1968" s="29">
        <v>69</v>
      </c>
      <c r="D1968" s="35">
        <v>71</v>
      </c>
      <c r="E1968" s="35">
        <v>68.5</v>
      </c>
      <c r="F1968" s="33">
        <v>69</v>
      </c>
      <c r="G1968" s="29">
        <v>-0.86</v>
      </c>
      <c r="H1968" s="29">
        <v>-0.6</v>
      </c>
      <c r="I1968" s="35">
        <v>69.599997999999999</v>
      </c>
      <c r="J1968" s="34">
        <v>24240</v>
      </c>
      <c r="K1968" s="34">
        <v>1672130</v>
      </c>
    </row>
    <row r="1969" spans="1:11" hidden="1">
      <c r="A1969" s="29" t="s">
        <v>138</v>
      </c>
      <c r="B1969" s="32">
        <v>41199</v>
      </c>
      <c r="C1969" s="29">
        <v>69</v>
      </c>
      <c r="D1969" s="35">
        <v>69</v>
      </c>
      <c r="E1969" s="35">
        <v>68.5</v>
      </c>
      <c r="F1969" s="33">
        <v>68.5</v>
      </c>
      <c r="G1969" s="29">
        <v>0</v>
      </c>
      <c r="H1969" s="29">
        <v>0</v>
      </c>
      <c r="I1969" s="35">
        <v>69</v>
      </c>
      <c r="J1969" s="34">
        <v>4563</v>
      </c>
      <c r="K1969" s="34">
        <v>313280</v>
      </c>
    </row>
    <row r="1970" spans="1:11" hidden="1">
      <c r="A1970" s="29" t="s">
        <v>138</v>
      </c>
      <c r="B1970" s="32">
        <v>41200</v>
      </c>
      <c r="C1970" s="29">
        <v>68.5</v>
      </c>
      <c r="D1970" s="35">
        <v>69</v>
      </c>
      <c r="E1970" s="35">
        <v>68.199996999999996</v>
      </c>
      <c r="F1970" s="33">
        <v>68.199996999999996</v>
      </c>
      <c r="G1970" s="29">
        <v>-0.44</v>
      </c>
      <c r="H1970" s="29">
        <v>-0.3</v>
      </c>
      <c r="I1970" s="35">
        <v>68.5</v>
      </c>
      <c r="J1970" s="34">
        <v>3401</v>
      </c>
      <c r="K1970" s="34">
        <v>233468</v>
      </c>
    </row>
    <row r="1971" spans="1:11" hidden="1">
      <c r="A1971" s="29" t="s">
        <v>138</v>
      </c>
      <c r="B1971" s="32">
        <v>41201</v>
      </c>
      <c r="C1971" s="29">
        <v>68.5</v>
      </c>
      <c r="D1971" s="35">
        <v>69</v>
      </c>
      <c r="E1971" s="35">
        <v>68.5</v>
      </c>
      <c r="F1971" s="33">
        <v>69</v>
      </c>
      <c r="G1971" s="29">
        <v>1.17</v>
      </c>
      <c r="H1971" s="29">
        <v>0.8</v>
      </c>
      <c r="I1971" s="35">
        <v>68.199996999999996</v>
      </c>
      <c r="J1971" s="34">
        <v>550</v>
      </c>
      <c r="K1971" s="34">
        <v>37949</v>
      </c>
    </row>
    <row r="1972" spans="1:11" hidden="1">
      <c r="A1972" s="29" t="s">
        <v>138</v>
      </c>
      <c r="B1972" s="32">
        <v>41204</v>
      </c>
      <c r="C1972" s="29">
        <v>68.3</v>
      </c>
      <c r="D1972" s="35">
        <v>68.5</v>
      </c>
      <c r="E1972" s="35">
        <v>68</v>
      </c>
      <c r="F1972" s="33">
        <v>68.5</v>
      </c>
      <c r="G1972" s="29">
        <v>-0.72</v>
      </c>
      <c r="H1972" s="29">
        <v>-0.5</v>
      </c>
      <c r="I1972" s="35">
        <v>69</v>
      </c>
      <c r="J1972" s="34">
        <v>6525</v>
      </c>
      <c r="K1972" s="34">
        <v>446407</v>
      </c>
    </row>
    <row r="1973" spans="1:11" hidden="1">
      <c r="A1973" s="29" t="s">
        <v>138</v>
      </c>
      <c r="B1973" s="32">
        <v>41205</v>
      </c>
      <c r="C1973" s="29">
        <v>69.400000000000006</v>
      </c>
      <c r="D1973" s="35">
        <v>69.400002000000001</v>
      </c>
      <c r="E1973" s="35">
        <v>69</v>
      </c>
      <c r="F1973" s="33">
        <v>69</v>
      </c>
      <c r="G1973" s="29">
        <v>0.73</v>
      </c>
      <c r="H1973" s="29">
        <v>0.5</v>
      </c>
      <c r="I1973" s="35">
        <v>68.5</v>
      </c>
      <c r="J1973" s="34">
        <v>4745</v>
      </c>
      <c r="K1973" s="34">
        <v>327605</v>
      </c>
    </row>
    <row r="1974" spans="1:11" hidden="1">
      <c r="A1974" s="29" t="s">
        <v>138</v>
      </c>
      <c r="B1974" s="32">
        <v>41206</v>
      </c>
      <c r="C1974" s="29">
        <v>69.5</v>
      </c>
      <c r="D1974" s="35">
        <v>69.5</v>
      </c>
      <c r="E1974" s="35">
        <v>68</v>
      </c>
      <c r="F1974" s="33">
        <v>68.300003000000004</v>
      </c>
      <c r="G1974" s="29">
        <v>-1.45</v>
      </c>
      <c r="H1974" s="29">
        <v>-1</v>
      </c>
      <c r="I1974" s="35">
        <v>69</v>
      </c>
      <c r="J1974" s="34">
        <v>2717</v>
      </c>
      <c r="K1974" s="34">
        <v>187033</v>
      </c>
    </row>
    <row r="1975" spans="1:11" hidden="1">
      <c r="A1975" s="29" t="s">
        <v>138</v>
      </c>
      <c r="B1975" s="32">
        <v>41207</v>
      </c>
      <c r="C1975" s="29">
        <v>69</v>
      </c>
      <c r="D1975" s="35">
        <v>69</v>
      </c>
      <c r="E1975" s="35">
        <v>69</v>
      </c>
      <c r="F1975" s="33">
        <v>69</v>
      </c>
      <c r="G1975" s="29">
        <v>1.02</v>
      </c>
      <c r="H1975" s="29">
        <v>0.7</v>
      </c>
      <c r="I1975" s="35">
        <v>68.300003000000004</v>
      </c>
      <c r="J1975" s="34">
        <v>620</v>
      </c>
      <c r="K1975" s="34">
        <v>42780</v>
      </c>
    </row>
    <row r="1976" spans="1:11" hidden="1">
      <c r="A1976" s="29" t="s">
        <v>138</v>
      </c>
      <c r="B1976" s="32">
        <v>41208</v>
      </c>
      <c r="C1976" s="29">
        <v>68.2</v>
      </c>
      <c r="D1976" s="35">
        <v>68.2</v>
      </c>
      <c r="E1976" s="35">
        <v>68</v>
      </c>
      <c r="F1976" s="33">
        <v>68.099997999999999</v>
      </c>
      <c r="G1976" s="29">
        <v>-1.45</v>
      </c>
      <c r="H1976" s="29">
        <v>-1</v>
      </c>
      <c r="I1976" s="35">
        <v>69</v>
      </c>
      <c r="J1976" s="34">
        <v>1056</v>
      </c>
      <c r="K1976" s="34">
        <v>71914</v>
      </c>
    </row>
    <row r="1977" spans="1:11" hidden="1">
      <c r="A1977" s="29" t="s">
        <v>138</v>
      </c>
      <c r="B1977" s="32">
        <v>41212</v>
      </c>
      <c r="C1977" s="29">
        <v>68.099999999999994</v>
      </c>
      <c r="D1977" s="35">
        <v>68.099999999999994</v>
      </c>
      <c r="E1977" s="35">
        <v>68</v>
      </c>
      <c r="F1977" s="33">
        <v>68</v>
      </c>
      <c r="G1977" s="29">
        <v>-0.15</v>
      </c>
      <c r="H1977" s="29">
        <v>-0.1</v>
      </c>
      <c r="I1977" s="35">
        <v>68.099997999999999</v>
      </c>
      <c r="J1977" s="34">
        <v>2974</v>
      </c>
      <c r="K1977" s="34">
        <v>202332</v>
      </c>
    </row>
    <row r="1978" spans="1:11" hidden="1">
      <c r="A1978" s="29" t="s">
        <v>138</v>
      </c>
      <c r="B1978" s="32">
        <v>41213</v>
      </c>
      <c r="C1978" s="29">
        <v>68</v>
      </c>
      <c r="D1978" s="35">
        <v>68</v>
      </c>
      <c r="E1978" s="35">
        <v>68</v>
      </c>
      <c r="F1978" s="33">
        <v>68</v>
      </c>
      <c r="G1978" s="29">
        <v>0</v>
      </c>
      <c r="H1978" s="29">
        <v>0</v>
      </c>
      <c r="I1978" s="35">
        <v>68</v>
      </c>
      <c r="J1978" s="34">
        <v>1</v>
      </c>
      <c r="K1978" s="34">
        <v>68</v>
      </c>
    </row>
    <row r="1979" spans="1:11" hidden="1">
      <c r="A1979" s="29" t="s">
        <v>138</v>
      </c>
      <c r="B1979" s="32">
        <v>41214</v>
      </c>
      <c r="C1979" s="29">
        <v>67</v>
      </c>
      <c r="D1979" s="35">
        <v>68.5</v>
      </c>
      <c r="E1979" s="35">
        <v>66.099997999999999</v>
      </c>
      <c r="F1979" s="33">
        <v>66.5</v>
      </c>
      <c r="G1979" s="29">
        <v>0.74</v>
      </c>
      <c r="H1979" s="29">
        <v>0.5</v>
      </c>
      <c r="I1979" s="35">
        <v>68</v>
      </c>
      <c r="J1979" s="34">
        <v>215</v>
      </c>
      <c r="K1979" s="34">
        <v>14321</v>
      </c>
    </row>
    <row r="1980" spans="1:11" hidden="1">
      <c r="A1980" s="29" t="s">
        <v>138</v>
      </c>
      <c r="B1980" s="32">
        <v>41215</v>
      </c>
      <c r="C1980" s="29">
        <v>66.099999999999994</v>
      </c>
      <c r="D1980" s="35">
        <v>67.5</v>
      </c>
      <c r="E1980" s="35">
        <v>66.099997999999999</v>
      </c>
      <c r="F1980" s="33">
        <v>66.099997999999999</v>
      </c>
      <c r="G1980" s="29">
        <v>1.5</v>
      </c>
      <c r="H1980" s="29">
        <v>1</v>
      </c>
      <c r="I1980" s="35">
        <v>66.5</v>
      </c>
      <c r="J1980" s="34">
        <v>600</v>
      </c>
      <c r="K1980" s="34">
        <v>39660</v>
      </c>
    </row>
    <row r="1981" spans="1:11" hidden="1">
      <c r="A1981" s="29" t="s">
        <v>138</v>
      </c>
      <c r="B1981" s="32">
        <v>41218</v>
      </c>
      <c r="C1981" s="29">
        <v>68</v>
      </c>
      <c r="D1981" s="35">
        <v>71</v>
      </c>
      <c r="E1981" s="35">
        <v>68</v>
      </c>
      <c r="F1981" s="33">
        <v>68.5</v>
      </c>
      <c r="G1981" s="29">
        <v>2.87</v>
      </c>
      <c r="H1981" s="29">
        <v>1.9</v>
      </c>
      <c r="I1981" s="35">
        <v>66.099997999999999</v>
      </c>
      <c r="J1981" s="34">
        <v>976</v>
      </c>
      <c r="K1981" s="34">
        <v>66847</v>
      </c>
    </row>
    <row r="1982" spans="1:11" hidden="1">
      <c r="A1982" s="29" t="s">
        <v>138</v>
      </c>
      <c r="B1982" s="32">
        <v>41219</v>
      </c>
      <c r="C1982" s="29">
        <v>66.2</v>
      </c>
      <c r="D1982" s="35">
        <v>67</v>
      </c>
      <c r="E1982" s="35">
        <v>66.199996999999996</v>
      </c>
      <c r="F1982" s="33">
        <v>67</v>
      </c>
      <c r="G1982" s="29">
        <v>-2.19</v>
      </c>
      <c r="H1982" s="29">
        <v>-1.5</v>
      </c>
      <c r="I1982" s="35">
        <v>68.5</v>
      </c>
      <c r="J1982" s="34">
        <v>308</v>
      </c>
      <c r="K1982" s="34">
        <v>20396</v>
      </c>
    </row>
    <row r="1983" spans="1:11" hidden="1">
      <c r="A1983" s="29" t="s">
        <v>138</v>
      </c>
      <c r="B1983" s="32">
        <v>41220</v>
      </c>
      <c r="C1983" s="29">
        <v>66.5</v>
      </c>
      <c r="D1983" s="35">
        <v>70</v>
      </c>
      <c r="E1983" s="35">
        <v>66.5</v>
      </c>
      <c r="F1983" s="33">
        <v>69.5</v>
      </c>
      <c r="G1983" s="29">
        <v>4.4800000000000004</v>
      </c>
      <c r="H1983" s="29">
        <v>3</v>
      </c>
      <c r="I1983" s="35">
        <v>67</v>
      </c>
      <c r="J1983" s="34">
        <v>2330</v>
      </c>
      <c r="K1983" s="34">
        <v>158680</v>
      </c>
    </row>
    <row r="1984" spans="1:11" hidden="1">
      <c r="A1984" s="29" t="s">
        <v>138</v>
      </c>
      <c r="B1984" s="32">
        <v>41221</v>
      </c>
      <c r="C1984" s="29">
        <v>66.599999999999994</v>
      </c>
      <c r="D1984" s="35">
        <v>69</v>
      </c>
      <c r="E1984" s="35">
        <v>66.5</v>
      </c>
      <c r="F1984" s="33">
        <v>68.699996999999996</v>
      </c>
      <c r="G1984" s="29">
        <v>-0.72</v>
      </c>
      <c r="H1984" s="29">
        <v>-0.5</v>
      </c>
      <c r="I1984" s="35">
        <v>69.5</v>
      </c>
      <c r="J1984" s="34">
        <v>3041</v>
      </c>
      <c r="K1984" s="34">
        <v>202836</v>
      </c>
    </row>
    <row r="1985" spans="1:11" hidden="1">
      <c r="A1985" s="29" t="s">
        <v>138</v>
      </c>
      <c r="B1985" s="32">
        <v>41222</v>
      </c>
      <c r="C1985" s="29">
        <v>68.5</v>
      </c>
      <c r="D1985" s="35">
        <v>68.5</v>
      </c>
      <c r="E1985" s="35">
        <v>66.5</v>
      </c>
      <c r="F1985" s="33">
        <v>66.599997999999999</v>
      </c>
      <c r="G1985" s="29">
        <v>-3.2</v>
      </c>
      <c r="H1985" s="29">
        <v>-2.2000000000000002</v>
      </c>
      <c r="I1985" s="35">
        <v>68.699996999999996</v>
      </c>
      <c r="J1985" s="34">
        <v>1201</v>
      </c>
      <c r="K1985" s="34">
        <v>80360</v>
      </c>
    </row>
    <row r="1986" spans="1:11" hidden="1">
      <c r="A1986" s="29" t="s">
        <v>138</v>
      </c>
      <c r="B1986" s="32">
        <v>41225</v>
      </c>
      <c r="C1986" s="29">
        <v>69.900000000000006</v>
      </c>
      <c r="D1986" s="35">
        <v>69.900002000000001</v>
      </c>
      <c r="E1986" s="35">
        <v>69.900000000000006</v>
      </c>
      <c r="F1986" s="33">
        <v>69.900002000000001</v>
      </c>
      <c r="G1986" s="29">
        <v>4.95</v>
      </c>
      <c r="H1986" s="29">
        <v>3.3</v>
      </c>
      <c r="I1986" s="35">
        <v>66.599997999999999</v>
      </c>
      <c r="J1986" s="34">
        <v>200</v>
      </c>
      <c r="K1986" s="34">
        <v>13980</v>
      </c>
    </row>
    <row r="1987" spans="1:11" hidden="1">
      <c r="A1987" s="29" t="s">
        <v>138</v>
      </c>
      <c r="B1987" s="32">
        <v>41228</v>
      </c>
      <c r="C1987" s="29">
        <v>67.900000000000006</v>
      </c>
      <c r="D1987" s="35">
        <v>68</v>
      </c>
      <c r="E1987" s="35">
        <v>67.900000000000006</v>
      </c>
      <c r="F1987" s="33">
        <v>68</v>
      </c>
      <c r="G1987" s="29">
        <v>-2.72</v>
      </c>
      <c r="H1987" s="29">
        <v>-1.9</v>
      </c>
      <c r="I1987" s="35">
        <v>69.900002000000001</v>
      </c>
      <c r="J1987" s="34">
        <v>950</v>
      </c>
      <c r="K1987" s="34">
        <v>64590</v>
      </c>
    </row>
    <row r="1988" spans="1:11" hidden="1">
      <c r="A1988" s="29" t="s">
        <v>138</v>
      </c>
      <c r="B1988" s="32">
        <v>41229</v>
      </c>
      <c r="C1988" s="29">
        <v>68</v>
      </c>
      <c r="D1988" s="35">
        <v>68</v>
      </c>
      <c r="E1988" s="35">
        <v>68</v>
      </c>
      <c r="F1988" s="33">
        <v>68</v>
      </c>
      <c r="G1988" s="29">
        <v>0</v>
      </c>
      <c r="H1988" s="29">
        <v>0</v>
      </c>
      <c r="I1988" s="35">
        <v>68</v>
      </c>
      <c r="J1988" s="34">
        <v>2050</v>
      </c>
      <c r="K1988" s="34">
        <v>139400</v>
      </c>
    </row>
    <row r="1989" spans="1:11" hidden="1">
      <c r="A1989" s="29" t="s">
        <v>138</v>
      </c>
      <c r="B1989" s="32">
        <v>41232</v>
      </c>
      <c r="C1989" s="29">
        <v>66.900000000000006</v>
      </c>
      <c r="D1989" s="35">
        <v>66.900002000000001</v>
      </c>
      <c r="E1989" s="35">
        <v>66</v>
      </c>
      <c r="F1989" s="33">
        <v>66</v>
      </c>
      <c r="G1989" s="29">
        <v>-2.94</v>
      </c>
      <c r="H1989" s="29">
        <v>-2</v>
      </c>
      <c r="I1989" s="35">
        <v>68</v>
      </c>
      <c r="J1989" s="34">
        <v>1410</v>
      </c>
      <c r="K1989" s="34">
        <v>93069</v>
      </c>
    </row>
    <row r="1990" spans="1:11" hidden="1">
      <c r="A1990" s="29" t="s">
        <v>138</v>
      </c>
      <c r="B1990" s="32">
        <v>41233</v>
      </c>
      <c r="C1990" s="29">
        <v>66</v>
      </c>
      <c r="D1990" s="35">
        <v>66.099997999999999</v>
      </c>
      <c r="E1990" s="35">
        <v>65.5</v>
      </c>
      <c r="F1990" s="33">
        <v>65.800003000000004</v>
      </c>
      <c r="G1990" s="29">
        <v>0.15</v>
      </c>
      <c r="H1990" s="29">
        <v>0.1</v>
      </c>
      <c r="I1990" s="35">
        <v>66</v>
      </c>
      <c r="J1990" s="34">
        <v>2754</v>
      </c>
      <c r="K1990" s="34">
        <v>181459</v>
      </c>
    </row>
    <row r="1991" spans="1:11" hidden="1">
      <c r="A1991" s="29" t="s">
        <v>138</v>
      </c>
      <c r="B1991" s="32">
        <v>41234</v>
      </c>
      <c r="C1991" s="29">
        <v>65.7</v>
      </c>
      <c r="D1991" s="35">
        <v>65.7</v>
      </c>
      <c r="E1991" s="35">
        <v>65</v>
      </c>
      <c r="F1991" s="33">
        <v>65.199996999999996</v>
      </c>
      <c r="G1991" s="29">
        <v>-0.91</v>
      </c>
      <c r="H1991" s="29">
        <v>-0.6</v>
      </c>
      <c r="I1991" s="35">
        <v>65.800003000000004</v>
      </c>
      <c r="J1991" s="34">
        <v>16025</v>
      </c>
      <c r="K1991" s="34">
        <v>1043863</v>
      </c>
    </row>
    <row r="1992" spans="1:11" hidden="1">
      <c r="A1992" s="29" t="s">
        <v>138</v>
      </c>
      <c r="B1992" s="32">
        <v>41235</v>
      </c>
      <c r="C1992" s="29">
        <v>65.5</v>
      </c>
      <c r="D1992" s="35">
        <v>66.800003000000004</v>
      </c>
      <c r="E1992" s="35">
        <v>65</v>
      </c>
      <c r="F1992" s="33">
        <v>65.199996999999996</v>
      </c>
      <c r="G1992" s="29">
        <v>2.4500000000000002</v>
      </c>
      <c r="H1992" s="29">
        <v>1.6</v>
      </c>
      <c r="I1992" s="35">
        <v>65.199996999999996</v>
      </c>
      <c r="J1992" s="34">
        <v>46086</v>
      </c>
      <c r="K1992" s="34">
        <v>3003918</v>
      </c>
    </row>
    <row r="1993" spans="1:11" hidden="1">
      <c r="A1993" s="29" t="s">
        <v>138</v>
      </c>
      <c r="B1993" s="32">
        <v>41239</v>
      </c>
      <c r="C1993" s="29">
        <v>66</v>
      </c>
      <c r="D1993" s="35">
        <v>66</v>
      </c>
      <c r="E1993" s="35">
        <v>65.099997999999999</v>
      </c>
      <c r="F1993" s="33">
        <v>65.099997999999999</v>
      </c>
      <c r="G1993" s="29">
        <v>-0.15</v>
      </c>
      <c r="H1993" s="29">
        <v>-0.1</v>
      </c>
      <c r="I1993" s="35">
        <v>65.199996999999996</v>
      </c>
      <c r="J1993" s="34">
        <v>2100</v>
      </c>
      <c r="K1993" s="34">
        <v>136801</v>
      </c>
    </row>
    <row r="1994" spans="1:11" hidden="1">
      <c r="A1994" s="29" t="s">
        <v>138</v>
      </c>
      <c r="B1994" s="32">
        <v>41241</v>
      </c>
      <c r="C1994" s="29">
        <v>65.099999999999994</v>
      </c>
      <c r="D1994" s="35">
        <v>65.099999999999994</v>
      </c>
      <c r="E1994" s="35">
        <v>65</v>
      </c>
      <c r="F1994" s="33">
        <v>65</v>
      </c>
      <c r="G1994" s="29">
        <v>-0.15</v>
      </c>
      <c r="H1994" s="29">
        <v>-0.1</v>
      </c>
      <c r="I1994" s="35">
        <v>65.099997999999999</v>
      </c>
      <c r="J1994" s="34">
        <v>4060</v>
      </c>
      <c r="K1994" s="34">
        <v>264204</v>
      </c>
    </row>
    <row r="1995" spans="1:11" hidden="1">
      <c r="A1995" s="29" t="s">
        <v>138</v>
      </c>
      <c r="B1995" s="32">
        <v>41242</v>
      </c>
      <c r="C1995" s="29">
        <v>63.1</v>
      </c>
      <c r="D1995" s="35">
        <v>65</v>
      </c>
      <c r="E1995" s="35">
        <v>63</v>
      </c>
      <c r="F1995" s="33">
        <v>65</v>
      </c>
      <c r="G1995" s="29">
        <v>0</v>
      </c>
      <c r="H1995" s="29">
        <v>0</v>
      </c>
      <c r="I1995" s="35">
        <v>65</v>
      </c>
      <c r="J1995" s="34">
        <v>22020</v>
      </c>
      <c r="K1995" s="34">
        <v>1429300</v>
      </c>
    </row>
    <row r="1996" spans="1:11" hidden="1">
      <c r="A1996" s="29" t="s">
        <v>138</v>
      </c>
      <c r="B1996" s="32">
        <v>41243</v>
      </c>
      <c r="C1996" s="29">
        <v>66</v>
      </c>
      <c r="D1996" s="35">
        <v>66</v>
      </c>
      <c r="E1996" s="35">
        <v>65.5</v>
      </c>
      <c r="F1996" s="33">
        <v>66</v>
      </c>
      <c r="G1996" s="29">
        <v>0.77</v>
      </c>
      <c r="H1996" s="29">
        <v>0.5</v>
      </c>
      <c r="I1996" s="35">
        <v>65</v>
      </c>
      <c r="J1996" s="34">
        <v>602</v>
      </c>
      <c r="K1996" s="34">
        <v>39731</v>
      </c>
    </row>
    <row r="1997" spans="1:11" hidden="1">
      <c r="A1997" s="29" t="s">
        <v>138</v>
      </c>
      <c r="B1997" s="32">
        <v>41246</v>
      </c>
      <c r="C1997" s="29">
        <v>66</v>
      </c>
      <c r="D1997" s="35">
        <v>66</v>
      </c>
      <c r="E1997" s="35">
        <v>65</v>
      </c>
      <c r="F1997" s="33">
        <v>65.199996999999996</v>
      </c>
      <c r="G1997" s="29">
        <v>-1.52</v>
      </c>
      <c r="H1997" s="29">
        <v>-1</v>
      </c>
      <c r="I1997" s="35">
        <v>66</v>
      </c>
      <c r="J1997" s="34">
        <v>500</v>
      </c>
      <c r="K1997" s="34">
        <v>32602</v>
      </c>
    </row>
    <row r="1998" spans="1:11" hidden="1">
      <c r="A1998" s="29" t="s">
        <v>138</v>
      </c>
      <c r="B1998" s="32">
        <v>41248</v>
      </c>
      <c r="C1998" s="29">
        <v>65.2</v>
      </c>
      <c r="D1998" s="35">
        <v>65.2</v>
      </c>
      <c r="E1998" s="35">
        <v>65</v>
      </c>
      <c r="F1998" s="33">
        <v>65</v>
      </c>
      <c r="G1998" s="29">
        <v>-0.31</v>
      </c>
      <c r="H1998" s="29">
        <v>-0.2</v>
      </c>
      <c r="I1998" s="35">
        <v>65.199996999999996</v>
      </c>
      <c r="J1998" s="34">
        <v>189040</v>
      </c>
      <c r="K1998" s="34">
        <v>12306600</v>
      </c>
    </row>
    <row r="1999" spans="1:11" hidden="1">
      <c r="A1999" s="29" t="s">
        <v>138</v>
      </c>
      <c r="B1999" s="32">
        <v>41249</v>
      </c>
      <c r="C1999" s="29">
        <v>65.5</v>
      </c>
      <c r="D1999" s="35">
        <v>65.5</v>
      </c>
      <c r="E1999" s="35">
        <v>65</v>
      </c>
      <c r="F1999" s="33">
        <v>65.300003000000004</v>
      </c>
      <c r="G1999" s="29">
        <v>0</v>
      </c>
      <c r="H1999" s="29">
        <v>0</v>
      </c>
      <c r="I1999" s="35">
        <v>65</v>
      </c>
      <c r="J1999" s="34">
        <v>20</v>
      </c>
      <c r="K1999" s="34">
        <v>1305</v>
      </c>
    </row>
    <row r="2000" spans="1:11" hidden="1">
      <c r="A2000" s="29" t="s">
        <v>138</v>
      </c>
      <c r="B2000" s="32">
        <v>41250</v>
      </c>
      <c r="C2000" s="29">
        <v>65</v>
      </c>
      <c r="D2000" s="35">
        <v>65</v>
      </c>
      <c r="E2000" s="35">
        <v>65</v>
      </c>
      <c r="F2000" s="33">
        <v>65</v>
      </c>
      <c r="G2000" s="29">
        <v>-0.46</v>
      </c>
      <c r="H2000" s="29">
        <v>-0.3</v>
      </c>
      <c r="I2000" s="35">
        <v>65.300003000000004</v>
      </c>
      <c r="J2000" s="34">
        <v>6608</v>
      </c>
      <c r="K2000" s="34">
        <v>429520</v>
      </c>
    </row>
    <row r="2001" spans="1:11" hidden="1">
      <c r="A2001" s="29" t="s">
        <v>138</v>
      </c>
      <c r="B2001" s="32">
        <v>41253</v>
      </c>
      <c r="C2001" s="29">
        <v>65</v>
      </c>
      <c r="D2001" s="35">
        <v>65</v>
      </c>
      <c r="E2001" s="35">
        <v>65</v>
      </c>
      <c r="F2001" s="33">
        <v>65</v>
      </c>
      <c r="G2001" s="29">
        <v>0</v>
      </c>
      <c r="H2001" s="29">
        <v>0</v>
      </c>
      <c r="I2001" s="35">
        <v>65</v>
      </c>
      <c r="J2001" s="34">
        <v>1660</v>
      </c>
      <c r="K2001" s="34">
        <v>107900</v>
      </c>
    </row>
    <row r="2002" spans="1:11" hidden="1">
      <c r="A2002" s="29" t="s">
        <v>138</v>
      </c>
      <c r="B2002" s="32">
        <v>41254</v>
      </c>
      <c r="C2002" s="29">
        <v>66</v>
      </c>
      <c r="D2002" s="35">
        <v>66</v>
      </c>
      <c r="E2002" s="35">
        <v>66</v>
      </c>
      <c r="F2002" s="33">
        <v>66</v>
      </c>
      <c r="G2002" s="29">
        <v>1.54</v>
      </c>
      <c r="H2002" s="29">
        <v>1</v>
      </c>
      <c r="I2002" s="35">
        <v>65</v>
      </c>
      <c r="J2002" s="34">
        <v>1000</v>
      </c>
      <c r="K2002" s="34">
        <v>66000</v>
      </c>
    </row>
    <row r="2003" spans="1:11" hidden="1">
      <c r="A2003" s="29" t="s">
        <v>138</v>
      </c>
      <c r="B2003" s="32">
        <v>41255</v>
      </c>
      <c r="C2003" s="29">
        <v>66</v>
      </c>
      <c r="D2003" s="35">
        <v>68</v>
      </c>
      <c r="E2003" s="35">
        <v>66</v>
      </c>
      <c r="F2003" s="33">
        <v>67</v>
      </c>
      <c r="G2003" s="29">
        <v>3.03</v>
      </c>
      <c r="H2003" s="29">
        <v>2</v>
      </c>
      <c r="I2003" s="35">
        <v>66</v>
      </c>
      <c r="J2003" s="34">
        <v>5057</v>
      </c>
      <c r="K2003" s="34">
        <v>336942</v>
      </c>
    </row>
    <row r="2004" spans="1:11" hidden="1">
      <c r="A2004" s="29" t="s">
        <v>138</v>
      </c>
      <c r="B2004" s="32">
        <v>41256</v>
      </c>
      <c r="C2004" s="29">
        <v>68.099999999999994</v>
      </c>
      <c r="D2004" s="35">
        <v>68.400002000000001</v>
      </c>
      <c r="E2004" s="35">
        <v>67</v>
      </c>
      <c r="F2004" s="33">
        <v>67</v>
      </c>
      <c r="G2004" s="29">
        <v>0</v>
      </c>
      <c r="H2004" s="29">
        <v>0</v>
      </c>
      <c r="I2004" s="35">
        <v>67</v>
      </c>
      <c r="J2004" s="34">
        <v>2103</v>
      </c>
      <c r="K2004" s="34">
        <v>143038</v>
      </c>
    </row>
    <row r="2005" spans="1:11" hidden="1">
      <c r="A2005" s="29" t="s">
        <v>138</v>
      </c>
      <c r="B2005" s="32">
        <v>41257</v>
      </c>
      <c r="C2005" s="29">
        <v>66</v>
      </c>
      <c r="D2005" s="35">
        <v>67</v>
      </c>
      <c r="E2005" s="35">
        <v>65</v>
      </c>
      <c r="F2005" s="33">
        <v>65.099997999999999</v>
      </c>
      <c r="G2005" s="29">
        <v>0</v>
      </c>
      <c r="H2005" s="29">
        <v>0</v>
      </c>
      <c r="I2005" s="35">
        <v>67</v>
      </c>
      <c r="J2005" s="34">
        <v>2610</v>
      </c>
      <c r="K2005" s="34">
        <v>169980</v>
      </c>
    </row>
    <row r="2006" spans="1:11" hidden="1">
      <c r="A2006" s="29" t="s">
        <v>138</v>
      </c>
      <c r="B2006" s="32">
        <v>41260</v>
      </c>
      <c r="C2006" s="29">
        <v>65.099999999999994</v>
      </c>
      <c r="D2006" s="35">
        <v>65.099999999999994</v>
      </c>
      <c r="E2006" s="35">
        <v>65</v>
      </c>
      <c r="F2006" s="33">
        <v>65.099997999999999</v>
      </c>
      <c r="G2006" s="29">
        <v>-0.15</v>
      </c>
      <c r="H2006" s="29">
        <v>-0.1</v>
      </c>
      <c r="I2006" s="35">
        <v>65.099997999999999</v>
      </c>
      <c r="J2006" s="34">
        <v>608</v>
      </c>
      <c r="K2006" s="34">
        <v>39570</v>
      </c>
    </row>
    <row r="2007" spans="1:11" hidden="1">
      <c r="A2007" s="29" t="s">
        <v>138</v>
      </c>
      <c r="B2007" s="32">
        <v>41262</v>
      </c>
      <c r="C2007" s="29">
        <v>63.1</v>
      </c>
      <c r="D2007" s="35">
        <v>65</v>
      </c>
      <c r="E2007" s="35">
        <v>63.099997999999999</v>
      </c>
      <c r="F2007" s="33">
        <v>65</v>
      </c>
      <c r="G2007" s="29">
        <v>-0.15</v>
      </c>
      <c r="H2007" s="29">
        <v>-0.1</v>
      </c>
      <c r="I2007" s="35">
        <v>65.099997999999999</v>
      </c>
      <c r="J2007" s="34">
        <v>204</v>
      </c>
      <c r="K2007" s="34">
        <v>13252</v>
      </c>
    </row>
    <row r="2008" spans="1:11" hidden="1">
      <c r="A2008" s="29" t="s">
        <v>138</v>
      </c>
      <c r="B2008" s="32">
        <v>41263</v>
      </c>
      <c r="C2008" s="29">
        <v>65</v>
      </c>
      <c r="D2008" s="35">
        <v>65</v>
      </c>
      <c r="E2008" s="35">
        <v>65</v>
      </c>
      <c r="F2008" s="33">
        <v>65</v>
      </c>
      <c r="G2008" s="29">
        <v>0</v>
      </c>
      <c r="H2008" s="29">
        <v>0</v>
      </c>
      <c r="I2008" s="35">
        <v>65</v>
      </c>
      <c r="J2008" s="34">
        <v>800</v>
      </c>
      <c r="K2008" s="34">
        <v>52000</v>
      </c>
    </row>
    <row r="2009" spans="1:11" hidden="1">
      <c r="A2009" s="29" t="s">
        <v>138</v>
      </c>
      <c r="B2009" s="32">
        <v>41264</v>
      </c>
      <c r="C2009" s="29">
        <v>65</v>
      </c>
      <c r="D2009" s="35">
        <v>65</v>
      </c>
      <c r="E2009" s="35">
        <v>65</v>
      </c>
      <c r="F2009" s="33">
        <v>65</v>
      </c>
      <c r="G2009" s="29">
        <v>0</v>
      </c>
      <c r="H2009" s="29">
        <v>0</v>
      </c>
      <c r="I2009" s="35">
        <v>65</v>
      </c>
      <c r="J2009" s="34">
        <v>4000</v>
      </c>
      <c r="K2009" s="34">
        <v>260000</v>
      </c>
    </row>
    <row r="2010" spans="1:11" hidden="1">
      <c r="A2010" s="29" t="s">
        <v>138</v>
      </c>
      <c r="B2010" s="32">
        <v>41267</v>
      </c>
      <c r="C2010" s="29">
        <v>64.5</v>
      </c>
      <c r="D2010" s="35">
        <v>64.800003000000004</v>
      </c>
      <c r="E2010" s="35">
        <v>64.5</v>
      </c>
      <c r="F2010" s="33">
        <v>64.599997999999999</v>
      </c>
      <c r="G2010" s="29">
        <v>-0.62</v>
      </c>
      <c r="H2010" s="29">
        <v>-0.4</v>
      </c>
      <c r="I2010" s="35">
        <v>65</v>
      </c>
      <c r="J2010" s="34">
        <v>1200</v>
      </c>
      <c r="K2010" s="34">
        <v>77514</v>
      </c>
    </row>
    <row r="2011" spans="1:11" hidden="1">
      <c r="A2011" s="29" t="s">
        <v>138</v>
      </c>
      <c r="B2011" s="32">
        <v>41269</v>
      </c>
      <c r="C2011" s="29">
        <v>67.400000000000006</v>
      </c>
      <c r="D2011" s="35">
        <v>68</v>
      </c>
      <c r="E2011" s="35">
        <v>67.400000000000006</v>
      </c>
      <c r="F2011" s="33">
        <v>67.5</v>
      </c>
      <c r="G2011" s="29">
        <v>4.33</v>
      </c>
      <c r="H2011" s="29">
        <v>2.8</v>
      </c>
      <c r="I2011" s="35">
        <v>64.599997999999999</v>
      </c>
      <c r="J2011" s="34">
        <v>377</v>
      </c>
      <c r="K2011" s="34">
        <v>25532</v>
      </c>
    </row>
    <row r="2012" spans="1:11" hidden="1">
      <c r="A2012" s="29" t="s">
        <v>138</v>
      </c>
      <c r="B2012" s="32">
        <v>41274</v>
      </c>
      <c r="C2012" s="29">
        <v>67.400000000000006</v>
      </c>
      <c r="D2012" s="35">
        <v>67.400002000000001</v>
      </c>
      <c r="E2012" s="35">
        <v>67.400000000000006</v>
      </c>
      <c r="F2012" s="33">
        <v>67.400002000000001</v>
      </c>
      <c r="G2012" s="29">
        <v>-0.15</v>
      </c>
      <c r="H2012" s="29">
        <v>-0.1</v>
      </c>
      <c r="I2012" s="35">
        <v>67.5</v>
      </c>
      <c r="J2012" s="34">
        <v>5</v>
      </c>
      <c r="K2012" s="34">
        <v>337</v>
      </c>
    </row>
    <row r="2013" spans="1:11" hidden="1">
      <c r="A2013" s="29" t="s">
        <v>138</v>
      </c>
      <c r="B2013" s="32">
        <v>41276</v>
      </c>
      <c r="C2013" s="29">
        <v>67</v>
      </c>
      <c r="D2013" s="35">
        <v>67.5</v>
      </c>
      <c r="E2013" s="35">
        <v>67</v>
      </c>
      <c r="F2013" s="33">
        <v>67.5</v>
      </c>
      <c r="G2013" s="29">
        <v>0.15</v>
      </c>
      <c r="H2013" s="29">
        <v>0.1</v>
      </c>
      <c r="I2013" s="35">
        <v>67.400002000000001</v>
      </c>
      <c r="J2013" s="34">
        <v>11500</v>
      </c>
      <c r="K2013" s="34">
        <v>775500</v>
      </c>
    </row>
    <row r="2014" spans="1:11" hidden="1">
      <c r="A2014" s="29" t="s">
        <v>138</v>
      </c>
      <c r="B2014" s="32">
        <v>41277</v>
      </c>
      <c r="C2014" s="29">
        <v>67</v>
      </c>
      <c r="D2014" s="35">
        <v>68</v>
      </c>
      <c r="E2014" s="35">
        <v>67</v>
      </c>
      <c r="F2014" s="33">
        <v>67.599997999999999</v>
      </c>
      <c r="G2014" s="29">
        <v>0.74</v>
      </c>
      <c r="H2014" s="29">
        <v>0.5</v>
      </c>
      <c r="I2014" s="35">
        <v>67.5</v>
      </c>
      <c r="J2014" s="34">
        <v>4952</v>
      </c>
      <c r="K2014" s="34">
        <v>333261</v>
      </c>
    </row>
    <row r="2015" spans="1:11" hidden="1">
      <c r="A2015" s="29" t="s">
        <v>138</v>
      </c>
      <c r="B2015" s="32">
        <v>41278</v>
      </c>
      <c r="C2015" s="29">
        <v>68.099999999999994</v>
      </c>
      <c r="D2015" s="35">
        <v>68.5</v>
      </c>
      <c r="E2015" s="35">
        <v>68.099997999999999</v>
      </c>
      <c r="F2015" s="33">
        <v>68.199996999999996</v>
      </c>
      <c r="G2015" s="29">
        <v>1.33</v>
      </c>
      <c r="H2015" s="29">
        <v>0.9</v>
      </c>
      <c r="I2015" s="35">
        <v>67.599997999999999</v>
      </c>
      <c r="J2015" s="34">
        <v>3200</v>
      </c>
      <c r="K2015" s="34">
        <v>218320</v>
      </c>
    </row>
    <row r="2016" spans="1:11" hidden="1">
      <c r="A2016" s="29" t="s">
        <v>138</v>
      </c>
      <c r="B2016" s="32">
        <v>41283</v>
      </c>
      <c r="C2016" s="29">
        <v>66.5</v>
      </c>
      <c r="D2016" s="35">
        <v>68</v>
      </c>
      <c r="E2016" s="35">
        <v>66.5</v>
      </c>
      <c r="F2016" s="33">
        <v>68</v>
      </c>
      <c r="G2016" s="29">
        <v>-0.28999999999999998</v>
      </c>
      <c r="H2016" s="29">
        <v>-0.2</v>
      </c>
      <c r="I2016" s="35">
        <v>68.199996999999996</v>
      </c>
      <c r="J2016" s="34">
        <v>125600</v>
      </c>
      <c r="K2016" s="34">
        <v>8353300</v>
      </c>
    </row>
    <row r="2017" spans="1:11" hidden="1">
      <c r="A2017" s="29" t="s">
        <v>138</v>
      </c>
      <c r="B2017" s="32">
        <v>41284</v>
      </c>
      <c r="C2017" s="29">
        <v>68</v>
      </c>
      <c r="D2017" s="35">
        <v>68.800003000000004</v>
      </c>
      <c r="E2017" s="35">
        <v>68</v>
      </c>
      <c r="F2017" s="33">
        <v>68.5</v>
      </c>
      <c r="G2017" s="29">
        <v>0.74</v>
      </c>
      <c r="H2017" s="29">
        <v>0.5</v>
      </c>
      <c r="I2017" s="35">
        <v>68</v>
      </c>
      <c r="J2017" s="34">
        <v>67265</v>
      </c>
      <c r="K2017" s="34">
        <v>4607264</v>
      </c>
    </row>
    <row r="2018" spans="1:11" hidden="1">
      <c r="A2018" s="29" t="s">
        <v>138</v>
      </c>
      <c r="B2018" s="32">
        <v>41285</v>
      </c>
      <c r="C2018" s="29">
        <v>68.400000000000006</v>
      </c>
      <c r="D2018" s="35">
        <v>68.900002000000001</v>
      </c>
      <c r="E2018" s="35">
        <v>68.400000000000006</v>
      </c>
      <c r="F2018" s="33">
        <v>68.5</v>
      </c>
      <c r="G2018" s="29">
        <v>0.44</v>
      </c>
      <c r="H2018" s="29">
        <v>0.3</v>
      </c>
      <c r="I2018" s="35">
        <v>68.5</v>
      </c>
      <c r="J2018" s="34">
        <v>2103</v>
      </c>
      <c r="K2018" s="34">
        <v>144010</v>
      </c>
    </row>
    <row r="2019" spans="1:11" hidden="1">
      <c r="A2019" s="29" t="s">
        <v>138</v>
      </c>
      <c r="B2019" s="32">
        <v>41289</v>
      </c>
      <c r="C2019" s="29">
        <v>70</v>
      </c>
      <c r="D2019" s="35">
        <v>72.800003000000004</v>
      </c>
      <c r="E2019" s="35">
        <v>70</v>
      </c>
      <c r="F2019" s="33">
        <v>72.599997999999999</v>
      </c>
      <c r="G2019" s="29">
        <v>6.13</v>
      </c>
      <c r="H2019" s="29">
        <v>4.2</v>
      </c>
      <c r="I2019" s="35">
        <v>68.5</v>
      </c>
      <c r="J2019" s="34">
        <v>1655</v>
      </c>
      <c r="K2019" s="34">
        <v>117175</v>
      </c>
    </row>
    <row r="2020" spans="1:11" hidden="1">
      <c r="A2020" s="29" t="s">
        <v>138</v>
      </c>
      <c r="B2020" s="32">
        <v>41290</v>
      </c>
      <c r="C2020" s="29">
        <v>72</v>
      </c>
      <c r="D2020" s="35">
        <v>72</v>
      </c>
      <c r="E2020" s="35">
        <v>69</v>
      </c>
      <c r="F2020" s="33">
        <v>69</v>
      </c>
      <c r="G2020" s="29">
        <v>-4.96</v>
      </c>
      <c r="H2020" s="29">
        <v>-3.6</v>
      </c>
      <c r="I2020" s="35">
        <v>72.599997999999999</v>
      </c>
      <c r="J2020" s="34">
        <v>700</v>
      </c>
      <c r="K2020" s="34">
        <v>48900</v>
      </c>
    </row>
    <row r="2021" spans="1:11" hidden="1">
      <c r="A2021" s="29" t="s">
        <v>138</v>
      </c>
      <c r="B2021" s="32">
        <v>41291</v>
      </c>
      <c r="C2021" s="29">
        <v>69.099999999999994</v>
      </c>
      <c r="D2021" s="35">
        <v>71.900002000000001</v>
      </c>
      <c r="E2021" s="35">
        <v>69</v>
      </c>
      <c r="F2021" s="33">
        <v>71.900002000000001</v>
      </c>
      <c r="G2021" s="29">
        <v>4.2</v>
      </c>
      <c r="H2021" s="29">
        <v>2.9</v>
      </c>
      <c r="I2021" s="35">
        <v>69</v>
      </c>
      <c r="J2021" s="34">
        <v>5402</v>
      </c>
      <c r="K2021" s="34">
        <v>379377</v>
      </c>
    </row>
    <row r="2022" spans="1:11" hidden="1">
      <c r="A2022" s="29" t="s">
        <v>138</v>
      </c>
      <c r="B2022" s="32">
        <v>41292</v>
      </c>
      <c r="C2022" s="29">
        <v>71.5</v>
      </c>
      <c r="D2022" s="35">
        <v>72</v>
      </c>
      <c r="E2022" s="35">
        <v>71</v>
      </c>
      <c r="F2022" s="33">
        <v>71</v>
      </c>
      <c r="G2022" s="29">
        <v>-1.25</v>
      </c>
      <c r="H2022" s="29">
        <v>-0.9</v>
      </c>
      <c r="I2022" s="35">
        <v>71.900002000000001</v>
      </c>
      <c r="J2022" s="34">
        <v>68822</v>
      </c>
      <c r="K2022" s="34">
        <v>4897591</v>
      </c>
    </row>
    <row r="2023" spans="1:11" hidden="1">
      <c r="A2023" s="29" t="s">
        <v>138</v>
      </c>
      <c r="B2023" s="32">
        <v>41295</v>
      </c>
      <c r="C2023" s="29">
        <v>71</v>
      </c>
      <c r="D2023" s="35">
        <v>71</v>
      </c>
      <c r="E2023" s="35">
        <v>70.5</v>
      </c>
      <c r="F2023" s="33">
        <v>70.5</v>
      </c>
      <c r="G2023" s="29">
        <v>-0.7</v>
      </c>
      <c r="H2023" s="29">
        <v>-0.5</v>
      </c>
      <c r="I2023" s="35">
        <v>71</v>
      </c>
      <c r="J2023" s="34">
        <v>12240</v>
      </c>
      <c r="K2023" s="34">
        <v>866990</v>
      </c>
    </row>
    <row r="2024" spans="1:11" hidden="1">
      <c r="A2024" s="29" t="s">
        <v>138</v>
      </c>
      <c r="B2024" s="32">
        <v>41296</v>
      </c>
      <c r="C2024" s="29">
        <v>70.5</v>
      </c>
      <c r="D2024" s="35">
        <v>70.5</v>
      </c>
      <c r="E2024" s="35">
        <v>69</v>
      </c>
      <c r="F2024" s="33">
        <v>69.400002000000001</v>
      </c>
      <c r="G2024" s="29">
        <v>-2.13</v>
      </c>
      <c r="H2024" s="29">
        <v>-1.5</v>
      </c>
      <c r="I2024" s="35">
        <v>70.5</v>
      </c>
      <c r="J2024" s="34">
        <v>847</v>
      </c>
      <c r="K2024" s="34">
        <v>58812</v>
      </c>
    </row>
    <row r="2025" spans="1:11" hidden="1">
      <c r="A2025" s="29" t="s">
        <v>138</v>
      </c>
      <c r="B2025" s="32">
        <v>41297</v>
      </c>
      <c r="C2025" s="29">
        <v>69.400000000000006</v>
      </c>
      <c r="D2025" s="35">
        <v>69.400002000000001</v>
      </c>
      <c r="E2025" s="35">
        <v>69.400000000000006</v>
      </c>
      <c r="F2025" s="33">
        <v>69.400002000000001</v>
      </c>
      <c r="G2025" s="29">
        <v>0</v>
      </c>
      <c r="H2025" s="29">
        <v>0</v>
      </c>
      <c r="I2025" s="35">
        <v>69.400002000000001</v>
      </c>
      <c r="J2025" s="34">
        <v>1500</v>
      </c>
      <c r="K2025" s="34">
        <v>104100</v>
      </c>
    </row>
    <row r="2026" spans="1:11" hidden="1">
      <c r="A2026" s="29" t="s">
        <v>138</v>
      </c>
      <c r="B2026" s="32">
        <v>41298</v>
      </c>
      <c r="C2026" s="29">
        <v>69</v>
      </c>
      <c r="D2026" s="35">
        <v>69</v>
      </c>
      <c r="E2026" s="35">
        <v>67</v>
      </c>
      <c r="F2026" s="33">
        <v>67</v>
      </c>
      <c r="G2026" s="29">
        <v>-3.46</v>
      </c>
      <c r="H2026" s="29">
        <v>-2.4</v>
      </c>
      <c r="I2026" s="35">
        <v>69.400002000000001</v>
      </c>
      <c r="J2026" s="34">
        <v>102078</v>
      </c>
      <c r="K2026" s="34">
        <v>6841098</v>
      </c>
    </row>
    <row r="2027" spans="1:11" hidden="1">
      <c r="A2027" s="29" t="s">
        <v>138</v>
      </c>
      <c r="B2027" s="32">
        <v>41302</v>
      </c>
      <c r="C2027" s="29">
        <v>67</v>
      </c>
      <c r="D2027" s="35">
        <v>67.099997999999999</v>
      </c>
      <c r="E2027" s="35">
        <v>67</v>
      </c>
      <c r="F2027" s="33">
        <v>67.099997999999999</v>
      </c>
      <c r="G2027" s="29">
        <v>0.15</v>
      </c>
      <c r="H2027" s="29">
        <v>0.1</v>
      </c>
      <c r="I2027" s="35">
        <v>67</v>
      </c>
      <c r="J2027" s="34">
        <v>11699</v>
      </c>
      <c r="K2027" s="34">
        <v>784982</v>
      </c>
    </row>
    <row r="2028" spans="1:11" hidden="1">
      <c r="A2028" s="29" t="s">
        <v>138</v>
      </c>
      <c r="B2028" s="32">
        <v>41303</v>
      </c>
      <c r="C2028" s="29">
        <v>67</v>
      </c>
      <c r="D2028" s="35">
        <v>67</v>
      </c>
      <c r="E2028" s="35">
        <v>66.5</v>
      </c>
      <c r="F2028" s="33">
        <v>66.5</v>
      </c>
      <c r="G2028" s="29">
        <v>-0.89</v>
      </c>
      <c r="H2028" s="29">
        <v>-0.6</v>
      </c>
      <c r="I2028" s="35">
        <v>67.099997999999999</v>
      </c>
      <c r="J2028" s="34">
        <v>76519</v>
      </c>
      <c r="K2028" s="34">
        <v>5126727</v>
      </c>
    </row>
    <row r="2029" spans="1:11" hidden="1">
      <c r="A2029" s="29" t="s">
        <v>138</v>
      </c>
      <c r="B2029" s="32">
        <v>41304</v>
      </c>
      <c r="C2029" s="29">
        <v>67</v>
      </c>
      <c r="D2029" s="35">
        <v>69.199996999999996</v>
      </c>
      <c r="E2029" s="35">
        <v>66.5</v>
      </c>
      <c r="F2029" s="33">
        <v>66.599997999999999</v>
      </c>
      <c r="G2029" s="29">
        <v>0.15</v>
      </c>
      <c r="H2029" s="29">
        <v>0.1</v>
      </c>
      <c r="I2029" s="35">
        <v>66.5</v>
      </c>
      <c r="J2029" s="34">
        <v>182370</v>
      </c>
      <c r="K2029" s="34">
        <v>12143980</v>
      </c>
    </row>
    <row r="2030" spans="1:11" hidden="1">
      <c r="A2030" s="29" t="s">
        <v>138</v>
      </c>
      <c r="B2030" s="32">
        <v>41305</v>
      </c>
      <c r="C2030" s="29">
        <v>67</v>
      </c>
      <c r="D2030" s="35">
        <v>67</v>
      </c>
      <c r="E2030" s="35">
        <v>67</v>
      </c>
      <c r="F2030" s="33">
        <v>67</v>
      </c>
      <c r="G2030" s="29">
        <v>0.6</v>
      </c>
      <c r="H2030" s="29">
        <v>0.4</v>
      </c>
      <c r="I2030" s="35">
        <v>66.599997999999999</v>
      </c>
      <c r="J2030" s="34">
        <v>100</v>
      </c>
      <c r="K2030" s="34">
        <v>6700</v>
      </c>
    </row>
    <row r="2031" spans="1:11" hidden="1">
      <c r="A2031" s="29" t="s">
        <v>138</v>
      </c>
      <c r="B2031" s="32">
        <v>41306</v>
      </c>
      <c r="C2031" s="29">
        <v>68</v>
      </c>
      <c r="D2031" s="35">
        <v>68</v>
      </c>
      <c r="E2031" s="35">
        <v>68</v>
      </c>
      <c r="F2031" s="33">
        <v>68</v>
      </c>
      <c r="G2031" s="29">
        <v>1.49</v>
      </c>
      <c r="H2031" s="29">
        <v>1</v>
      </c>
      <c r="I2031" s="35">
        <v>67</v>
      </c>
      <c r="J2031" s="34">
        <v>107</v>
      </c>
      <c r="K2031" s="34">
        <v>7276</v>
      </c>
    </row>
    <row r="2032" spans="1:11" hidden="1">
      <c r="A2032" s="29" t="s">
        <v>138</v>
      </c>
      <c r="B2032" s="32">
        <v>41310</v>
      </c>
      <c r="C2032" s="29">
        <v>68</v>
      </c>
      <c r="D2032" s="35">
        <v>68</v>
      </c>
      <c r="E2032" s="35">
        <v>67</v>
      </c>
      <c r="F2032" s="33">
        <v>67</v>
      </c>
      <c r="G2032" s="29">
        <v>-1.47</v>
      </c>
      <c r="H2032" s="29">
        <v>-1</v>
      </c>
      <c r="I2032" s="35">
        <v>68</v>
      </c>
      <c r="J2032" s="34">
        <v>150</v>
      </c>
      <c r="K2032" s="34">
        <v>10150</v>
      </c>
    </row>
    <row r="2033" spans="1:11" hidden="1">
      <c r="A2033" s="29" t="s">
        <v>138</v>
      </c>
      <c r="B2033" s="32">
        <v>41311</v>
      </c>
      <c r="C2033" s="29">
        <v>67</v>
      </c>
      <c r="D2033" s="35">
        <v>67</v>
      </c>
      <c r="E2033" s="35">
        <v>67</v>
      </c>
      <c r="F2033" s="33">
        <v>67</v>
      </c>
      <c r="G2033" s="29">
        <v>0</v>
      </c>
      <c r="H2033" s="29">
        <v>0</v>
      </c>
      <c r="I2033" s="35">
        <v>67</v>
      </c>
      <c r="J2033" s="34">
        <v>90</v>
      </c>
      <c r="K2033" s="34">
        <v>6030</v>
      </c>
    </row>
    <row r="2034" spans="1:11" hidden="1">
      <c r="A2034" s="29" t="s">
        <v>138</v>
      </c>
      <c r="B2034" s="32">
        <v>41312</v>
      </c>
      <c r="C2034" s="29">
        <v>67</v>
      </c>
      <c r="D2034" s="35">
        <v>67.300003000000004</v>
      </c>
      <c r="E2034" s="35">
        <v>66.5</v>
      </c>
      <c r="F2034" s="33">
        <v>66.699996999999996</v>
      </c>
      <c r="G2034" s="29">
        <v>-0.75</v>
      </c>
      <c r="H2034" s="29">
        <v>-0.5</v>
      </c>
      <c r="I2034" s="35">
        <v>67</v>
      </c>
      <c r="J2034" s="34">
        <v>10013</v>
      </c>
      <c r="K2034" s="34">
        <v>667874</v>
      </c>
    </row>
    <row r="2035" spans="1:11" hidden="1">
      <c r="A2035" s="29" t="s">
        <v>138</v>
      </c>
      <c r="B2035" s="32">
        <v>41313</v>
      </c>
      <c r="C2035" s="29">
        <v>66.5</v>
      </c>
      <c r="D2035" s="35">
        <v>66.5</v>
      </c>
      <c r="E2035" s="35">
        <v>66</v>
      </c>
      <c r="F2035" s="33">
        <v>66</v>
      </c>
      <c r="G2035" s="29">
        <v>-1.05</v>
      </c>
      <c r="H2035" s="29">
        <v>-0.7</v>
      </c>
      <c r="I2035" s="35">
        <v>66.699996999999996</v>
      </c>
      <c r="J2035" s="34">
        <v>100</v>
      </c>
      <c r="K2035" s="34">
        <v>6603</v>
      </c>
    </row>
    <row r="2036" spans="1:11" hidden="1">
      <c r="A2036" s="29" t="s">
        <v>138</v>
      </c>
      <c r="B2036" s="32">
        <v>41316</v>
      </c>
      <c r="C2036" s="29">
        <v>67</v>
      </c>
      <c r="D2036" s="35">
        <v>67</v>
      </c>
      <c r="E2036" s="35">
        <v>67</v>
      </c>
      <c r="F2036" s="33">
        <v>67</v>
      </c>
      <c r="G2036" s="29">
        <v>1.52</v>
      </c>
      <c r="H2036" s="29">
        <v>1</v>
      </c>
      <c r="I2036" s="35">
        <v>66</v>
      </c>
      <c r="J2036" s="34">
        <v>10</v>
      </c>
      <c r="K2036" s="34">
        <v>670</v>
      </c>
    </row>
    <row r="2037" spans="1:11" hidden="1">
      <c r="A2037" s="29" t="s">
        <v>138</v>
      </c>
      <c r="B2037" s="32">
        <v>41317</v>
      </c>
      <c r="C2037" s="29">
        <v>68.5</v>
      </c>
      <c r="D2037" s="35">
        <v>68.5</v>
      </c>
      <c r="E2037" s="35">
        <v>68.5</v>
      </c>
      <c r="F2037" s="33">
        <v>68.5</v>
      </c>
      <c r="G2037" s="29">
        <v>2.2400000000000002</v>
      </c>
      <c r="H2037" s="29">
        <v>1.5</v>
      </c>
      <c r="I2037" s="35">
        <v>67</v>
      </c>
      <c r="J2037" s="34">
        <v>100</v>
      </c>
      <c r="K2037" s="34">
        <v>6850</v>
      </c>
    </row>
    <row r="2038" spans="1:11" hidden="1">
      <c r="A2038" s="29" t="s">
        <v>138</v>
      </c>
      <c r="B2038" s="32">
        <v>41318</v>
      </c>
      <c r="C2038" s="29">
        <v>68</v>
      </c>
      <c r="D2038" s="35">
        <v>68</v>
      </c>
      <c r="E2038" s="35">
        <v>68</v>
      </c>
      <c r="F2038" s="33">
        <v>68</v>
      </c>
      <c r="G2038" s="29">
        <v>-0.73</v>
      </c>
      <c r="H2038" s="29">
        <v>-0.5</v>
      </c>
      <c r="I2038" s="35">
        <v>68.5</v>
      </c>
      <c r="J2038" s="34">
        <v>3775</v>
      </c>
      <c r="K2038" s="34">
        <v>256700</v>
      </c>
    </row>
    <row r="2039" spans="1:11" hidden="1">
      <c r="A2039" s="29" t="s">
        <v>138</v>
      </c>
      <c r="B2039" s="32">
        <v>41319</v>
      </c>
      <c r="C2039" s="29">
        <v>68</v>
      </c>
      <c r="D2039" s="35">
        <v>68</v>
      </c>
      <c r="E2039" s="35">
        <v>68</v>
      </c>
      <c r="F2039" s="33">
        <v>68</v>
      </c>
      <c r="G2039" s="29">
        <v>0</v>
      </c>
      <c r="H2039" s="29">
        <v>0</v>
      </c>
      <c r="I2039" s="35">
        <v>68</v>
      </c>
      <c r="J2039" s="34">
        <v>1440</v>
      </c>
      <c r="K2039" s="34">
        <v>97920</v>
      </c>
    </row>
    <row r="2040" spans="1:11" hidden="1">
      <c r="A2040" s="29" t="s">
        <v>138</v>
      </c>
      <c r="B2040" s="32">
        <v>41320</v>
      </c>
      <c r="C2040" s="29">
        <v>67</v>
      </c>
      <c r="D2040" s="35">
        <v>67</v>
      </c>
      <c r="E2040" s="35">
        <v>67</v>
      </c>
      <c r="F2040" s="33">
        <v>67</v>
      </c>
      <c r="G2040" s="29">
        <v>-1.47</v>
      </c>
      <c r="H2040" s="29">
        <v>-1</v>
      </c>
      <c r="I2040" s="35">
        <v>68</v>
      </c>
      <c r="J2040" s="34">
        <v>20</v>
      </c>
      <c r="K2040" s="34">
        <v>1340</v>
      </c>
    </row>
    <row r="2041" spans="1:11" hidden="1">
      <c r="A2041" s="29" t="s">
        <v>138</v>
      </c>
      <c r="B2041" s="32">
        <v>41323</v>
      </c>
      <c r="C2041" s="29">
        <v>65</v>
      </c>
      <c r="D2041" s="35">
        <v>68.900002000000001</v>
      </c>
      <c r="E2041" s="35">
        <v>60</v>
      </c>
      <c r="F2041" s="33">
        <v>68.5</v>
      </c>
      <c r="G2041" s="29">
        <v>2.2400000000000002</v>
      </c>
      <c r="H2041" s="29">
        <v>1.5</v>
      </c>
      <c r="I2041" s="35">
        <v>67</v>
      </c>
      <c r="J2041" s="34">
        <v>1700</v>
      </c>
      <c r="K2041" s="34">
        <v>108100</v>
      </c>
    </row>
    <row r="2042" spans="1:11" hidden="1">
      <c r="A2042" s="29" t="s">
        <v>138</v>
      </c>
      <c r="B2042" s="32">
        <v>41324</v>
      </c>
      <c r="C2042" s="29">
        <v>68</v>
      </c>
      <c r="D2042" s="35">
        <v>68.5</v>
      </c>
      <c r="E2042" s="35">
        <v>68</v>
      </c>
      <c r="F2042" s="33">
        <v>68.300003000000004</v>
      </c>
      <c r="G2042" s="29">
        <v>-0.73</v>
      </c>
      <c r="H2042" s="29">
        <v>-0.5</v>
      </c>
      <c r="I2042" s="35">
        <v>68.5</v>
      </c>
      <c r="J2042" s="34">
        <v>1505</v>
      </c>
      <c r="K2042" s="34">
        <v>102790</v>
      </c>
    </row>
    <row r="2043" spans="1:11" hidden="1">
      <c r="A2043" s="29" t="s">
        <v>138</v>
      </c>
      <c r="B2043" s="32">
        <v>41325</v>
      </c>
      <c r="C2043" s="29">
        <v>67</v>
      </c>
      <c r="D2043" s="35">
        <v>67</v>
      </c>
      <c r="E2043" s="35">
        <v>67</v>
      </c>
      <c r="F2043" s="33">
        <v>67</v>
      </c>
      <c r="G2043" s="29">
        <v>-1.9</v>
      </c>
      <c r="H2043" s="29">
        <v>-1.3</v>
      </c>
      <c r="I2043" s="35">
        <v>68.300003000000004</v>
      </c>
      <c r="J2043" s="34">
        <v>3000</v>
      </c>
      <c r="K2043" s="34">
        <v>201000</v>
      </c>
    </row>
    <row r="2044" spans="1:11" hidden="1">
      <c r="A2044" s="29" t="s">
        <v>138</v>
      </c>
      <c r="B2044" s="32">
        <v>41326</v>
      </c>
      <c r="C2044" s="29">
        <v>67</v>
      </c>
      <c r="D2044" s="35">
        <v>67</v>
      </c>
      <c r="E2044" s="35">
        <v>66</v>
      </c>
      <c r="F2044" s="33">
        <v>66</v>
      </c>
      <c r="G2044" s="29">
        <v>-1.49</v>
      </c>
      <c r="H2044" s="29">
        <v>-1</v>
      </c>
      <c r="I2044" s="35">
        <v>67</v>
      </c>
      <c r="J2044" s="34">
        <v>2020</v>
      </c>
      <c r="K2044" s="34">
        <v>134940</v>
      </c>
    </row>
    <row r="2045" spans="1:11" hidden="1">
      <c r="A2045" s="29" t="s">
        <v>138</v>
      </c>
      <c r="B2045" s="32">
        <v>41327</v>
      </c>
      <c r="C2045" s="29">
        <v>67</v>
      </c>
      <c r="D2045" s="35">
        <v>67</v>
      </c>
      <c r="E2045" s="35">
        <v>66</v>
      </c>
      <c r="F2045" s="33">
        <v>66</v>
      </c>
      <c r="G2045" s="29">
        <v>0</v>
      </c>
      <c r="H2045" s="29">
        <v>0</v>
      </c>
      <c r="I2045" s="35">
        <v>66</v>
      </c>
      <c r="J2045" s="34">
        <v>24779</v>
      </c>
      <c r="K2045" s="34">
        <v>1651069</v>
      </c>
    </row>
    <row r="2046" spans="1:11" hidden="1">
      <c r="A2046" s="29" t="s">
        <v>138</v>
      </c>
      <c r="B2046" s="32">
        <v>41331</v>
      </c>
      <c r="C2046" s="29">
        <v>66</v>
      </c>
      <c r="D2046" s="35">
        <v>66</v>
      </c>
      <c r="E2046" s="35">
        <v>64</v>
      </c>
      <c r="F2046" s="33">
        <v>64.699996999999996</v>
      </c>
      <c r="G2046" s="29">
        <v>-3.03</v>
      </c>
      <c r="H2046" s="29">
        <v>-2</v>
      </c>
      <c r="I2046" s="35">
        <v>66</v>
      </c>
      <c r="J2046" s="34">
        <v>2895</v>
      </c>
      <c r="K2046" s="34">
        <v>188821</v>
      </c>
    </row>
    <row r="2047" spans="1:11" hidden="1">
      <c r="A2047" s="29" t="s">
        <v>138</v>
      </c>
      <c r="B2047" s="32">
        <v>41332</v>
      </c>
      <c r="C2047" s="29">
        <v>64.099999999999994</v>
      </c>
      <c r="D2047" s="35">
        <v>64.099999999999994</v>
      </c>
      <c r="E2047" s="35">
        <v>64.099997999999999</v>
      </c>
      <c r="F2047" s="33">
        <v>64.099997999999999</v>
      </c>
      <c r="G2047" s="29">
        <v>-0.93</v>
      </c>
      <c r="H2047" s="29">
        <v>-0.6</v>
      </c>
      <c r="I2047" s="35">
        <v>64.699996999999996</v>
      </c>
      <c r="J2047" s="34">
        <v>1</v>
      </c>
      <c r="K2047" s="34">
        <v>64</v>
      </c>
    </row>
    <row r="2048" spans="1:11" hidden="1">
      <c r="A2048" s="29" t="s">
        <v>138</v>
      </c>
      <c r="B2048" s="32">
        <v>41333</v>
      </c>
      <c r="C2048" s="29">
        <v>64.900000000000006</v>
      </c>
      <c r="D2048" s="35">
        <v>64.900002000000001</v>
      </c>
      <c r="E2048" s="35">
        <v>64.900000000000006</v>
      </c>
      <c r="F2048" s="33">
        <v>64.900002000000001</v>
      </c>
      <c r="G2048" s="29">
        <v>1.25</v>
      </c>
      <c r="H2048" s="29">
        <v>0.8</v>
      </c>
      <c r="I2048" s="35">
        <v>64.099997999999999</v>
      </c>
      <c r="J2048" s="34">
        <v>100</v>
      </c>
      <c r="K2048" s="34">
        <v>6490</v>
      </c>
    </row>
    <row r="2049" spans="1:11" hidden="1">
      <c r="A2049" s="29" t="s">
        <v>138</v>
      </c>
      <c r="B2049" s="32">
        <v>41334</v>
      </c>
      <c r="C2049" s="29">
        <v>64.900000000000006</v>
      </c>
      <c r="D2049" s="35">
        <v>65</v>
      </c>
      <c r="E2049" s="35">
        <v>64.900000000000006</v>
      </c>
      <c r="F2049" s="33">
        <v>64.900002000000001</v>
      </c>
      <c r="G2049" s="29">
        <v>0.15</v>
      </c>
      <c r="H2049" s="29">
        <v>0.1</v>
      </c>
      <c r="I2049" s="35">
        <v>64.900002000000001</v>
      </c>
      <c r="J2049" s="34">
        <v>615</v>
      </c>
      <c r="K2049" s="34">
        <v>39915</v>
      </c>
    </row>
    <row r="2050" spans="1:11" hidden="1">
      <c r="A2050" s="29" t="s">
        <v>138</v>
      </c>
      <c r="B2050" s="32">
        <v>41337</v>
      </c>
      <c r="C2050" s="29">
        <v>65</v>
      </c>
      <c r="D2050" s="35">
        <v>65</v>
      </c>
      <c r="E2050" s="35">
        <v>65</v>
      </c>
      <c r="F2050" s="33">
        <v>65</v>
      </c>
      <c r="G2050" s="29">
        <v>0.15</v>
      </c>
      <c r="H2050" s="29">
        <v>0.1</v>
      </c>
      <c r="I2050" s="35">
        <v>64.900002000000001</v>
      </c>
      <c r="J2050" s="34">
        <v>3516</v>
      </c>
      <c r="K2050" s="34">
        <v>228540</v>
      </c>
    </row>
    <row r="2051" spans="1:11" hidden="1">
      <c r="A2051" s="29" t="s">
        <v>138</v>
      </c>
      <c r="B2051" s="32">
        <v>41338</v>
      </c>
      <c r="C2051" s="29">
        <v>65.2</v>
      </c>
      <c r="D2051" s="35">
        <v>66</v>
      </c>
      <c r="E2051" s="35">
        <v>65</v>
      </c>
      <c r="F2051" s="33">
        <v>66</v>
      </c>
      <c r="G2051" s="29">
        <v>1.54</v>
      </c>
      <c r="H2051" s="29">
        <v>1</v>
      </c>
      <c r="I2051" s="35">
        <v>65</v>
      </c>
      <c r="J2051" s="34">
        <v>9697</v>
      </c>
      <c r="K2051" s="34">
        <v>634351</v>
      </c>
    </row>
    <row r="2052" spans="1:11" hidden="1">
      <c r="A2052" s="29" t="s">
        <v>138</v>
      </c>
      <c r="B2052" s="32">
        <v>41339</v>
      </c>
      <c r="C2052" s="29">
        <v>66.5</v>
      </c>
      <c r="D2052" s="35">
        <v>66.5</v>
      </c>
      <c r="E2052" s="35">
        <v>66.5</v>
      </c>
      <c r="F2052" s="33">
        <v>66.5</v>
      </c>
      <c r="G2052" s="29">
        <v>0.76</v>
      </c>
      <c r="H2052" s="29">
        <v>0.5</v>
      </c>
      <c r="I2052" s="35">
        <v>66</v>
      </c>
      <c r="J2052" s="34">
        <v>21</v>
      </c>
      <c r="K2052" s="34">
        <v>1396</v>
      </c>
    </row>
    <row r="2053" spans="1:11" hidden="1">
      <c r="A2053" s="29" t="s">
        <v>138</v>
      </c>
      <c r="B2053" s="32">
        <v>41340</v>
      </c>
      <c r="C2053" s="29">
        <v>69</v>
      </c>
      <c r="D2053" s="35">
        <v>75</v>
      </c>
      <c r="E2053" s="35">
        <v>67.5</v>
      </c>
      <c r="F2053" s="33">
        <v>69.599997999999999</v>
      </c>
      <c r="G2053" s="29">
        <v>5.26</v>
      </c>
      <c r="H2053" s="29">
        <v>3.5</v>
      </c>
      <c r="I2053" s="35">
        <v>66.5</v>
      </c>
      <c r="J2053" s="34">
        <v>49564</v>
      </c>
      <c r="K2053" s="34">
        <v>3447266</v>
      </c>
    </row>
    <row r="2054" spans="1:11" hidden="1">
      <c r="A2054" s="29" t="s">
        <v>138</v>
      </c>
      <c r="B2054" s="32">
        <v>41341</v>
      </c>
      <c r="C2054" s="29">
        <v>72</v>
      </c>
      <c r="D2054" s="35">
        <v>72</v>
      </c>
      <c r="E2054" s="35">
        <v>69.900002000000001</v>
      </c>
      <c r="F2054" s="33">
        <v>69.900002000000001</v>
      </c>
      <c r="G2054" s="29">
        <v>0.43</v>
      </c>
      <c r="H2054" s="29">
        <v>0.3</v>
      </c>
      <c r="I2054" s="35">
        <v>69.599997999999999</v>
      </c>
      <c r="J2054" s="34">
        <v>60800</v>
      </c>
      <c r="K2054" s="34">
        <v>4256020</v>
      </c>
    </row>
    <row r="2055" spans="1:11" hidden="1">
      <c r="A2055" s="29" t="s">
        <v>138</v>
      </c>
      <c r="B2055" s="32">
        <v>41345</v>
      </c>
      <c r="C2055" s="29">
        <v>67.099999999999994</v>
      </c>
      <c r="D2055" s="35">
        <v>68</v>
      </c>
      <c r="E2055" s="35">
        <v>67</v>
      </c>
      <c r="F2055" s="33">
        <v>67.300003000000004</v>
      </c>
      <c r="G2055" s="29">
        <v>-4.1500000000000004</v>
      </c>
      <c r="H2055" s="29">
        <v>-2.9</v>
      </c>
      <c r="I2055" s="35">
        <v>69.900002000000001</v>
      </c>
      <c r="J2055" s="34">
        <v>1500</v>
      </c>
      <c r="K2055" s="34">
        <v>100730</v>
      </c>
    </row>
    <row r="2056" spans="1:11" hidden="1">
      <c r="A2056" s="29" t="s">
        <v>138</v>
      </c>
      <c r="B2056" s="32">
        <v>41346</v>
      </c>
      <c r="C2056" s="29">
        <v>67</v>
      </c>
      <c r="D2056" s="35">
        <v>69</v>
      </c>
      <c r="E2056" s="35">
        <v>67</v>
      </c>
      <c r="F2056" s="33">
        <v>67</v>
      </c>
      <c r="G2056" s="29">
        <v>-0.45</v>
      </c>
      <c r="H2056" s="29">
        <v>-0.3</v>
      </c>
      <c r="I2056" s="35">
        <v>67.300003000000004</v>
      </c>
      <c r="J2056" s="34">
        <v>10824</v>
      </c>
      <c r="K2056" s="34">
        <v>725634</v>
      </c>
    </row>
    <row r="2057" spans="1:11" hidden="1">
      <c r="A2057" s="29" t="s">
        <v>138</v>
      </c>
      <c r="B2057" s="32">
        <v>41347</v>
      </c>
      <c r="C2057" s="29">
        <v>67</v>
      </c>
      <c r="D2057" s="35">
        <v>67.5</v>
      </c>
      <c r="E2057" s="35">
        <v>67</v>
      </c>
      <c r="F2057" s="33">
        <v>67</v>
      </c>
      <c r="G2057" s="29">
        <v>0.75</v>
      </c>
      <c r="H2057" s="29">
        <v>0.5</v>
      </c>
      <c r="I2057" s="35">
        <v>67</v>
      </c>
      <c r="J2057" s="34">
        <v>10541</v>
      </c>
      <c r="K2057" s="34">
        <v>706257</v>
      </c>
    </row>
    <row r="2058" spans="1:11" hidden="1">
      <c r="A2058" s="29" t="s">
        <v>138</v>
      </c>
      <c r="B2058" s="32">
        <v>41348</v>
      </c>
      <c r="C2058" s="29">
        <v>68</v>
      </c>
      <c r="D2058" s="35">
        <v>70</v>
      </c>
      <c r="E2058" s="35">
        <v>68</v>
      </c>
      <c r="F2058" s="33">
        <v>68</v>
      </c>
      <c r="G2058" s="29">
        <v>1.49</v>
      </c>
      <c r="H2058" s="29">
        <v>1</v>
      </c>
      <c r="I2058" s="35">
        <v>67</v>
      </c>
      <c r="J2058" s="34">
        <v>315</v>
      </c>
      <c r="K2058" s="34">
        <v>21800</v>
      </c>
    </row>
    <row r="2059" spans="1:11" hidden="1">
      <c r="A2059" s="29" t="s">
        <v>138</v>
      </c>
      <c r="B2059" s="32">
        <v>41352</v>
      </c>
      <c r="C2059" s="29">
        <v>69</v>
      </c>
      <c r="D2059" s="35">
        <v>69</v>
      </c>
      <c r="E2059" s="35">
        <v>67.699996999999996</v>
      </c>
      <c r="F2059" s="33">
        <v>67.800003000000004</v>
      </c>
      <c r="G2059" s="29">
        <v>-0.44</v>
      </c>
      <c r="H2059" s="29">
        <v>-0.3</v>
      </c>
      <c r="I2059" s="35">
        <v>68</v>
      </c>
      <c r="J2059" s="34">
        <v>3200</v>
      </c>
      <c r="K2059" s="34">
        <v>219240</v>
      </c>
    </row>
    <row r="2060" spans="1:11" hidden="1">
      <c r="A2060" s="29" t="s">
        <v>138</v>
      </c>
      <c r="B2060" s="32">
        <v>41353</v>
      </c>
      <c r="C2060" s="29">
        <v>68.400000000000006</v>
      </c>
      <c r="D2060" s="35">
        <v>69</v>
      </c>
      <c r="E2060" s="35">
        <v>68.400000000000006</v>
      </c>
      <c r="F2060" s="33">
        <v>68.900002000000001</v>
      </c>
      <c r="G2060" s="29">
        <v>1.77</v>
      </c>
      <c r="H2060" s="29">
        <v>1.2</v>
      </c>
      <c r="I2060" s="35">
        <v>67.800003000000004</v>
      </c>
      <c r="J2060" s="34">
        <v>720</v>
      </c>
      <c r="K2060" s="34">
        <v>49608</v>
      </c>
    </row>
    <row r="2061" spans="1:11" hidden="1">
      <c r="A2061" s="29" t="s">
        <v>138</v>
      </c>
      <c r="B2061" s="32">
        <v>41354</v>
      </c>
      <c r="C2061" s="29">
        <v>69.3</v>
      </c>
      <c r="D2061" s="35">
        <v>69.300003000000004</v>
      </c>
      <c r="E2061" s="35">
        <v>67.699996999999996</v>
      </c>
      <c r="F2061" s="33">
        <v>67.800003000000004</v>
      </c>
      <c r="G2061" s="29">
        <v>-1.31</v>
      </c>
      <c r="H2061" s="29">
        <v>-0.9</v>
      </c>
      <c r="I2061" s="35">
        <v>68.900002000000001</v>
      </c>
      <c r="J2061" s="34">
        <v>4752</v>
      </c>
      <c r="K2061" s="34">
        <v>322595</v>
      </c>
    </row>
    <row r="2062" spans="1:11" hidden="1">
      <c r="A2062" s="29" t="s">
        <v>138</v>
      </c>
      <c r="B2062" s="32">
        <v>41355</v>
      </c>
      <c r="C2062" s="29">
        <v>67.7</v>
      </c>
      <c r="D2062" s="35">
        <v>67.900002000000001</v>
      </c>
      <c r="E2062" s="35">
        <v>67.699996999999996</v>
      </c>
      <c r="F2062" s="33">
        <v>67.900002000000001</v>
      </c>
      <c r="G2062" s="29">
        <v>0.15</v>
      </c>
      <c r="H2062" s="29">
        <v>0.1</v>
      </c>
      <c r="I2062" s="35">
        <v>67.800003000000004</v>
      </c>
      <c r="J2062" s="34">
        <v>21</v>
      </c>
      <c r="K2062" s="34">
        <v>1425</v>
      </c>
    </row>
    <row r="2063" spans="1:11" hidden="1">
      <c r="A2063" s="29" t="s">
        <v>138</v>
      </c>
      <c r="B2063" s="32">
        <v>41358</v>
      </c>
      <c r="C2063" s="29">
        <v>67.400000000000006</v>
      </c>
      <c r="D2063" s="35">
        <v>67.900002000000001</v>
      </c>
      <c r="E2063" s="35">
        <v>67.400000000000006</v>
      </c>
      <c r="F2063" s="33">
        <v>67.900002000000001</v>
      </c>
      <c r="G2063" s="29">
        <v>0</v>
      </c>
      <c r="H2063" s="29">
        <v>0</v>
      </c>
      <c r="I2063" s="35">
        <v>67.900002000000001</v>
      </c>
      <c r="J2063" s="34">
        <v>5020</v>
      </c>
      <c r="K2063" s="34">
        <v>340848</v>
      </c>
    </row>
    <row r="2064" spans="1:11" hidden="1">
      <c r="A2064" s="29" t="s">
        <v>138</v>
      </c>
      <c r="B2064" s="32">
        <v>41360</v>
      </c>
      <c r="C2064" s="29">
        <v>67</v>
      </c>
      <c r="D2064" s="35">
        <v>67.5</v>
      </c>
      <c r="E2064" s="35">
        <v>67</v>
      </c>
      <c r="F2064" s="33">
        <v>67</v>
      </c>
      <c r="G2064" s="29">
        <v>-0.59</v>
      </c>
      <c r="H2064" s="29">
        <v>-0.4</v>
      </c>
      <c r="I2064" s="35">
        <v>67.900002000000001</v>
      </c>
      <c r="J2064" s="34">
        <v>15810</v>
      </c>
      <c r="K2064" s="34">
        <v>1059275</v>
      </c>
    </row>
    <row r="2065" spans="1:11" hidden="1">
      <c r="A2065" s="29" t="s">
        <v>138</v>
      </c>
      <c r="B2065" s="32">
        <v>41361</v>
      </c>
      <c r="C2065" s="29">
        <v>66</v>
      </c>
      <c r="D2065" s="35">
        <v>67</v>
      </c>
      <c r="E2065" s="35">
        <v>65.5</v>
      </c>
      <c r="F2065" s="33">
        <v>65.5</v>
      </c>
      <c r="G2065" s="29">
        <v>-2.2400000000000002</v>
      </c>
      <c r="H2065" s="29">
        <v>-1.5</v>
      </c>
      <c r="I2065" s="35">
        <v>67</v>
      </c>
      <c r="J2065" s="34">
        <v>3170</v>
      </c>
      <c r="K2065" s="34">
        <v>207672</v>
      </c>
    </row>
    <row r="2066" spans="1:11" hidden="1">
      <c r="A2066" s="29" t="s">
        <v>138</v>
      </c>
      <c r="B2066" s="32">
        <v>41365</v>
      </c>
      <c r="C2066" s="29">
        <v>67</v>
      </c>
      <c r="D2066" s="35">
        <v>67</v>
      </c>
      <c r="E2066" s="35">
        <v>65.099997999999999</v>
      </c>
      <c r="F2066" s="33">
        <v>65.599997999999999</v>
      </c>
      <c r="G2066" s="29">
        <v>-0.61</v>
      </c>
      <c r="H2066" s="29">
        <v>-0.4</v>
      </c>
      <c r="I2066" s="35">
        <v>65.5</v>
      </c>
      <c r="J2066" s="34">
        <v>11685</v>
      </c>
      <c r="K2066" s="34">
        <v>768333</v>
      </c>
    </row>
    <row r="2067" spans="1:11" hidden="1">
      <c r="A2067" s="29" t="s">
        <v>138</v>
      </c>
      <c r="B2067" s="32">
        <v>41366</v>
      </c>
      <c r="C2067" s="29">
        <v>65.599999999999994</v>
      </c>
      <c r="D2067" s="35">
        <v>65.599999999999994</v>
      </c>
      <c r="E2067" s="35">
        <v>65.099997999999999</v>
      </c>
      <c r="F2067" s="33">
        <v>65.099997999999999</v>
      </c>
      <c r="G2067" s="29">
        <v>-0.76</v>
      </c>
      <c r="H2067" s="29">
        <v>-0.5</v>
      </c>
      <c r="I2067" s="35">
        <v>65.599997999999999</v>
      </c>
      <c r="J2067" s="34">
        <v>3141</v>
      </c>
      <c r="K2067" s="34">
        <v>204498</v>
      </c>
    </row>
    <row r="2068" spans="1:11" hidden="1">
      <c r="A2068" s="29" t="s">
        <v>138</v>
      </c>
      <c r="B2068" s="32">
        <v>41367</v>
      </c>
      <c r="C2068" s="29">
        <v>66.900000000000006</v>
      </c>
      <c r="D2068" s="35">
        <v>66.900002000000001</v>
      </c>
      <c r="E2068" s="35">
        <v>66.900000000000006</v>
      </c>
      <c r="F2068" s="33">
        <v>66.900002000000001</v>
      </c>
      <c r="G2068" s="29">
        <v>2.76</v>
      </c>
      <c r="H2068" s="29">
        <v>1.8</v>
      </c>
      <c r="I2068" s="35">
        <v>65.099997999999999</v>
      </c>
      <c r="J2068" s="34">
        <v>100</v>
      </c>
      <c r="K2068" s="34">
        <v>6690</v>
      </c>
    </row>
    <row r="2069" spans="1:11" hidden="1">
      <c r="A2069" s="29" t="s">
        <v>138</v>
      </c>
      <c r="B2069" s="32">
        <v>41368</v>
      </c>
      <c r="C2069" s="29">
        <v>65.400000000000006</v>
      </c>
      <c r="D2069" s="35">
        <v>65.400002000000001</v>
      </c>
      <c r="E2069" s="35">
        <v>65.199996999999996</v>
      </c>
      <c r="F2069" s="33">
        <v>65.199996999999996</v>
      </c>
      <c r="G2069" s="29">
        <v>-2.54</v>
      </c>
      <c r="H2069" s="29">
        <v>-1.7</v>
      </c>
      <c r="I2069" s="35">
        <v>66.900002000000001</v>
      </c>
      <c r="J2069" s="34">
        <v>400</v>
      </c>
      <c r="K2069" s="34">
        <v>26090</v>
      </c>
    </row>
    <row r="2070" spans="1:11" hidden="1">
      <c r="A2070" s="29" t="s">
        <v>138</v>
      </c>
      <c r="B2070" s="32">
        <v>41369</v>
      </c>
      <c r="C2070" s="29">
        <v>65.2</v>
      </c>
      <c r="D2070" s="35">
        <v>65.900002000000001</v>
      </c>
      <c r="E2070" s="35">
        <v>65</v>
      </c>
      <c r="F2070" s="33">
        <v>65.699996999999996</v>
      </c>
      <c r="G2070" s="29">
        <v>-0.31</v>
      </c>
      <c r="H2070" s="29">
        <v>-0.2</v>
      </c>
      <c r="I2070" s="35">
        <v>65.199996999999996</v>
      </c>
      <c r="J2070" s="34">
        <v>820</v>
      </c>
      <c r="K2070" s="34">
        <v>53809</v>
      </c>
    </row>
    <row r="2071" spans="1:11" hidden="1">
      <c r="A2071" s="29" t="s">
        <v>138</v>
      </c>
      <c r="B2071" s="32">
        <v>41372</v>
      </c>
      <c r="C2071" s="29">
        <v>66</v>
      </c>
      <c r="D2071" s="35">
        <v>66</v>
      </c>
      <c r="E2071" s="35">
        <v>66</v>
      </c>
      <c r="F2071" s="33">
        <v>66</v>
      </c>
      <c r="G2071" s="29">
        <v>0.46</v>
      </c>
      <c r="H2071" s="29">
        <v>0.3</v>
      </c>
      <c r="I2071" s="35">
        <v>65.699996999999996</v>
      </c>
      <c r="J2071" s="34">
        <v>20108</v>
      </c>
      <c r="K2071" s="34">
        <v>1327128</v>
      </c>
    </row>
    <row r="2072" spans="1:11" hidden="1">
      <c r="A2072" s="29" t="s">
        <v>138</v>
      </c>
      <c r="B2072" s="32">
        <v>41373</v>
      </c>
      <c r="C2072" s="29">
        <v>65</v>
      </c>
      <c r="D2072" s="35">
        <v>65</v>
      </c>
      <c r="E2072" s="35">
        <v>65</v>
      </c>
      <c r="F2072" s="33">
        <v>65</v>
      </c>
      <c r="G2072" s="29">
        <v>-1.52</v>
      </c>
      <c r="H2072" s="29">
        <v>-1</v>
      </c>
      <c r="I2072" s="35">
        <v>66</v>
      </c>
      <c r="J2072" s="34">
        <v>200</v>
      </c>
      <c r="K2072" s="34">
        <v>13000</v>
      </c>
    </row>
    <row r="2073" spans="1:11" hidden="1">
      <c r="A2073" s="29" t="s">
        <v>138</v>
      </c>
      <c r="B2073" s="32">
        <v>41374</v>
      </c>
      <c r="C2073" s="29">
        <v>65</v>
      </c>
      <c r="D2073" s="35">
        <v>65</v>
      </c>
      <c r="E2073" s="35">
        <v>65</v>
      </c>
      <c r="F2073" s="33">
        <v>65</v>
      </c>
      <c r="G2073" s="29">
        <v>0</v>
      </c>
      <c r="H2073" s="29">
        <v>0</v>
      </c>
      <c r="I2073" s="35">
        <v>65</v>
      </c>
      <c r="J2073" s="34">
        <v>3000</v>
      </c>
      <c r="K2073" s="34">
        <v>195000</v>
      </c>
    </row>
    <row r="2074" spans="1:11" hidden="1">
      <c r="A2074" s="29" t="s">
        <v>138</v>
      </c>
      <c r="B2074" s="32">
        <v>41375</v>
      </c>
      <c r="C2074" s="29">
        <v>65</v>
      </c>
      <c r="D2074" s="35">
        <v>65</v>
      </c>
      <c r="E2074" s="35">
        <v>65</v>
      </c>
      <c r="F2074" s="33">
        <v>65</v>
      </c>
      <c r="G2074" s="29">
        <v>0</v>
      </c>
      <c r="H2074" s="29">
        <v>0</v>
      </c>
      <c r="I2074" s="35">
        <v>65</v>
      </c>
      <c r="J2074" s="34">
        <v>400</v>
      </c>
      <c r="K2074" s="34">
        <v>26000</v>
      </c>
    </row>
    <row r="2075" spans="1:11" hidden="1">
      <c r="A2075" s="29" t="s">
        <v>138</v>
      </c>
      <c r="B2075" s="32">
        <v>41376</v>
      </c>
      <c r="C2075" s="29">
        <v>65</v>
      </c>
      <c r="D2075" s="35">
        <v>65.099997999999999</v>
      </c>
      <c r="E2075" s="35">
        <v>65</v>
      </c>
      <c r="F2075" s="33">
        <v>65.099997999999999</v>
      </c>
      <c r="G2075" s="29">
        <v>0.15</v>
      </c>
      <c r="H2075" s="29">
        <v>0.1</v>
      </c>
      <c r="I2075" s="35">
        <v>65</v>
      </c>
      <c r="J2075" s="34">
        <v>9092</v>
      </c>
      <c r="K2075" s="34">
        <v>591880</v>
      </c>
    </row>
    <row r="2076" spans="1:11" hidden="1">
      <c r="A2076" s="29" t="s">
        <v>138</v>
      </c>
      <c r="B2076" s="32">
        <v>41380</v>
      </c>
      <c r="C2076" s="29">
        <v>65.5</v>
      </c>
      <c r="D2076" s="35">
        <v>65.5</v>
      </c>
      <c r="E2076" s="35">
        <v>65.199996999999996</v>
      </c>
      <c r="F2076" s="33">
        <v>65.199996999999996</v>
      </c>
      <c r="G2076" s="29">
        <v>0.15</v>
      </c>
      <c r="H2076" s="29">
        <v>0.1</v>
      </c>
      <c r="I2076" s="35">
        <v>65.099997999999999</v>
      </c>
      <c r="J2076" s="34">
        <v>10521</v>
      </c>
      <c r="K2076" s="34">
        <v>686304</v>
      </c>
    </row>
    <row r="2077" spans="1:11" hidden="1">
      <c r="A2077" s="29" t="s">
        <v>138</v>
      </c>
      <c r="B2077" s="32">
        <v>41381</v>
      </c>
      <c r="C2077" s="29">
        <v>68</v>
      </c>
      <c r="D2077" s="35">
        <v>68</v>
      </c>
      <c r="E2077" s="35">
        <v>66</v>
      </c>
      <c r="F2077" s="33">
        <v>66</v>
      </c>
      <c r="G2077" s="29">
        <v>3.37</v>
      </c>
      <c r="H2077" s="29">
        <v>2.2000000000000002</v>
      </c>
      <c r="I2077" s="35">
        <v>65.199996999999996</v>
      </c>
      <c r="J2077" s="34">
        <v>22888</v>
      </c>
      <c r="K2077" s="34">
        <v>1514155</v>
      </c>
    </row>
    <row r="2078" spans="1:11" hidden="1">
      <c r="A2078" s="29" t="s">
        <v>138</v>
      </c>
      <c r="B2078" s="32">
        <v>41382</v>
      </c>
      <c r="C2078" s="29">
        <v>68</v>
      </c>
      <c r="D2078" s="35">
        <v>69.900002000000001</v>
      </c>
      <c r="E2078" s="35">
        <v>68</v>
      </c>
      <c r="F2078" s="33">
        <v>69.800003000000004</v>
      </c>
      <c r="G2078" s="29">
        <v>5.91</v>
      </c>
      <c r="H2078" s="29">
        <v>3.9</v>
      </c>
      <c r="I2078" s="35">
        <v>66</v>
      </c>
      <c r="J2078" s="34">
        <v>6219</v>
      </c>
      <c r="K2078" s="34">
        <v>429668</v>
      </c>
    </row>
    <row r="2079" spans="1:11" hidden="1">
      <c r="A2079" s="29" t="s">
        <v>138</v>
      </c>
      <c r="B2079" s="32">
        <v>41386</v>
      </c>
      <c r="C2079" s="29">
        <v>67</v>
      </c>
      <c r="D2079" s="35">
        <v>67</v>
      </c>
      <c r="E2079" s="35">
        <v>67</v>
      </c>
      <c r="F2079" s="33">
        <v>67</v>
      </c>
      <c r="G2079" s="29">
        <v>-4.01</v>
      </c>
      <c r="H2079" s="29">
        <v>-2.8</v>
      </c>
      <c r="I2079" s="35">
        <v>69.800003000000004</v>
      </c>
      <c r="J2079" s="34">
        <v>500</v>
      </c>
      <c r="K2079" s="34">
        <v>33500</v>
      </c>
    </row>
    <row r="2080" spans="1:11" hidden="1">
      <c r="A2080" s="29" t="s">
        <v>138</v>
      </c>
      <c r="B2080" s="32">
        <v>41387</v>
      </c>
      <c r="C2080" s="29">
        <v>69</v>
      </c>
      <c r="D2080" s="35">
        <v>70</v>
      </c>
      <c r="E2080" s="35">
        <v>69</v>
      </c>
      <c r="F2080" s="33">
        <v>69.300003000000004</v>
      </c>
      <c r="G2080" s="29">
        <v>4.4800000000000004</v>
      </c>
      <c r="H2080" s="29">
        <v>3</v>
      </c>
      <c r="I2080" s="35">
        <v>67</v>
      </c>
      <c r="J2080" s="34">
        <v>724</v>
      </c>
      <c r="K2080" s="34">
        <v>50158</v>
      </c>
    </row>
    <row r="2081" spans="1:11" hidden="1">
      <c r="A2081" s="29" t="s">
        <v>138</v>
      </c>
      <c r="B2081" s="32">
        <v>41388</v>
      </c>
      <c r="C2081" s="29">
        <v>67.2</v>
      </c>
      <c r="D2081" s="35">
        <v>69.5</v>
      </c>
      <c r="E2081" s="35">
        <v>67.199996999999996</v>
      </c>
      <c r="F2081" s="33">
        <v>69.099997999999999</v>
      </c>
      <c r="G2081" s="29">
        <v>-0.43</v>
      </c>
      <c r="H2081" s="29">
        <v>-0.3</v>
      </c>
      <c r="I2081" s="35">
        <v>69.300003000000004</v>
      </c>
      <c r="J2081" s="34">
        <v>28386</v>
      </c>
      <c r="K2081" s="34">
        <v>1960144</v>
      </c>
    </row>
    <row r="2082" spans="1:11" hidden="1">
      <c r="A2082" s="29" t="s">
        <v>138</v>
      </c>
      <c r="B2082" s="32">
        <v>41390</v>
      </c>
      <c r="C2082" s="29">
        <v>68</v>
      </c>
      <c r="D2082" s="35">
        <v>69</v>
      </c>
      <c r="E2082" s="35">
        <v>67.699996999999996</v>
      </c>
      <c r="F2082" s="33">
        <v>67.900002000000001</v>
      </c>
      <c r="G2082" s="29">
        <v>-2.0299999999999998</v>
      </c>
      <c r="H2082" s="29">
        <v>-1.4</v>
      </c>
      <c r="I2082" s="35">
        <v>69.099997999999999</v>
      </c>
      <c r="J2082" s="34">
        <v>22221</v>
      </c>
      <c r="K2082" s="34">
        <v>1509685</v>
      </c>
    </row>
    <row r="2083" spans="1:11" hidden="1">
      <c r="A2083" s="29" t="s">
        <v>138</v>
      </c>
      <c r="B2083" s="32">
        <v>41393</v>
      </c>
      <c r="C2083" s="29">
        <v>67.599999999999994</v>
      </c>
      <c r="D2083" s="35">
        <v>70</v>
      </c>
      <c r="E2083" s="35">
        <v>67.599997999999999</v>
      </c>
      <c r="F2083" s="33">
        <v>69.099997999999999</v>
      </c>
      <c r="G2083" s="29">
        <v>1.77</v>
      </c>
      <c r="H2083" s="29">
        <v>1.2</v>
      </c>
      <c r="I2083" s="35">
        <v>67.900002000000001</v>
      </c>
      <c r="J2083" s="34">
        <v>13309</v>
      </c>
      <c r="K2083" s="34">
        <v>928250</v>
      </c>
    </row>
    <row r="2084" spans="1:11" hidden="1">
      <c r="A2084" s="29" t="s">
        <v>138</v>
      </c>
      <c r="B2084" s="32">
        <v>41394</v>
      </c>
      <c r="C2084" s="29">
        <v>68</v>
      </c>
      <c r="D2084" s="35">
        <v>69</v>
      </c>
      <c r="E2084" s="35">
        <v>68</v>
      </c>
      <c r="F2084" s="33">
        <v>69</v>
      </c>
      <c r="G2084" s="29">
        <v>-0.14000000000000001</v>
      </c>
      <c r="H2084" s="29">
        <v>-0.1</v>
      </c>
      <c r="I2084" s="35">
        <v>69.099997999999999</v>
      </c>
      <c r="J2084" s="34">
        <v>6451</v>
      </c>
      <c r="K2084" s="34">
        <v>445118</v>
      </c>
    </row>
    <row r="2085" spans="1:11" hidden="1">
      <c r="A2085" s="29" t="s">
        <v>138</v>
      </c>
      <c r="B2085" s="32">
        <v>41396</v>
      </c>
      <c r="C2085" s="29">
        <v>69</v>
      </c>
      <c r="D2085" s="35">
        <v>69</v>
      </c>
      <c r="E2085" s="35">
        <v>68.800003000000004</v>
      </c>
      <c r="F2085" s="33">
        <v>69</v>
      </c>
      <c r="G2085" s="29">
        <v>-0.14000000000000001</v>
      </c>
      <c r="H2085" s="29">
        <v>-0.1</v>
      </c>
      <c r="I2085" s="35">
        <v>69</v>
      </c>
      <c r="J2085" s="34">
        <v>27407</v>
      </c>
      <c r="K2085" s="34">
        <v>1890702</v>
      </c>
    </row>
    <row r="2086" spans="1:11" hidden="1">
      <c r="A2086" s="29" t="s">
        <v>138</v>
      </c>
      <c r="B2086" s="32">
        <v>41397</v>
      </c>
      <c r="C2086" s="29">
        <v>69</v>
      </c>
      <c r="D2086" s="35">
        <v>69.900002000000001</v>
      </c>
      <c r="E2086" s="35">
        <v>69</v>
      </c>
      <c r="F2086" s="33">
        <v>69.900002000000001</v>
      </c>
      <c r="G2086" s="29">
        <v>1.3</v>
      </c>
      <c r="H2086" s="29">
        <v>0.9</v>
      </c>
      <c r="I2086" s="35">
        <v>69</v>
      </c>
      <c r="J2086" s="34">
        <v>18126</v>
      </c>
      <c r="K2086" s="34">
        <v>1251691</v>
      </c>
    </row>
    <row r="2087" spans="1:11" hidden="1">
      <c r="A2087" s="29" t="s">
        <v>138</v>
      </c>
      <c r="B2087" s="32">
        <v>41400</v>
      </c>
      <c r="C2087" s="29">
        <v>69.900000000000006</v>
      </c>
      <c r="D2087" s="35">
        <v>72.300003000000004</v>
      </c>
      <c r="E2087" s="35">
        <v>69.599997999999999</v>
      </c>
      <c r="F2087" s="33">
        <v>71.699996999999996</v>
      </c>
      <c r="G2087" s="29">
        <v>3</v>
      </c>
      <c r="H2087" s="29">
        <v>2.1</v>
      </c>
      <c r="I2087" s="35">
        <v>69.900002000000001</v>
      </c>
      <c r="J2087" s="34">
        <v>333067</v>
      </c>
      <c r="K2087" s="34">
        <v>23856008</v>
      </c>
    </row>
    <row r="2088" spans="1:11" hidden="1">
      <c r="A2088" s="29" t="s">
        <v>138</v>
      </c>
      <c r="B2088" s="32">
        <v>41401</v>
      </c>
      <c r="C2088" s="29">
        <v>71.5</v>
      </c>
      <c r="D2088" s="35">
        <v>74</v>
      </c>
      <c r="E2088" s="35">
        <v>71.5</v>
      </c>
      <c r="F2088" s="33">
        <v>72.900002000000001</v>
      </c>
      <c r="G2088" s="29">
        <v>1.67</v>
      </c>
      <c r="H2088" s="29">
        <v>1.2</v>
      </c>
      <c r="I2088" s="35">
        <v>71.699996999999996</v>
      </c>
      <c r="J2088" s="34">
        <v>28809</v>
      </c>
      <c r="K2088" s="34">
        <v>2089423</v>
      </c>
    </row>
    <row r="2089" spans="1:11" hidden="1">
      <c r="A2089" s="29" t="s">
        <v>138</v>
      </c>
      <c r="B2089" s="32">
        <v>41402</v>
      </c>
      <c r="C2089" s="29">
        <v>74</v>
      </c>
      <c r="D2089" s="35">
        <v>77.5</v>
      </c>
      <c r="E2089" s="35">
        <v>73</v>
      </c>
      <c r="F2089" s="33">
        <v>76.900002000000001</v>
      </c>
      <c r="G2089" s="29">
        <v>5.49</v>
      </c>
      <c r="H2089" s="29">
        <v>4</v>
      </c>
      <c r="I2089" s="35">
        <v>72.900002000000001</v>
      </c>
      <c r="J2089" s="34">
        <v>413247</v>
      </c>
      <c r="K2089" s="34">
        <v>31164500</v>
      </c>
    </row>
    <row r="2090" spans="1:11" hidden="1">
      <c r="A2090" s="29" t="s">
        <v>138</v>
      </c>
      <c r="B2090" s="32">
        <v>41403</v>
      </c>
      <c r="C2090" s="29">
        <v>76</v>
      </c>
      <c r="D2090" s="35">
        <v>78.900002000000001</v>
      </c>
      <c r="E2090" s="35">
        <v>76</v>
      </c>
      <c r="F2090" s="33">
        <v>77.800003000000004</v>
      </c>
      <c r="G2090" s="29">
        <v>0.52</v>
      </c>
      <c r="H2090" s="29">
        <v>0.4</v>
      </c>
      <c r="I2090" s="35">
        <v>76.900002000000001</v>
      </c>
      <c r="J2090" s="34">
        <v>262162</v>
      </c>
      <c r="K2090" s="34">
        <v>20413102</v>
      </c>
    </row>
    <row r="2091" spans="1:11" hidden="1">
      <c r="A2091" s="29" t="s">
        <v>138</v>
      </c>
      <c r="B2091" s="32">
        <v>41404</v>
      </c>
      <c r="C2091" s="29">
        <v>79</v>
      </c>
      <c r="D2091" s="35">
        <v>80</v>
      </c>
      <c r="E2091" s="35">
        <v>76.199996999999996</v>
      </c>
      <c r="F2091" s="33">
        <v>77.5</v>
      </c>
      <c r="G2091" s="29">
        <v>-0.39</v>
      </c>
      <c r="H2091" s="29">
        <v>-0.3</v>
      </c>
      <c r="I2091" s="35">
        <v>77.800003000000004</v>
      </c>
      <c r="J2091" s="34">
        <v>158280</v>
      </c>
      <c r="K2091" s="34">
        <v>12273124</v>
      </c>
    </row>
    <row r="2092" spans="1:11" hidden="1">
      <c r="A2092" s="29" t="s">
        <v>138</v>
      </c>
      <c r="B2092" s="32">
        <v>41407</v>
      </c>
      <c r="C2092" s="29">
        <v>77</v>
      </c>
      <c r="D2092" s="35">
        <v>77.5</v>
      </c>
      <c r="E2092" s="35">
        <v>75.400002000000001</v>
      </c>
      <c r="F2092" s="33">
        <v>77.300003000000004</v>
      </c>
      <c r="G2092" s="29">
        <v>-0.26</v>
      </c>
      <c r="H2092" s="29">
        <v>-0.2</v>
      </c>
      <c r="I2092" s="35">
        <v>77.5</v>
      </c>
      <c r="J2092" s="34">
        <v>31141</v>
      </c>
      <c r="K2092" s="34">
        <v>2406723</v>
      </c>
    </row>
    <row r="2093" spans="1:11" hidden="1">
      <c r="A2093" s="29" t="s">
        <v>138</v>
      </c>
      <c r="B2093" s="32">
        <v>41408</v>
      </c>
      <c r="C2093" s="29">
        <v>75.3</v>
      </c>
      <c r="D2093" s="35">
        <v>77.400002000000001</v>
      </c>
      <c r="E2093" s="35">
        <v>75.099997999999999</v>
      </c>
      <c r="F2093" s="33">
        <v>75.400002000000001</v>
      </c>
      <c r="G2093" s="29">
        <v>0.13</v>
      </c>
      <c r="H2093" s="29">
        <v>0.1</v>
      </c>
      <c r="I2093" s="35">
        <v>77.300003000000004</v>
      </c>
      <c r="J2093" s="34">
        <v>5716</v>
      </c>
      <c r="K2093" s="34">
        <v>438728</v>
      </c>
    </row>
    <row r="2094" spans="1:11" hidden="1">
      <c r="A2094" s="29" t="s">
        <v>138</v>
      </c>
      <c r="B2094" s="32">
        <v>41409</v>
      </c>
      <c r="C2094" s="29">
        <v>75.2</v>
      </c>
      <c r="D2094" s="35">
        <v>77.400002000000001</v>
      </c>
      <c r="E2094" s="35">
        <v>75.099997999999999</v>
      </c>
      <c r="F2094" s="33">
        <v>75.5</v>
      </c>
      <c r="G2094" s="29">
        <v>0.13</v>
      </c>
      <c r="H2094" s="29">
        <v>0.1</v>
      </c>
      <c r="I2094" s="35">
        <v>75.400002000000001</v>
      </c>
      <c r="J2094" s="34">
        <v>40060</v>
      </c>
      <c r="K2094" s="34">
        <v>3018510</v>
      </c>
    </row>
    <row r="2095" spans="1:11" hidden="1">
      <c r="A2095" s="29" t="s">
        <v>138</v>
      </c>
      <c r="B2095" s="32">
        <v>41410</v>
      </c>
      <c r="C2095" s="29">
        <v>75.2</v>
      </c>
      <c r="D2095" s="35">
        <v>77.400002000000001</v>
      </c>
      <c r="E2095" s="35">
        <v>75.199996999999996</v>
      </c>
      <c r="F2095" s="33">
        <v>76.599997999999999</v>
      </c>
      <c r="G2095" s="29">
        <v>2.52</v>
      </c>
      <c r="H2095" s="29">
        <v>1.9</v>
      </c>
      <c r="I2095" s="35">
        <v>75.5</v>
      </c>
      <c r="J2095" s="34">
        <v>1940</v>
      </c>
      <c r="K2095" s="34">
        <v>148502</v>
      </c>
    </row>
    <row r="2096" spans="1:11" hidden="1">
      <c r="A2096" s="29" t="s">
        <v>138</v>
      </c>
      <c r="B2096" s="32">
        <v>41411</v>
      </c>
      <c r="C2096" s="29">
        <v>76.599999999999994</v>
      </c>
      <c r="D2096" s="35">
        <v>78</v>
      </c>
      <c r="E2096" s="35">
        <v>76.599997999999999</v>
      </c>
      <c r="F2096" s="33">
        <v>78</v>
      </c>
      <c r="G2096" s="29">
        <v>1.7</v>
      </c>
      <c r="H2096" s="29">
        <v>1.3</v>
      </c>
      <c r="I2096" s="35">
        <v>76.599997999999999</v>
      </c>
      <c r="J2096" s="34">
        <v>20993</v>
      </c>
      <c r="K2096" s="34">
        <v>1631513</v>
      </c>
    </row>
    <row r="2097" spans="1:11" hidden="1">
      <c r="A2097" s="29" t="s">
        <v>138</v>
      </c>
      <c r="B2097" s="32">
        <v>41414</v>
      </c>
      <c r="C2097" s="29">
        <v>76.599999999999994</v>
      </c>
      <c r="D2097" s="35">
        <v>78</v>
      </c>
      <c r="E2097" s="35">
        <v>76.599997999999999</v>
      </c>
      <c r="F2097" s="33">
        <v>77.099997999999999</v>
      </c>
      <c r="G2097" s="29">
        <v>0</v>
      </c>
      <c r="H2097" s="29">
        <v>0</v>
      </c>
      <c r="I2097" s="35">
        <v>78</v>
      </c>
      <c r="J2097" s="34">
        <v>134383</v>
      </c>
      <c r="K2097" s="34">
        <v>10465259</v>
      </c>
    </row>
    <row r="2098" spans="1:11" hidden="1">
      <c r="A2098" s="29" t="s">
        <v>138</v>
      </c>
      <c r="B2098" s="32">
        <v>41415</v>
      </c>
      <c r="C2098" s="29">
        <v>78</v>
      </c>
      <c r="D2098" s="35">
        <v>78</v>
      </c>
      <c r="E2098" s="35">
        <v>77.199996999999996</v>
      </c>
      <c r="F2098" s="33">
        <v>77.5</v>
      </c>
      <c r="G2098" s="29">
        <v>0.13</v>
      </c>
      <c r="H2098" s="29">
        <v>0.1</v>
      </c>
      <c r="I2098" s="35">
        <v>77.099997999999999</v>
      </c>
      <c r="J2098" s="34">
        <v>3120</v>
      </c>
      <c r="K2098" s="34">
        <v>242194</v>
      </c>
    </row>
    <row r="2099" spans="1:11" hidden="1">
      <c r="A2099" s="29" t="s">
        <v>138</v>
      </c>
      <c r="B2099" s="32">
        <v>41416</v>
      </c>
      <c r="C2099" s="29">
        <v>77</v>
      </c>
      <c r="D2099" s="35">
        <v>77</v>
      </c>
      <c r="E2099" s="35">
        <v>77</v>
      </c>
      <c r="F2099" s="33">
        <v>77</v>
      </c>
      <c r="G2099" s="29">
        <v>-0.65</v>
      </c>
      <c r="H2099" s="29">
        <v>-0.5</v>
      </c>
      <c r="I2099" s="35">
        <v>77.5</v>
      </c>
      <c r="J2099" s="34">
        <v>1600</v>
      </c>
      <c r="K2099" s="34">
        <v>123200</v>
      </c>
    </row>
    <row r="2100" spans="1:11" hidden="1">
      <c r="A2100" s="29" t="s">
        <v>138</v>
      </c>
      <c r="B2100" s="32">
        <v>41417</v>
      </c>
      <c r="C2100" s="29">
        <v>76.7</v>
      </c>
      <c r="D2100" s="35">
        <v>77</v>
      </c>
      <c r="E2100" s="35">
        <v>75</v>
      </c>
      <c r="F2100" s="33">
        <v>75.599997999999999</v>
      </c>
      <c r="G2100" s="29">
        <v>0</v>
      </c>
      <c r="H2100" s="29">
        <v>0</v>
      </c>
      <c r="I2100" s="35">
        <v>77</v>
      </c>
      <c r="J2100" s="34">
        <v>1525</v>
      </c>
      <c r="K2100" s="34">
        <v>115265</v>
      </c>
    </row>
    <row r="2101" spans="1:11" hidden="1">
      <c r="A2101" s="29" t="s">
        <v>138</v>
      </c>
      <c r="B2101" s="32">
        <v>41421</v>
      </c>
      <c r="C2101" s="29">
        <v>74.5</v>
      </c>
      <c r="D2101" s="35">
        <v>74.5</v>
      </c>
      <c r="E2101" s="35">
        <v>74</v>
      </c>
      <c r="F2101" s="33">
        <v>74.099997999999999</v>
      </c>
      <c r="G2101" s="29">
        <v>-2.12</v>
      </c>
      <c r="H2101" s="29">
        <v>-1.6</v>
      </c>
      <c r="I2101" s="35">
        <v>75.599997999999999</v>
      </c>
      <c r="J2101" s="34">
        <v>1300</v>
      </c>
      <c r="K2101" s="34">
        <v>96329</v>
      </c>
    </row>
    <row r="2102" spans="1:11" hidden="1">
      <c r="A2102" s="29" t="s">
        <v>138</v>
      </c>
      <c r="B2102" s="32">
        <v>41422</v>
      </c>
      <c r="C2102" s="29">
        <v>74.400000000000006</v>
      </c>
      <c r="D2102" s="35">
        <v>74.400002000000001</v>
      </c>
      <c r="E2102" s="35">
        <v>74.400000000000006</v>
      </c>
      <c r="F2102" s="33">
        <v>74.400002000000001</v>
      </c>
      <c r="G2102" s="29">
        <v>0.4</v>
      </c>
      <c r="H2102" s="29">
        <v>0.3</v>
      </c>
      <c r="I2102" s="35">
        <v>74.099997999999999</v>
      </c>
      <c r="J2102" s="34">
        <v>8500</v>
      </c>
      <c r="K2102" s="34">
        <v>632400</v>
      </c>
    </row>
    <row r="2103" spans="1:11" hidden="1">
      <c r="A2103" s="29" t="s">
        <v>138</v>
      </c>
      <c r="B2103" s="32">
        <v>41423</v>
      </c>
      <c r="C2103" s="29">
        <v>74</v>
      </c>
      <c r="D2103" s="35">
        <v>74</v>
      </c>
      <c r="E2103" s="35">
        <v>74</v>
      </c>
      <c r="F2103" s="33">
        <v>74</v>
      </c>
      <c r="G2103" s="29">
        <v>-0.54</v>
      </c>
      <c r="H2103" s="29">
        <v>-0.4</v>
      </c>
      <c r="I2103" s="35">
        <v>74.400002000000001</v>
      </c>
      <c r="J2103" s="34">
        <v>8</v>
      </c>
      <c r="K2103" s="34">
        <v>592</v>
      </c>
    </row>
    <row r="2104" spans="1:11" hidden="1">
      <c r="A2104" s="29" t="s">
        <v>138</v>
      </c>
      <c r="B2104" s="32">
        <v>41424</v>
      </c>
      <c r="C2104" s="29">
        <v>75</v>
      </c>
      <c r="D2104" s="35">
        <v>75.900002000000001</v>
      </c>
      <c r="E2104" s="35">
        <v>73</v>
      </c>
      <c r="F2104" s="33">
        <v>73</v>
      </c>
      <c r="G2104" s="29">
        <v>-1.35</v>
      </c>
      <c r="H2104" s="29">
        <v>-1</v>
      </c>
      <c r="I2104" s="35">
        <v>74</v>
      </c>
      <c r="J2104" s="34">
        <v>4513</v>
      </c>
      <c r="K2104" s="34">
        <v>331564</v>
      </c>
    </row>
    <row r="2105" spans="1:11" hidden="1">
      <c r="A2105" s="29" t="s">
        <v>138</v>
      </c>
      <c r="B2105" s="32">
        <v>41425</v>
      </c>
      <c r="C2105" s="29">
        <v>76.7</v>
      </c>
      <c r="D2105" s="35">
        <v>76.900002000000001</v>
      </c>
      <c r="E2105" s="35">
        <v>76.699996999999996</v>
      </c>
      <c r="F2105" s="33">
        <v>76.800003000000004</v>
      </c>
      <c r="G2105" s="29">
        <v>5.34</v>
      </c>
      <c r="H2105" s="29">
        <v>3.9</v>
      </c>
      <c r="I2105" s="35">
        <v>73</v>
      </c>
      <c r="J2105" s="34">
        <v>100</v>
      </c>
      <c r="K2105" s="34">
        <v>7681</v>
      </c>
    </row>
    <row r="2106" spans="1:11" hidden="1">
      <c r="A2106" s="29" t="s">
        <v>138</v>
      </c>
      <c r="B2106" s="32">
        <v>41429</v>
      </c>
      <c r="C2106" s="29">
        <v>75.8</v>
      </c>
      <c r="D2106" s="35">
        <v>75.900002000000001</v>
      </c>
      <c r="E2106" s="35">
        <v>74</v>
      </c>
      <c r="F2106" s="33">
        <v>75.400002000000001</v>
      </c>
      <c r="G2106" s="29">
        <v>-1.17</v>
      </c>
      <c r="H2106" s="29">
        <v>-0.9</v>
      </c>
      <c r="I2106" s="35">
        <v>76.800003000000004</v>
      </c>
      <c r="J2106" s="34">
        <v>4016</v>
      </c>
      <c r="K2106" s="34">
        <v>299107</v>
      </c>
    </row>
    <row r="2107" spans="1:11" hidden="1">
      <c r="A2107" s="29" t="s">
        <v>138</v>
      </c>
      <c r="B2107" s="32">
        <v>41430</v>
      </c>
      <c r="C2107" s="29">
        <v>75.400000000000006</v>
      </c>
      <c r="D2107" s="35">
        <v>75.400002000000001</v>
      </c>
      <c r="E2107" s="35">
        <v>74</v>
      </c>
      <c r="F2107" s="33">
        <v>74.199996999999996</v>
      </c>
      <c r="G2107" s="29">
        <v>-1.86</v>
      </c>
      <c r="H2107" s="29">
        <v>-1.4</v>
      </c>
      <c r="I2107" s="35">
        <v>75.400002000000001</v>
      </c>
      <c r="J2107" s="34">
        <v>5836</v>
      </c>
      <c r="K2107" s="34">
        <v>437227</v>
      </c>
    </row>
    <row r="2108" spans="1:11" hidden="1">
      <c r="A2108" s="29" t="s">
        <v>138</v>
      </c>
      <c r="B2108" s="32">
        <v>41431</v>
      </c>
      <c r="C2108" s="29">
        <v>73.5</v>
      </c>
      <c r="D2108" s="35">
        <v>73.5</v>
      </c>
      <c r="E2108" s="35">
        <v>73</v>
      </c>
      <c r="F2108" s="33">
        <v>73</v>
      </c>
      <c r="G2108" s="29">
        <v>-1.62</v>
      </c>
      <c r="H2108" s="29">
        <v>-1.2</v>
      </c>
      <c r="I2108" s="35">
        <v>74.199996999999996</v>
      </c>
      <c r="J2108" s="34">
        <v>37600</v>
      </c>
      <c r="K2108" s="34">
        <v>2746270</v>
      </c>
    </row>
    <row r="2109" spans="1:11" hidden="1">
      <c r="A2109" s="29" t="s">
        <v>138</v>
      </c>
      <c r="B2109" s="32">
        <v>41432</v>
      </c>
      <c r="C2109" s="29">
        <v>72</v>
      </c>
      <c r="D2109" s="35">
        <v>73</v>
      </c>
      <c r="E2109" s="35">
        <v>71</v>
      </c>
      <c r="F2109" s="33">
        <v>71.5</v>
      </c>
      <c r="G2109" s="29">
        <v>-2.0499999999999998</v>
      </c>
      <c r="H2109" s="29">
        <v>-1.5</v>
      </c>
      <c r="I2109" s="35">
        <v>73</v>
      </c>
      <c r="J2109" s="34">
        <v>25615</v>
      </c>
      <c r="K2109" s="34">
        <v>1827163</v>
      </c>
    </row>
    <row r="2110" spans="1:11" hidden="1">
      <c r="A2110" s="29" t="s">
        <v>138</v>
      </c>
      <c r="B2110" s="32">
        <v>41435</v>
      </c>
      <c r="C2110" s="29">
        <v>71.099999999999994</v>
      </c>
      <c r="D2110" s="35">
        <v>71.5</v>
      </c>
      <c r="E2110" s="35">
        <v>71.099997999999999</v>
      </c>
      <c r="F2110" s="33">
        <v>71.099997999999999</v>
      </c>
      <c r="G2110" s="29">
        <v>-0.56000000000000005</v>
      </c>
      <c r="H2110" s="29">
        <v>-0.4</v>
      </c>
      <c r="I2110" s="35">
        <v>71.5</v>
      </c>
      <c r="J2110" s="34">
        <v>1678</v>
      </c>
      <c r="K2110" s="34">
        <v>119331</v>
      </c>
    </row>
    <row r="2111" spans="1:11" hidden="1">
      <c r="A2111" s="29" t="s">
        <v>138</v>
      </c>
      <c r="B2111" s="32">
        <v>41436</v>
      </c>
      <c r="C2111" s="29">
        <v>71.099999999999994</v>
      </c>
      <c r="D2111" s="35">
        <v>72.5</v>
      </c>
      <c r="E2111" s="35">
        <v>71</v>
      </c>
      <c r="F2111" s="33">
        <v>71</v>
      </c>
      <c r="G2111" s="29">
        <v>-0.14000000000000001</v>
      </c>
      <c r="H2111" s="29">
        <v>-0.1</v>
      </c>
      <c r="I2111" s="35">
        <v>71.099997999999999</v>
      </c>
      <c r="J2111" s="34">
        <v>23765</v>
      </c>
      <c r="K2111" s="34">
        <v>1691912</v>
      </c>
    </row>
    <row r="2112" spans="1:11" hidden="1">
      <c r="A2112" s="29" t="s">
        <v>138</v>
      </c>
      <c r="B2112" s="32">
        <v>41437</v>
      </c>
      <c r="C2112" s="29">
        <v>70.400000000000006</v>
      </c>
      <c r="D2112" s="35">
        <v>70.400002000000001</v>
      </c>
      <c r="E2112" s="35">
        <v>70.099997999999999</v>
      </c>
      <c r="F2112" s="33">
        <v>70.099997999999999</v>
      </c>
      <c r="G2112" s="29">
        <v>-1.27</v>
      </c>
      <c r="H2112" s="29">
        <v>-0.9</v>
      </c>
      <c r="I2112" s="35">
        <v>71</v>
      </c>
      <c r="J2112" s="34">
        <v>5635</v>
      </c>
      <c r="K2112" s="34">
        <v>395122</v>
      </c>
    </row>
    <row r="2113" spans="1:11" hidden="1">
      <c r="A2113" s="29" t="s">
        <v>138</v>
      </c>
      <c r="B2113" s="32">
        <v>41438</v>
      </c>
      <c r="C2113" s="29">
        <v>70.2</v>
      </c>
      <c r="D2113" s="35">
        <v>72.5</v>
      </c>
      <c r="E2113" s="35">
        <v>70</v>
      </c>
      <c r="F2113" s="33">
        <v>71</v>
      </c>
      <c r="G2113" s="29">
        <v>1.28</v>
      </c>
      <c r="H2113" s="29">
        <v>0.9</v>
      </c>
      <c r="I2113" s="35">
        <v>70.099997999999999</v>
      </c>
      <c r="J2113" s="34">
        <v>20401</v>
      </c>
      <c r="K2113" s="34">
        <v>1428647</v>
      </c>
    </row>
    <row r="2114" spans="1:11" hidden="1">
      <c r="A2114" s="29" t="s">
        <v>138</v>
      </c>
      <c r="B2114" s="32">
        <v>41439</v>
      </c>
      <c r="C2114" s="29">
        <v>72</v>
      </c>
      <c r="D2114" s="35">
        <v>72.400002000000001</v>
      </c>
      <c r="E2114" s="35">
        <v>71.099997999999999</v>
      </c>
      <c r="F2114" s="33">
        <v>71.099997999999999</v>
      </c>
      <c r="G2114" s="29">
        <v>0.14000000000000001</v>
      </c>
      <c r="H2114" s="29">
        <v>0.1</v>
      </c>
      <c r="I2114" s="35">
        <v>71</v>
      </c>
      <c r="J2114" s="34">
        <v>2904</v>
      </c>
      <c r="K2114" s="34">
        <v>210065</v>
      </c>
    </row>
    <row r="2115" spans="1:11" hidden="1">
      <c r="A2115" s="29" t="s">
        <v>138</v>
      </c>
      <c r="B2115" s="32">
        <v>41442</v>
      </c>
      <c r="C2115" s="29">
        <v>71</v>
      </c>
      <c r="D2115" s="35">
        <v>71</v>
      </c>
      <c r="E2115" s="35">
        <v>71</v>
      </c>
      <c r="F2115" s="33">
        <v>71</v>
      </c>
      <c r="G2115" s="29">
        <v>-0.14000000000000001</v>
      </c>
      <c r="H2115" s="29">
        <v>-0.1</v>
      </c>
      <c r="I2115" s="35">
        <v>71.099997999999999</v>
      </c>
      <c r="J2115" s="34">
        <v>7</v>
      </c>
      <c r="K2115" s="34">
        <v>497</v>
      </c>
    </row>
    <row r="2116" spans="1:11" hidden="1">
      <c r="A2116" s="29" t="s">
        <v>138</v>
      </c>
      <c r="B2116" s="32">
        <v>41443</v>
      </c>
      <c r="C2116" s="29">
        <v>71</v>
      </c>
      <c r="D2116" s="35">
        <v>71.199996999999996</v>
      </c>
      <c r="E2116" s="35">
        <v>71</v>
      </c>
      <c r="F2116" s="33">
        <v>71</v>
      </c>
      <c r="G2116" s="29">
        <v>0</v>
      </c>
      <c r="H2116" s="29">
        <v>0</v>
      </c>
      <c r="I2116" s="35">
        <v>71</v>
      </c>
      <c r="J2116" s="34">
        <v>3360</v>
      </c>
      <c r="K2116" s="34">
        <v>238568</v>
      </c>
    </row>
    <row r="2117" spans="1:11" hidden="1">
      <c r="A2117" s="29" t="s">
        <v>138</v>
      </c>
      <c r="B2117" s="32">
        <v>41444</v>
      </c>
      <c r="C2117" s="29">
        <v>71</v>
      </c>
      <c r="D2117" s="35">
        <v>71</v>
      </c>
      <c r="E2117" s="35">
        <v>70.300003000000004</v>
      </c>
      <c r="F2117" s="33">
        <v>70.900002000000001</v>
      </c>
      <c r="G2117" s="29">
        <v>-0.85</v>
      </c>
      <c r="H2117" s="29">
        <v>-0.6</v>
      </c>
      <c r="I2117" s="35">
        <v>71</v>
      </c>
      <c r="J2117" s="34">
        <v>8457</v>
      </c>
      <c r="K2117" s="34">
        <v>599867</v>
      </c>
    </row>
    <row r="2118" spans="1:11" hidden="1">
      <c r="A2118" s="29" t="s">
        <v>138</v>
      </c>
      <c r="B2118" s="32">
        <v>41445</v>
      </c>
      <c r="C2118" s="29">
        <v>73.5</v>
      </c>
      <c r="D2118" s="35">
        <v>73.5</v>
      </c>
      <c r="E2118" s="35">
        <v>70</v>
      </c>
      <c r="F2118" s="33">
        <v>70.199996999999996</v>
      </c>
      <c r="G2118" s="29">
        <v>-1.27</v>
      </c>
      <c r="H2118" s="29">
        <v>-0.9</v>
      </c>
      <c r="I2118" s="35">
        <v>70.900002000000001</v>
      </c>
      <c r="J2118" s="34">
        <v>13431</v>
      </c>
      <c r="K2118" s="34">
        <v>943520</v>
      </c>
    </row>
    <row r="2119" spans="1:11" hidden="1">
      <c r="A2119" s="29" t="s">
        <v>138</v>
      </c>
      <c r="B2119" s="32">
        <v>41446</v>
      </c>
      <c r="C2119" s="29">
        <v>70</v>
      </c>
      <c r="D2119" s="35">
        <v>71</v>
      </c>
      <c r="E2119" s="35">
        <v>67</v>
      </c>
      <c r="F2119" s="33">
        <v>67.800003000000004</v>
      </c>
      <c r="G2119" s="29">
        <v>-4.5599999999999996</v>
      </c>
      <c r="H2119" s="29">
        <v>-3.2</v>
      </c>
      <c r="I2119" s="35">
        <v>70.199996999999996</v>
      </c>
      <c r="J2119" s="34">
        <v>19483</v>
      </c>
      <c r="K2119" s="34">
        <v>1320914</v>
      </c>
    </row>
    <row r="2120" spans="1:11" hidden="1">
      <c r="A2120" s="29" t="s">
        <v>138</v>
      </c>
      <c r="B2120" s="32">
        <v>41451</v>
      </c>
      <c r="C2120" s="29">
        <v>69.8</v>
      </c>
      <c r="D2120" s="35">
        <v>69.900002000000001</v>
      </c>
      <c r="E2120" s="35">
        <v>67.5</v>
      </c>
      <c r="F2120" s="33">
        <v>67.5</v>
      </c>
      <c r="G2120" s="29">
        <v>-0.44</v>
      </c>
      <c r="H2120" s="29">
        <v>-0.3</v>
      </c>
      <c r="I2120" s="35">
        <v>67.800003000000004</v>
      </c>
      <c r="J2120" s="34">
        <v>28870</v>
      </c>
      <c r="K2120" s="34">
        <v>2011683</v>
      </c>
    </row>
    <row r="2121" spans="1:11" hidden="1">
      <c r="A2121" s="29" t="s">
        <v>138</v>
      </c>
      <c r="B2121" s="32">
        <v>41452</v>
      </c>
      <c r="C2121" s="29">
        <v>68</v>
      </c>
      <c r="D2121" s="35">
        <v>68</v>
      </c>
      <c r="E2121" s="35">
        <v>68</v>
      </c>
      <c r="F2121" s="33">
        <v>68</v>
      </c>
      <c r="G2121" s="29">
        <v>0.74</v>
      </c>
      <c r="H2121" s="29">
        <v>0.5</v>
      </c>
      <c r="I2121" s="35">
        <v>67.5</v>
      </c>
      <c r="J2121" s="34">
        <v>10007</v>
      </c>
      <c r="K2121" s="34">
        <v>680476</v>
      </c>
    </row>
    <row r="2122" spans="1:11" hidden="1">
      <c r="A2122" s="29" t="s">
        <v>138</v>
      </c>
      <c r="B2122" s="32">
        <v>41453</v>
      </c>
      <c r="C2122" s="29">
        <v>68.5</v>
      </c>
      <c r="D2122" s="35">
        <v>68.5</v>
      </c>
      <c r="E2122" s="35">
        <v>68.5</v>
      </c>
      <c r="F2122" s="33">
        <v>68.5</v>
      </c>
      <c r="G2122" s="29">
        <v>0.74</v>
      </c>
      <c r="H2122" s="29">
        <v>0.5</v>
      </c>
      <c r="I2122" s="35">
        <v>68</v>
      </c>
      <c r="J2122" s="34">
        <v>200</v>
      </c>
      <c r="K2122" s="34">
        <v>13700</v>
      </c>
    </row>
    <row r="2123" spans="1:11" hidden="1">
      <c r="A2123" s="29" t="s">
        <v>138</v>
      </c>
      <c r="B2123" s="32">
        <v>41456</v>
      </c>
      <c r="C2123" s="29">
        <v>68.599999999999994</v>
      </c>
      <c r="D2123" s="35">
        <v>69.900002000000001</v>
      </c>
      <c r="E2123" s="35">
        <v>68.5</v>
      </c>
      <c r="F2123" s="33">
        <v>69.800003000000004</v>
      </c>
      <c r="G2123" s="29">
        <v>1.9</v>
      </c>
      <c r="H2123" s="29">
        <v>1.3</v>
      </c>
      <c r="I2123" s="35">
        <v>68.5</v>
      </c>
      <c r="J2123" s="34">
        <v>44409</v>
      </c>
      <c r="K2123" s="34">
        <v>3096656</v>
      </c>
    </row>
    <row r="2124" spans="1:11" hidden="1">
      <c r="A2124" s="29" t="s">
        <v>138</v>
      </c>
      <c r="B2124" s="32">
        <v>41457</v>
      </c>
      <c r="C2124" s="29">
        <v>69.099999999999994</v>
      </c>
      <c r="D2124" s="35">
        <v>70</v>
      </c>
      <c r="E2124" s="35">
        <v>69.099997999999999</v>
      </c>
      <c r="F2124" s="33">
        <v>70</v>
      </c>
      <c r="G2124" s="29">
        <v>-0.28999999999999998</v>
      </c>
      <c r="H2124" s="29">
        <v>-0.2</v>
      </c>
      <c r="I2124" s="35">
        <v>69.800003000000004</v>
      </c>
      <c r="J2124" s="34">
        <v>57287</v>
      </c>
      <c r="K2124" s="34">
        <v>4009460</v>
      </c>
    </row>
    <row r="2125" spans="1:11" hidden="1">
      <c r="A2125" s="29" t="s">
        <v>138</v>
      </c>
      <c r="B2125" s="32">
        <v>41458</v>
      </c>
      <c r="C2125" s="29">
        <v>70</v>
      </c>
      <c r="D2125" s="35">
        <v>70</v>
      </c>
      <c r="E2125" s="35">
        <v>70</v>
      </c>
      <c r="F2125" s="33">
        <v>70</v>
      </c>
      <c r="G2125" s="29">
        <v>0</v>
      </c>
      <c r="H2125" s="29">
        <v>0</v>
      </c>
      <c r="I2125" s="35">
        <v>70</v>
      </c>
      <c r="J2125" s="34">
        <v>1100</v>
      </c>
      <c r="K2125" s="34">
        <v>77000</v>
      </c>
    </row>
    <row r="2126" spans="1:11" hidden="1">
      <c r="A2126" s="29" t="s">
        <v>138</v>
      </c>
      <c r="B2126" s="32">
        <v>41460</v>
      </c>
      <c r="C2126" s="29">
        <v>69.5</v>
      </c>
      <c r="D2126" s="35">
        <v>69.5</v>
      </c>
      <c r="E2126" s="35">
        <v>69.099997999999999</v>
      </c>
      <c r="F2126" s="33">
        <v>69.400002000000001</v>
      </c>
      <c r="G2126" s="29">
        <v>-1.29</v>
      </c>
      <c r="H2126" s="29">
        <v>-0.9</v>
      </c>
      <c r="I2126" s="35">
        <v>70</v>
      </c>
      <c r="J2126" s="34">
        <v>2490</v>
      </c>
      <c r="K2126" s="34">
        <v>172899</v>
      </c>
    </row>
    <row r="2127" spans="1:11" hidden="1">
      <c r="A2127" s="29" t="s">
        <v>138</v>
      </c>
      <c r="B2127" s="32">
        <v>41463</v>
      </c>
      <c r="C2127" s="29">
        <v>69</v>
      </c>
      <c r="D2127" s="35">
        <v>70</v>
      </c>
      <c r="E2127" s="35">
        <v>68.099997999999999</v>
      </c>
      <c r="F2127" s="33">
        <v>70</v>
      </c>
      <c r="G2127" s="29">
        <v>-1.87</v>
      </c>
      <c r="H2127" s="29">
        <v>-1.3</v>
      </c>
      <c r="I2127" s="35">
        <v>69.400002000000001</v>
      </c>
      <c r="J2127" s="34">
        <v>52904</v>
      </c>
      <c r="K2127" s="34">
        <v>3700127</v>
      </c>
    </row>
    <row r="2128" spans="1:11" hidden="1">
      <c r="A2128" s="29" t="s">
        <v>138</v>
      </c>
      <c r="B2128" s="32">
        <v>41464</v>
      </c>
      <c r="C2128" s="29">
        <v>70</v>
      </c>
      <c r="D2128" s="35">
        <v>70</v>
      </c>
      <c r="E2128" s="35">
        <v>70</v>
      </c>
      <c r="F2128" s="33">
        <v>70</v>
      </c>
      <c r="G2128" s="29">
        <v>0</v>
      </c>
      <c r="H2128" s="29">
        <v>0</v>
      </c>
      <c r="I2128" s="35">
        <v>70</v>
      </c>
      <c r="J2128" s="34">
        <v>19000</v>
      </c>
      <c r="K2128" s="34">
        <v>1330000</v>
      </c>
    </row>
    <row r="2129" spans="1:11" hidden="1">
      <c r="A2129" s="29" t="s">
        <v>138</v>
      </c>
      <c r="B2129" s="32">
        <v>41465</v>
      </c>
      <c r="C2129" s="29">
        <v>70</v>
      </c>
      <c r="D2129" s="35">
        <v>70</v>
      </c>
      <c r="E2129" s="35">
        <v>69.900002000000001</v>
      </c>
      <c r="F2129" s="33">
        <v>69.900002000000001</v>
      </c>
      <c r="G2129" s="29">
        <v>-0.14000000000000001</v>
      </c>
      <c r="H2129" s="29">
        <v>-0.1</v>
      </c>
      <c r="I2129" s="35">
        <v>70</v>
      </c>
      <c r="J2129" s="34">
        <v>250</v>
      </c>
      <c r="K2129" s="34">
        <v>17480</v>
      </c>
    </row>
    <row r="2130" spans="1:11" hidden="1">
      <c r="A2130" s="29" t="s">
        <v>138</v>
      </c>
      <c r="B2130" s="32">
        <v>41470</v>
      </c>
      <c r="C2130" s="29">
        <v>67.3</v>
      </c>
      <c r="D2130" s="35">
        <v>67.5</v>
      </c>
      <c r="E2130" s="35">
        <v>67</v>
      </c>
      <c r="F2130" s="33">
        <v>67.400002000000001</v>
      </c>
      <c r="G2130" s="29">
        <v>-3.43</v>
      </c>
      <c r="H2130" s="29">
        <v>-2.4</v>
      </c>
      <c r="I2130" s="35">
        <v>69.900002000000001</v>
      </c>
      <c r="J2130" s="34">
        <v>1700</v>
      </c>
      <c r="K2130" s="34">
        <v>114503</v>
      </c>
    </row>
    <row r="2131" spans="1:11" hidden="1">
      <c r="A2131" s="29" t="s">
        <v>138</v>
      </c>
      <c r="B2131" s="32">
        <v>41472</v>
      </c>
      <c r="C2131" s="29">
        <v>67</v>
      </c>
      <c r="D2131" s="35">
        <v>67</v>
      </c>
      <c r="E2131" s="35">
        <v>67</v>
      </c>
      <c r="F2131" s="33">
        <v>67</v>
      </c>
      <c r="G2131" s="29">
        <v>-0.59</v>
      </c>
      <c r="H2131" s="29">
        <v>-0.4</v>
      </c>
      <c r="I2131" s="35">
        <v>67.400002000000001</v>
      </c>
      <c r="J2131" s="34">
        <v>200</v>
      </c>
      <c r="K2131" s="34">
        <v>13400</v>
      </c>
    </row>
    <row r="2132" spans="1:11" hidden="1">
      <c r="A2132" s="29" t="s">
        <v>138</v>
      </c>
      <c r="B2132" s="32">
        <v>41473</v>
      </c>
      <c r="C2132" s="29">
        <v>67.5</v>
      </c>
      <c r="D2132" s="35">
        <v>67.5</v>
      </c>
      <c r="E2132" s="35">
        <v>67.5</v>
      </c>
      <c r="F2132" s="33">
        <v>67.5</v>
      </c>
      <c r="G2132" s="29">
        <v>0.75</v>
      </c>
      <c r="H2132" s="29">
        <v>0.5</v>
      </c>
      <c r="I2132" s="35">
        <v>67</v>
      </c>
      <c r="J2132" s="34">
        <v>150</v>
      </c>
      <c r="K2132" s="34">
        <v>10125</v>
      </c>
    </row>
    <row r="2133" spans="1:11" hidden="1">
      <c r="A2133" s="29" t="s">
        <v>138</v>
      </c>
      <c r="B2133" s="32">
        <v>41474</v>
      </c>
      <c r="C2133" s="29">
        <v>67.5</v>
      </c>
      <c r="D2133" s="35">
        <v>69.900002000000001</v>
      </c>
      <c r="E2133" s="35">
        <v>67.5</v>
      </c>
      <c r="F2133" s="33">
        <v>69.900002000000001</v>
      </c>
      <c r="G2133" s="29">
        <v>3.56</v>
      </c>
      <c r="H2133" s="29">
        <v>2.4</v>
      </c>
      <c r="I2133" s="35">
        <v>67.5</v>
      </c>
      <c r="J2133" s="34">
        <v>246</v>
      </c>
      <c r="K2133" s="34">
        <v>16619</v>
      </c>
    </row>
    <row r="2134" spans="1:11" hidden="1">
      <c r="A2134" s="29" t="s">
        <v>138</v>
      </c>
      <c r="B2134" s="32">
        <v>41478</v>
      </c>
      <c r="C2134" s="29">
        <v>69.7</v>
      </c>
      <c r="D2134" s="35">
        <v>69.7</v>
      </c>
      <c r="E2134" s="35">
        <v>69.699996999999996</v>
      </c>
      <c r="F2134" s="33">
        <v>69.699996999999996</v>
      </c>
      <c r="G2134" s="29">
        <v>-0.28999999999999998</v>
      </c>
      <c r="H2134" s="29">
        <v>-0.2</v>
      </c>
      <c r="I2134" s="35">
        <v>69.900002000000001</v>
      </c>
      <c r="J2134" s="34">
        <v>65</v>
      </c>
      <c r="K2134" s="34">
        <v>4530</v>
      </c>
    </row>
    <row r="2135" spans="1:11" hidden="1">
      <c r="A2135" s="29" t="s">
        <v>138</v>
      </c>
      <c r="B2135" s="32">
        <v>41479</v>
      </c>
      <c r="C2135" s="29">
        <v>67.099999999999994</v>
      </c>
      <c r="D2135" s="35">
        <v>67.099999999999994</v>
      </c>
      <c r="E2135" s="35">
        <v>66.199996999999996</v>
      </c>
      <c r="F2135" s="33">
        <v>66.699996999999996</v>
      </c>
      <c r="G2135" s="29">
        <v>-4.3</v>
      </c>
      <c r="H2135" s="29">
        <v>-3</v>
      </c>
      <c r="I2135" s="35">
        <v>69.699996999999996</v>
      </c>
      <c r="J2135" s="34">
        <v>3810</v>
      </c>
      <c r="K2135" s="34">
        <v>252247</v>
      </c>
    </row>
    <row r="2136" spans="1:11" hidden="1">
      <c r="A2136" s="29" t="s">
        <v>138</v>
      </c>
      <c r="B2136" s="32">
        <v>41480</v>
      </c>
      <c r="C2136" s="29">
        <v>67.5</v>
      </c>
      <c r="D2136" s="35">
        <v>67.599997999999999</v>
      </c>
      <c r="E2136" s="35">
        <v>67.5</v>
      </c>
      <c r="F2136" s="33">
        <v>67.5</v>
      </c>
      <c r="G2136" s="29">
        <v>1.2</v>
      </c>
      <c r="H2136" s="29">
        <v>0.8</v>
      </c>
      <c r="I2136" s="35">
        <v>66.699996999999996</v>
      </c>
      <c r="J2136" s="34">
        <v>950</v>
      </c>
      <c r="K2136" s="34">
        <v>64145</v>
      </c>
    </row>
    <row r="2137" spans="1:11" hidden="1">
      <c r="A2137" s="29" t="s">
        <v>138</v>
      </c>
      <c r="B2137" s="32">
        <v>41481</v>
      </c>
      <c r="C2137" s="29">
        <v>69.7</v>
      </c>
      <c r="D2137" s="35">
        <v>69.7</v>
      </c>
      <c r="E2137" s="35">
        <v>67.5</v>
      </c>
      <c r="F2137" s="33">
        <v>69.699996999999996</v>
      </c>
      <c r="G2137" s="29">
        <v>3.26</v>
      </c>
      <c r="H2137" s="29">
        <v>2.2000000000000002</v>
      </c>
      <c r="I2137" s="35">
        <v>67.5</v>
      </c>
      <c r="J2137" s="34">
        <v>5580</v>
      </c>
      <c r="K2137" s="34">
        <v>388750</v>
      </c>
    </row>
    <row r="2138" spans="1:11" hidden="1">
      <c r="A2138" s="29" t="s">
        <v>138</v>
      </c>
      <c r="B2138" s="32">
        <v>41484</v>
      </c>
      <c r="C2138" s="29">
        <v>69</v>
      </c>
      <c r="D2138" s="35">
        <v>69</v>
      </c>
      <c r="E2138" s="35">
        <v>67</v>
      </c>
      <c r="F2138" s="33">
        <v>67.5</v>
      </c>
      <c r="G2138" s="29">
        <v>-3.16</v>
      </c>
      <c r="H2138" s="29">
        <v>-2.2000000000000002</v>
      </c>
      <c r="I2138" s="35">
        <v>69.699996999999996</v>
      </c>
      <c r="J2138" s="34">
        <v>4702</v>
      </c>
      <c r="K2138" s="34">
        <v>317258</v>
      </c>
    </row>
    <row r="2139" spans="1:11" hidden="1">
      <c r="A2139" s="29" t="s">
        <v>138</v>
      </c>
      <c r="B2139" s="32">
        <v>41486</v>
      </c>
      <c r="C2139" s="29">
        <v>67</v>
      </c>
      <c r="D2139" s="35">
        <v>67</v>
      </c>
      <c r="E2139" s="35">
        <v>67</v>
      </c>
      <c r="F2139" s="33">
        <v>67</v>
      </c>
      <c r="G2139" s="29">
        <v>-0.74</v>
      </c>
      <c r="H2139" s="29">
        <v>-0.5</v>
      </c>
      <c r="I2139" s="35">
        <v>67.5</v>
      </c>
      <c r="J2139" s="34">
        <v>200</v>
      </c>
      <c r="K2139" s="34">
        <v>13400</v>
      </c>
    </row>
    <row r="2140" spans="1:11" hidden="1">
      <c r="A2140" s="29" t="s">
        <v>138</v>
      </c>
      <c r="B2140" s="32">
        <v>41487</v>
      </c>
      <c r="C2140" s="29">
        <v>69</v>
      </c>
      <c r="D2140" s="35">
        <v>69</v>
      </c>
      <c r="E2140" s="35">
        <v>69</v>
      </c>
      <c r="F2140" s="33">
        <v>69</v>
      </c>
      <c r="G2140" s="29">
        <v>2.99</v>
      </c>
      <c r="H2140" s="29">
        <v>2</v>
      </c>
      <c r="I2140" s="35">
        <v>67</v>
      </c>
      <c r="J2140" s="34">
        <v>300</v>
      </c>
      <c r="K2140" s="34">
        <v>20700</v>
      </c>
    </row>
    <row r="2141" spans="1:11" hidden="1">
      <c r="A2141" s="29" t="s">
        <v>138</v>
      </c>
      <c r="B2141" s="32">
        <v>41488</v>
      </c>
      <c r="C2141" s="29">
        <v>67.099999999999994</v>
      </c>
      <c r="D2141" s="35">
        <v>67.5</v>
      </c>
      <c r="E2141" s="35">
        <v>67</v>
      </c>
      <c r="F2141" s="33">
        <v>67.099997999999999</v>
      </c>
      <c r="G2141" s="29">
        <v>-2.75</v>
      </c>
      <c r="H2141" s="29">
        <v>-1.9</v>
      </c>
      <c r="I2141" s="35">
        <v>69</v>
      </c>
      <c r="J2141" s="34">
        <v>8422</v>
      </c>
      <c r="K2141" s="34">
        <v>565110</v>
      </c>
    </row>
    <row r="2142" spans="1:11" hidden="1">
      <c r="A2142" s="29" t="s">
        <v>138</v>
      </c>
      <c r="B2142" s="32">
        <v>41491</v>
      </c>
      <c r="C2142" s="29">
        <v>67.099999999999994</v>
      </c>
      <c r="D2142" s="35">
        <v>67.099999999999994</v>
      </c>
      <c r="E2142" s="35">
        <v>67.099997999999999</v>
      </c>
      <c r="F2142" s="33">
        <v>67.099997999999999</v>
      </c>
      <c r="G2142" s="29">
        <v>0</v>
      </c>
      <c r="H2142" s="29">
        <v>0</v>
      </c>
      <c r="I2142" s="35">
        <v>67.099997999999999</v>
      </c>
      <c r="J2142" s="34">
        <v>11722</v>
      </c>
      <c r="K2142" s="34">
        <v>786546</v>
      </c>
    </row>
    <row r="2143" spans="1:11" hidden="1">
      <c r="A2143" s="29" t="s">
        <v>138</v>
      </c>
      <c r="B2143" s="32">
        <v>41492</v>
      </c>
      <c r="C2143" s="29">
        <v>67.099999999999994</v>
      </c>
      <c r="D2143" s="35">
        <v>67.5</v>
      </c>
      <c r="E2143" s="35">
        <v>67</v>
      </c>
      <c r="F2143" s="33">
        <v>67</v>
      </c>
      <c r="G2143" s="29">
        <v>-0.15</v>
      </c>
      <c r="H2143" s="29">
        <v>-0.1</v>
      </c>
      <c r="I2143" s="35">
        <v>67.099997999999999</v>
      </c>
      <c r="J2143" s="34">
        <v>28760</v>
      </c>
      <c r="K2143" s="34">
        <v>1927519</v>
      </c>
    </row>
    <row r="2144" spans="1:11" hidden="1">
      <c r="A2144" s="29" t="s">
        <v>138</v>
      </c>
      <c r="B2144" s="32">
        <v>41493</v>
      </c>
      <c r="C2144" s="29">
        <v>67.099999999999994</v>
      </c>
      <c r="D2144" s="35">
        <v>67.199996999999996</v>
      </c>
      <c r="E2144" s="35">
        <v>67.099997999999999</v>
      </c>
      <c r="F2144" s="33">
        <v>67.099997999999999</v>
      </c>
      <c r="G2144" s="29">
        <v>0.15</v>
      </c>
      <c r="H2144" s="29">
        <v>0.1</v>
      </c>
      <c r="I2144" s="35">
        <v>67</v>
      </c>
      <c r="J2144" s="34">
        <v>29878</v>
      </c>
      <c r="K2144" s="34">
        <v>2004863</v>
      </c>
    </row>
    <row r="2145" spans="1:11" hidden="1">
      <c r="A2145" s="29" t="s">
        <v>138</v>
      </c>
      <c r="B2145" s="32">
        <v>41494</v>
      </c>
      <c r="C2145" s="29">
        <v>68</v>
      </c>
      <c r="D2145" s="35">
        <v>68</v>
      </c>
      <c r="E2145" s="35">
        <v>67.099997999999999</v>
      </c>
      <c r="F2145" s="33">
        <v>67.199996999999996</v>
      </c>
      <c r="G2145" s="29">
        <v>0.15</v>
      </c>
      <c r="H2145" s="29">
        <v>0.1</v>
      </c>
      <c r="I2145" s="35">
        <v>67.099997999999999</v>
      </c>
      <c r="J2145" s="34">
        <v>2189</v>
      </c>
      <c r="K2145" s="34">
        <v>147881</v>
      </c>
    </row>
    <row r="2146" spans="1:11" hidden="1">
      <c r="A2146" s="29" t="s">
        <v>138</v>
      </c>
      <c r="B2146" s="32">
        <v>41498</v>
      </c>
      <c r="C2146" s="29">
        <v>67.3</v>
      </c>
      <c r="D2146" s="35">
        <v>67.300003000000004</v>
      </c>
      <c r="E2146" s="35">
        <v>67</v>
      </c>
      <c r="F2146" s="33">
        <v>67.199996999999996</v>
      </c>
      <c r="G2146" s="29">
        <v>-0.3</v>
      </c>
      <c r="H2146" s="29">
        <v>-0.2</v>
      </c>
      <c r="I2146" s="35">
        <v>67.199996999999996</v>
      </c>
      <c r="J2146" s="34">
        <v>22685</v>
      </c>
      <c r="K2146" s="34">
        <v>1524453</v>
      </c>
    </row>
    <row r="2147" spans="1:11" hidden="1">
      <c r="A2147" s="29" t="s">
        <v>138</v>
      </c>
      <c r="B2147" s="32">
        <v>41499</v>
      </c>
      <c r="C2147" s="29">
        <v>67.2</v>
      </c>
      <c r="D2147" s="35">
        <v>67.2</v>
      </c>
      <c r="E2147" s="35">
        <v>67.199996999999996</v>
      </c>
      <c r="F2147" s="33">
        <v>67.199996999999996</v>
      </c>
      <c r="G2147" s="29">
        <v>0</v>
      </c>
      <c r="H2147" s="29">
        <v>0</v>
      </c>
      <c r="I2147" s="35">
        <v>67.199996999999996</v>
      </c>
      <c r="J2147" s="34">
        <v>4500</v>
      </c>
      <c r="K2147" s="34">
        <v>302400</v>
      </c>
    </row>
    <row r="2148" spans="1:11" hidden="1">
      <c r="A2148" s="29" t="s">
        <v>138</v>
      </c>
      <c r="B2148" s="32">
        <v>41500</v>
      </c>
      <c r="C2148" s="29">
        <v>67.099999999999994</v>
      </c>
      <c r="D2148" s="35">
        <v>67.099999999999994</v>
      </c>
      <c r="E2148" s="35">
        <v>67.099997999999999</v>
      </c>
      <c r="F2148" s="33">
        <v>67.099997999999999</v>
      </c>
      <c r="G2148" s="29">
        <v>-0.15</v>
      </c>
      <c r="H2148" s="29">
        <v>-0.1</v>
      </c>
      <c r="I2148" s="35">
        <v>67.199996999999996</v>
      </c>
      <c r="J2148" s="34">
        <v>1000</v>
      </c>
      <c r="K2148" s="34">
        <v>67100</v>
      </c>
    </row>
    <row r="2149" spans="1:11" hidden="1">
      <c r="A2149" s="29" t="s">
        <v>138</v>
      </c>
      <c r="B2149" s="32">
        <v>41501</v>
      </c>
      <c r="C2149" s="29">
        <v>67.099999999999994</v>
      </c>
      <c r="D2149" s="35">
        <v>67.099999999999994</v>
      </c>
      <c r="E2149" s="35">
        <v>67</v>
      </c>
      <c r="F2149" s="33">
        <v>67</v>
      </c>
      <c r="G2149" s="29">
        <v>-0.15</v>
      </c>
      <c r="H2149" s="29">
        <v>-0.1</v>
      </c>
      <c r="I2149" s="35">
        <v>67.099997999999999</v>
      </c>
      <c r="J2149" s="34">
        <v>1295</v>
      </c>
      <c r="K2149" s="34">
        <v>86787</v>
      </c>
    </row>
    <row r="2150" spans="1:11" hidden="1">
      <c r="A2150" s="29" t="s">
        <v>138</v>
      </c>
      <c r="B2150" s="32">
        <v>41502</v>
      </c>
      <c r="C2150" s="29">
        <v>69</v>
      </c>
      <c r="D2150" s="35">
        <v>69</v>
      </c>
      <c r="E2150" s="35">
        <v>69</v>
      </c>
      <c r="F2150" s="33">
        <v>69</v>
      </c>
      <c r="G2150" s="29">
        <v>2.99</v>
      </c>
      <c r="H2150" s="29">
        <v>2</v>
      </c>
      <c r="I2150" s="35">
        <v>67</v>
      </c>
      <c r="J2150" s="34">
        <v>1</v>
      </c>
      <c r="K2150" s="34">
        <v>69</v>
      </c>
    </row>
    <row r="2151" spans="1:11" hidden="1">
      <c r="A2151" s="29" t="s">
        <v>138</v>
      </c>
      <c r="B2151" s="32">
        <v>41507</v>
      </c>
      <c r="C2151" s="29">
        <v>68.5</v>
      </c>
      <c r="D2151" s="35">
        <v>68.5</v>
      </c>
      <c r="E2151" s="35">
        <v>68.5</v>
      </c>
      <c r="F2151" s="33">
        <v>68.5</v>
      </c>
      <c r="G2151" s="29">
        <v>-0.72</v>
      </c>
      <c r="H2151" s="29">
        <v>-0.5</v>
      </c>
      <c r="I2151" s="35">
        <v>69</v>
      </c>
      <c r="J2151" s="34">
        <v>1</v>
      </c>
      <c r="K2151" s="34">
        <v>68</v>
      </c>
    </row>
    <row r="2152" spans="1:11" hidden="1">
      <c r="A2152" s="29" t="s">
        <v>138</v>
      </c>
      <c r="B2152" s="32">
        <v>41508</v>
      </c>
      <c r="C2152" s="29">
        <v>67</v>
      </c>
      <c r="D2152" s="35">
        <v>68</v>
      </c>
      <c r="E2152" s="35">
        <v>67</v>
      </c>
      <c r="F2152" s="33">
        <v>68</v>
      </c>
      <c r="G2152" s="29">
        <v>-0.73</v>
      </c>
      <c r="H2152" s="29">
        <v>-0.5</v>
      </c>
      <c r="I2152" s="35">
        <v>68.5</v>
      </c>
      <c r="J2152" s="34">
        <v>3670</v>
      </c>
      <c r="K2152" s="34">
        <v>248510</v>
      </c>
    </row>
    <row r="2153" spans="1:11" hidden="1">
      <c r="A2153" s="29" t="s">
        <v>138</v>
      </c>
      <c r="B2153" s="32">
        <v>41509</v>
      </c>
      <c r="C2153" s="29">
        <v>65.2</v>
      </c>
      <c r="D2153" s="35">
        <v>65.300003000000004</v>
      </c>
      <c r="E2153" s="35">
        <v>65.199996999999996</v>
      </c>
      <c r="F2153" s="33">
        <v>65.300003000000004</v>
      </c>
      <c r="G2153" s="29">
        <v>-4.12</v>
      </c>
      <c r="H2153" s="29">
        <v>-2.8</v>
      </c>
      <c r="I2153" s="35">
        <v>68</v>
      </c>
      <c r="J2153" s="34">
        <v>1052</v>
      </c>
      <c r="K2153" s="34">
        <v>68595</v>
      </c>
    </row>
    <row r="2154" spans="1:11" hidden="1">
      <c r="A2154" s="29" t="s">
        <v>138</v>
      </c>
      <c r="B2154" s="32">
        <v>41512</v>
      </c>
      <c r="C2154" s="29">
        <v>65.2</v>
      </c>
      <c r="D2154" s="35">
        <v>68.5</v>
      </c>
      <c r="E2154" s="35">
        <v>65.199996999999996</v>
      </c>
      <c r="F2154" s="33">
        <v>65.900002000000001</v>
      </c>
      <c r="G2154" s="29">
        <v>4.9000000000000004</v>
      </c>
      <c r="H2154" s="29">
        <v>3.2</v>
      </c>
      <c r="I2154" s="35">
        <v>65.300003000000004</v>
      </c>
      <c r="J2154" s="34">
        <v>501</v>
      </c>
      <c r="K2154" s="34">
        <v>33035</v>
      </c>
    </row>
    <row r="2155" spans="1:11" hidden="1">
      <c r="A2155" s="29" t="s">
        <v>138</v>
      </c>
      <c r="B2155" s="32">
        <v>41513</v>
      </c>
      <c r="C2155" s="29">
        <v>65.3</v>
      </c>
      <c r="D2155" s="35">
        <v>65.300003000000004</v>
      </c>
      <c r="E2155" s="35">
        <v>64</v>
      </c>
      <c r="F2155" s="33">
        <v>64.199996999999996</v>
      </c>
      <c r="G2155" s="29">
        <v>-2.73</v>
      </c>
      <c r="H2155" s="29">
        <v>-1.8</v>
      </c>
      <c r="I2155" s="35">
        <v>65.900002000000001</v>
      </c>
      <c r="J2155" s="34">
        <v>30400</v>
      </c>
      <c r="K2155" s="34">
        <v>1948708</v>
      </c>
    </row>
    <row r="2156" spans="1:11" hidden="1">
      <c r="A2156" s="29" t="s">
        <v>138</v>
      </c>
      <c r="B2156" s="32">
        <v>41514</v>
      </c>
      <c r="C2156" s="29">
        <v>63.1</v>
      </c>
      <c r="D2156" s="35">
        <v>65</v>
      </c>
      <c r="E2156" s="35">
        <v>63</v>
      </c>
      <c r="F2156" s="33">
        <v>64</v>
      </c>
      <c r="G2156" s="29">
        <v>-0.31</v>
      </c>
      <c r="H2156" s="29">
        <v>-0.2</v>
      </c>
      <c r="I2156" s="35">
        <v>64.199996999999996</v>
      </c>
      <c r="J2156" s="34">
        <v>1241</v>
      </c>
      <c r="K2156" s="34">
        <v>78628</v>
      </c>
    </row>
    <row r="2157" spans="1:11" hidden="1">
      <c r="A2157" s="29" t="s">
        <v>138</v>
      </c>
      <c r="B2157" s="32">
        <v>41515</v>
      </c>
      <c r="C2157" s="29">
        <v>64</v>
      </c>
      <c r="D2157" s="35">
        <v>64</v>
      </c>
      <c r="E2157" s="35">
        <v>63</v>
      </c>
      <c r="F2157" s="33">
        <v>63</v>
      </c>
      <c r="G2157" s="29">
        <v>-1.56</v>
      </c>
      <c r="H2157" s="29">
        <v>-1</v>
      </c>
      <c r="I2157" s="35">
        <v>64</v>
      </c>
      <c r="J2157" s="34">
        <v>8100</v>
      </c>
      <c r="K2157" s="34">
        <v>510309</v>
      </c>
    </row>
    <row r="2158" spans="1:11" hidden="1">
      <c r="A2158" s="29" t="s">
        <v>138</v>
      </c>
      <c r="B2158" s="32">
        <v>41516</v>
      </c>
      <c r="C2158" s="29">
        <v>68.400000000000006</v>
      </c>
      <c r="D2158" s="35">
        <v>69</v>
      </c>
      <c r="E2158" s="35">
        <v>68.400000000000006</v>
      </c>
      <c r="F2158" s="33">
        <v>68.400002000000001</v>
      </c>
      <c r="G2158" s="29">
        <v>9.52</v>
      </c>
      <c r="H2158" s="29">
        <v>6</v>
      </c>
      <c r="I2158" s="35">
        <v>63</v>
      </c>
      <c r="J2158" s="34">
        <v>46</v>
      </c>
      <c r="K2158" s="34">
        <v>3147</v>
      </c>
    </row>
    <row r="2159" spans="1:11" hidden="1">
      <c r="A2159" s="29" t="s">
        <v>138</v>
      </c>
      <c r="B2159" s="32">
        <v>41520</v>
      </c>
      <c r="C2159" s="29">
        <v>68.400000000000006</v>
      </c>
      <c r="D2159" s="35">
        <v>68.400002000000001</v>
      </c>
      <c r="E2159" s="35">
        <v>65</v>
      </c>
      <c r="F2159" s="33">
        <v>66.5</v>
      </c>
      <c r="G2159" s="29">
        <v>-4.97</v>
      </c>
      <c r="H2159" s="29">
        <v>-3.4</v>
      </c>
      <c r="I2159" s="35">
        <v>68.400002000000001</v>
      </c>
      <c r="J2159" s="34">
        <v>1045</v>
      </c>
      <c r="K2159" s="34">
        <v>69578</v>
      </c>
    </row>
    <row r="2160" spans="1:11" hidden="1">
      <c r="A2160" s="29" t="s">
        <v>138</v>
      </c>
      <c r="B2160" s="32">
        <v>41521</v>
      </c>
      <c r="C2160" s="29">
        <v>65</v>
      </c>
      <c r="D2160" s="35">
        <v>68.900002000000001</v>
      </c>
      <c r="E2160" s="35">
        <v>65</v>
      </c>
      <c r="F2160" s="33">
        <v>65</v>
      </c>
      <c r="G2160" s="29">
        <v>1.5</v>
      </c>
      <c r="H2160" s="29">
        <v>1</v>
      </c>
      <c r="I2160" s="35">
        <v>66.5</v>
      </c>
      <c r="J2160" s="34">
        <v>23802</v>
      </c>
      <c r="K2160" s="34">
        <v>1620551</v>
      </c>
    </row>
    <row r="2161" spans="1:11" hidden="1">
      <c r="A2161" s="29" t="s">
        <v>138</v>
      </c>
      <c r="B2161" s="32">
        <v>41522</v>
      </c>
      <c r="C2161" s="29">
        <v>65</v>
      </c>
      <c r="D2161" s="35">
        <v>65</v>
      </c>
      <c r="E2161" s="35">
        <v>63</v>
      </c>
      <c r="F2161" s="33">
        <v>63</v>
      </c>
      <c r="G2161" s="29">
        <v>-3.08</v>
      </c>
      <c r="H2161" s="29">
        <v>-2</v>
      </c>
      <c r="I2161" s="35">
        <v>65</v>
      </c>
      <c r="J2161" s="34">
        <v>6751</v>
      </c>
      <c r="K2161" s="34">
        <v>432641</v>
      </c>
    </row>
    <row r="2162" spans="1:11" hidden="1">
      <c r="A2162" s="29" t="s">
        <v>138</v>
      </c>
      <c r="B2162" s="32">
        <v>41526</v>
      </c>
      <c r="C2162" s="29">
        <v>63</v>
      </c>
      <c r="D2162" s="35">
        <v>63</v>
      </c>
      <c r="E2162" s="35">
        <v>63</v>
      </c>
      <c r="F2162" s="33">
        <v>63</v>
      </c>
      <c r="G2162" s="29">
        <v>0</v>
      </c>
      <c r="H2162" s="29">
        <v>0</v>
      </c>
      <c r="I2162" s="35">
        <v>63</v>
      </c>
      <c r="J2162" s="34">
        <v>7527</v>
      </c>
      <c r="K2162" s="34">
        <v>474201</v>
      </c>
    </row>
    <row r="2163" spans="1:11" hidden="1">
      <c r="A2163" s="29" t="s">
        <v>138</v>
      </c>
      <c r="B2163" s="32">
        <v>41527</v>
      </c>
      <c r="C2163" s="29">
        <v>63</v>
      </c>
      <c r="D2163" s="35">
        <v>63</v>
      </c>
      <c r="E2163" s="35">
        <v>63</v>
      </c>
      <c r="F2163" s="33">
        <v>63</v>
      </c>
      <c r="G2163" s="29">
        <v>0</v>
      </c>
      <c r="H2163" s="29">
        <v>0</v>
      </c>
      <c r="I2163" s="35">
        <v>63</v>
      </c>
      <c r="J2163" s="34">
        <v>500</v>
      </c>
      <c r="K2163" s="34">
        <v>31500</v>
      </c>
    </row>
    <row r="2164" spans="1:11" hidden="1">
      <c r="A2164" s="29" t="s">
        <v>138</v>
      </c>
      <c r="B2164" s="32">
        <v>41528</v>
      </c>
      <c r="C2164" s="29">
        <v>65.2</v>
      </c>
      <c r="D2164" s="35">
        <v>66.199996999999996</v>
      </c>
      <c r="E2164" s="35">
        <v>65.199996999999996</v>
      </c>
      <c r="F2164" s="33">
        <v>66</v>
      </c>
      <c r="G2164" s="29">
        <v>4.76</v>
      </c>
      <c r="H2164" s="29">
        <v>3</v>
      </c>
      <c r="I2164" s="35">
        <v>63</v>
      </c>
      <c r="J2164" s="34">
        <v>1012</v>
      </c>
      <c r="K2164" s="34">
        <v>65993</v>
      </c>
    </row>
    <row r="2165" spans="1:11" hidden="1">
      <c r="A2165" s="29" t="s">
        <v>138</v>
      </c>
      <c r="B2165" s="32">
        <v>41529</v>
      </c>
      <c r="C2165" s="29">
        <v>66.900000000000006</v>
      </c>
      <c r="D2165" s="35">
        <v>66.900002000000001</v>
      </c>
      <c r="E2165" s="35">
        <v>66.900000000000006</v>
      </c>
      <c r="F2165" s="33">
        <v>66.900002000000001</v>
      </c>
      <c r="G2165" s="29">
        <v>1.36</v>
      </c>
      <c r="H2165" s="29">
        <v>0.9</v>
      </c>
      <c r="I2165" s="35">
        <v>66</v>
      </c>
      <c r="J2165" s="34">
        <v>5</v>
      </c>
      <c r="K2165" s="34">
        <v>334</v>
      </c>
    </row>
    <row r="2166" spans="1:11" hidden="1">
      <c r="A2166" s="29" t="s">
        <v>138</v>
      </c>
      <c r="B2166" s="32">
        <v>41530</v>
      </c>
      <c r="C2166" s="29">
        <v>67</v>
      </c>
      <c r="D2166" s="35">
        <v>67</v>
      </c>
      <c r="E2166" s="35">
        <v>66</v>
      </c>
      <c r="F2166" s="33">
        <v>66</v>
      </c>
      <c r="G2166" s="29">
        <v>-1.35</v>
      </c>
      <c r="H2166" s="29">
        <v>-0.9</v>
      </c>
      <c r="I2166" s="35">
        <v>66.900002000000001</v>
      </c>
      <c r="J2166" s="34">
        <v>515</v>
      </c>
      <c r="K2166" s="34">
        <v>34501</v>
      </c>
    </row>
    <row r="2167" spans="1:11" hidden="1">
      <c r="A2167" s="29" t="s">
        <v>138</v>
      </c>
      <c r="B2167" s="32">
        <v>41533</v>
      </c>
      <c r="C2167" s="29">
        <v>66</v>
      </c>
      <c r="D2167" s="35">
        <v>66</v>
      </c>
      <c r="E2167" s="35">
        <v>63</v>
      </c>
      <c r="F2167" s="33">
        <v>63</v>
      </c>
      <c r="G2167" s="29">
        <v>-4.55</v>
      </c>
      <c r="H2167" s="29">
        <v>-3</v>
      </c>
      <c r="I2167" s="35">
        <v>66</v>
      </c>
      <c r="J2167" s="34">
        <v>252</v>
      </c>
      <c r="K2167" s="34">
        <v>15894</v>
      </c>
    </row>
    <row r="2168" spans="1:11" hidden="1">
      <c r="A2168" s="29" t="s">
        <v>138</v>
      </c>
      <c r="B2168" s="32">
        <v>41534</v>
      </c>
      <c r="C2168" s="29">
        <v>65.8</v>
      </c>
      <c r="D2168" s="35">
        <v>65.800003000000004</v>
      </c>
      <c r="E2168" s="35">
        <v>63.400002000000001</v>
      </c>
      <c r="F2168" s="33">
        <v>63.400002000000001</v>
      </c>
      <c r="G2168" s="29">
        <v>0.63</v>
      </c>
      <c r="H2168" s="29">
        <v>0.4</v>
      </c>
      <c r="I2168" s="35">
        <v>63</v>
      </c>
      <c r="J2168" s="34">
        <v>1201</v>
      </c>
      <c r="K2168" s="34">
        <v>79023</v>
      </c>
    </row>
    <row r="2169" spans="1:11" hidden="1">
      <c r="A2169" s="29" t="s">
        <v>138</v>
      </c>
      <c r="B2169" s="32">
        <v>41537</v>
      </c>
      <c r="C2169" s="29">
        <v>65</v>
      </c>
      <c r="D2169" s="35">
        <v>66</v>
      </c>
      <c r="E2169" s="35">
        <v>65</v>
      </c>
      <c r="F2169" s="33">
        <v>66</v>
      </c>
      <c r="G2169" s="29">
        <v>4.0999999999999996</v>
      </c>
      <c r="H2169" s="29">
        <v>2.6</v>
      </c>
      <c r="I2169" s="35">
        <v>63.400002000000001</v>
      </c>
      <c r="J2169" s="34">
        <v>31961</v>
      </c>
      <c r="K2169" s="34">
        <v>2102637</v>
      </c>
    </row>
    <row r="2170" spans="1:11" hidden="1">
      <c r="A2170" s="29" t="s">
        <v>138</v>
      </c>
      <c r="B2170" s="32">
        <v>41540</v>
      </c>
      <c r="C2170" s="29">
        <v>66</v>
      </c>
      <c r="D2170" s="35">
        <v>66</v>
      </c>
      <c r="E2170" s="35">
        <v>66</v>
      </c>
      <c r="F2170" s="33">
        <v>66</v>
      </c>
      <c r="G2170" s="29">
        <v>0</v>
      </c>
      <c r="H2170" s="29">
        <v>0</v>
      </c>
      <c r="I2170" s="35">
        <v>66</v>
      </c>
      <c r="J2170" s="34">
        <v>12765</v>
      </c>
      <c r="K2170" s="34">
        <v>842490</v>
      </c>
    </row>
    <row r="2171" spans="1:11" hidden="1">
      <c r="A2171" s="29" t="s">
        <v>138</v>
      </c>
      <c r="B2171" s="32">
        <v>41541</v>
      </c>
      <c r="C2171" s="29">
        <v>65</v>
      </c>
      <c r="D2171" s="35">
        <v>66</v>
      </c>
      <c r="E2171" s="35">
        <v>65</v>
      </c>
      <c r="F2171" s="33">
        <v>65</v>
      </c>
      <c r="G2171" s="29">
        <v>-1.52</v>
      </c>
      <c r="H2171" s="29">
        <v>-1</v>
      </c>
      <c r="I2171" s="35">
        <v>66</v>
      </c>
      <c r="J2171" s="34">
        <v>1008</v>
      </c>
      <c r="K2171" s="34">
        <v>66520</v>
      </c>
    </row>
    <row r="2172" spans="1:11" hidden="1">
      <c r="A2172" s="29" t="s">
        <v>138</v>
      </c>
      <c r="B2172" s="32">
        <v>41542</v>
      </c>
      <c r="C2172" s="29">
        <v>66</v>
      </c>
      <c r="D2172" s="35">
        <v>66</v>
      </c>
      <c r="E2172" s="35">
        <v>65</v>
      </c>
      <c r="F2172" s="33">
        <v>65</v>
      </c>
      <c r="G2172" s="29">
        <v>0</v>
      </c>
      <c r="H2172" s="29">
        <v>0</v>
      </c>
      <c r="I2172" s="35">
        <v>65</v>
      </c>
      <c r="J2172" s="34">
        <v>2389</v>
      </c>
      <c r="K2172" s="34">
        <v>157285</v>
      </c>
    </row>
    <row r="2173" spans="1:11" hidden="1">
      <c r="A2173" s="29" t="s">
        <v>138</v>
      </c>
      <c r="B2173" s="32">
        <v>41543</v>
      </c>
      <c r="C2173" s="29">
        <v>63.2</v>
      </c>
      <c r="D2173" s="35">
        <v>63.200001</v>
      </c>
      <c r="E2173" s="35">
        <v>63</v>
      </c>
      <c r="F2173" s="33">
        <v>63</v>
      </c>
      <c r="G2173" s="29">
        <v>-3.08</v>
      </c>
      <c r="H2173" s="29">
        <v>-2</v>
      </c>
      <c r="I2173" s="35">
        <v>65</v>
      </c>
      <c r="J2173" s="34">
        <v>4264</v>
      </c>
      <c r="K2173" s="34">
        <v>268878</v>
      </c>
    </row>
    <row r="2174" spans="1:11" hidden="1">
      <c r="A2174" s="29" t="s">
        <v>138</v>
      </c>
      <c r="B2174" s="32">
        <v>41544</v>
      </c>
      <c r="C2174" s="29">
        <v>64.5</v>
      </c>
      <c r="D2174" s="35">
        <v>67</v>
      </c>
      <c r="E2174" s="35">
        <v>64</v>
      </c>
      <c r="F2174" s="33">
        <v>67</v>
      </c>
      <c r="G2174" s="29">
        <v>6.35</v>
      </c>
      <c r="H2174" s="29">
        <v>4</v>
      </c>
      <c r="I2174" s="35">
        <v>63</v>
      </c>
      <c r="J2174" s="34">
        <v>8012</v>
      </c>
      <c r="K2174" s="34">
        <v>530178</v>
      </c>
    </row>
    <row r="2175" spans="1:11" hidden="1">
      <c r="A2175" s="29" t="s">
        <v>138</v>
      </c>
      <c r="B2175" s="32">
        <v>41547</v>
      </c>
      <c r="C2175" s="29">
        <v>63.3</v>
      </c>
      <c r="D2175" s="35">
        <v>65.800003000000004</v>
      </c>
      <c r="E2175" s="35">
        <v>63.200001</v>
      </c>
      <c r="F2175" s="33">
        <v>65.199996999999996</v>
      </c>
      <c r="G2175" s="29">
        <v>-5.67</v>
      </c>
      <c r="H2175" s="29">
        <v>-3.8</v>
      </c>
      <c r="I2175" s="35">
        <v>67</v>
      </c>
      <c r="J2175" s="34">
        <v>1319</v>
      </c>
      <c r="K2175" s="34">
        <v>85997</v>
      </c>
    </row>
    <row r="2176" spans="1:11" hidden="1">
      <c r="A2176" s="29" t="s">
        <v>138</v>
      </c>
      <c r="B2176" s="32">
        <v>41548</v>
      </c>
      <c r="C2176" s="29">
        <v>63.3</v>
      </c>
      <c r="D2176" s="35">
        <v>63.3</v>
      </c>
      <c r="E2176" s="35">
        <v>63</v>
      </c>
      <c r="F2176" s="33">
        <v>63.099997999999999</v>
      </c>
      <c r="G2176" s="29">
        <v>-3.37</v>
      </c>
      <c r="H2176" s="29">
        <v>-2.2000000000000002</v>
      </c>
      <c r="I2176" s="35">
        <v>65.199996999999996</v>
      </c>
      <c r="J2176" s="34">
        <v>1640</v>
      </c>
      <c r="K2176" s="34">
        <v>103522</v>
      </c>
    </row>
    <row r="2177" spans="1:11" hidden="1">
      <c r="A2177" s="29" t="s">
        <v>138</v>
      </c>
      <c r="B2177" s="32">
        <v>41549</v>
      </c>
      <c r="C2177" s="29">
        <v>63.1</v>
      </c>
      <c r="D2177" s="35">
        <v>63.1</v>
      </c>
      <c r="E2177" s="35">
        <v>63.099997999999999</v>
      </c>
      <c r="F2177" s="33">
        <v>63.099997999999999</v>
      </c>
      <c r="G2177" s="29">
        <v>0</v>
      </c>
      <c r="H2177" s="29">
        <v>0</v>
      </c>
      <c r="I2177" s="35">
        <v>63.099997999999999</v>
      </c>
      <c r="J2177" s="34">
        <v>568</v>
      </c>
      <c r="K2177" s="34">
        <v>35840</v>
      </c>
    </row>
    <row r="2178" spans="1:11" hidden="1">
      <c r="A2178" s="29" t="s">
        <v>138</v>
      </c>
      <c r="B2178" s="32">
        <v>41550</v>
      </c>
      <c r="C2178" s="29">
        <v>63.3</v>
      </c>
      <c r="D2178" s="35">
        <v>64</v>
      </c>
      <c r="E2178" s="35">
        <v>63.299999</v>
      </c>
      <c r="F2178" s="33">
        <v>63.5</v>
      </c>
      <c r="G2178" s="29">
        <v>0.32</v>
      </c>
      <c r="H2178" s="29">
        <v>0.2</v>
      </c>
      <c r="I2178" s="35">
        <v>63.099997999999999</v>
      </c>
      <c r="J2178" s="34">
        <v>3700</v>
      </c>
      <c r="K2178" s="34">
        <v>235852</v>
      </c>
    </row>
    <row r="2179" spans="1:11" hidden="1">
      <c r="A2179" s="29" t="s">
        <v>138</v>
      </c>
      <c r="B2179" s="32">
        <v>41551</v>
      </c>
      <c r="C2179" s="29">
        <v>63.3</v>
      </c>
      <c r="D2179" s="35">
        <v>63.400002000000001</v>
      </c>
      <c r="E2179" s="35">
        <v>63.299999</v>
      </c>
      <c r="F2179" s="33">
        <v>63.299999</v>
      </c>
      <c r="G2179" s="29">
        <v>-0.31</v>
      </c>
      <c r="H2179" s="29">
        <v>-0.2</v>
      </c>
      <c r="I2179" s="35">
        <v>63.5</v>
      </c>
      <c r="J2179" s="34">
        <v>1088</v>
      </c>
      <c r="K2179" s="34">
        <v>68920</v>
      </c>
    </row>
    <row r="2180" spans="1:11" hidden="1">
      <c r="A2180" s="29" t="s">
        <v>138</v>
      </c>
      <c r="B2180" s="32">
        <v>41554</v>
      </c>
      <c r="C2180" s="29">
        <v>63.4</v>
      </c>
      <c r="D2180" s="35">
        <v>63.400002000000001</v>
      </c>
      <c r="E2180" s="35">
        <v>63.4</v>
      </c>
      <c r="F2180" s="33">
        <v>63.400002000000001</v>
      </c>
      <c r="G2180" s="29">
        <v>0.16</v>
      </c>
      <c r="H2180" s="29">
        <v>0.1</v>
      </c>
      <c r="I2180" s="35">
        <v>63.299999</v>
      </c>
      <c r="J2180" s="34">
        <v>1000</v>
      </c>
      <c r="K2180" s="34">
        <v>63400</v>
      </c>
    </row>
    <row r="2181" spans="1:11" hidden="1">
      <c r="A2181" s="29" t="s">
        <v>138</v>
      </c>
      <c r="B2181" s="32">
        <v>41556</v>
      </c>
      <c r="C2181" s="29">
        <v>68</v>
      </c>
      <c r="D2181" s="35">
        <v>68</v>
      </c>
      <c r="E2181" s="35">
        <v>68</v>
      </c>
      <c r="F2181" s="33">
        <v>68</v>
      </c>
      <c r="G2181" s="29">
        <v>7.26</v>
      </c>
      <c r="H2181" s="29">
        <v>4.5999999999999996</v>
      </c>
      <c r="I2181" s="35">
        <v>63.400002000000001</v>
      </c>
      <c r="J2181" s="34">
        <v>43</v>
      </c>
      <c r="K2181" s="34">
        <v>2924</v>
      </c>
    </row>
    <row r="2182" spans="1:11" hidden="1">
      <c r="A2182" s="29" t="s">
        <v>138</v>
      </c>
      <c r="B2182" s="32">
        <v>41558</v>
      </c>
      <c r="C2182" s="29">
        <v>65.099999999999994</v>
      </c>
      <c r="D2182" s="35">
        <v>65.099999999999994</v>
      </c>
      <c r="E2182" s="35">
        <v>65.099997999999999</v>
      </c>
      <c r="F2182" s="33">
        <v>65.099997999999999</v>
      </c>
      <c r="G2182" s="29">
        <v>-4.26</v>
      </c>
      <c r="H2182" s="29">
        <v>-2.9</v>
      </c>
      <c r="I2182" s="35">
        <v>68</v>
      </c>
      <c r="J2182" s="34">
        <v>1593</v>
      </c>
      <c r="K2182" s="34">
        <v>103704</v>
      </c>
    </row>
    <row r="2183" spans="1:11" hidden="1">
      <c r="A2183" s="29" t="s">
        <v>138</v>
      </c>
      <c r="B2183" s="32">
        <v>41562</v>
      </c>
      <c r="C2183" s="29">
        <v>67</v>
      </c>
      <c r="D2183" s="35">
        <v>67.5</v>
      </c>
      <c r="E2183" s="35">
        <v>65</v>
      </c>
      <c r="F2183" s="33">
        <v>65.099997999999999</v>
      </c>
      <c r="G2183" s="29">
        <v>-0.15</v>
      </c>
      <c r="H2183" s="29">
        <v>-0.1</v>
      </c>
      <c r="I2183" s="35">
        <v>65.099997999999999</v>
      </c>
      <c r="J2183" s="34">
        <v>8866</v>
      </c>
      <c r="K2183" s="34">
        <v>577594</v>
      </c>
    </row>
    <row r="2184" spans="1:11" hidden="1">
      <c r="A2184" s="29" t="s">
        <v>138</v>
      </c>
      <c r="B2184" s="32">
        <v>41564</v>
      </c>
      <c r="C2184" s="29">
        <v>66</v>
      </c>
      <c r="D2184" s="35">
        <v>66</v>
      </c>
      <c r="E2184" s="35">
        <v>66</v>
      </c>
      <c r="F2184" s="33">
        <v>66</v>
      </c>
      <c r="G2184" s="29">
        <v>1.38</v>
      </c>
      <c r="H2184" s="29">
        <v>0.9</v>
      </c>
      <c r="I2184" s="35">
        <v>65.099997999999999</v>
      </c>
      <c r="J2184" s="34">
        <v>1</v>
      </c>
      <c r="K2184" s="34">
        <v>66</v>
      </c>
    </row>
    <row r="2185" spans="1:11" hidden="1">
      <c r="A2185" s="29" t="s">
        <v>138</v>
      </c>
      <c r="B2185" s="32">
        <v>41568</v>
      </c>
      <c r="C2185" s="29">
        <v>65.8</v>
      </c>
      <c r="D2185" s="35">
        <v>66</v>
      </c>
      <c r="E2185" s="35">
        <v>65.099997999999999</v>
      </c>
      <c r="F2185" s="33">
        <v>65.199996999999996</v>
      </c>
      <c r="G2185" s="29">
        <v>-1.36</v>
      </c>
      <c r="H2185" s="29">
        <v>-0.9</v>
      </c>
      <c r="I2185" s="35">
        <v>66</v>
      </c>
      <c r="J2185" s="34">
        <v>2030</v>
      </c>
      <c r="K2185" s="34">
        <v>133262</v>
      </c>
    </row>
    <row r="2186" spans="1:11" hidden="1">
      <c r="A2186" s="29" t="s">
        <v>138</v>
      </c>
      <c r="B2186" s="32">
        <v>41569</v>
      </c>
      <c r="C2186" s="29">
        <v>65.2</v>
      </c>
      <c r="D2186" s="35">
        <v>65.2</v>
      </c>
      <c r="E2186" s="35">
        <v>65</v>
      </c>
      <c r="F2186" s="33">
        <v>65</v>
      </c>
      <c r="G2186" s="29">
        <v>-0.31</v>
      </c>
      <c r="H2186" s="29">
        <v>-0.2</v>
      </c>
      <c r="I2186" s="35">
        <v>65.199996999999996</v>
      </c>
      <c r="J2186" s="34">
        <v>31000</v>
      </c>
      <c r="K2186" s="34">
        <v>2017252</v>
      </c>
    </row>
    <row r="2187" spans="1:11" hidden="1">
      <c r="A2187" s="29" t="s">
        <v>138</v>
      </c>
      <c r="B2187" s="32">
        <v>41570</v>
      </c>
      <c r="C2187" s="29">
        <v>65.099999999999994</v>
      </c>
      <c r="D2187" s="35">
        <v>66.5</v>
      </c>
      <c r="E2187" s="35">
        <v>65</v>
      </c>
      <c r="F2187" s="33">
        <v>65.099997999999999</v>
      </c>
      <c r="G2187" s="29">
        <v>0.15</v>
      </c>
      <c r="H2187" s="29">
        <v>0.1</v>
      </c>
      <c r="I2187" s="35">
        <v>65</v>
      </c>
      <c r="J2187" s="34">
        <v>11481</v>
      </c>
      <c r="K2187" s="34">
        <v>747428</v>
      </c>
    </row>
    <row r="2188" spans="1:11" hidden="1">
      <c r="A2188" s="29" t="s">
        <v>138</v>
      </c>
      <c r="B2188" s="32">
        <v>41572</v>
      </c>
      <c r="C2188" s="29">
        <v>65</v>
      </c>
      <c r="D2188" s="35">
        <v>65</v>
      </c>
      <c r="E2188" s="35">
        <v>65</v>
      </c>
      <c r="F2188" s="33">
        <v>65</v>
      </c>
      <c r="G2188" s="29">
        <v>-0.15</v>
      </c>
      <c r="H2188" s="29">
        <v>-0.1</v>
      </c>
      <c r="I2188" s="35">
        <v>65.099997999999999</v>
      </c>
      <c r="J2188" s="34">
        <v>2000</v>
      </c>
      <c r="K2188" s="34">
        <v>130000</v>
      </c>
    </row>
    <row r="2189" spans="1:11" hidden="1">
      <c r="A2189" s="29" t="s">
        <v>138</v>
      </c>
      <c r="B2189" s="32">
        <v>41575</v>
      </c>
      <c r="C2189" s="29">
        <v>65</v>
      </c>
      <c r="D2189" s="35">
        <v>66.5</v>
      </c>
      <c r="E2189" s="35">
        <v>65</v>
      </c>
      <c r="F2189" s="33">
        <v>65.5</v>
      </c>
      <c r="G2189" s="29">
        <v>0</v>
      </c>
      <c r="H2189" s="29">
        <v>0</v>
      </c>
      <c r="I2189" s="35">
        <v>65</v>
      </c>
      <c r="J2189" s="34">
        <v>10665</v>
      </c>
      <c r="K2189" s="34">
        <v>698819</v>
      </c>
    </row>
    <row r="2190" spans="1:11" hidden="1">
      <c r="A2190" s="29" t="s">
        <v>138</v>
      </c>
      <c r="B2190" s="32">
        <v>41576</v>
      </c>
      <c r="C2190" s="29">
        <v>65.2</v>
      </c>
      <c r="D2190" s="35">
        <v>69</v>
      </c>
      <c r="E2190" s="35">
        <v>65.099997999999999</v>
      </c>
      <c r="F2190" s="33">
        <v>66.5</v>
      </c>
      <c r="G2190" s="29">
        <v>5.34</v>
      </c>
      <c r="H2190" s="29">
        <v>3.5</v>
      </c>
      <c r="I2190" s="35">
        <v>65.5</v>
      </c>
      <c r="J2190" s="34">
        <v>3072</v>
      </c>
      <c r="K2190" s="34">
        <v>204278</v>
      </c>
    </row>
    <row r="2191" spans="1:11" hidden="1">
      <c r="A2191" s="29" t="s">
        <v>138</v>
      </c>
      <c r="B2191" s="32">
        <v>41577</v>
      </c>
      <c r="C2191" s="29">
        <v>65.3</v>
      </c>
      <c r="D2191" s="35">
        <v>65.300003000000004</v>
      </c>
      <c r="E2191" s="35">
        <v>65.3</v>
      </c>
      <c r="F2191" s="33">
        <v>65.300003000000004</v>
      </c>
      <c r="G2191" s="29">
        <v>-1.8</v>
      </c>
      <c r="H2191" s="29">
        <v>-1.2</v>
      </c>
      <c r="I2191" s="35">
        <v>66.5</v>
      </c>
      <c r="J2191" s="34">
        <v>500</v>
      </c>
      <c r="K2191" s="34">
        <v>32650</v>
      </c>
    </row>
    <row r="2192" spans="1:11" hidden="1">
      <c r="A2192" s="29" t="s">
        <v>138</v>
      </c>
      <c r="B2192" s="32">
        <v>41578</v>
      </c>
      <c r="C2192" s="29">
        <v>65.099999999999994</v>
      </c>
      <c r="D2192" s="35">
        <v>68.800003000000004</v>
      </c>
      <c r="E2192" s="35">
        <v>65.099997999999999</v>
      </c>
      <c r="F2192" s="33">
        <v>68.800003000000004</v>
      </c>
      <c r="G2192" s="29">
        <v>5.36</v>
      </c>
      <c r="H2192" s="29">
        <v>3.5</v>
      </c>
      <c r="I2192" s="35">
        <v>65.300003000000004</v>
      </c>
      <c r="J2192" s="34">
        <v>1762</v>
      </c>
      <c r="K2192" s="34">
        <v>117306</v>
      </c>
    </row>
    <row r="2193" spans="1:11" hidden="1">
      <c r="A2193" s="29" t="s">
        <v>138</v>
      </c>
      <c r="B2193" s="32">
        <v>41579</v>
      </c>
      <c r="C2193" s="29">
        <v>65.5</v>
      </c>
      <c r="D2193" s="35">
        <v>65.5</v>
      </c>
      <c r="E2193" s="35">
        <v>65.5</v>
      </c>
      <c r="F2193" s="33">
        <v>65.5</v>
      </c>
      <c r="G2193" s="29">
        <v>-4.8</v>
      </c>
      <c r="H2193" s="29">
        <v>-3.3</v>
      </c>
      <c r="I2193" s="35">
        <v>68.800003000000004</v>
      </c>
      <c r="J2193" s="34">
        <v>15</v>
      </c>
      <c r="K2193" s="34">
        <v>982</v>
      </c>
    </row>
    <row r="2194" spans="1:11" hidden="1">
      <c r="A2194" s="29" t="s">
        <v>138</v>
      </c>
      <c r="B2194" s="32">
        <v>41582</v>
      </c>
      <c r="C2194" s="29">
        <v>65.599999999999994</v>
      </c>
      <c r="D2194" s="35">
        <v>68.800003000000004</v>
      </c>
      <c r="E2194" s="35">
        <v>65.199996999999996</v>
      </c>
      <c r="F2194" s="33">
        <v>68.699996999999996</v>
      </c>
      <c r="G2194" s="29">
        <v>4.58</v>
      </c>
      <c r="H2194" s="29">
        <v>3</v>
      </c>
      <c r="I2194" s="35">
        <v>65.5</v>
      </c>
      <c r="J2194" s="34">
        <v>54332</v>
      </c>
      <c r="K2194" s="34">
        <v>3728868</v>
      </c>
    </row>
    <row r="2195" spans="1:11" hidden="1">
      <c r="A2195" s="29" t="s">
        <v>138</v>
      </c>
      <c r="B2195" s="32">
        <v>41583</v>
      </c>
      <c r="C2195" s="29">
        <v>68.5</v>
      </c>
      <c r="D2195" s="35">
        <v>68.900002000000001</v>
      </c>
      <c r="E2195" s="35">
        <v>68.5</v>
      </c>
      <c r="F2195" s="33">
        <v>68.5</v>
      </c>
      <c r="G2195" s="29">
        <v>-0.28999999999999998</v>
      </c>
      <c r="H2195" s="29">
        <v>-0.2</v>
      </c>
      <c r="I2195" s="35">
        <v>68.699996999999996</v>
      </c>
      <c r="J2195" s="34">
        <v>4082</v>
      </c>
      <c r="K2195" s="34">
        <v>279813</v>
      </c>
    </row>
    <row r="2196" spans="1:11" hidden="1">
      <c r="A2196" s="29" t="s">
        <v>138</v>
      </c>
      <c r="B2196" s="32">
        <v>41585</v>
      </c>
      <c r="C2196" s="29">
        <v>65.5</v>
      </c>
      <c r="D2196" s="35">
        <v>65.5</v>
      </c>
      <c r="E2196" s="35">
        <v>65.199996999999996</v>
      </c>
      <c r="F2196" s="33">
        <v>65.199996999999996</v>
      </c>
      <c r="G2196" s="29">
        <v>-4.82</v>
      </c>
      <c r="H2196" s="29">
        <v>-3.3</v>
      </c>
      <c r="I2196" s="35">
        <v>68.5</v>
      </c>
      <c r="J2196" s="34">
        <v>5400</v>
      </c>
      <c r="K2196" s="34">
        <v>352417</v>
      </c>
    </row>
    <row r="2197" spans="1:11" hidden="1">
      <c r="A2197" s="29" t="s">
        <v>138</v>
      </c>
      <c r="B2197" s="32">
        <v>41586</v>
      </c>
      <c r="C2197" s="29">
        <v>65.2</v>
      </c>
      <c r="D2197" s="35">
        <v>65.2</v>
      </c>
      <c r="E2197" s="35">
        <v>63.700001</v>
      </c>
      <c r="F2197" s="33">
        <v>63.700001</v>
      </c>
      <c r="G2197" s="29">
        <v>-2.2999999999999998</v>
      </c>
      <c r="H2197" s="29">
        <v>-1.5</v>
      </c>
      <c r="I2197" s="35">
        <v>65.199996999999996</v>
      </c>
      <c r="J2197" s="34">
        <v>41812</v>
      </c>
      <c r="K2197" s="34">
        <v>2717170</v>
      </c>
    </row>
    <row r="2198" spans="1:11" hidden="1">
      <c r="A2198" s="29" t="s">
        <v>138</v>
      </c>
      <c r="B2198" s="32">
        <v>41589</v>
      </c>
      <c r="C2198" s="29">
        <v>63.9</v>
      </c>
      <c r="D2198" s="35">
        <v>63.900002000000001</v>
      </c>
      <c r="E2198" s="35">
        <v>63.799999</v>
      </c>
      <c r="F2198" s="33">
        <v>63.799999</v>
      </c>
      <c r="G2198" s="29">
        <v>0.16</v>
      </c>
      <c r="H2198" s="29">
        <v>0.1</v>
      </c>
      <c r="I2198" s="35">
        <v>63.700001</v>
      </c>
      <c r="J2198" s="34">
        <v>20000</v>
      </c>
      <c r="K2198" s="34">
        <v>1277000</v>
      </c>
    </row>
    <row r="2199" spans="1:11" hidden="1">
      <c r="A2199" s="29" t="s">
        <v>138</v>
      </c>
      <c r="B2199" s="32">
        <v>41590</v>
      </c>
      <c r="C2199" s="29">
        <v>63.7</v>
      </c>
      <c r="D2199" s="35">
        <v>63.700001</v>
      </c>
      <c r="E2199" s="35">
        <v>63.5</v>
      </c>
      <c r="F2199" s="33">
        <v>63.5</v>
      </c>
      <c r="G2199" s="29">
        <v>-0.47</v>
      </c>
      <c r="H2199" s="29">
        <v>-0.3</v>
      </c>
      <c r="I2199" s="35">
        <v>63.799999</v>
      </c>
      <c r="J2199" s="34">
        <v>14922</v>
      </c>
      <c r="K2199" s="34">
        <v>948348</v>
      </c>
    </row>
    <row r="2200" spans="1:11" hidden="1">
      <c r="A2200" s="29" t="s">
        <v>138</v>
      </c>
      <c r="B2200" s="32">
        <v>41591</v>
      </c>
      <c r="C2200" s="29">
        <v>62.5</v>
      </c>
      <c r="D2200" s="35">
        <v>65</v>
      </c>
      <c r="E2200" s="35">
        <v>62.5</v>
      </c>
      <c r="F2200" s="33">
        <v>65</v>
      </c>
      <c r="G2200" s="29">
        <v>2.36</v>
      </c>
      <c r="H2200" s="29">
        <v>1.5</v>
      </c>
      <c r="I2200" s="35">
        <v>63.5</v>
      </c>
      <c r="J2200" s="34">
        <v>20005</v>
      </c>
      <c r="K2200" s="34">
        <v>1250325</v>
      </c>
    </row>
    <row r="2201" spans="1:11" hidden="1">
      <c r="A2201" s="29" t="s">
        <v>138</v>
      </c>
      <c r="B2201" s="32">
        <v>41592</v>
      </c>
      <c r="C2201" s="29">
        <v>62.7</v>
      </c>
      <c r="D2201" s="35">
        <v>65</v>
      </c>
      <c r="E2201" s="35">
        <v>62.7</v>
      </c>
      <c r="F2201" s="33">
        <v>65</v>
      </c>
      <c r="G2201" s="29">
        <v>0</v>
      </c>
      <c r="H2201" s="29">
        <v>0</v>
      </c>
      <c r="I2201" s="35">
        <v>65</v>
      </c>
      <c r="J2201" s="34">
        <v>21</v>
      </c>
      <c r="K2201" s="34">
        <v>1319</v>
      </c>
    </row>
    <row r="2202" spans="1:11" hidden="1">
      <c r="A2202" s="29" t="s">
        <v>138</v>
      </c>
      <c r="B2202" s="32">
        <v>41596</v>
      </c>
      <c r="C2202" s="29">
        <v>66.900000000000006</v>
      </c>
      <c r="D2202" s="35">
        <v>68</v>
      </c>
      <c r="E2202" s="35">
        <v>66.900000000000006</v>
      </c>
      <c r="F2202" s="33">
        <v>67</v>
      </c>
      <c r="G2202" s="29">
        <v>3.08</v>
      </c>
      <c r="H2202" s="29">
        <v>2</v>
      </c>
      <c r="I2202" s="35">
        <v>65</v>
      </c>
      <c r="J2202" s="34">
        <v>141</v>
      </c>
      <c r="K2202" s="34">
        <v>9570</v>
      </c>
    </row>
    <row r="2203" spans="1:11" hidden="1">
      <c r="A2203" s="29" t="s">
        <v>138</v>
      </c>
      <c r="B2203" s="32">
        <v>41597</v>
      </c>
      <c r="C2203" s="29">
        <v>64</v>
      </c>
      <c r="D2203" s="35">
        <v>64</v>
      </c>
      <c r="E2203" s="35">
        <v>63.5</v>
      </c>
      <c r="F2203" s="33">
        <v>63.5</v>
      </c>
      <c r="G2203" s="29">
        <v>-5.22</v>
      </c>
      <c r="H2203" s="29">
        <v>-3.5</v>
      </c>
      <c r="I2203" s="35">
        <v>67</v>
      </c>
      <c r="J2203" s="34">
        <v>3294</v>
      </c>
      <c r="K2203" s="34">
        <v>209231</v>
      </c>
    </row>
    <row r="2204" spans="1:11" hidden="1">
      <c r="A2204" s="29" t="s">
        <v>138</v>
      </c>
      <c r="B2204" s="32">
        <v>41598</v>
      </c>
      <c r="C2204" s="29">
        <v>63</v>
      </c>
      <c r="D2204" s="35">
        <v>63</v>
      </c>
      <c r="E2204" s="35">
        <v>63</v>
      </c>
      <c r="F2204" s="33">
        <v>63</v>
      </c>
      <c r="G2204" s="29">
        <v>-0.79</v>
      </c>
      <c r="H2204" s="29">
        <v>-0.5</v>
      </c>
      <c r="I2204" s="35">
        <v>63.5</v>
      </c>
      <c r="J2204" s="34">
        <v>100</v>
      </c>
      <c r="K2204" s="34">
        <v>6300</v>
      </c>
    </row>
    <row r="2205" spans="1:11" hidden="1">
      <c r="A2205" s="29" t="s">
        <v>138</v>
      </c>
      <c r="B2205" s="32">
        <v>41599</v>
      </c>
      <c r="C2205" s="29">
        <v>65</v>
      </c>
      <c r="D2205" s="35">
        <v>65</v>
      </c>
      <c r="E2205" s="35">
        <v>65</v>
      </c>
      <c r="F2205" s="33">
        <v>65</v>
      </c>
      <c r="G2205" s="29">
        <v>3.17</v>
      </c>
      <c r="H2205" s="29">
        <v>2</v>
      </c>
      <c r="I2205" s="35">
        <v>63</v>
      </c>
      <c r="J2205" s="34">
        <v>400</v>
      </c>
      <c r="K2205" s="34">
        <v>26000</v>
      </c>
    </row>
    <row r="2206" spans="1:11" hidden="1">
      <c r="A2206" s="29" t="s">
        <v>138</v>
      </c>
      <c r="B2206" s="32">
        <v>41600</v>
      </c>
      <c r="C2206" s="29">
        <v>65</v>
      </c>
      <c r="D2206" s="35">
        <v>68</v>
      </c>
      <c r="E2206" s="35">
        <v>63.599997999999999</v>
      </c>
      <c r="F2206" s="33">
        <v>63.599997999999999</v>
      </c>
      <c r="G2206" s="29">
        <v>-2.15</v>
      </c>
      <c r="H2206" s="29">
        <v>-1.4</v>
      </c>
      <c r="I2206" s="35">
        <v>65</v>
      </c>
      <c r="J2206" s="34">
        <v>2538</v>
      </c>
      <c r="K2206" s="34">
        <v>168239</v>
      </c>
    </row>
    <row r="2207" spans="1:11" hidden="1">
      <c r="A2207" s="29" t="s">
        <v>138</v>
      </c>
      <c r="B2207" s="32">
        <v>41603</v>
      </c>
      <c r="C2207" s="29">
        <v>68</v>
      </c>
      <c r="D2207" s="35">
        <v>68</v>
      </c>
      <c r="E2207" s="35">
        <v>68</v>
      </c>
      <c r="F2207" s="33">
        <v>68</v>
      </c>
      <c r="G2207" s="29">
        <v>6.92</v>
      </c>
      <c r="H2207" s="29">
        <v>4.4000000000000004</v>
      </c>
      <c r="I2207" s="35">
        <v>63.599997999999999</v>
      </c>
      <c r="J2207" s="34">
        <v>100</v>
      </c>
      <c r="K2207" s="34">
        <v>6800</v>
      </c>
    </row>
    <row r="2208" spans="1:11" hidden="1">
      <c r="A2208" s="29" t="s">
        <v>138</v>
      </c>
      <c r="B2208" s="32">
        <v>41604</v>
      </c>
      <c r="C2208" s="29">
        <v>65</v>
      </c>
      <c r="D2208" s="35">
        <v>65</v>
      </c>
      <c r="E2208" s="35">
        <v>64</v>
      </c>
      <c r="F2208" s="33">
        <v>64</v>
      </c>
      <c r="G2208" s="29">
        <v>-5.88</v>
      </c>
      <c r="H2208" s="29">
        <v>-4</v>
      </c>
      <c r="I2208" s="35">
        <v>68</v>
      </c>
      <c r="J2208" s="34">
        <v>5505</v>
      </c>
      <c r="K2208" s="34">
        <v>357614</v>
      </c>
    </row>
    <row r="2209" spans="1:11" hidden="1">
      <c r="A2209" s="29" t="s">
        <v>138</v>
      </c>
      <c r="B2209" s="32">
        <v>41605</v>
      </c>
      <c r="C2209" s="29">
        <v>64</v>
      </c>
      <c r="D2209" s="35">
        <v>64.5</v>
      </c>
      <c r="E2209" s="35">
        <v>62</v>
      </c>
      <c r="F2209" s="33">
        <v>62</v>
      </c>
      <c r="G2209" s="29">
        <v>-3.12</v>
      </c>
      <c r="H2209" s="29">
        <v>-2</v>
      </c>
      <c r="I2209" s="35">
        <v>64</v>
      </c>
      <c r="J2209" s="34">
        <v>7428</v>
      </c>
      <c r="K2209" s="34">
        <v>465942</v>
      </c>
    </row>
    <row r="2210" spans="1:11" hidden="1">
      <c r="A2210" s="29" t="s">
        <v>138</v>
      </c>
      <c r="B2210" s="32">
        <v>41606</v>
      </c>
      <c r="C2210" s="29">
        <v>64</v>
      </c>
      <c r="D2210" s="35">
        <v>64</v>
      </c>
      <c r="E2210" s="35">
        <v>62</v>
      </c>
      <c r="F2210" s="33">
        <v>62</v>
      </c>
      <c r="G2210" s="29">
        <v>0</v>
      </c>
      <c r="H2210" s="29">
        <v>0</v>
      </c>
      <c r="I2210" s="35">
        <v>62</v>
      </c>
      <c r="J2210" s="34">
        <v>2090</v>
      </c>
      <c r="K2210" s="34">
        <v>129766</v>
      </c>
    </row>
    <row r="2211" spans="1:11" hidden="1">
      <c r="A2211" s="29" t="s">
        <v>138</v>
      </c>
      <c r="B2211" s="32">
        <v>41610</v>
      </c>
      <c r="C2211" s="29">
        <v>64.900000000000006</v>
      </c>
      <c r="D2211" s="35">
        <v>65</v>
      </c>
      <c r="E2211" s="35">
        <v>63</v>
      </c>
      <c r="F2211" s="33">
        <v>64.300003000000004</v>
      </c>
      <c r="G2211" s="29">
        <v>4.84</v>
      </c>
      <c r="H2211" s="29">
        <v>3</v>
      </c>
      <c r="I2211" s="35">
        <v>62</v>
      </c>
      <c r="J2211" s="34">
        <v>3177</v>
      </c>
      <c r="K2211" s="34">
        <v>206435</v>
      </c>
    </row>
    <row r="2212" spans="1:11" hidden="1">
      <c r="A2212" s="29" t="s">
        <v>138</v>
      </c>
      <c r="B2212" s="32">
        <v>41611</v>
      </c>
      <c r="C2212" s="29">
        <v>63</v>
      </c>
      <c r="D2212" s="35">
        <v>65</v>
      </c>
      <c r="E2212" s="35">
        <v>63</v>
      </c>
      <c r="F2212" s="33">
        <v>64.900002000000001</v>
      </c>
      <c r="G2212" s="29">
        <v>-1.87</v>
      </c>
      <c r="H2212" s="29">
        <v>-1.2</v>
      </c>
      <c r="I2212" s="35">
        <v>64.300003000000004</v>
      </c>
      <c r="J2212" s="34">
        <v>1330</v>
      </c>
      <c r="K2212" s="34">
        <v>85793</v>
      </c>
    </row>
    <row r="2213" spans="1:11" hidden="1">
      <c r="A2213" s="29" t="s">
        <v>138</v>
      </c>
      <c r="B2213" s="32">
        <v>41613</v>
      </c>
      <c r="C2213" s="29">
        <v>64.900000000000006</v>
      </c>
      <c r="D2213" s="35">
        <v>65</v>
      </c>
      <c r="E2213" s="35">
        <v>63.5</v>
      </c>
      <c r="F2213" s="33">
        <v>63.5</v>
      </c>
      <c r="G2213" s="29">
        <v>-2.16</v>
      </c>
      <c r="H2213" s="29">
        <v>-1.4</v>
      </c>
      <c r="I2213" s="35">
        <v>64.900002000000001</v>
      </c>
      <c r="J2213" s="34">
        <v>57894</v>
      </c>
      <c r="K2213" s="34">
        <v>3763106</v>
      </c>
    </row>
    <row r="2214" spans="1:11" hidden="1">
      <c r="A2214" s="29" t="s">
        <v>138</v>
      </c>
      <c r="B2214" s="32">
        <v>41614</v>
      </c>
      <c r="C2214" s="29">
        <v>63.5</v>
      </c>
      <c r="D2214" s="35">
        <v>63.5</v>
      </c>
      <c r="E2214" s="35">
        <v>63.5</v>
      </c>
      <c r="F2214" s="33">
        <v>63.5</v>
      </c>
      <c r="G2214" s="29">
        <v>0</v>
      </c>
      <c r="H2214" s="29">
        <v>0</v>
      </c>
      <c r="I2214" s="35">
        <v>63.5</v>
      </c>
      <c r="J2214" s="34">
        <v>2</v>
      </c>
      <c r="K2214" s="34">
        <v>127</v>
      </c>
    </row>
    <row r="2215" spans="1:11" hidden="1">
      <c r="A2215" s="29" t="s">
        <v>138</v>
      </c>
      <c r="B2215" s="32">
        <v>41617</v>
      </c>
      <c r="C2215" s="29">
        <v>65</v>
      </c>
      <c r="D2215" s="35">
        <v>65</v>
      </c>
      <c r="E2215" s="35">
        <v>65</v>
      </c>
      <c r="F2215" s="33">
        <v>65</v>
      </c>
      <c r="G2215" s="29">
        <v>2.36</v>
      </c>
      <c r="H2215" s="29">
        <v>1.5</v>
      </c>
      <c r="I2215" s="35">
        <v>63.5</v>
      </c>
      <c r="J2215" s="34">
        <v>8395</v>
      </c>
      <c r="K2215" s="34">
        <v>545675</v>
      </c>
    </row>
    <row r="2216" spans="1:11" hidden="1">
      <c r="A2216" s="29" t="s">
        <v>138</v>
      </c>
      <c r="B2216" s="32">
        <v>41619</v>
      </c>
      <c r="C2216" s="29">
        <v>63.6</v>
      </c>
      <c r="D2216" s="35">
        <v>63.6</v>
      </c>
      <c r="E2216" s="35">
        <v>63.599997999999999</v>
      </c>
      <c r="F2216" s="33">
        <v>63.599997999999999</v>
      </c>
      <c r="G2216" s="29">
        <v>-2.15</v>
      </c>
      <c r="H2216" s="29">
        <v>-1.4</v>
      </c>
      <c r="I2216" s="35">
        <v>65</v>
      </c>
      <c r="J2216" s="34">
        <v>100</v>
      </c>
      <c r="K2216" s="34">
        <v>6360</v>
      </c>
    </row>
    <row r="2217" spans="1:11" hidden="1">
      <c r="A2217" s="29" t="s">
        <v>138</v>
      </c>
      <c r="B2217" s="32">
        <v>41620</v>
      </c>
      <c r="C2217" s="29">
        <v>65</v>
      </c>
      <c r="D2217" s="35">
        <v>65</v>
      </c>
      <c r="E2217" s="35">
        <v>65</v>
      </c>
      <c r="F2217" s="33">
        <v>65</v>
      </c>
      <c r="G2217" s="29">
        <v>2.2000000000000002</v>
      </c>
      <c r="H2217" s="29">
        <v>1.4</v>
      </c>
      <c r="I2217" s="35">
        <v>63.599997999999999</v>
      </c>
      <c r="J2217" s="34">
        <v>100</v>
      </c>
      <c r="K2217" s="34">
        <v>6500</v>
      </c>
    </row>
    <row r="2218" spans="1:11" hidden="1">
      <c r="A2218" s="29" t="s">
        <v>138</v>
      </c>
      <c r="B2218" s="32">
        <v>41621</v>
      </c>
      <c r="C2218" s="29">
        <v>63.7</v>
      </c>
      <c r="D2218" s="35">
        <v>65</v>
      </c>
      <c r="E2218" s="35">
        <v>63.7</v>
      </c>
      <c r="F2218" s="33">
        <v>65</v>
      </c>
      <c r="G2218" s="29">
        <v>0</v>
      </c>
      <c r="H2218" s="29">
        <v>0</v>
      </c>
      <c r="I2218" s="35">
        <v>65</v>
      </c>
      <c r="J2218" s="34">
        <v>101</v>
      </c>
      <c r="K2218" s="34">
        <v>6563</v>
      </c>
    </row>
    <row r="2219" spans="1:11" hidden="1">
      <c r="A2219" s="29" t="s">
        <v>138</v>
      </c>
      <c r="B2219" s="32">
        <v>41626</v>
      </c>
      <c r="C2219" s="29">
        <v>65</v>
      </c>
      <c r="D2219" s="35">
        <v>65</v>
      </c>
      <c r="E2219" s="35">
        <v>65</v>
      </c>
      <c r="F2219" s="33">
        <v>65</v>
      </c>
      <c r="G2219" s="29">
        <v>0</v>
      </c>
      <c r="H2219" s="29">
        <v>0</v>
      </c>
      <c r="I2219" s="35">
        <v>65</v>
      </c>
      <c r="J2219" s="34">
        <v>137</v>
      </c>
      <c r="K2219" s="34">
        <v>8905</v>
      </c>
    </row>
    <row r="2220" spans="1:11" hidden="1">
      <c r="A2220" s="29" t="s">
        <v>138</v>
      </c>
      <c r="B2220" s="32">
        <v>41627</v>
      </c>
      <c r="C2220" s="29">
        <v>65</v>
      </c>
      <c r="D2220" s="35">
        <v>65</v>
      </c>
      <c r="E2220" s="35">
        <v>65</v>
      </c>
      <c r="F2220" s="33">
        <v>65</v>
      </c>
      <c r="G2220" s="29">
        <v>0</v>
      </c>
      <c r="H2220" s="29">
        <v>0</v>
      </c>
      <c r="I2220" s="35">
        <v>65</v>
      </c>
      <c r="J2220" s="34">
        <v>2</v>
      </c>
      <c r="K2220" s="34">
        <v>130</v>
      </c>
    </row>
    <row r="2221" spans="1:11" hidden="1">
      <c r="A2221" s="29" t="s">
        <v>138</v>
      </c>
      <c r="B2221" s="32">
        <v>41631</v>
      </c>
      <c r="C2221" s="29">
        <v>63</v>
      </c>
      <c r="D2221" s="35">
        <v>63</v>
      </c>
      <c r="E2221" s="35">
        <v>63</v>
      </c>
      <c r="F2221" s="33">
        <v>63</v>
      </c>
      <c r="G2221" s="29">
        <v>-3.08</v>
      </c>
      <c r="H2221" s="29">
        <v>-2</v>
      </c>
      <c r="I2221" s="35">
        <v>65</v>
      </c>
      <c r="J2221" s="34">
        <v>2100</v>
      </c>
      <c r="K2221" s="34">
        <v>132300</v>
      </c>
    </row>
    <row r="2222" spans="1:11" hidden="1">
      <c r="A2222" s="29" t="s">
        <v>138</v>
      </c>
      <c r="B2222" s="32">
        <v>41632</v>
      </c>
      <c r="C2222" s="29">
        <v>63</v>
      </c>
      <c r="D2222" s="35">
        <v>63</v>
      </c>
      <c r="E2222" s="35">
        <v>63</v>
      </c>
      <c r="F2222" s="33">
        <v>63</v>
      </c>
      <c r="G2222" s="29">
        <v>0</v>
      </c>
      <c r="H2222" s="29">
        <v>0</v>
      </c>
      <c r="I2222" s="35">
        <v>63</v>
      </c>
      <c r="J2222" s="34">
        <v>150</v>
      </c>
      <c r="K2222" s="34">
        <v>9450</v>
      </c>
    </row>
    <row r="2223" spans="1:11" hidden="1">
      <c r="A2223" s="29" t="s">
        <v>138</v>
      </c>
      <c r="B2223" s="32">
        <v>41634</v>
      </c>
      <c r="C2223" s="29">
        <v>63.3</v>
      </c>
      <c r="D2223" s="35">
        <v>67</v>
      </c>
      <c r="E2223" s="35">
        <v>63.299999</v>
      </c>
      <c r="F2223" s="33">
        <v>67</v>
      </c>
      <c r="G2223" s="29">
        <v>6.35</v>
      </c>
      <c r="H2223" s="29">
        <v>4</v>
      </c>
      <c r="I2223" s="35">
        <v>63</v>
      </c>
      <c r="J2223" s="34">
        <v>3</v>
      </c>
      <c r="K2223" s="34">
        <v>197</v>
      </c>
    </row>
    <row r="2224" spans="1:11" hidden="1">
      <c r="A2224" s="29" t="s">
        <v>138</v>
      </c>
      <c r="B2224" s="32">
        <v>41635</v>
      </c>
      <c r="C2224" s="29">
        <v>67</v>
      </c>
      <c r="D2224" s="35">
        <v>67</v>
      </c>
      <c r="E2224" s="35">
        <v>63.400002000000001</v>
      </c>
      <c r="F2224" s="33">
        <v>65</v>
      </c>
      <c r="G2224" s="29">
        <v>-2.99</v>
      </c>
      <c r="H2224" s="29">
        <v>-2</v>
      </c>
      <c r="I2224" s="35">
        <v>67</v>
      </c>
      <c r="J2224" s="34">
        <v>2620</v>
      </c>
      <c r="K2224" s="34">
        <v>170483</v>
      </c>
    </row>
    <row r="2225" spans="1:11" hidden="1">
      <c r="A2225" s="29" t="s">
        <v>138</v>
      </c>
      <c r="B2225" s="32">
        <v>41639</v>
      </c>
      <c r="C2225" s="29">
        <v>66</v>
      </c>
      <c r="D2225" s="35">
        <v>66</v>
      </c>
      <c r="E2225" s="35">
        <v>63.5</v>
      </c>
      <c r="F2225" s="33">
        <v>64.900002000000001</v>
      </c>
      <c r="G2225" s="29">
        <v>0</v>
      </c>
      <c r="H2225" s="29">
        <v>0</v>
      </c>
      <c r="I2225" s="35">
        <v>65</v>
      </c>
      <c r="J2225" s="34">
        <v>216483</v>
      </c>
      <c r="K2225" s="34">
        <v>14071474</v>
      </c>
    </row>
    <row r="2226" spans="1:11" hidden="1">
      <c r="A2226" s="29" t="s">
        <v>138</v>
      </c>
      <c r="B2226" s="32">
        <v>41641</v>
      </c>
      <c r="C2226" s="29">
        <v>66</v>
      </c>
      <c r="D2226" s="35">
        <v>67</v>
      </c>
      <c r="E2226" s="35">
        <v>65</v>
      </c>
      <c r="F2226" s="33">
        <v>65</v>
      </c>
      <c r="G2226" s="29">
        <v>0.15</v>
      </c>
      <c r="H2226" s="29">
        <v>0.1</v>
      </c>
      <c r="I2226" s="35">
        <v>64.900002000000001</v>
      </c>
      <c r="J2226" s="34">
        <v>2201</v>
      </c>
      <c r="K2226" s="34">
        <v>143365</v>
      </c>
    </row>
    <row r="2227" spans="1:11" hidden="1">
      <c r="A2227" s="29" t="s">
        <v>138</v>
      </c>
      <c r="B2227" s="32">
        <v>41642</v>
      </c>
      <c r="C2227" s="29">
        <v>66</v>
      </c>
      <c r="D2227" s="35">
        <v>66</v>
      </c>
      <c r="E2227" s="35">
        <v>65</v>
      </c>
      <c r="F2227" s="33">
        <v>65</v>
      </c>
      <c r="G2227" s="29">
        <v>0</v>
      </c>
      <c r="H2227" s="29">
        <v>0</v>
      </c>
      <c r="I2227" s="35">
        <v>65</v>
      </c>
      <c r="J2227" s="34">
        <v>120388</v>
      </c>
      <c r="K2227" s="34">
        <v>7827134</v>
      </c>
    </row>
    <row r="2228" spans="1:11" hidden="1">
      <c r="A2228" s="29" t="s">
        <v>138</v>
      </c>
      <c r="B2228" s="32">
        <v>41645</v>
      </c>
      <c r="C2228" s="29">
        <v>65</v>
      </c>
      <c r="D2228" s="35">
        <v>65</v>
      </c>
      <c r="E2228" s="35">
        <v>64</v>
      </c>
      <c r="F2228" s="33">
        <v>64.800003000000004</v>
      </c>
      <c r="G2228" s="29">
        <v>0</v>
      </c>
      <c r="H2228" s="29">
        <v>0</v>
      </c>
      <c r="I2228" s="35">
        <v>65</v>
      </c>
      <c r="J2228" s="34">
        <v>26286</v>
      </c>
      <c r="K2228" s="34">
        <v>1703656</v>
      </c>
    </row>
    <row r="2229" spans="1:11" hidden="1">
      <c r="A2229" s="29" t="s">
        <v>138</v>
      </c>
      <c r="B2229" s="32">
        <v>41646</v>
      </c>
      <c r="C2229" s="29">
        <v>64.099999999999994</v>
      </c>
      <c r="D2229" s="35">
        <v>66.900002000000001</v>
      </c>
      <c r="E2229" s="35">
        <v>64.099997999999999</v>
      </c>
      <c r="F2229" s="33">
        <v>66</v>
      </c>
      <c r="G2229" s="29">
        <v>1.85</v>
      </c>
      <c r="H2229" s="29">
        <v>1.2</v>
      </c>
      <c r="I2229" s="35">
        <v>64.800003000000004</v>
      </c>
      <c r="J2229" s="34">
        <v>54074</v>
      </c>
      <c r="K2229" s="34">
        <v>3521898</v>
      </c>
    </row>
    <row r="2230" spans="1:11" hidden="1">
      <c r="A2230" s="29" t="s">
        <v>138</v>
      </c>
      <c r="B2230" s="32">
        <v>41647</v>
      </c>
      <c r="C2230" s="29">
        <v>66.5</v>
      </c>
      <c r="D2230" s="35">
        <v>66.5</v>
      </c>
      <c r="E2230" s="35">
        <v>66.5</v>
      </c>
      <c r="F2230" s="33">
        <v>66.5</v>
      </c>
      <c r="G2230" s="29">
        <v>0.76</v>
      </c>
      <c r="H2230" s="29">
        <v>0.5</v>
      </c>
      <c r="I2230" s="35">
        <v>66</v>
      </c>
      <c r="J2230" s="34">
        <v>523</v>
      </c>
      <c r="K2230" s="34">
        <v>34779</v>
      </c>
    </row>
    <row r="2231" spans="1:11" hidden="1">
      <c r="A2231" s="29" t="s">
        <v>138</v>
      </c>
      <c r="B2231" s="32">
        <v>41648</v>
      </c>
      <c r="C2231" s="29">
        <v>66.5</v>
      </c>
      <c r="D2231" s="35">
        <v>67</v>
      </c>
      <c r="E2231" s="35">
        <v>66.5</v>
      </c>
      <c r="F2231" s="33">
        <v>67</v>
      </c>
      <c r="G2231" s="29">
        <v>0.75</v>
      </c>
      <c r="H2231" s="29">
        <v>0.5</v>
      </c>
      <c r="I2231" s="35">
        <v>66.5</v>
      </c>
      <c r="J2231" s="34">
        <v>3353</v>
      </c>
      <c r="K2231" s="34">
        <v>224281</v>
      </c>
    </row>
    <row r="2232" spans="1:11" hidden="1">
      <c r="A2232" s="29" t="s">
        <v>138</v>
      </c>
      <c r="B2232" s="32">
        <v>41649</v>
      </c>
      <c r="C2232" s="29">
        <v>67</v>
      </c>
      <c r="D2232" s="35">
        <v>69.900002000000001</v>
      </c>
      <c r="E2232" s="35">
        <v>67</v>
      </c>
      <c r="F2232" s="33">
        <v>69.300003000000004</v>
      </c>
      <c r="G2232" s="29">
        <v>4.33</v>
      </c>
      <c r="H2232" s="29">
        <v>2.9</v>
      </c>
      <c r="I2232" s="35">
        <v>67</v>
      </c>
      <c r="J2232" s="34">
        <v>45895</v>
      </c>
      <c r="K2232" s="34">
        <v>3161704</v>
      </c>
    </row>
    <row r="2233" spans="1:11" hidden="1">
      <c r="A2233" s="29" t="s">
        <v>138</v>
      </c>
      <c r="B2233" s="32">
        <v>41652</v>
      </c>
      <c r="C2233" s="29">
        <v>69.900000000000006</v>
      </c>
      <c r="D2233" s="35">
        <v>70</v>
      </c>
      <c r="E2233" s="35">
        <v>69</v>
      </c>
      <c r="F2233" s="33">
        <v>69</v>
      </c>
      <c r="G2233" s="29">
        <v>-0.43</v>
      </c>
      <c r="H2233" s="29">
        <v>-0.3</v>
      </c>
      <c r="I2233" s="35">
        <v>69.300003000000004</v>
      </c>
      <c r="J2233" s="34">
        <v>30202</v>
      </c>
      <c r="K2233" s="34">
        <v>2113623</v>
      </c>
    </row>
    <row r="2234" spans="1:11" hidden="1">
      <c r="A2234" s="29" t="s">
        <v>138</v>
      </c>
      <c r="B2234" s="32">
        <v>41655</v>
      </c>
      <c r="C2234" s="29">
        <v>70</v>
      </c>
      <c r="D2234" s="35">
        <v>70</v>
      </c>
      <c r="E2234" s="35">
        <v>69</v>
      </c>
      <c r="F2234" s="33">
        <v>69</v>
      </c>
      <c r="G2234" s="29">
        <v>0</v>
      </c>
      <c r="H2234" s="29">
        <v>0</v>
      </c>
      <c r="I2234" s="35">
        <v>69</v>
      </c>
      <c r="J2234" s="34">
        <v>15800</v>
      </c>
      <c r="K2234" s="34">
        <v>1100200</v>
      </c>
    </row>
    <row r="2235" spans="1:11" hidden="1">
      <c r="A2235" s="29" t="s">
        <v>138</v>
      </c>
      <c r="B2235" s="32">
        <v>41656</v>
      </c>
      <c r="C2235" s="29">
        <v>69</v>
      </c>
      <c r="D2235" s="35">
        <v>70</v>
      </c>
      <c r="E2235" s="35">
        <v>66.099997999999999</v>
      </c>
      <c r="F2235" s="33">
        <v>70</v>
      </c>
      <c r="G2235" s="29">
        <v>1.45</v>
      </c>
      <c r="H2235" s="29">
        <v>1</v>
      </c>
      <c r="I2235" s="35">
        <v>69</v>
      </c>
      <c r="J2235" s="34">
        <v>21103</v>
      </c>
      <c r="K2235" s="34">
        <v>1474497</v>
      </c>
    </row>
    <row r="2236" spans="1:11" hidden="1">
      <c r="A2236" s="29" t="s">
        <v>138</v>
      </c>
      <c r="B2236" s="32">
        <v>41659</v>
      </c>
      <c r="C2236" s="29">
        <v>68</v>
      </c>
      <c r="D2236" s="35">
        <v>68</v>
      </c>
      <c r="E2236" s="35">
        <v>68</v>
      </c>
      <c r="F2236" s="33">
        <v>68</v>
      </c>
      <c r="G2236" s="29">
        <v>-2.86</v>
      </c>
      <c r="H2236" s="29">
        <v>-2</v>
      </c>
      <c r="I2236" s="35">
        <v>70</v>
      </c>
      <c r="J2236" s="34">
        <v>300</v>
      </c>
      <c r="K2236" s="34">
        <v>20400</v>
      </c>
    </row>
    <row r="2237" spans="1:11" hidden="1">
      <c r="A2237" s="29" t="s">
        <v>138</v>
      </c>
      <c r="B2237" s="32">
        <v>41661</v>
      </c>
      <c r="C2237" s="29">
        <v>68</v>
      </c>
      <c r="D2237" s="35">
        <v>74</v>
      </c>
      <c r="E2237" s="35">
        <v>68</v>
      </c>
      <c r="F2237" s="33">
        <v>73.099997999999999</v>
      </c>
      <c r="G2237" s="29">
        <v>4.41</v>
      </c>
      <c r="H2237" s="29">
        <v>3</v>
      </c>
      <c r="I2237" s="35">
        <v>68</v>
      </c>
      <c r="J2237" s="34">
        <v>48020</v>
      </c>
      <c r="K2237" s="34">
        <v>3391410</v>
      </c>
    </row>
    <row r="2238" spans="1:11" hidden="1">
      <c r="A2238" s="29" t="s">
        <v>138</v>
      </c>
      <c r="B2238" s="32">
        <v>41662</v>
      </c>
      <c r="C2238" s="29">
        <v>72.900000000000006</v>
      </c>
      <c r="D2238" s="35">
        <v>73.900002000000001</v>
      </c>
      <c r="E2238" s="35">
        <v>72.900000000000006</v>
      </c>
      <c r="F2238" s="33">
        <v>73.800003000000004</v>
      </c>
      <c r="G2238" s="29">
        <v>1.0900000000000001</v>
      </c>
      <c r="H2238" s="29">
        <v>0.8</v>
      </c>
      <c r="I2238" s="35">
        <v>73.099997999999999</v>
      </c>
      <c r="J2238" s="34">
        <v>1000</v>
      </c>
      <c r="K2238" s="34">
        <v>73800</v>
      </c>
    </row>
    <row r="2239" spans="1:11" hidden="1">
      <c r="A2239" s="29" t="s">
        <v>138</v>
      </c>
      <c r="B2239" s="32">
        <v>41663</v>
      </c>
      <c r="C2239" s="29">
        <v>72.8</v>
      </c>
      <c r="D2239" s="35">
        <v>73</v>
      </c>
      <c r="E2239" s="35">
        <v>72.300003000000004</v>
      </c>
      <c r="F2239" s="33">
        <v>72.699996999999996</v>
      </c>
      <c r="G2239" s="29">
        <v>-1.08</v>
      </c>
      <c r="H2239" s="29">
        <v>-0.8</v>
      </c>
      <c r="I2239" s="35">
        <v>73.800003000000004</v>
      </c>
      <c r="J2239" s="34">
        <v>48190</v>
      </c>
      <c r="K2239" s="34">
        <v>3510197</v>
      </c>
    </row>
    <row r="2240" spans="1:11" hidden="1">
      <c r="A2240" s="29" t="s">
        <v>138</v>
      </c>
      <c r="B2240" s="32">
        <v>41666</v>
      </c>
      <c r="C2240" s="29">
        <v>70.2</v>
      </c>
      <c r="D2240" s="35">
        <v>70.2</v>
      </c>
      <c r="E2240" s="35">
        <v>70</v>
      </c>
      <c r="F2240" s="33">
        <v>70.099997999999999</v>
      </c>
      <c r="G2240" s="29">
        <v>-3.71</v>
      </c>
      <c r="H2240" s="29">
        <v>-2.7</v>
      </c>
      <c r="I2240" s="35">
        <v>72.699996999999996</v>
      </c>
      <c r="J2240" s="34">
        <v>1698</v>
      </c>
      <c r="K2240" s="34">
        <v>119062</v>
      </c>
    </row>
    <row r="2241" spans="1:11" hidden="1">
      <c r="A2241" s="29" t="s">
        <v>138</v>
      </c>
      <c r="B2241" s="32">
        <v>41667</v>
      </c>
      <c r="C2241" s="29">
        <v>71.3</v>
      </c>
      <c r="D2241" s="35">
        <v>71.5</v>
      </c>
      <c r="E2241" s="35">
        <v>71.3</v>
      </c>
      <c r="F2241" s="33">
        <v>71.5</v>
      </c>
      <c r="G2241" s="29">
        <v>2</v>
      </c>
      <c r="H2241" s="29">
        <v>1.4</v>
      </c>
      <c r="I2241" s="35">
        <v>70.099997999999999</v>
      </c>
      <c r="J2241" s="34">
        <v>809</v>
      </c>
      <c r="K2241" s="34">
        <v>57843</v>
      </c>
    </row>
    <row r="2242" spans="1:11" hidden="1">
      <c r="A2242" s="29" t="s">
        <v>138</v>
      </c>
      <c r="B2242" s="32">
        <v>41668</v>
      </c>
      <c r="C2242" s="29">
        <v>71</v>
      </c>
      <c r="D2242" s="35">
        <v>71</v>
      </c>
      <c r="E2242" s="35">
        <v>71</v>
      </c>
      <c r="F2242" s="33">
        <v>71</v>
      </c>
      <c r="G2242" s="29">
        <v>-0.7</v>
      </c>
      <c r="H2242" s="29">
        <v>-0.5</v>
      </c>
      <c r="I2242" s="35">
        <v>71.5</v>
      </c>
      <c r="J2242" s="34">
        <v>15800</v>
      </c>
      <c r="K2242" s="34">
        <v>1121800</v>
      </c>
    </row>
    <row r="2243" spans="1:11" hidden="1">
      <c r="A2243" s="29" t="s">
        <v>138</v>
      </c>
      <c r="B2243" s="32">
        <v>41669</v>
      </c>
      <c r="C2243" s="29">
        <v>70</v>
      </c>
      <c r="D2243" s="35">
        <v>70</v>
      </c>
      <c r="E2243" s="35">
        <v>70</v>
      </c>
      <c r="F2243" s="33">
        <v>70</v>
      </c>
      <c r="G2243" s="29">
        <v>-1.41</v>
      </c>
      <c r="H2243" s="29">
        <v>-1</v>
      </c>
      <c r="I2243" s="35">
        <v>71</v>
      </c>
      <c r="J2243" s="34">
        <v>100</v>
      </c>
      <c r="K2243" s="34">
        <v>7000</v>
      </c>
    </row>
    <row r="2244" spans="1:11" hidden="1">
      <c r="A2244" s="29" t="s">
        <v>138</v>
      </c>
      <c r="B2244" s="32">
        <v>41670</v>
      </c>
      <c r="C2244" s="29">
        <v>70</v>
      </c>
      <c r="D2244" s="35">
        <v>70</v>
      </c>
      <c r="E2244" s="35">
        <v>69</v>
      </c>
      <c r="F2244" s="33">
        <v>69</v>
      </c>
      <c r="G2244" s="29">
        <v>0</v>
      </c>
      <c r="H2244" s="29">
        <v>0</v>
      </c>
      <c r="I2244" s="35">
        <v>70</v>
      </c>
      <c r="J2244" s="34">
        <v>11101</v>
      </c>
      <c r="K2244" s="34">
        <v>776970</v>
      </c>
    </row>
    <row r="2245" spans="1:11" hidden="1">
      <c r="A2245" s="29" t="s">
        <v>138</v>
      </c>
      <c r="B2245" s="32">
        <v>41673</v>
      </c>
      <c r="C2245" s="29">
        <v>69.5</v>
      </c>
      <c r="D2245" s="35">
        <v>69.5</v>
      </c>
      <c r="E2245" s="35">
        <v>69.5</v>
      </c>
      <c r="F2245" s="33">
        <v>69.5</v>
      </c>
      <c r="G2245" s="29">
        <v>0.72</v>
      </c>
      <c r="H2245" s="29">
        <v>0.5</v>
      </c>
      <c r="I2245" s="35">
        <v>69</v>
      </c>
      <c r="J2245" s="34">
        <v>800</v>
      </c>
      <c r="K2245" s="34">
        <v>55600</v>
      </c>
    </row>
    <row r="2246" spans="1:11" hidden="1">
      <c r="A2246" s="29" t="s">
        <v>138</v>
      </c>
      <c r="B2246" s="32">
        <v>41675</v>
      </c>
      <c r="C2246" s="29">
        <v>69</v>
      </c>
      <c r="D2246" s="35">
        <v>69</v>
      </c>
      <c r="E2246" s="35">
        <v>69</v>
      </c>
      <c r="F2246" s="33">
        <v>69</v>
      </c>
      <c r="G2246" s="29">
        <v>-0.72</v>
      </c>
      <c r="H2246" s="29">
        <v>-0.5</v>
      </c>
      <c r="I2246" s="35">
        <v>69.5</v>
      </c>
      <c r="J2246" s="34">
        <v>1205</v>
      </c>
      <c r="K2246" s="34">
        <v>83145</v>
      </c>
    </row>
    <row r="2247" spans="1:11" hidden="1">
      <c r="A2247" s="29" t="s">
        <v>138</v>
      </c>
      <c r="B2247" s="32">
        <v>41676</v>
      </c>
      <c r="C2247" s="29">
        <v>68</v>
      </c>
      <c r="D2247" s="35">
        <v>69</v>
      </c>
      <c r="E2247" s="35">
        <v>68</v>
      </c>
      <c r="F2247" s="33">
        <v>68</v>
      </c>
      <c r="G2247" s="29">
        <v>-1.45</v>
      </c>
      <c r="H2247" s="29">
        <v>-1</v>
      </c>
      <c r="I2247" s="35">
        <v>69</v>
      </c>
      <c r="J2247" s="34">
        <v>1528</v>
      </c>
      <c r="K2247" s="34">
        <v>103909</v>
      </c>
    </row>
    <row r="2248" spans="1:11" hidden="1">
      <c r="A2248" s="29" t="s">
        <v>138</v>
      </c>
      <c r="B2248" s="32">
        <v>41680</v>
      </c>
      <c r="C2248" s="29">
        <v>65.099999999999994</v>
      </c>
      <c r="D2248" s="35">
        <v>65.5</v>
      </c>
      <c r="E2248" s="35">
        <v>65.099997999999999</v>
      </c>
      <c r="F2248" s="33">
        <v>65.5</v>
      </c>
      <c r="G2248" s="29">
        <v>-3.68</v>
      </c>
      <c r="H2248" s="29">
        <v>-2.5</v>
      </c>
      <c r="I2248" s="35">
        <v>68</v>
      </c>
      <c r="J2248" s="34">
        <v>10027</v>
      </c>
      <c r="K2248" s="34">
        <v>654223</v>
      </c>
    </row>
    <row r="2249" spans="1:11" hidden="1">
      <c r="A2249" s="29" t="s">
        <v>138</v>
      </c>
      <c r="B2249" s="32">
        <v>41682</v>
      </c>
      <c r="C2249" s="29">
        <v>64.7</v>
      </c>
      <c r="D2249" s="35">
        <v>65</v>
      </c>
      <c r="E2249" s="35">
        <v>64.699996999999996</v>
      </c>
      <c r="F2249" s="33">
        <v>64.800003000000004</v>
      </c>
      <c r="G2249" s="29">
        <v>-0.76</v>
      </c>
      <c r="H2249" s="29">
        <v>-0.5</v>
      </c>
      <c r="I2249" s="35">
        <v>65.5</v>
      </c>
      <c r="J2249" s="34">
        <v>3020</v>
      </c>
      <c r="K2249" s="34">
        <v>195700</v>
      </c>
    </row>
    <row r="2250" spans="1:11" hidden="1">
      <c r="A2250" s="29" t="s">
        <v>138</v>
      </c>
      <c r="B2250" s="32">
        <v>41683</v>
      </c>
      <c r="C2250" s="29">
        <v>65</v>
      </c>
      <c r="D2250" s="35">
        <v>65</v>
      </c>
      <c r="E2250" s="35">
        <v>65</v>
      </c>
      <c r="F2250" s="33">
        <v>65</v>
      </c>
      <c r="G2250" s="29">
        <v>0.31</v>
      </c>
      <c r="H2250" s="29">
        <v>0.2</v>
      </c>
      <c r="I2250" s="35">
        <v>64.800003000000004</v>
      </c>
      <c r="J2250" s="34">
        <v>2000</v>
      </c>
      <c r="K2250" s="34">
        <v>130000</v>
      </c>
    </row>
    <row r="2251" spans="1:11" hidden="1">
      <c r="A2251" s="29" t="s">
        <v>138</v>
      </c>
      <c r="B2251" s="32">
        <v>41687</v>
      </c>
      <c r="C2251" s="29">
        <v>65</v>
      </c>
      <c r="D2251" s="35">
        <v>65</v>
      </c>
      <c r="E2251" s="35">
        <v>64.5</v>
      </c>
      <c r="F2251" s="33">
        <v>64.5</v>
      </c>
      <c r="G2251" s="29">
        <v>-0.77</v>
      </c>
      <c r="H2251" s="29">
        <v>-0.5</v>
      </c>
      <c r="I2251" s="35">
        <v>65</v>
      </c>
      <c r="J2251" s="34">
        <v>5200</v>
      </c>
      <c r="K2251" s="34">
        <v>336650</v>
      </c>
    </row>
    <row r="2252" spans="1:11" hidden="1">
      <c r="A2252" s="29" t="s">
        <v>138</v>
      </c>
      <c r="B2252" s="32">
        <v>41689</v>
      </c>
      <c r="C2252" s="29">
        <v>64</v>
      </c>
      <c r="D2252" s="35">
        <v>64</v>
      </c>
      <c r="E2252" s="35">
        <v>63.099997999999999</v>
      </c>
      <c r="F2252" s="33">
        <v>64</v>
      </c>
      <c r="G2252" s="29">
        <v>-2.17</v>
      </c>
      <c r="H2252" s="29">
        <v>-1.4</v>
      </c>
      <c r="I2252" s="35">
        <v>64.5</v>
      </c>
      <c r="J2252" s="34">
        <v>6801</v>
      </c>
      <c r="K2252" s="34">
        <v>435263</v>
      </c>
    </row>
    <row r="2253" spans="1:11" hidden="1">
      <c r="A2253" s="29" t="s">
        <v>138</v>
      </c>
      <c r="B2253" s="32">
        <v>41690</v>
      </c>
      <c r="C2253" s="29">
        <v>63.1</v>
      </c>
      <c r="D2253" s="35">
        <v>64</v>
      </c>
      <c r="E2253" s="35">
        <v>63.099997999999999</v>
      </c>
      <c r="F2253" s="33">
        <v>64</v>
      </c>
      <c r="G2253" s="29">
        <v>0</v>
      </c>
      <c r="H2253" s="29">
        <v>0</v>
      </c>
      <c r="I2253" s="35">
        <v>64</v>
      </c>
      <c r="J2253" s="34">
        <v>108</v>
      </c>
      <c r="K2253" s="34">
        <v>6822</v>
      </c>
    </row>
    <row r="2254" spans="1:11" hidden="1">
      <c r="A2254" s="29" t="s">
        <v>138</v>
      </c>
      <c r="B2254" s="32">
        <v>41691</v>
      </c>
      <c r="C2254" s="29">
        <v>63.6</v>
      </c>
      <c r="D2254" s="35">
        <v>64</v>
      </c>
      <c r="E2254" s="35">
        <v>63</v>
      </c>
      <c r="F2254" s="33">
        <v>64</v>
      </c>
      <c r="G2254" s="29">
        <v>0</v>
      </c>
      <c r="H2254" s="29">
        <v>0</v>
      </c>
      <c r="I2254" s="35">
        <v>64</v>
      </c>
      <c r="J2254" s="34">
        <v>59070</v>
      </c>
      <c r="K2254" s="34">
        <v>3722920</v>
      </c>
    </row>
    <row r="2255" spans="1:11" hidden="1">
      <c r="A2255" s="29" t="s">
        <v>138</v>
      </c>
      <c r="B2255" s="32">
        <v>41694</v>
      </c>
      <c r="C2255" s="29">
        <v>62.1</v>
      </c>
      <c r="D2255" s="35">
        <v>64.5</v>
      </c>
      <c r="E2255" s="35">
        <v>62</v>
      </c>
      <c r="F2255" s="33">
        <v>62</v>
      </c>
      <c r="G2255" s="29">
        <v>0.78</v>
      </c>
      <c r="H2255" s="29">
        <v>0.5</v>
      </c>
      <c r="I2255" s="35">
        <v>64</v>
      </c>
      <c r="J2255" s="34">
        <v>34610</v>
      </c>
      <c r="K2255" s="34">
        <v>2146090</v>
      </c>
    </row>
    <row r="2256" spans="1:11" hidden="1">
      <c r="A2256" s="29" t="s">
        <v>138</v>
      </c>
      <c r="B2256" s="32">
        <v>41695</v>
      </c>
      <c r="C2256" s="29">
        <v>62</v>
      </c>
      <c r="D2256" s="35">
        <v>62</v>
      </c>
      <c r="E2256" s="35">
        <v>60</v>
      </c>
      <c r="F2256" s="33">
        <v>60.099997999999999</v>
      </c>
      <c r="G2256" s="29">
        <v>-0.32</v>
      </c>
      <c r="H2256" s="29">
        <v>-0.2</v>
      </c>
      <c r="I2256" s="35">
        <v>62</v>
      </c>
      <c r="J2256" s="34">
        <v>136749</v>
      </c>
      <c r="K2256" s="34">
        <v>8235328</v>
      </c>
    </row>
    <row r="2257" spans="1:11" hidden="1">
      <c r="A2257" s="29" t="s">
        <v>138</v>
      </c>
      <c r="B2257" s="32">
        <v>41696</v>
      </c>
      <c r="C2257" s="29">
        <v>60</v>
      </c>
      <c r="D2257" s="35">
        <v>64.400002000000001</v>
      </c>
      <c r="E2257" s="35">
        <v>60</v>
      </c>
      <c r="F2257" s="33">
        <v>60.099997999999999</v>
      </c>
      <c r="G2257" s="29">
        <v>0.17</v>
      </c>
      <c r="H2257" s="29">
        <v>0.1</v>
      </c>
      <c r="I2257" s="35">
        <v>60.099997999999999</v>
      </c>
      <c r="J2257" s="34">
        <v>37443</v>
      </c>
      <c r="K2257" s="34">
        <v>2246810</v>
      </c>
    </row>
    <row r="2258" spans="1:11" hidden="1">
      <c r="A2258" s="29" t="s">
        <v>138</v>
      </c>
      <c r="B2258" s="32">
        <v>41698</v>
      </c>
      <c r="C2258" s="29">
        <v>62.5</v>
      </c>
      <c r="D2258" s="35">
        <v>63.900002000000001</v>
      </c>
      <c r="E2258" s="35">
        <v>62.5</v>
      </c>
      <c r="F2258" s="33">
        <v>63.900002000000001</v>
      </c>
      <c r="G2258" s="29">
        <v>6.32</v>
      </c>
      <c r="H2258" s="29">
        <v>3.8</v>
      </c>
      <c r="I2258" s="35">
        <v>60.099997999999999</v>
      </c>
      <c r="J2258" s="34">
        <v>2520</v>
      </c>
      <c r="K2258" s="34">
        <v>157528</v>
      </c>
    </row>
    <row r="2259" spans="1:11" hidden="1">
      <c r="A2259" s="29" t="s">
        <v>138</v>
      </c>
      <c r="B2259" s="32">
        <v>41701</v>
      </c>
      <c r="C2259" s="29">
        <v>62.5</v>
      </c>
      <c r="D2259" s="35">
        <v>62.5</v>
      </c>
      <c r="E2259" s="35">
        <v>62.5</v>
      </c>
      <c r="F2259" s="33">
        <v>62.5</v>
      </c>
      <c r="G2259" s="29">
        <v>-2.19</v>
      </c>
      <c r="H2259" s="29">
        <v>-1.4</v>
      </c>
      <c r="I2259" s="35">
        <v>63.900002000000001</v>
      </c>
      <c r="J2259" s="34">
        <v>300</v>
      </c>
      <c r="K2259" s="34">
        <v>18750</v>
      </c>
    </row>
    <row r="2260" spans="1:11" hidden="1">
      <c r="A2260" s="29" t="s">
        <v>138</v>
      </c>
      <c r="B2260" s="32">
        <v>41702</v>
      </c>
      <c r="C2260" s="29">
        <v>62.5</v>
      </c>
      <c r="D2260" s="35">
        <v>62.5</v>
      </c>
      <c r="E2260" s="35">
        <v>62.5</v>
      </c>
      <c r="F2260" s="33">
        <v>62.5</v>
      </c>
      <c r="G2260" s="29">
        <v>0</v>
      </c>
      <c r="H2260" s="29">
        <v>0</v>
      </c>
      <c r="I2260" s="35">
        <v>62.5</v>
      </c>
      <c r="J2260" s="34">
        <v>2200</v>
      </c>
      <c r="K2260" s="34">
        <v>137500</v>
      </c>
    </row>
    <row r="2261" spans="1:11" hidden="1">
      <c r="A2261" s="29" t="s">
        <v>138</v>
      </c>
      <c r="B2261" s="32">
        <v>41703</v>
      </c>
      <c r="C2261" s="29">
        <v>62.5</v>
      </c>
      <c r="D2261" s="35">
        <v>62.5</v>
      </c>
      <c r="E2261" s="35">
        <v>62.5</v>
      </c>
      <c r="F2261" s="33">
        <v>62.5</v>
      </c>
      <c r="G2261" s="29">
        <v>0</v>
      </c>
      <c r="H2261" s="29">
        <v>0</v>
      </c>
      <c r="I2261" s="35">
        <v>62.5</v>
      </c>
      <c r="J2261" s="34">
        <v>100</v>
      </c>
      <c r="K2261" s="34">
        <v>6250</v>
      </c>
    </row>
    <row r="2262" spans="1:11" hidden="1">
      <c r="A2262" s="29" t="s">
        <v>138</v>
      </c>
      <c r="B2262" s="32">
        <v>41705</v>
      </c>
      <c r="C2262" s="29">
        <v>62</v>
      </c>
      <c r="D2262" s="35">
        <v>63</v>
      </c>
      <c r="E2262" s="35">
        <v>62</v>
      </c>
      <c r="F2262" s="33">
        <v>63</v>
      </c>
      <c r="G2262" s="29">
        <v>0.8</v>
      </c>
      <c r="H2262" s="29">
        <v>0.5</v>
      </c>
      <c r="I2262" s="35">
        <v>62.5</v>
      </c>
      <c r="J2262" s="34">
        <v>67355</v>
      </c>
      <c r="K2262" s="34">
        <v>4240484</v>
      </c>
    </row>
    <row r="2263" spans="1:11" hidden="1">
      <c r="A2263" s="29" t="s">
        <v>138</v>
      </c>
      <c r="B2263" s="32">
        <v>41708</v>
      </c>
      <c r="C2263" s="29">
        <v>63</v>
      </c>
      <c r="D2263" s="35">
        <v>63</v>
      </c>
      <c r="E2263" s="35">
        <v>62</v>
      </c>
      <c r="F2263" s="33">
        <v>62.099997999999999</v>
      </c>
      <c r="G2263" s="29">
        <v>-1.59</v>
      </c>
      <c r="H2263" s="29">
        <v>-1</v>
      </c>
      <c r="I2263" s="35">
        <v>63</v>
      </c>
      <c r="J2263" s="34">
        <v>500</v>
      </c>
      <c r="K2263" s="34">
        <v>31130</v>
      </c>
    </row>
    <row r="2264" spans="1:11" hidden="1">
      <c r="A2264" s="29" t="s">
        <v>138</v>
      </c>
      <c r="B2264" s="32">
        <v>41709</v>
      </c>
      <c r="C2264" s="29">
        <v>62</v>
      </c>
      <c r="D2264" s="35">
        <v>62</v>
      </c>
      <c r="E2264" s="35">
        <v>60.200001</v>
      </c>
      <c r="F2264" s="33">
        <v>60.299999</v>
      </c>
      <c r="G2264" s="29">
        <v>-0.16</v>
      </c>
      <c r="H2264" s="29">
        <v>-0.1</v>
      </c>
      <c r="I2264" s="35">
        <v>62.099997999999999</v>
      </c>
      <c r="J2264" s="34">
        <v>7825</v>
      </c>
      <c r="K2264" s="34">
        <v>472227</v>
      </c>
    </row>
    <row r="2265" spans="1:11" hidden="1">
      <c r="A2265" s="29" t="s">
        <v>138</v>
      </c>
      <c r="B2265" s="32">
        <v>41710</v>
      </c>
      <c r="C2265" s="29">
        <v>62</v>
      </c>
      <c r="D2265" s="35">
        <v>62</v>
      </c>
      <c r="E2265" s="35">
        <v>60.5</v>
      </c>
      <c r="F2265" s="33">
        <v>60.5</v>
      </c>
      <c r="G2265" s="29">
        <v>0.33</v>
      </c>
      <c r="H2265" s="29">
        <v>0.2</v>
      </c>
      <c r="I2265" s="35">
        <v>60.299999</v>
      </c>
      <c r="J2265" s="34">
        <v>49</v>
      </c>
      <c r="K2265" s="34">
        <v>3030</v>
      </c>
    </row>
    <row r="2266" spans="1:11" hidden="1">
      <c r="A2266" s="29" t="s">
        <v>138</v>
      </c>
      <c r="B2266" s="32">
        <v>41711</v>
      </c>
      <c r="C2266" s="29">
        <v>62</v>
      </c>
      <c r="D2266" s="35">
        <v>62</v>
      </c>
      <c r="E2266" s="35">
        <v>61</v>
      </c>
      <c r="F2266" s="33">
        <v>61.700001</v>
      </c>
      <c r="G2266" s="29">
        <v>0.83</v>
      </c>
      <c r="H2266" s="29">
        <v>0.5</v>
      </c>
      <c r="I2266" s="35">
        <v>60.5</v>
      </c>
      <c r="J2266" s="34">
        <v>2256</v>
      </c>
      <c r="K2266" s="34">
        <v>139272</v>
      </c>
    </row>
    <row r="2267" spans="1:11" hidden="1">
      <c r="A2267" s="29" t="s">
        <v>138</v>
      </c>
      <c r="B2267" s="32">
        <v>41712</v>
      </c>
      <c r="C2267" s="29">
        <v>61</v>
      </c>
      <c r="D2267" s="35">
        <v>61.099997999999999</v>
      </c>
      <c r="E2267" s="35">
        <v>61</v>
      </c>
      <c r="F2267" s="33">
        <v>61.099997999999999</v>
      </c>
      <c r="G2267" s="29">
        <v>-0.97</v>
      </c>
      <c r="H2267" s="29">
        <v>-0.6</v>
      </c>
      <c r="I2267" s="35">
        <v>61.700001</v>
      </c>
      <c r="J2267" s="34">
        <v>1241</v>
      </c>
      <c r="K2267" s="34">
        <v>75711</v>
      </c>
    </row>
    <row r="2268" spans="1:11" hidden="1">
      <c r="A2268" s="29" t="s">
        <v>138</v>
      </c>
      <c r="B2268" s="32">
        <v>41715</v>
      </c>
      <c r="C2268" s="29">
        <v>61</v>
      </c>
      <c r="D2268" s="35">
        <v>61.700001</v>
      </c>
      <c r="E2268" s="35">
        <v>61</v>
      </c>
      <c r="F2268" s="33">
        <v>61.700001</v>
      </c>
      <c r="G2268" s="29">
        <v>0.98</v>
      </c>
      <c r="H2268" s="29">
        <v>0.6</v>
      </c>
      <c r="I2268" s="35">
        <v>61.099997999999999</v>
      </c>
      <c r="J2268" s="34">
        <v>1020</v>
      </c>
      <c r="K2268" s="34">
        <v>62234</v>
      </c>
    </row>
    <row r="2269" spans="1:11" hidden="1">
      <c r="A2269" s="29" t="s">
        <v>138</v>
      </c>
      <c r="B2269" s="32">
        <v>41716</v>
      </c>
      <c r="C2269" s="29">
        <v>62</v>
      </c>
      <c r="D2269" s="35">
        <v>63.799999</v>
      </c>
      <c r="E2269" s="35">
        <v>62</v>
      </c>
      <c r="F2269" s="33">
        <v>63.799999</v>
      </c>
      <c r="G2269" s="29">
        <v>3.4</v>
      </c>
      <c r="H2269" s="29">
        <v>2.1</v>
      </c>
      <c r="I2269" s="35">
        <v>61.700001</v>
      </c>
      <c r="J2269" s="34">
        <v>1660</v>
      </c>
      <c r="K2269" s="34">
        <v>103044</v>
      </c>
    </row>
    <row r="2270" spans="1:11" hidden="1">
      <c r="A2270" s="29" t="s">
        <v>138</v>
      </c>
      <c r="B2270" s="32">
        <v>41717</v>
      </c>
      <c r="C2270" s="29">
        <v>61.2</v>
      </c>
      <c r="D2270" s="35">
        <v>63</v>
      </c>
      <c r="E2270" s="35">
        <v>61.099997999999999</v>
      </c>
      <c r="F2270" s="33">
        <v>61.400002000000001</v>
      </c>
      <c r="G2270" s="29">
        <v>-2.82</v>
      </c>
      <c r="H2270" s="29">
        <v>-1.8</v>
      </c>
      <c r="I2270" s="35">
        <v>63.799999</v>
      </c>
      <c r="J2270" s="34">
        <v>8257</v>
      </c>
      <c r="K2270" s="34">
        <v>511731</v>
      </c>
    </row>
    <row r="2271" spans="1:11" hidden="1">
      <c r="A2271" s="29" t="s">
        <v>138</v>
      </c>
      <c r="B2271" s="32">
        <v>41718</v>
      </c>
      <c r="C2271" s="29">
        <v>62</v>
      </c>
      <c r="D2271" s="35">
        <v>62</v>
      </c>
      <c r="E2271" s="35">
        <v>61.599997999999999</v>
      </c>
      <c r="F2271" s="33">
        <v>61.900002000000001</v>
      </c>
      <c r="G2271" s="29">
        <v>0.33</v>
      </c>
      <c r="H2271" s="29">
        <v>0.2</v>
      </c>
      <c r="I2271" s="35">
        <v>61.400002000000001</v>
      </c>
      <c r="J2271" s="34">
        <v>3479</v>
      </c>
      <c r="K2271" s="34">
        <v>215298</v>
      </c>
    </row>
    <row r="2272" spans="1:11" hidden="1">
      <c r="A2272" s="29" t="s">
        <v>138</v>
      </c>
      <c r="B2272" s="32">
        <v>41719</v>
      </c>
      <c r="C2272" s="29">
        <v>62</v>
      </c>
      <c r="D2272" s="35">
        <v>62</v>
      </c>
      <c r="E2272" s="35">
        <v>62</v>
      </c>
      <c r="F2272" s="33">
        <v>62</v>
      </c>
      <c r="G2272" s="29">
        <v>0.16</v>
      </c>
      <c r="H2272" s="29">
        <v>0.1</v>
      </c>
      <c r="I2272" s="35">
        <v>61.900002000000001</v>
      </c>
      <c r="J2272" s="34">
        <v>10700</v>
      </c>
      <c r="K2272" s="34">
        <v>663400</v>
      </c>
    </row>
    <row r="2273" spans="1:11" hidden="1">
      <c r="A2273" s="29" t="s">
        <v>138</v>
      </c>
      <c r="B2273" s="32">
        <v>41722</v>
      </c>
      <c r="C2273" s="29">
        <v>61.5</v>
      </c>
      <c r="D2273" s="35">
        <v>61.5</v>
      </c>
      <c r="E2273" s="35">
        <v>61.5</v>
      </c>
      <c r="F2273" s="33">
        <v>61.5</v>
      </c>
      <c r="G2273" s="29">
        <v>-0.81</v>
      </c>
      <c r="H2273" s="29">
        <v>-0.5</v>
      </c>
      <c r="I2273" s="35">
        <v>62</v>
      </c>
      <c r="J2273" s="34">
        <v>550</v>
      </c>
      <c r="K2273" s="34">
        <v>33825</v>
      </c>
    </row>
    <row r="2274" spans="1:11" hidden="1">
      <c r="A2274" s="29" t="s">
        <v>138</v>
      </c>
      <c r="B2274" s="32">
        <v>41723</v>
      </c>
      <c r="C2274" s="29">
        <v>62</v>
      </c>
      <c r="D2274" s="35">
        <v>62</v>
      </c>
      <c r="E2274" s="35">
        <v>62</v>
      </c>
      <c r="F2274" s="33">
        <v>62</v>
      </c>
      <c r="G2274" s="29">
        <v>0.81</v>
      </c>
      <c r="H2274" s="29">
        <v>0.5</v>
      </c>
      <c r="I2274" s="35">
        <v>61.5</v>
      </c>
      <c r="J2274" s="34">
        <v>2000</v>
      </c>
      <c r="K2274" s="34">
        <v>124000</v>
      </c>
    </row>
    <row r="2275" spans="1:11" hidden="1">
      <c r="A2275" s="29" t="s">
        <v>138</v>
      </c>
      <c r="B2275" s="32">
        <v>41724</v>
      </c>
      <c r="C2275" s="29">
        <v>61.1</v>
      </c>
      <c r="D2275" s="35">
        <v>61.1</v>
      </c>
      <c r="E2275" s="35">
        <v>60.599997999999999</v>
      </c>
      <c r="F2275" s="33">
        <v>60.900002000000001</v>
      </c>
      <c r="G2275" s="29">
        <v>-1.61</v>
      </c>
      <c r="H2275" s="29">
        <v>-1</v>
      </c>
      <c r="I2275" s="35">
        <v>62</v>
      </c>
      <c r="J2275" s="34">
        <v>11788</v>
      </c>
      <c r="K2275" s="34">
        <v>719024</v>
      </c>
    </row>
    <row r="2276" spans="1:11" hidden="1">
      <c r="A2276" s="29" t="s">
        <v>138</v>
      </c>
      <c r="B2276" s="32">
        <v>41725</v>
      </c>
      <c r="C2276" s="29">
        <v>61</v>
      </c>
      <c r="D2276" s="35">
        <v>61</v>
      </c>
      <c r="E2276" s="35">
        <v>61</v>
      </c>
      <c r="F2276" s="33">
        <v>61</v>
      </c>
      <c r="G2276" s="29">
        <v>0.16</v>
      </c>
      <c r="H2276" s="29">
        <v>0.1</v>
      </c>
      <c r="I2276" s="35">
        <v>60.900002000000001</v>
      </c>
      <c r="J2276" s="34">
        <v>3472</v>
      </c>
      <c r="K2276" s="34">
        <v>211792</v>
      </c>
    </row>
    <row r="2277" spans="1:11" hidden="1">
      <c r="A2277" s="29" t="s">
        <v>138</v>
      </c>
      <c r="B2277" s="32">
        <v>41726</v>
      </c>
      <c r="C2277" s="29">
        <v>61</v>
      </c>
      <c r="D2277" s="35">
        <v>61</v>
      </c>
      <c r="E2277" s="35">
        <v>60.599997999999999</v>
      </c>
      <c r="F2277" s="33">
        <v>61</v>
      </c>
      <c r="G2277" s="29">
        <v>0</v>
      </c>
      <c r="H2277" s="29">
        <v>0</v>
      </c>
      <c r="I2277" s="35">
        <v>61</v>
      </c>
      <c r="J2277" s="34">
        <v>2212</v>
      </c>
      <c r="K2277" s="34">
        <v>134892</v>
      </c>
    </row>
    <row r="2278" spans="1:11" hidden="1">
      <c r="A2278" s="29" t="s">
        <v>138</v>
      </c>
      <c r="B2278" s="32">
        <v>41729</v>
      </c>
      <c r="C2278" s="29">
        <v>61</v>
      </c>
      <c r="D2278" s="35">
        <v>61</v>
      </c>
      <c r="E2278" s="35">
        <v>60.700001</v>
      </c>
      <c r="F2278" s="33">
        <v>61</v>
      </c>
      <c r="G2278" s="29">
        <v>0</v>
      </c>
      <c r="H2278" s="29">
        <v>0</v>
      </c>
      <c r="I2278" s="35">
        <v>61</v>
      </c>
      <c r="J2278" s="34">
        <v>2088</v>
      </c>
      <c r="K2278" s="34">
        <v>127308</v>
      </c>
    </row>
    <row r="2279" spans="1:11" hidden="1">
      <c r="A2279" s="29" t="s">
        <v>138</v>
      </c>
      <c r="B2279" s="32">
        <v>41730</v>
      </c>
      <c r="C2279" s="29">
        <v>61</v>
      </c>
      <c r="D2279" s="35">
        <v>61</v>
      </c>
      <c r="E2279" s="35">
        <v>61</v>
      </c>
      <c r="F2279" s="33">
        <v>61</v>
      </c>
      <c r="G2279" s="29">
        <v>0</v>
      </c>
      <c r="H2279" s="29">
        <v>0</v>
      </c>
      <c r="I2279" s="35">
        <v>61</v>
      </c>
      <c r="J2279" s="34">
        <v>2000</v>
      </c>
      <c r="K2279" s="34">
        <v>122000</v>
      </c>
    </row>
    <row r="2280" spans="1:11" hidden="1">
      <c r="A2280" s="29" t="s">
        <v>138</v>
      </c>
      <c r="B2280" s="32">
        <v>41731</v>
      </c>
      <c r="C2280" s="29">
        <v>60.8</v>
      </c>
      <c r="D2280" s="35">
        <v>62</v>
      </c>
      <c r="E2280" s="35">
        <v>60.799999</v>
      </c>
      <c r="F2280" s="33">
        <v>62</v>
      </c>
      <c r="G2280" s="29">
        <v>1.64</v>
      </c>
      <c r="H2280" s="29">
        <v>1</v>
      </c>
      <c r="I2280" s="35">
        <v>61</v>
      </c>
      <c r="J2280" s="34">
        <v>640</v>
      </c>
      <c r="K2280" s="34">
        <v>39080</v>
      </c>
    </row>
    <row r="2281" spans="1:11" hidden="1">
      <c r="A2281" s="29" t="s">
        <v>138</v>
      </c>
      <c r="B2281" s="32">
        <v>41732</v>
      </c>
      <c r="C2281" s="29">
        <v>62</v>
      </c>
      <c r="D2281" s="35">
        <v>62</v>
      </c>
      <c r="E2281" s="35">
        <v>62</v>
      </c>
      <c r="F2281" s="33">
        <v>62</v>
      </c>
      <c r="G2281" s="29">
        <v>0</v>
      </c>
      <c r="H2281" s="29">
        <v>0</v>
      </c>
      <c r="I2281" s="35">
        <v>62</v>
      </c>
      <c r="J2281" s="34">
        <v>2000</v>
      </c>
      <c r="K2281" s="34">
        <v>124000</v>
      </c>
    </row>
    <row r="2282" spans="1:11" hidden="1">
      <c r="A2282" s="29" t="s">
        <v>138</v>
      </c>
      <c r="B2282" s="32">
        <v>41733</v>
      </c>
      <c r="C2282" s="29">
        <v>62</v>
      </c>
      <c r="D2282" s="35">
        <v>62</v>
      </c>
      <c r="E2282" s="35">
        <v>62</v>
      </c>
      <c r="F2282" s="33">
        <v>62</v>
      </c>
      <c r="G2282" s="29">
        <v>0</v>
      </c>
      <c r="H2282" s="29">
        <v>0</v>
      </c>
      <c r="I2282" s="35">
        <v>62</v>
      </c>
      <c r="J2282" s="34">
        <v>3200</v>
      </c>
      <c r="K2282" s="34">
        <v>198400</v>
      </c>
    </row>
    <row r="2283" spans="1:11" hidden="1">
      <c r="A2283" s="29" t="s">
        <v>138</v>
      </c>
      <c r="B2283" s="32">
        <v>41736</v>
      </c>
      <c r="C2283" s="29">
        <v>61.5</v>
      </c>
      <c r="D2283" s="35">
        <v>62</v>
      </c>
      <c r="E2283" s="35">
        <v>61</v>
      </c>
      <c r="F2283" s="33">
        <v>62</v>
      </c>
      <c r="G2283" s="29">
        <v>0</v>
      </c>
      <c r="H2283" s="29">
        <v>0</v>
      </c>
      <c r="I2283" s="35">
        <v>62</v>
      </c>
      <c r="J2283" s="34">
        <v>9825</v>
      </c>
      <c r="K2283" s="34">
        <v>600199</v>
      </c>
    </row>
    <row r="2284" spans="1:11" hidden="1">
      <c r="A2284" s="29" t="s">
        <v>138</v>
      </c>
      <c r="B2284" s="32">
        <v>41737</v>
      </c>
      <c r="C2284" s="29">
        <v>62</v>
      </c>
      <c r="D2284" s="35">
        <v>62</v>
      </c>
      <c r="E2284" s="35">
        <v>62</v>
      </c>
      <c r="F2284" s="33">
        <v>62</v>
      </c>
      <c r="G2284" s="29">
        <v>0</v>
      </c>
      <c r="H2284" s="29">
        <v>0</v>
      </c>
      <c r="I2284" s="35">
        <v>62</v>
      </c>
      <c r="J2284" s="34">
        <v>1000</v>
      </c>
      <c r="K2284" s="34">
        <v>62000</v>
      </c>
    </row>
    <row r="2285" spans="1:11" hidden="1">
      <c r="A2285" s="29" t="s">
        <v>138</v>
      </c>
      <c r="B2285" s="32">
        <v>41738</v>
      </c>
      <c r="C2285" s="29">
        <v>62</v>
      </c>
      <c r="D2285" s="35">
        <v>62</v>
      </c>
      <c r="E2285" s="35">
        <v>62</v>
      </c>
      <c r="F2285" s="33">
        <v>62</v>
      </c>
      <c r="G2285" s="29">
        <v>0</v>
      </c>
      <c r="H2285" s="29">
        <v>0</v>
      </c>
      <c r="I2285" s="35">
        <v>62</v>
      </c>
      <c r="J2285" s="34">
        <v>2860</v>
      </c>
      <c r="K2285" s="34">
        <v>177320</v>
      </c>
    </row>
    <row r="2286" spans="1:11" hidden="1">
      <c r="A2286" s="29" t="s">
        <v>138</v>
      </c>
      <c r="B2286" s="32">
        <v>41740</v>
      </c>
      <c r="C2286" s="29">
        <v>62</v>
      </c>
      <c r="D2286" s="35">
        <v>63</v>
      </c>
      <c r="E2286" s="35">
        <v>62</v>
      </c>
      <c r="F2286" s="33">
        <v>62.799999</v>
      </c>
      <c r="G2286" s="29">
        <v>1.61</v>
      </c>
      <c r="H2286" s="29">
        <v>1</v>
      </c>
      <c r="I2286" s="35">
        <v>62</v>
      </c>
      <c r="J2286" s="34">
        <v>6665</v>
      </c>
      <c r="K2286" s="34">
        <v>417320</v>
      </c>
    </row>
    <row r="2287" spans="1:11" hidden="1">
      <c r="A2287" s="29" t="s">
        <v>138</v>
      </c>
      <c r="B2287" s="32">
        <v>41745</v>
      </c>
      <c r="C2287" s="29">
        <v>62.9</v>
      </c>
      <c r="D2287" s="35">
        <v>63.5</v>
      </c>
      <c r="E2287" s="35">
        <v>62.9</v>
      </c>
      <c r="F2287" s="33">
        <v>63.200001</v>
      </c>
      <c r="G2287" s="29">
        <v>1.1100000000000001</v>
      </c>
      <c r="H2287" s="29">
        <v>0.7</v>
      </c>
      <c r="I2287" s="35">
        <v>62.799999</v>
      </c>
      <c r="J2287" s="34">
        <v>29573</v>
      </c>
      <c r="K2287" s="34">
        <v>1867854</v>
      </c>
    </row>
    <row r="2288" spans="1:11" hidden="1">
      <c r="A2288" s="29" t="s">
        <v>138</v>
      </c>
      <c r="B2288" s="32">
        <v>41746</v>
      </c>
      <c r="C2288" s="29">
        <v>63.6</v>
      </c>
      <c r="D2288" s="35">
        <v>64.5</v>
      </c>
      <c r="E2288" s="35">
        <v>63.599997999999999</v>
      </c>
      <c r="F2288" s="33">
        <v>64</v>
      </c>
      <c r="G2288" s="29">
        <v>1.27</v>
      </c>
      <c r="H2288" s="29">
        <v>0.8</v>
      </c>
      <c r="I2288" s="35">
        <v>63.200001</v>
      </c>
      <c r="J2288" s="34">
        <v>7460</v>
      </c>
      <c r="K2288" s="34">
        <v>477365</v>
      </c>
    </row>
    <row r="2289" spans="1:11" hidden="1">
      <c r="A2289" s="29" t="s">
        <v>138</v>
      </c>
      <c r="B2289" s="32">
        <v>41750</v>
      </c>
      <c r="C2289" s="29">
        <v>64.900000000000006</v>
      </c>
      <c r="D2289" s="35">
        <v>64.900002000000001</v>
      </c>
      <c r="E2289" s="35">
        <v>64</v>
      </c>
      <c r="F2289" s="33">
        <v>64</v>
      </c>
      <c r="G2289" s="29">
        <v>0</v>
      </c>
      <c r="H2289" s="29">
        <v>0</v>
      </c>
      <c r="I2289" s="35">
        <v>64</v>
      </c>
      <c r="J2289" s="34">
        <v>1906</v>
      </c>
      <c r="K2289" s="34">
        <v>121989</v>
      </c>
    </row>
    <row r="2290" spans="1:11" hidden="1">
      <c r="A2290" s="29" t="s">
        <v>138</v>
      </c>
      <c r="B2290" s="32">
        <v>41751</v>
      </c>
      <c r="C2290" s="29">
        <v>64.099999999999994</v>
      </c>
      <c r="D2290" s="35">
        <v>64.400002000000001</v>
      </c>
      <c r="E2290" s="35">
        <v>64</v>
      </c>
      <c r="F2290" s="33">
        <v>64.099997999999999</v>
      </c>
      <c r="G2290" s="29">
        <v>0.16</v>
      </c>
      <c r="H2290" s="29">
        <v>0.1</v>
      </c>
      <c r="I2290" s="35">
        <v>64</v>
      </c>
      <c r="J2290" s="34">
        <v>4389</v>
      </c>
      <c r="K2290" s="34">
        <v>280936</v>
      </c>
    </row>
    <row r="2291" spans="1:11" hidden="1">
      <c r="A2291" s="29" t="s">
        <v>138</v>
      </c>
      <c r="B2291" s="32">
        <v>41752</v>
      </c>
      <c r="C2291" s="29">
        <v>64</v>
      </c>
      <c r="D2291" s="35">
        <v>64</v>
      </c>
      <c r="E2291" s="35">
        <v>64</v>
      </c>
      <c r="F2291" s="33">
        <v>64</v>
      </c>
      <c r="G2291" s="29">
        <v>-0.16</v>
      </c>
      <c r="H2291" s="29">
        <v>-0.1</v>
      </c>
      <c r="I2291" s="35">
        <v>64.099997999999999</v>
      </c>
      <c r="J2291" s="34">
        <v>3800</v>
      </c>
      <c r="K2291" s="34">
        <v>243200</v>
      </c>
    </row>
    <row r="2292" spans="1:11" hidden="1">
      <c r="A2292" s="29" t="s">
        <v>138</v>
      </c>
      <c r="B2292" s="32">
        <v>41754</v>
      </c>
      <c r="C2292" s="29">
        <v>64</v>
      </c>
      <c r="D2292" s="35">
        <v>64</v>
      </c>
      <c r="E2292" s="35">
        <v>62.099997999999999</v>
      </c>
      <c r="F2292" s="33">
        <v>62.700001</v>
      </c>
      <c r="G2292" s="29">
        <v>-2.97</v>
      </c>
      <c r="H2292" s="29">
        <v>-1.9</v>
      </c>
      <c r="I2292" s="35">
        <v>64</v>
      </c>
      <c r="J2292" s="34">
        <v>6800</v>
      </c>
      <c r="K2292" s="34">
        <v>433005</v>
      </c>
    </row>
    <row r="2293" spans="1:11" hidden="1">
      <c r="A2293" s="29" t="s">
        <v>138</v>
      </c>
      <c r="B2293" s="32">
        <v>41758</v>
      </c>
      <c r="C2293" s="29">
        <v>63.9</v>
      </c>
      <c r="D2293" s="35">
        <v>63.900002000000001</v>
      </c>
      <c r="E2293" s="35">
        <v>62.599997999999999</v>
      </c>
      <c r="F2293" s="33">
        <v>63.700001</v>
      </c>
      <c r="G2293" s="29">
        <v>-0.16</v>
      </c>
      <c r="H2293" s="29">
        <v>-0.1</v>
      </c>
      <c r="I2293" s="35">
        <v>62.700001</v>
      </c>
      <c r="J2293" s="34">
        <v>6</v>
      </c>
      <c r="K2293" s="34">
        <v>382</v>
      </c>
    </row>
    <row r="2294" spans="1:11" hidden="1">
      <c r="A2294" s="29" t="s">
        <v>138</v>
      </c>
      <c r="B2294" s="32">
        <v>41759</v>
      </c>
      <c r="C2294" s="29">
        <v>63.1</v>
      </c>
      <c r="D2294" s="35">
        <v>64.5</v>
      </c>
      <c r="E2294" s="35">
        <v>63.099997999999999</v>
      </c>
      <c r="F2294" s="33">
        <v>64.5</v>
      </c>
      <c r="G2294" s="29">
        <v>1.26</v>
      </c>
      <c r="H2294" s="29">
        <v>0.8</v>
      </c>
      <c r="I2294" s="35">
        <v>63.700001</v>
      </c>
      <c r="J2294" s="34">
        <v>3892</v>
      </c>
      <c r="K2294" s="34">
        <v>248468</v>
      </c>
    </row>
    <row r="2295" spans="1:11" hidden="1">
      <c r="A2295" s="29" t="s">
        <v>138</v>
      </c>
      <c r="B2295" s="32">
        <v>41761</v>
      </c>
      <c r="C2295" s="29">
        <v>64</v>
      </c>
      <c r="D2295" s="35">
        <v>64</v>
      </c>
      <c r="E2295" s="35">
        <v>64</v>
      </c>
      <c r="F2295" s="33">
        <v>64</v>
      </c>
      <c r="G2295" s="29">
        <v>-0.78</v>
      </c>
      <c r="H2295" s="29">
        <v>-0.5</v>
      </c>
      <c r="I2295" s="35">
        <v>64.5</v>
      </c>
      <c r="J2295" s="34">
        <v>2340</v>
      </c>
      <c r="K2295" s="34">
        <v>149760</v>
      </c>
    </row>
    <row r="2296" spans="1:11" hidden="1">
      <c r="A2296" s="29" t="s">
        <v>138</v>
      </c>
      <c r="B2296" s="32">
        <v>41764</v>
      </c>
      <c r="C2296" s="29">
        <v>64.2</v>
      </c>
      <c r="D2296" s="35">
        <v>64.2</v>
      </c>
      <c r="E2296" s="35">
        <v>63.900002000000001</v>
      </c>
      <c r="F2296" s="33">
        <v>64</v>
      </c>
      <c r="G2296" s="29">
        <v>0</v>
      </c>
      <c r="H2296" s="29">
        <v>0</v>
      </c>
      <c r="I2296" s="35">
        <v>64</v>
      </c>
      <c r="J2296" s="34">
        <v>2615</v>
      </c>
      <c r="K2296" s="34">
        <v>167352</v>
      </c>
    </row>
    <row r="2297" spans="1:11" hidden="1">
      <c r="A2297" s="29" t="s">
        <v>138</v>
      </c>
      <c r="B2297" s="32">
        <v>41765</v>
      </c>
      <c r="C2297" s="29">
        <v>63.5</v>
      </c>
      <c r="D2297" s="35">
        <v>64.699996999999996</v>
      </c>
      <c r="E2297" s="35">
        <v>63.400002000000001</v>
      </c>
      <c r="F2297" s="33">
        <v>63.599997999999999</v>
      </c>
      <c r="G2297" s="29">
        <v>1.0900000000000001</v>
      </c>
      <c r="H2297" s="29">
        <v>0.7</v>
      </c>
      <c r="I2297" s="35">
        <v>64</v>
      </c>
      <c r="J2297" s="34">
        <v>11100</v>
      </c>
      <c r="K2297" s="34">
        <v>705478</v>
      </c>
    </row>
    <row r="2298" spans="1:11" hidden="1">
      <c r="A2298" s="29" t="s">
        <v>138</v>
      </c>
      <c r="B2298" s="32">
        <v>41766</v>
      </c>
      <c r="C2298" s="29">
        <v>64.8</v>
      </c>
      <c r="D2298" s="35">
        <v>68</v>
      </c>
      <c r="E2298" s="35">
        <v>64.8</v>
      </c>
      <c r="F2298" s="33">
        <v>66.5</v>
      </c>
      <c r="G2298" s="29">
        <v>4.5599999999999996</v>
      </c>
      <c r="H2298" s="29">
        <v>2.9</v>
      </c>
      <c r="I2298" s="35">
        <v>63.599997999999999</v>
      </c>
      <c r="J2298" s="34">
        <v>2126</v>
      </c>
      <c r="K2298" s="34">
        <v>139137</v>
      </c>
    </row>
    <row r="2299" spans="1:11" hidden="1">
      <c r="A2299" s="29" t="s">
        <v>138</v>
      </c>
      <c r="B2299" s="32">
        <v>41767</v>
      </c>
      <c r="C2299" s="29">
        <v>65</v>
      </c>
      <c r="D2299" s="35">
        <v>65</v>
      </c>
      <c r="E2299" s="35">
        <v>65</v>
      </c>
      <c r="F2299" s="33">
        <v>65</v>
      </c>
      <c r="G2299" s="29">
        <v>-2.2599999999999998</v>
      </c>
      <c r="H2299" s="29">
        <v>-1.5</v>
      </c>
      <c r="I2299" s="35">
        <v>66.5</v>
      </c>
      <c r="J2299" s="34">
        <v>1000</v>
      </c>
      <c r="K2299" s="34">
        <v>65000</v>
      </c>
    </row>
    <row r="2300" spans="1:11" hidden="1">
      <c r="A2300" s="29" t="s">
        <v>138</v>
      </c>
      <c r="B2300" s="32">
        <v>41768</v>
      </c>
      <c r="C2300" s="29">
        <v>63.2</v>
      </c>
      <c r="D2300" s="35">
        <v>65</v>
      </c>
      <c r="E2300" s="35">
        <v>63.2</v>
      </c>
      <c r="F2300" s="33">
        <v>63.299999</v>
      </c>
      <c r="G2300" s="29">
        <v>0</v>
      </c>
      <c r="H2300" s="29">
        <v>0</v>
      </c>
      <c r="I2300" s="35">
        <v>65</v>
      </c>
      <c r="J2300" s="34">
        <v>21</v>
      </c>
      <c r="K2300" s="34">
        <v>1329</v>
      </c>
    </row>
    <row r="2301" spans="1:11" hidden="1">
      <c r="A2301" s="29" t="s">
        <v>138</v>
      </c>
      <c r="B2301" s="32">
        <v>41771</v>
      </c>
      <c r="C2301" s="29">
        <v>64.900000000000006</v>
      </c>
      <c r="D2301" s="35">
        <v>65</v>
      </c>
      <c r="E2301" s="35">
        <v>64</v>
      </c>
      <c r="F2301" s="33">
        <v>64</v>
      </c>
      <c r="G2301" s="29">
        <v>1.1100000000000001</v>
      </c>
      <c r="H2301" s="29">
        <v>0.7</v>
      </c>
      <c r="I2301" s="35">
        <v>63.299999</v>
      </c>
      <c r="J2301" s="34">
        <v>1530</v>
      </c>
      <c r="K2301" s="34">
        <v>98009</v>
      </c>
    </row>
    <row r="2302" spans="1:11" hidden="1">
      <c r="A2302" s="29" t="s">
        <v>138</v>
      </c>
      <c r="B2302" s="32">
        <v>41772</v>
      </c>
      <c r="C2302" s="29">
        <v>65</v>
      </c>
      <c r="D2302" s="35">
        <v>65</v>
      </c>
      <c r="E2302" s="35">
        <v>64.900002000000001</v>
      </c>
      <c r="F2302" s="33">
        <v>65</v>
      </c>
      <c r="G2302" s="29">
        <v>1.56</v>
      </c>
      <c r="H2302" s="29">
        <v>1</v>
      </c>
      <c r="I2302" s="35">
        <v>64</v>
      </c>
      <c r="J2302" s="34">
        <v>26289</v>
      </c>
      <c r="K2302" s="34">
        <v>1707985</v>
      </c>
    </row>
    <row r="2303" spans="1:11" hidden="1">
      <c r="A2303" s="29" t="s">
        <v>138</v>
      </c>
      <c r="B2303" s="32">
        <v>41775</v>
      </c>
      <c r="C2303" s="29">
        <v>65</v>
      </c>
      <c r="D2303" s="35">
        <v>65.300003000000004</v>
      </c>
      <c r="E2303" s="35">
        <v>65</v>
      </c>
      <c r="F2303" s="33">
        <v>65.300003000000004</v>
      </c>
      <c r="G2303" s="29">
        <v>0.46</v>
      </c>
      <c r="H2303" s="29">
        <v>0.3</v>
      </c>
      <c r="I2303" s="35">
        <v>65</v>
      </c>
      <c r="J2303" s="34">
        <v>15718</v>
      </c>
      <c r="K2303" s="34">
        <v>1025545</v>
      </c>
    </row>
    <row r="2304" spans="1:11" hidden="1">
      <c r="A2304" s="29" t="s">
        <v>138</v>
      </c>
      <c r="B2304" s="32">
        <v>41778</v>
      </c>
      <c r="C2304" s="29">
        <v>65.400000000000006</v>
      </c>
      <c r="D2304" s="35">
        <v>65.400002000000001</v>
      </c>
      <c r="E2304" s="35">
        <v>65</v>
      </c>
      <c r="F2304" s="33">
        <v>65.199996999999996</v>
      </c>
      <c r="G2304" s="29">
        <v>-0.46</v>
      </c>
      <c r="H2304" s="29">
        <v>-0.3</v>
      </c>
      <c r="I2304" s="35">
        <v>65.300003000000004</v>
      </c>
      <c r="J2304" s="34">
        <v>14813</v>
      </c>
      <c r="K2304" s="34">
        <v>966449</v>
      </c>
    </row>
    <row r="2305" spans="1:11" hidden="1">
      <c r="A2305" s="29" t="s">
        <v>138</v>
      </c>
      <c r="B2305" s="32">
        <v>41779</v>
      </c>
      <c r="C2305" s="29">
        <v>64.5</v>
      </c>
      <c r="D2305" s="35">
        <v>64.5</v>
      </c>
      <c r="E2305" s="35">
        <v>64.5</v>
      </c>
      <c r="F2305" s="33">
        <v>64.5</v>
      </c>
      <c r="G2305" s="29">
        <v>-1.07</v>
      </c>
      <c r="H2305" s="29">
        <v>-0.7</v>
      </c>
      <c r="I2305" s="35">
        <v>65.199996999999996</v>
      </c>
      <c r="J2305" s="34">
        <v>710</v>
      </c>
      <c r="K2305" s="34">
        <v>45795</v>
      </c>
    </row>
    <row r="2306" spans="1:11" hidden="1">
      <c r="A2306" s="29" t="s">
        <v>138</v>
      </c>
      <c r="B2306" s="32">
        <v>41780</v>
      </c>
      <c r="C2306" s="29">
        <v>64.2</v>
      </c>
      <c r="D2306" s="35">
        <v>65</v>
      </c>
      <c r="E2306" s="35">
        <v>64.199996999999996</v>
      </c>
      <c r="F2306" s="33">
        <v>65</v>
      </c>
      <c r="G2306" s="29">
        <v>0</v>
      </c>
      <c r="H2306" s="29">
        <v>0</v>
      </c>
      <c r="I2306" s="35">
        <v>64.5</v>
      </c>
      <c r="J2306" s="34">
        <v>5298</v>
      </c>
      <c r="K2306" s="34">
        <v>344314</v>
      </c>
    </row>
    <row r="2307" spans="1:11" hidden="1">
      <c r="A2307" s="29" t="s">
        <v>138</v>
      </c>
      <c r="B2307" s="32">
        <v>41781</v>
      </c>
      <c r="C2307" s="29">
        <v>64.5</v>
      </c>
      <c r="D2307" s="35">
        <v>64.5</v>
      </c>
      <c r="E2307" s="35">
        <v>64.099997999999999</v>
      </c>
      <c r="F2307" s="33">
        <v>64.300003000000004</v>
      </c>
      <c r="G2307" s="29">
        <v>-1.38</v>
      </c>
      <c r="H2307" s="29">
        <v>-0.9</v>
      </c>
      <c r="I2307" s="35">
        <v>65</v>
      </c>
      <c r="J2307" s="34">
        <v>4800</v>
      </c>
      <c r="K2307" s="34">
        <v>308740</v>
      </c>
    </row>
    <row r="2308" spans="1:11" hidden="1">
      <c r="A2308" s="29" t="s">
        <v>138</v>
      </c>
      <c r="B2308" s="32">
        <v>41782</v>
      </c>
      <c r="C2308" s="29">
        <v>65.7</v>
      </c>
      <c r="D2308" s="35">
        <v>66</v>
      </c>
      <c r="E2308" s="35">
        <v>64.300003000000004</v>
      </c>
      <c r="F2308" s="33">
        <v>64.300003000000004</v>
      </c>
      <c r="G2308" s="29">
        <v>0</v>
      </c>
      <c r="H2308" s="29">
        <v>0</v>
      </c>
      <c r="I2308" s="35">
        <v>64.300003000000004</v>
      </c>
      <c r="J2308" s="34">
        <v>2509</v>
      </c>
      <c r="K2308" s="34">
        <v>161627</v>
      </c>
    </row>
    <row r="2309" spans="1:11" hidden="1">
      <c r="A2309" s="29" t="s">
        <v>138</v>
      </c>
      <c r="B2309" s="32">
        <v>41785</v>
      </c>
      <c r="C2309" s="29">
        <v>66</v>
      </c>
      <c r="D2309" s="35">
        <v>66</v>
      </c>
      <c r="E2309" s="35">
        <v>64.300003000000004</v>
      </c>
      <c r="F2309" s="33">
        <v>64.300003000000004</v>
      </c>
      <c r="G2309" s="29">
        <v>0</v>
      </c>
      <c r="H2309" s="29">
        <v>0</v>
      </c>
      <c r="I2309" s="35">
        <v>64.300003000000004</v>
      </c>
      <c r="J2309" s="34">
        <v>102</v>
      </c>
      <c r="K2309" s="34">
        <v>6728</v>
      </c>
    </row>
    <row r="2310" spans="1:11" hidden="1">
      <c r="A2310" s="29" t="s">
        <v>138</v>
      </c>
      <c r="B2310" s="32">
        <v>41786</v>
      </c>
      <c r="C2310" s="29">
        <v>64.400000000000006</v>
      </c>
      <c r="D2310" s="35">
        <v>64.400002000000001</v>
      </c>
      <c r="E2310" s="35">
        <v>64.199996999999996</v>
      </c>
      <c r="F2310" s="33">
        <v>64.400002000000001</v>
      </c>
      <c r="G2310" s="29">
        <v>0.16</v>
      </c>
      <c r="H2310" s="29">
        <v>0.1</v>
      </c>
      <c r="I2310" s="35">
        <v>64.300003000000004</v>
      </c>
      <c r="J2310" s="34">
        <v>17500</v>
      </c>
      <c r="K2310" s="34">
        <v>1126556</v>
      </c>
    </row>
    <row r="2311" spans="1:11" hidden="1">
      <c r="A2311" s="29" t="s">
        <v>138</v>
      </c>
      <c r="B2311" s="32">
        <v>41787</v>
      </c>
      <c r="C2311" s="29">
        <v>64.2</v>
      </c>
      <c r="D2311" s="35">
        <v>64.2</v>
      </c>
      <c r="E2311" s="35">
        <v>64.099997999999999</v>
      </c>
      <c r="F2311" s="33">
        <v>64.099997999999999</v>
      </c>
      <c r="G2311" s="29">
        <v>-0.47</v>
      </c>
      <c r="H2311" s="29">
        <v>-0.3</v>
      </c>
      <c r="I2311" s="35">
        <v>64.400002000000001</v>
      </c>
      <c r="J2311" s="34">
        <v>2033</v>
      </c>
      <c r="K2311" s="34">
        <v>130348</v>
      </c>
    </row>
    <row r="2312" spans="1:11" hidden="1">
      <c r="A2312" s="29" t="s">
        <v>138</v>
      </c>
      <c r="B2312" s="32">
        <v>41788</v>
      </c>
      <c r="C2312" s="29">
        <v>64.099999999999994</v>
      </c>
      <c r="D2312" s="35">
        <v>64.099999999999994</v>
      </c>
      <c r="E2312" s="35">
        <v>63.700001</v>
      </c>
      <c r="F2312" s="33">
        <v>63.900002000000001</v>
      </c>
      <c r="G2312" s="29">
        <v>0</v>
      </c>
      <c r="H2312" s="29">
        <v>0</v>
      </c>
      <c r="I2312" s="35">
        <v>64.099997999999999</v>
      </c>
      <c r="J2312" s="34">
        <v>600</v>
      </c>
      <c r="K2312" s="34">
        <v>38391</v>
      </c>
    </row>
    <row r="2313" spans="1:11" hidden="1">
      <c r="A2313" s="29" t="s">
        <v>138</v>
      </c>
      <c r="B2313" s="32">
        <v>41789</v>
      </c>
      <c r="C2313" s="29">
        <v>63.7</v>
      </c>
      <c r="D2313" s="35">
        <v>64.800003000000004</v>
      </c>
      <c r="E2313" s="35">
        <v>63.599997999999999</v>
      </c>
      <c r="F2313" s="33">
        <v>64.800003000000004</v>
      </c>
      <c r="G2313" s="29">
        <v>1.41</v>
      </c>
      <c r="H2313" s="29">
        <v>0.9</v>
      </c>
      <c r="I2313" s="35">
        <v>63.900002000000001</v>
      </c>
      <c r="J2313" s="34">
        <v>2596</v>
      </c>
      <c r="K2313" s="34">
        <v>165520</v>
      </c>
    </row>
    <row r="2314" spans="1:11" hidden="1">
      <c r="A2314" s="29" t="s">
        <v>138</v>
      </c>
      <c r="B2314" s="32">
        <v>41792</v>
      </c>
      <c r="C2314" s="29">
        <v>63.6</v>
      </c>
      <c r="D2314" s="35">
        <v>63.6</v>
      </c>
      <c r="E2314" s="35">
        <v>63.5</v>
      </c>
      <c r="F2314" s="33">
        <v>63.599997999999999</v>
      </c>
      <c r="G2314" s="29">
        <v>-1.85</v>
      </c>
      <c r="H2314" s="29">
        <v>-1.2</v>
      </c>
      <c r="I2314" s="35">
        <v>64.800003000000004</v>
      </c>
      <c r="J2314" s="34">
        <v>225</v>
      </c>
      <c r="K2314" s="34">
        <v>14297</v>
      </c>
    </row>
    <row r="2315" spans="1:11" hidden="1">
      <c r="A2315" s="29" t="s">
        <v>138</v>
      </c>
      <c r="B2315" s="32">
        <v>41793</v>
      </c>
      <c r="C2315" s="29">
        <v>63.6</v>
      </c>
      <c r="D2315" s="35">
        <v>63.6</v>
      </c>
      <c r="E2315" s="35">
        <v>63.5</v>
      </c>
      <c r="F2315" s="33">
        <v>63.5</v>
      </c>
      <c r="G2315" s="29">
        <v>-0.16</v>
      </c>
      <c r="H2315" s="29">
        <v>-0.1</v>
      </c>
      <c r="I2315" s="35">
        <v>63.599997999999999</v>
      </c>
      <c r="J2315" s="34">
        <v>640</v>
      </c>
      <c r="K2315" s="34">
        <v>40646</v>
      </c>
    </row>
    <row r="2316" spans="1:11" hidden="1">
      <c r="A2316" s="29" t="s">
        <v>138</v>
      </c>
      <c r="B2316" s="32">
        <v>41794</v>
      </c>
      <c r="C2316" s="29">
        <v>63.6</v>
      </c>
      <c r="D2316" s="35">
        <v>63.6</v>
      </c>
      <c r="E2316" s="35">
        <v>63.5</v>
      </c>
      <c r="F2316" s="33">
        <v>63.599997999999999</v>
      </c>
      <c r="G2316" s="29">
        <v>0.16</v>
      </c>
      <c r="H2316" s="29">
        <v>0.1</v>
      </c>
      <c r="I2316" s="35">
        <v>63.5</v>
      </c>
      <c r="J2316" s="34">
        <v>4800</v>
      </c>
      <c r="K2316" s="34">
        <v>305275</v>
      </c>
    </row>
    <row r="2317" spans="1:11" hidden="1">
      <c r="A2317" s="29" t="s">
        <v>138</v>
      </c>
      <c r="B2317" s="32">
        <v>41795</v>
      </c>
      <c r="C2317" s="29">
        <v>64.5</v>
      </c>
      <c r="D2317" s="35">
        <v>64.5</v>
      </c>
      <c r="E2317" s="35">
        <v>63.5</v>
      </c>
      <c r="F2317" s="33">
        <v>63.5</v>
      </c>
      <c r="G2317" s="29">
        <v>-0.16</v>
      </c>
      <c r="H2317" s="29">
        <v>-0.1</v>
      </c>
      <c r="I2317" s="35">
        <v>63.599997999999999</v>
      </c>
      <c r="J2317" s="34">
        <v>2996</v>
      </c>
      <c r="K2317" s="34">
        <v>190384</v>
      </c>
    </row>
    <row r="2318" spans="1:11" hidden="1">
      <c r="A2318" s="29" t="s">
        <v>138</v>
      </c>
      <c r="B2318" s="32">
        <v>41796</v>
      </c>
      <c r="C2318" s="29">
        <v>64</v>
      </c>
      <c r="D2318" s="35">
        <v>64</v>
      </c>
      <c r="E2318" s="35">
        <v>64</v>
      </c>
      <c r="F2318" s="33">
        <v>64</v>
      </c>
      <c r="G2318" s="29">
        <v>0.79</v>
      </c>
      <c r="H2318" s="29">
        <v>0.5</v>
      </c>
      <c r="I2318" s="35">
        <v>63.5</v>
      </c>
      <c r="J2318" s="34">
        <v>13505</v>
      </c>
      <c r="K2318" s="34">
        <v>864320</v>
      </c>
    </row>
    <row r="2319" spans="1:11" hidden="1">
      <c r="A2319" s="29" t="s">
        <v>138</v>
      </c>
      <c r="B2319" s="32">
        <v>41799</v>
      </c>
      <c r="C2319" s="29">
        <v>64.400000000000006</v>
      </c>
      <c r="D2319" s="35">
        <v>64.5</v>
      </c>
      <c r="E2319" s="35">
        <v>64</v>
      </c>
      <c r="F2319" s="33">
        <v>64</v>
      </c>
      <c r="G2319" s="29">
        <v>0</v>
      </c>
      <c r="H2319" s="29">
        <v>0</v>
      </c>
      <c r="I2319" s="35">
        <v>64</v>
      </c>
      <c r="J2319" s="34">
        <v>3576</v>
      </c>
      <c r="K2319" s="34">
        <v>229875</v>
      </c>
    </row>
    <row r="2320" spans="1:11" hidden="1">
      <c r="A2320" s="29" t="s">
        <v>138</v>
      </c>
      <c r="B2320" s="32">
        <v>41800</v>
      </c>
      <c r="C2320" s="29">
        <v>63.5</v>
      </c>
      <c r="D2320" s="35">
        <v>64</v>
      </c>
      <c r="E2320" s="35">
        <v>63.400002000000001</v>
      </c>
      <c r="F2320" s="33">
        <v>64</v>
      </c>
      <c r="G2320" s="29">
        <v>0</v>
      </c>
      <c r="H2320" s="29">
        <v>0</v>
      </c>
      <c r="I2320" s="35">
        <v>64</v>
      </c>
      <c r="J2320" s="34">
        <v>5310</v>
      </c>
      <c r="K2320" s="34">
        <v>336690</v>
      </c>
    </row>
    <row r="2321" spans="1:11" hidden="1">
      <c r="A2321" s="29" t="s">
        <v>138</v>
      </c>
      <c r="B2321" s="32">
        <v>41801</v>
      </c>
      <c r="C2321" s="29">
        <v>64</v>
      </c>
      <c r="D2321" s="35">
        <v>64</v>
      </c>
      <c r="E2321" s="35">
        <v>63.299999</v>
      </c>
      <c r="F2321" s="33">
        <v>63.299999</v>
      </c>
      <c r="G2321" s="29">
        <v>-0.78</v>
      </c>
      <c r="H2321" s="29">
        <v>-0.5</v>
      </c>
      <c r="I2321" s="35">
        <v>64</v>
      </c>
      <c r="J2321" s="34">
        <v>178</v>
      </c>
      <c r="K2321" s="34">
        <v>11355</v>
      </c>
    </row>
    <row r="2322" spans="1:11" hidden="1">
      <c r="A2322" s="29" t="s">
        <v>138</v>
      </c>
      <c r="B2322" s="32">
        <v>41803</v>
      </c>
      <c r="C2322" s="29">
        <v>64</v>
      </c>
      <c r="D2322" s="35">
        <v>66</v>
      </c>
      <c r="E2322" s="35">
        <v>64</v>
      </c>
      <c r="F2322" s="33">
        <v>65.400002000000001</v>
      </c>
      <c r="G2322" s="29">
        <v>4.2699999999999996</v>
      </c>
      <c r="H2322" s="29">
        <v>2.7</v>
      </c>
      <c r="I2322" s="35">
        <v>63.299999</v>
      </c>
      <c r="J2322" s="34">
        <v>12916</v>
      </c>
      <c r="K2322" s="34">
        <v>842499</v>
      </c>
    </row>
    <row r="2323" spans="1:11" hidden="1">
      <c r="A2323" s="29" t="s">
        <v>138</v>
      </c>
      <c r="B2323" s="32">
        <v>41806</v>
      </c>
      <c r="C2323" s="29">
        <v>63.2</v>
      </c>
      <c r="D2323" s="35">
        <v>65.599997999999999</v>
      </c>
      <c r="E2323" s="35">
        <v>63.2</v>
      </c>
      <c r="F2323" s="33">
        <v>65</v>
      </c>
      <c r="G2323" s="29">
        <v>-0.61</v>
      </c>
      <c r="H2323" s="29">
        <v>-0.4</v>
      </c>
      <c r="I2323" s="35">
        <v>65.400002000000001</v>
      </c>
      <c r="J2323" s="34">
        <v>3124</v>
      </c>
      <c r="K2323" s="34">
        <v>202019</v>
      </c>
    </row>
    <row r="2324" spans="1:11" hidden="1">
      <c r="A2324" s="29" t="s">
        <v>138</v>
      </c>
      <c r="B2324" s="32">
        <v>41807</v>
      </c>
      <c r="C2324" s="29">
        <v>65</v>
      </c>
      <c r="D2324" s="35">
        <v>65</v>
      </c>
      <c r="E2324" s="35">
        <v>65</v>
      </c>
      <c r="F2324" s="33">
        <v>65</v>
      </c>
      <c r="G2324" s="29">
        <v>0</v>
      </c>
      <c r="H2324" s="29">
        <v>0</v>
      </c>
      <c r="I2324" s="35">
        <v>65</v>
      </c>
      <c r="J2324" s="34">
        <v>200</v>
      </c>
      <c r="K2324" s="34">
        <v>13000</v>
      </c>
    </row>
    <row r="2325" spans="1:11" hidden="1">
      <c r="A2325" s="29" t="s">
        <v>138</v>
      </c>
      <c r="B2325" s="32">
        <v>41808</v>
      </c>
      <c r="C2325" s="29">
        <v>65</v>
      </c>
      <c r="D2325" s="35">
        <v>65</v>
      </c>
      <c r="E2325" s="35">
        <v>64</v>
      </c>
      <c r="F2325" s="33">
        <v>65</v>
      </c>
      <c r="G2325" s="29">
        <v>0</v>
      </c>
      <c r="H2325" s="29">
        <v>0</v>
      </c>
      <c r="I2325" s="35">
        <v>65</v>
      </c>
      <c r="J2325" s="34">
        <v>56109</v>
      </c>
      <c r="K2325" s="34">
        <v>3645085</v>
      </c>
    </row>
    <row r="2326" spans="1:11" hidden="1">
      <c r="A2326" s="29" t="s">
        <v>138</v>
      </c>
      <c r="B2326" s="32">
        <v>41809</v>
      </c>
      <c r="C2326" s="29">
        <v>65</v>
      </c>
      <c r="D2326" s="35">
        <v>65.400002000000001</v>
      </c>
      <c r="E2326" s="35">
        <v>64.5</v>
      </c>
      <c r="F2326" s="33">
        <v>65</v>
      </c>
      <c r="G2326" s="29">
        <v>0.62</v>
      </c>
      <c r="H2326" s="29">
        <v>0.4</v>
      </c>
      <c r="I2326" s="35">
        <v>65</v>
      </c>
      <c r="J2326" s="34">
        <v>20283</v>
      </c>
      <c r="K2326" s="34">
        <v>1317564</v>
      </c>
    </row>
    <row r="2327" spans="1:11" hidden="1">
      <c r="A2327" s="29" t="s">
        <v>138</v>
      </c>
      <c r="B2327" s="32">
        <v>41810</v>
      </c>
      <c r="C2327" s="29">
        <v>65.400000000000006</v>
      </c>
      <c r="D2327" s="35">
        <v>66</v>
      </c>
      <c r="E2327" s="35">
        <v>65</v>
      </c>
      <c r="F2327" s="33">
        <v>65.099997999999999</v>
      </c>
      <c r="G2327" s="29">
        <v>0.15</v>
      </c>
      <c r="H2327" s="29">
        <v>0.1</v>
      </c>
      <c r="I2327" s="35">
        <v>65</v>
      </c>
      <c r="J2327" s="34">
        <v>151234</v>
      </c>
      <c r="K2327" s="34">
        <v>9981074</v>
      </c>
    </row>
    <row r="2328" spans="1:11" hidden="1">
      <c r="A2328" s="29" t="s">
        <v>138</v>
      </c>
      <c r="B2328" s="32">
        <v>41813</v>
      </c>
      <c r="C2328" s="29">
        <v>65</v>
      </c>
      <c r="D2328" s="35">
        <v>65.5</v>
      </c>
      <c r="E2328" s="35">
        <v>65</v>
      </c>
      <c r="F2328" s="33">
        <v>65.199996999999996</v>
      </c>
      <c r="G2328" s="29">
        <v>-0.15</v>
      </c>
      <c r="H2328" s="29">
        <v>-0.1</v>
      </c>
      <c r="I2328" s="35">
        <v>65.099997999999999</v>
      </c>
      <c r="J2328" s="34">
        <v>29921</v>
      </c>
      <c r="K2328" s="34">
        <v>1949626</v>
      </c>
    </row>
    <row r="2329" spans="1:11" hidden="1">
      <c r="A2329" s="29" t="s">
        <v>138</v>
      </c>
      <c r="B2329" s="32">
        <v>41814</v>
      </c>
      <c r="C2329" s="29">
        <v>66</v>
      </c>
      <c r="D2329" s="35">
        <v>66</v>
      </c>
      <c r="E2329" s="35">
        <v>66</v>
      </c>
      <c r="F2329" s="33">
        <v>66</v>
      </c>
      <c r="G2329" s="29">
        <v>1.23</v>
      </c>
      <c r="H2329" s="29">
        <v>0.8</v>
      </c>
      <c r="I2329" s="35">
        <v>65.199996999999996</v>
      </c>
      <c r="J2329" s="34">
        <v>150000</v>
      </c>
      <c r="K2329" s="34">
        <v>9900000</v>
      </c>
    </row>
    <row r="2330" spans="1:11" hidden="1">
      <c r="A2330" s="29" t="s">
        <v>138</v>
      </c>
      <c r="B2330" s="32">
        <v>41815</v>
      </c>
      <c r="C2330" s="29">
        <v>66</v>
      </c>
      <c r="D2330" s="35">
        <v>66</v>
      </c>
      <c r="E2330" s="35">
        <v>65</v>
      </c>
      <c r="F2330" s="33">
        <v>65</v>
      </c>
      <c r="G2330" s="29">
        <v>-1.52</v>
      </c>
      <c r="H2330" s="29">
        <v>-1</v>
      </c>
      <c r="I2330" s="35">
        <v>66</v>
      </c>
      <c r="J2330" s="34">
        <v>1988</v>
      </c>
      <c r="K2330" s="34">
        <v>129924</v>
      </c>
    </row>
    <row r="2331" spans="1:11" hidden="1">
      <c r="A2331" s="29" t="s">
        <v>138</v>
      </c>
      <c r="B2331" s="32">
        <v>41817</v>
      </c>
      <c r="C2331" s="29">
        <v>64.5</v>
      </c>
      <c r="D2331" s="35">
        <v>65</v>
      </c>
      <c r="E2331" s="35">
        <v>64.199996999999996</v>
      </c>
      <c r="F2331" s="33">
        <v>64.400002000000001</v>
      </c>
      <c r="G2331" s="29">
        <v>-1.23</v>
      </c>
      <c r="H2331" s="29">
        <v>-0.8</v>
      </c>
      <c r="I2331" s="35">
        <v>65</v>
      </c>
      <c r="J2331" s="34">
        <v>15486</v>
      </c>
      <c r="K2331" s="34">
        <v>997962</v>
      </c>
    </row>
    <row r="2332" spans="1:11" hidden="1">
      <c r="A2332" s="29" t="s">
        <v>138</v>
      </c>
      <c r="B2332" s="32">
        <v>41820</v>
      </c>
      <c r="C2332" s="29">
        <v>65</v>
      </c>
      <c r="D2332" s="35">
        <v>66</v>
      </c>
      <c r="E2332" s="35">
        <v>65</v>
      </c>
      <c r="F2332" s="33">
        <v>66</v>
      </c>
      <c r="G2332" s="29">
        <v>2.48</v>
      </c>
      <c r="H2332" s="29">
        <v>1.6</v>
      </c>
      <c r="I2332" s="35">
        <v>64.400002000000001</v>
      </c>
      <c r="J2332" s="34">
        <v>3330</v>
      </c>
      <c r="K2332" s="34">
        <v>218030</v>
      </c>
    </row>
    <row r="2333" spans="1:11" hidden="1">
      <c r="A2333" s="29" t="s">
        <v>138</v>
      </c>
      <c r="B2333" s="32">
        <v>41821</v>
      </c>
      <c r="C2333" s="29">
        <v>65.5</v>
      </c>
      <c r="D2333" s="35">
        <v>65.5</v>
      </c>
      <c r="E2333" s="35">
        <v>65.5</v>
      </c>
      <c r="F2333" s="33">
        <v>65.5</v>
      </c>
      <c r="G2333" s="29">
        <v>-0.76</v>
      </c>
      <c r="H2333" s="29">
        <v>-0.5</v>
      </c>
      <c r="I2333" s="35">
        <v>66</v>
      </c>
      <c r="J2333" s="34">
        <v>2000</v>
      </c>
      <c r="K2333" s="34">
        <v>131000</v>
      </c>
    </row>
    <row r="2334" spans="1:11" hidden="1">
      <c r="A2334" s="29" t="s">
        <v>138</v>
      </c>
      <c r="B2334" s="32">
        <v>41822</v>
      </c>
      <c r="C2334" s="29">
        <v>66</v>
      </c>
      <c r="D2334" s="35">
        <v>68</v>
      </c>
      <c r="E2334" s="35">
        <v>65.800003000000004</v>
      </c>
      <c r="F2334" s="33">
        <v>66.400002000000001</v>
      </c>
      <c r="G2334" s="29">
        <v>1.68</v>
      </c>
      <c r="H2334" s="29">
        <v>1.1000000000000001</v>
      </c>
      <c r="I2334" s="35">
        <v>65.5</v>
      </c>
      <c r="J2334" s="34">
        <v>66040</v>
      </c>
      <c r="K2334" s="34">
        <v>4386624</v>
      </c>
    </row>
    <row r="2335" spans="1:11" hidden="1">
      <c r="A2335" s="29" t="s">
        <v>138</v>
      </c>
      <c r="B2335" s="32">
        <v>41823</v>
      </c>
      <c r="C2335" s="29">
        <v>67</v>
      </c>
      <c r="D2335" s="35">
        <v>67</v>
      </c>
      <c r="E2335" s="35">
        <v>67</v>
      </c>
      <c r="F2335" s="33">
        <v>67</v>
      </c>
      <c r="G2335" s="29">
        <v>0.9</v>
      </c>
      <c r="H2335" s="29">
        <v>0.6</v>
      </c>
      <c r="I2335" s="35">
        <v>66.400002000000001</v>
      </c>
      <c r="J2335" s="34">
        <v>146</v>
      </c>
      <c r="K2335" s="34">
        <v>9782</v>
      </c>
    </row>
    <row r="2336" spans="1:11" hidden="1">
      <c r="A2336" s="29" t="s">
        <v>138</v>
      </c>
      <c r="B2336" s="32">
        <v>41824</v>
      </c>
      <c r="C2336" s="29">
        <v>67</v>
      </c>
      <c r="D2336" s="35">
        <v>68.5</v>
      </c>
      <c r="E2336" s="35">
        <v>67</v>
      </c>
      <c r="F2336" s="33">
        <v>67.5</v>
      </c>
      <c r="G2336" s="29">
        <v>1.49</v>
      </c>
      <c r="H2336" s="29">
        <v>1</v>
      </c>
      <c r="I2336" s="35">
        <v>67</v>
      </c>
      <c r="J2336" s="34">
        <v>34654</v>
      </c>
      <c r="K2336" s="34">
        <v>2343023</v>
      </c>
    </row>
    <row r="2337" spans="1:11" hidden="1">
      <c r="A2337" s="29" t="s">
        <v>138</v>
      </c>
      <c r="B2337" s="32">
        <v>41827</v>
      </c>
      <c r="C2337" s="29">
        <v>66.599999999999994</v>
      </c>
      <c r="D2337" s="35">
        <v>67.800003000000004</v>
      </c>
      <c r="E2337" s="35">
        <v>66.599997999999999</v>
      </c>
      <c r="F2337" s="33">
        <v>67.800003000000004</v>
      </c>
      <c r="G2337" s="29">
        <v>0.44</v>
      </c>
      <c r="H2337" s="29">
        <v>0.3</v>
      </c>
      <c r="I2337" s="35">
        <v>67.5</v>
      </c>
      <c r="J2337" s="34">
        <v>1816</v>
      </c>
      <c r="K2337" s="34">
        <v>120973</v>
      </c>
    </row>
    <row r="2338" spans="1:11" hidden="1">
      <c r="A2338" s="29" t="s">
        <v>138</v>
      </c>
      <c r="B2338" s="32">
        <v>41828</v>
      </c>
      <c r="C2338" s="29">
        <v>67.5</v>
      </c>
      <c r="D2338" s="35">
        <v>68.300003000000004</v>
      </c>
      <c r="E2338" s="35">
        <v>66.199996999999996</v>
      </c>
      <c r="F2338" s="33">
        <v>66.5</v>
      </c>
      <c r="G2338" s="29">
        <v>-2.36</v>
      </c>
      <c r="H2338" s="29">
        <v>-1.6</v>
      </c>
      <c r="I2338" s="35">
        <v>67.800003000000004</v>
      </c>
      <c r="J2338" s="34">
        <v>3643</v>
      </c>
      <c r="K2338" s="34">
        <v>244914</v>
      </c>
    </row>
    <row r="2339" spans="1:11" hidden="1">
      <c r="A2339" s="29" t="s">
        <v>138</v>
      </c>
      <c r="B2339" s="32">
        <v>41829</v>
      </c>
      <c r="C2339" s="29">
        <v>68.900000000000006</v>
      </c>
      <c r="D2339" s="35">
        <v>69.800003000000004</v>
      </c>
      <c r="E2339" s="35">
        <v>66.599997999999999</v>
      </c>
      <c r="F2339" s="33">
        <v>69</v>
      </c>
      <c r="G2339" s="29">
        <v>3.76</v>
      </c>
      <c r="H2339" s="29">
        <v>2.5</v>
      </c>
      <c r="I2339" s="35">
        <v>66.5</v>
      </c>
      <c r="J2339" s="34">
        <v>114766</v>
      </c>
      <c r="K2339" s="34">
        <v>7914746</v>
      </c>
    </row>
    <row r="2340" spans="1:11" hidden="1">
      <c r="A2340" s="29" t="s">
        <v>138</v>
      </c>
      <c r="B2340" s="32">
        <v>41830</v>
      </c>
      <c r="C2340" s="29">
        <v>69</v>
      </c>
      <c r="D2340" s="35">
        <v>69</v>
      </c>
      <c r="E2340" s="35">
        <v>69</v>
      </c>
      <c r="F2340" s="33">
        <v>69</v>
      </c>
      <c r="G2340" s="29">
        <v>0</v>
      </c>
      <c r="H2340" s="29">
        <v>0</v>
      </c>
      <c r="I2340" s="35">
        <v>69</v>
      </c>
      <c r="J2340" s="34">
        <v>5400</v>
      </c>
      <c r="K2340" s="34">
        <v>372600</v>
      </c>
    </row>
    <row r="2341" spans="1:11" hidden="1">
      <c r="A2341" s="29" t="s">
        <v>138</v>
      </c>
      <c r="B2341" s="32">
        <v>41831</v>
      </c>
      <c r="C2341" s="29">
        <v>68</v>
      </c>
      <c r="D2341" s="35">
        <v>69</v>
      </c>
      <c r="E2341" s="35">
        <v>67</v>
      </c>
      <c r="F2341" s="33">
        <v>67.099997999999999</v>
      </c>
      <c r="G2341" s="29">
        <v>-2.9</v>
      </c>
      <c r="H2341" s="29">
        <v>-2</v>
      </c>
      <c r="I2341" s="35">
        <v>69</v>
      </c>
      <c r="J2341" s="34">
        <v>34150</v>
      </c>
      <c r="K2341" s="34">
        <v>2310330</v>
      </c>
    </row>
    <row r="2342" spans="1:11" hidden="1">
      <c r="A2342" s="29" t="s">
        <v>138</v>
      </c>
      <c r="B2342" s="32">
        <v>41834</v>
      </c>
      <c r="C2342" s="29">
        <v>67.099999999999994</v>
      </c>
      <c r="D2342" s="35">
        <v>69</v>
      </c>
      <c r="E2342" s="35">
        <v>67.099997999999999</v>
      </c>
      <c r="F2342" s="33">
        <v>69</v>
      </c>
      <c r="G2342" s="29">
        <v>2.83</v>
      </c>
      <c r="H2342" s="29">
        <v>1.9</v>
      </c>
      <c r="I2342" s="35">
        <v>67.099997999999999</v>
      </c>
      <c r="J2342" s="34">
        <v>386</v>
      </c>
      <c r="K2342" s="34">
        <v>26254</v>
      </c>
    </row>
    <row r="2343" spans="1:11" hidden="1">
      <c r="A2343" s="29" t="s">
        <v>138</v>
      </c>
      <c r="B2343" s="32">
        <v>41835</v>
      </c>
      <c r="C2343" s="29">
        <v>68.5</v>
      </c>
      <c r="D2343" s="35">
        <v>71.900002000000001</v>
      </c>
      <c r="E2343" s="35">
        <v>68.5</v>
      </c>
      <c r="F2343" s="33">
        <v>70.199996999999996</v>
      </c>
      <c r="G2343" s="29">
        <v>3.77</v>
      </c>
      <c r="H2343" s="29">
        <v>2.6</v>
      </c>
      <c r="I2343" s="35">
        <v>69</v>
      </c>
      <c r="J2343" s="34">
        <v>452181</v>
      </c>
      <c r="K2343" s="34">
        <v>31723034</v>
      </c>
    </row>
    <row r="2344" spans="1:11" hidden="1">
      <c r="A2344" s="29" t="s">
        <v>138</v>
      </c>
      <c r="B2344" s="32">
        <v>41836</v>
      </c>
      <c r="C2344" s="29">
        <v>71.900000000000006</v>
      </c>
      <c r="D2344" s="35">
        <v>74</v>
      </c>
      <c r="E2344" s="35">
        <v>70.900002000000001</v>
      </c>
      <c r="F2344" s="33">
        <v>71</v>
      </c>
      <c r="G2344" s="29">
        <v>1.1399999999999999</v>
      </c>
      <c r="H2344" s="29">
        <v>0.8</v>
      </c>
      <c r="I2344" s="35">
        <v>70.199996999999996</v>
      </c>
      <c r="J2344" s="34">
        <v>91012</v>
      </c>
      <c r="K2344" s="34">
        <v>6547494</v>
      </c>
    </row>
    <row r="2345" spans="1:11" hidden="1">
      <c r="A2345" s="29" t="s">
        <v>138</v>
      </c>
      <c r="B2345" s="32">
        <v>41837</v>
      </c>
      <c r="C2345" s="29">
        <v>70.5</v>
      </c>
      <c r="D2345" s="35">
        <v>72.300003000000004</v>
      </c>
      <c r="E2345" s="35">
        <v>70</v>
      </c>
      <c r="F2345" s="33">
        <v>70</v>
      </c>
      <c r="G2345" s="29">
        <v>-1.41</v>
      </c>
      <c r="H2345" s="29">
        <v>-1</v>
      </c>
      <c r="I2345" s="35">
        <v>71</v>
      </c>
      <c r="J2345" s="34">
        <v>90706</v>
      </c>
      <c r="K2345" s="34">
        <v>6361112</v>
      </c>
    </row>
    <row r="2346" spans="1:11" hidden="1">
      <c r="A2346" s="29" t="s">
        <v>138</v>
      </c>
      <c r="B2346" s="32">
        <v>41838</v>
      </c>
      <c r="C2346" s="29">
        <v>69.900000000000006</v>
      </c>
      <c r="D2346" s="35">
        <v>69.900002000000001</v>
      </c>
      <c r="E2346" s="35">
        <v>69</v>
      </c>
      <c r="F2346" s="33">
        <v>69</v>
      </c>
      <c r="G2346" s="29">
        <v>-1.43</v>
      </c>
      <c r="H2346" s="29">
        <v>-1</v>
      </c>
      <c r="I2346" s="35">
        <v>70</v>
      </c>
      <c r="J2346" s="34">
        <v>9400</v>
      </c>
      <c r="K2346" s="34">
        <v>648770</v>
      </c>
    </row>
    <row r="2347" spans="1:11" hidden="1">
      <c r="A2347" s="29" t="s">
        <v>138</v>
      </c>
      <c r="B2347" s="32">
        <v>41841</v>
      </c>
      <c r="C2347" s="29">
        <v>69.900000000000006</v>
      </c>
      <c r="D2347" s="35">
        <v>71</v>
      </c>
      <c r="E2347" s="35">
        <v>69.900000000000006</v>
      </c>
      <c r="F2347" s="33">
        <v>71</v>
      </c>
      <c r="G2347" s="29">
        <v>2.9</v>
      </c>
      <c r="H2347" s="29">
        <v>2</v>
      </c>
      <c r="I2347" s="35">
        <v>69</v>
      </c>
      <c r="J2347" s="34">
        <v>4521</v>
      </c>
      <c r="K2347" s="34">
        <v>319870</v>
      </c>
    </row>
    <row r="2348" spans="1:11" hidden="1">
      <c r="A2348" s="29" t="s">
        <v>138</v>
      </c>
      <c r="B2348" s="32">
        <v>41842</v>
      </c>
      <c r="C2348" s="29">
        <v>70.099999999999994</v>
      </c>
      <c r="D2348" s="35">
        <v>71</v>
      </c>
      <c r="E2348" s="35">
        <v>70</v>
      </c>
      <c r="F2348" s="33">
        <v>70.199996999999996</v>
      </c>
      <c r="G2348" s="29">
        <v>0</v>
      </c>
      <c r="H2348" s="29">
        <v>0</v>
      </c>
      <c r="I2348" s="35">
        <v>71</v>
      </c>
      <c r="J2348" s="34">
        <v>125292</v>
      </c>
      <c r="K2348" s="34">
        <v>8772866</v>
      </c>
    </row>
    <row r="2349" spans="1:11" hidden="1">
      <c r="A2349" s="29" t="s">
        <v>138</v>
      </c>
      <c r="B2349" s="32">
        <v>41843</v>
      </c>
      <c r="C2349" s="29">
        <v>70</v>
      </c>
      <c r="D2349" s="35">
        <v>71.199996999999996</v>
      </c>
      <c r="E2349" s="35">
        <v>70</v>
      </c>
      <c r="F2349" s="33">
        <v>71</v>
      </c>
      <c r="G2349" s="29">
        <v>1.1399999999999999</v>
      </c>
      <c r="H2349" s="29">
        <v>0.8</v>
      </c>
      <c r="I2349" s="35">
        <v>70.199996999999996</v>
      </c>
      <c r="J2349" s="34">
        <v>65467</v>
      </c>
      <c r="K2349" s="34">
        <v>4596682</v>
      </c>
    </row>
    <row r="2350" spans="1:11" hidden="1">
      <c r="A2350" s="29" t="s">
        <v>138</v>
      </c>
      <c r="B2350" s="32">
        <v>41844</v>
      </c>
      <c r="C2350" s="29">
        <v>71</v>
      </c>
      <c r="D2350" s="35">
        <v>71</v>
      </c>
      <c r="E2350" s="35">
        <v>70.699996999999996</v>
      </c>
      <c r="F2350" s="33">
        <v>70.900002000000001</v>
      </c>
      <c r="G2350" s="29">
        <v>0</v>
      </c>
      <c r="H2350" s="29">
        <v>0</v>
      </c>
      <c r="I2350" s="35">
        <v>71</v>
      </c>
      <c r="J2350" s="34">
        <v>3030</v>
      </c>
      <c r="K2350" s="34">
        <v>215085</v>
      </c>
    </row>
    <row r="2351" spans="1:11" hidden="1">
      <c r="A2351" s="29" t="s">
        <v>138</v>
      </c>
      <c r="B2351" s="32">
        <v>41845</v>
      </c>
      <c r="C2351" s="29">
        <v>71</v>
      </c>
      <c r="D2351" s="35">
        <v>71.300003000000004</v>
      </c>
      <c r="E2351" s="35">
        <v>70.599997999999999</v>
      </c>
      <c r="F2351" s="33">
        <v>71</v>
      </c>
      <c r="G2351" s="29">
        <v>0</v>
      </c>
      <c r="H2351" s="29">
        <v>0</v>
      </c>
      <c r="I2351" s="35">
        <v>70.900002000000001</v>
      </c>
      <c r="J2351" s="34">
        <v>31582</v>
      </c>
      <c r="K2351" s="34">
        <v>2233723</v>
      </c>
    </row>
    <row r="2352" spans="1:11" hidden="1">
      <c r="A2352" s="29" t="s">
        <v>138</v>
      </c>
      <c r="B2352" s="32">
        <v>41848</v>
      </c>
      <c r="C2352" s="29">
        <v>71.900000000000006</v>
      </c>
      <c r="D2352" s="35">
        <v>71.900002000000001</v>
      </c>
      <c r="E2352" s="35">
        <v>71</v>
      </c>
      <c r="F2352" s="33">
        <v>71</v>
      </c>
      <c r="G2352" s="29">
        <v>0</v>
      </c>
      <c r="H2352" s="29">
        <v>0</v>
      </c>
      <c r="I2352" s="35">
        <v>71</v>
      </c>
      <c r="J2352" s="34">
        <v>9872</v>
      </c>
      <c r="K2352" s="34">
        <v>705757</v>
      </c>
    </row>
    <row r="2353" spans="1:11" hidden="1">
      <c r="A2353" s="29" t="s">
        <v>138</v>
      </c>
      <c r="B2353" s="32">
        <v>41850</v>
      </c>
      <c r="C2353" s="29">
        <v>71.900000000000006</v>
      </c>
      <c r="D2353" s="35">
        <v>72</v>
      </c>
      <c r="E2353" s="35">
        <v>71</v>
      </c>
      <c r="F2353" s="33">
        <v>71</v>
      </c>
      <c r="G2353" s="29">
        <v>0</v>
      </c>
      <c r="H2353" s="29">
        <v>0</v>
      </c>
      <c r="I2353" s="35">
        <v>71</v>
      </c>
      <c r="J2353" s="34">
        <v>19188</v>
      </c>
      <c r="K2353" s="34">
        <v>1362605</v>
      </c>
    </row>
    <row r="2354" spans="1:11" hidden="1">
      <c r="A2354" s="29" t="s">
        <v>138</v>
      </c>
      <c r="B2354" s="32">
        <v>41851</v>
      </c>
      <c r="C2354" s="29">
        <v>70.5</v>
      </c>
      <c r="D2354" s="35">
        <v>71</v>
      </c>
      <c r="E2354" s="35">
        <v>70.5</v>
      </c>
      <c r="F2354" s="33">
        <v>71</v>
      </c>
      <c r="G2354" s="29">
        <v>0</v>
      </c>
      <c r="H2354" s="29">
        <v>0</v>
      </c>
      <c r="I2354" s="35">
        <v>71</v>
      </c>
      <c r="J2354" s="34">
        <v>34206</v>
      </c>
      <c r="K2354" s="34">
        <v>2424353</v>
      </c>
    </row>
    <row r="2355" spans="1:11" hidden="1">
      <c r="A2355" s="29" t="s">
        <v>138</v>
      </c>
      <c r="B2355" s="32">
        <v>41852</v>
      </c>
      <c r="C2355" s="29">
        <v>71</v>
      </c>
      <c r="D2355" s="35">
        <v>71.599997999999999</v>
      </c>
      <c r="E2355" s="35">
        <v>71</v>
      </c>
      <c r="F2355" s="33">
        <v>71.099997999999999</v>
      </c>
      <c r="G2355" s="29">
        <v>0.14000000000000001</v>
      </c>
      <c r="H2355" s="29">
        <v>0.1</v>
      </c>
      <c r="I2355" s="35">
        <v>71</v>
      </c>
      <c r="J2355" s="34">
        <v>1022</v>
      </c>
      <c r="K2355" s="34">
        <v>72565</v>
      </c>
    </row>
    <row r="2356" spans="1:11" hidden="1">
      <c r="A2356" s="29" t="s">
        <v>138</v>
      </c>
      <c r="B2356" s="32">
        <v>41855</v>
      </c>
      <c r="C2356" s="29">
        <v>71.599999999999994</v>
      </c>
      <c r="D2356" s="35">
        <v>72</v>
      </c>
      <c r="E2356" s="35">
        <v>70.800003000000004</v>
      </c>
      <c r="F2356" s="33">
        <v>70.900002000000001</v>
      </c>
      <c r="G2356" s="29">
        <v>-0.42</v>
      </c>
      <c r="H2356" s="29">
        <v>-0.3</v>
      </c>
      <c r="I2356" s="35">
        <v>71.099997999999999</v>
      </c>
      <c r="J2356" s="34">
        <v>2845</v>
      </c>
      <c r="K2356" s="34">
        <v>204383</v>
      </c>
    </row>
    <row r="2357" spans="1:11" hidden="1">
      <c r="A2357" s="29" t="s">
        <v>138</v>
      </c>
      <c r="B2357" s="32">
        <v>41856</v>
      </c>
      <c r="C2357" s="29">
        <v>71.2</v>
      </c>
      <c r="D2357" s="35">
        <v>73</v>
      </c>
      <c r="E2357" s="35">
        <v>71</v>
      </c>
      <c r="F2357" s="33">
        <v>71.5</v>
      </c>
      <c r="G2357" s="29">
        <v>0.85</v>
      </c>
      <c r="H2357" s="29">
        <v>0.6</v>
      </c>
      <c r="I2357" s="35">
        <v>70.900002000000001</v>
      </c>
      <c r="J2357" s="34">
        <v>167685</v>
      </c>
      <c r="K2357" s="34">
        <v>11996427</v>
      </c>
    </row>
    <row r="2358" spans="1:11" hidden="1">
      <c r="A2358" s="29" t="s">
        <v>138</v>
      </c>
      <c r="B2358" s="32">
        <v>41857</v>
      </c>
      <c r="C2358" s="29">
        <v>71.2</v>
      </c>
      <c r="D2358" s="35">
        <v>72.900002000000001</v>
      </c>
      <c r="E2358" s="35">
        <v>71.199996999999996</v>
      </c>
      <c r="F2358" s="33">
        <v>72.5</v>
      </c>
      <c r="G2358" s="29">
        <v>1.96</v>
      </c>
      <c r="H2358" s="29">
        <v>1.4</v>
      </c>
      <c r="I2358" s="35">
        <v>71.5</v>
      </c>
      <c r="J2358" s="34">
        <v>22668</v>
      </c>
      <c r="K2358" s="34">
        <v>1641434</v>
      </c>
    </row>
    <row r="2359" spans="1:11" hidden="1">
      <c r="A2359" s="29" t="s">
        <v>138</v>
      </c>
      <c r="B2359" s="32">
        <v>41858</v>
      </c>
      <c r="C2359" s="29">
        <v>72.8</v>
      </c>
      <c r="D2359" s="35">
        <v>73</v>
      </c>
      <c r="E2359" s="35">
        <v>72.5</v>
      </c>
      <c r="F2359" s="33">
        <v>73</v>
      </c>
      <c r="G2359" s="29">
        <v>0.69</v>
      </c>
      <c r="H2359" s="29">
        <v>0.5</v>
      </c>
      <c r="I2359" s="35">
        <v>72.5</v>
      </c>
      <c r="J2359" s="34">
        <v>103622</v>
      </c>
      <c r="K2359" s="34">
        <v>7563141</v>
      </c>
    </row>
    <row r="2360" spans="1:11" hidden="1">
      <c r="A2360" s="29" t="s">
        <v>138</v>
      </c>
      <c r="B2360" s="32">
        <v>41859</v>
      </c>
      <c r="C2360" s="29">
        <v>72.5</v>
      </c>
      <c r="D2360" s="35">
        <v>73.5</v>
      </c>
      <c r="E2360" s="35">
        <v>72.5</v>
      </c>
      <c r="F2360" s="33">
        <v>73</v>
      </c>
      <c r="G2360" s="29">
        <v>0</v>
      </c>
      <c r="H2360" s="29">
        <v>0</v>
      </c>
      <c r="I2360" s="35">
        <v>73</v>
      </c>
      <c r="J2360" s="34">
        <v>20159</v>
      </c>
      <c r="K2360" s="34">
        <v>1471632</v>
      </c>
    </row>
    <row r="2361" spans="1:11" hidden="1">
      <c r="A2361" s="29" t="s">
        <v>138</v>
      </c>
      <c r="B2361" s="32">
        <v>41862</v>
      </c>
      <c r="C2361" s="29">
        <v>73.400000000000006</v>
      </c>
      <c r="D2361" s="35">
        <v>74</v>
      </c>
      <c r="E2361" s="35">
        <v>73.099997999999999</v>
      </c>
      <c r="F2361" s="33">
        <v>73.699996999999996</v>
      </c>
      <c r="G2361" s="29">
        <v>0.96</v>
      </c>
      <c r="H2361" s="29">
        <v>0.7</v>
      </c>
      <c r="I2361" s="35">
        <v>73</v>
      </c>
      <c r="J2361" s="34">
        <v>18079</v>
      </c>
      <c r="K2361" s="34">
        <v>1334047</v>
      </c>
    </row>
    <row r="2362" spans="1:11" hidden="1">
      <c r="A2362" s="29" t="s">
        <v>138</v>
      </c>
      <c r="B2362" s="32">
        <v>41863</v>
      </c>
      <c r="C2362" s="29">
        <v>73.7</v>
      </c>
      <c r="D2362" s="35">
        <v>74.199996999999996</v>
      </c>
      <c r="E2362" s="35">
        <v>72</v>
      </c>
      <c r="F2362" s="33">
        <v>73.400002000000001</v>
      </c>
      <c r="G2362" s="29">
        <v>-0.41</v>
      </c>
      <c r="H2362" s="29">
        <v>-0.3</v>
      </c>
      <c r="I2362" s="35">
        <v>73.699996999999996</v>
      </c>
      <c r="J2362" s="34">
        <v>99309</v>
      </c>
      <c r="K2362" s="34">
        <v>7290803</v>
      </c>
    </row>
    <row r="2363" spans="1:11" hidden="1">
      <c r="A2363" s="29" t="s">
        <v>138</v>
      </c>
      <c r="B2363" s="32">
        <v>41864</v>
      </c>
      <c r="C2363" s="29">
        <v>74</v>
      </c>
      <c r="D2363" s="35">
        <v>74.300003000000004</v>
      </c>
      <c r="E2363" s="35">
        <v>74</v>
      </c>
      <c r="F2363" s="33">
        <v>74</v>
      </c>
      <c r="G2363" s="29">
        <v>0.82</v>
      </c>
      <c r="H2363" s="29">
        <v>0.6</v>
      </c>
      <c r="I2363" s="35">
        <v>73.400002000000001</v>
      </c>
      <c r="J2363" s="34">
        <v>9530</v>
      </c>
      <c r="K2363" s="34">
        <v>705229</v>
      </c>
    </row>
    <row r="2364" spans="1:11" hidden="1">
      <c r="A2364" s="29" t="s">
        <v>138</v>
      </c>
      <c r="B2364" s="32">
        <v>41865</v>
      </c>
      <c r="C2364" s="29">
        <v>74</v>
      </c>
      <c r="D2364" s="35">
        <v>74</v>
      </c>
      <c r="E2364" s="35">
        <v>72</v>
      </c>
      <c r="F2364" s="33">
        <v>72.900002000000001</v>
      </c>
      <c r="G2364" s="29">
        <v>-1.49</v>
      </c>
      <c r="H2364" s="29">
        <v>-1.1000000000000001</v>
      </c>
      <c r="I2364" s="35">
        <v>74</v>
      </c>
      <c r="J2364" s="34">
        <v>18917</v>
      </c>
      <c r="K2364" s="34">
        <v>1383623</v>
      </c>
    </row>
    <row r="2365" spans="1:11" hidden="1">
      <c r="A2365" s="29" t="s">
        <v>138</v>
      </c>
      <c r="B2365" s="32">
        <v>41866</v>
      </c>
      <c r="C2365" s="29">
        <v>72.099999999999994</v>
      </c>
      <c r="D2365" s="35">
        <v>72.599997999999999</v>
      </c>
      <c r="E2365" s="35">
        <v>72</v>
      </c>
      <c r="F2365" s="33">
        <v>72.099997999999999</v>
      </c>
      <c r="G2365" s="29">
        <v>-1.23</v>
      </c>
      <c r="H2365" s="29">
        <v>-0.9</v>
      </c>
      <c r="I2365" s="35">
        <v>72.900002000000001</v>
      </c>
      <c r="J2365" s="34">
        <v>3055</v>
      </c>
      <c r="K2365" s="34">
        <v>220263</v>
      </c>
    </row>
    <row r="2366" spans="1:11" hidden="1">
      <c r="A2366" s="29" t="s">
        <v>138</v>
      </c>
      <c r="B2366" s="32">
        <v>41869</v>
      </c>
      <c r="C2366" s="29">
        <v>72</v>
      </c>
      <c r="D2366" s="35">
        <v>72.5</v>
      </c>
      <c r="E2366" s="35">
        <v>70.099997999999999</v>
      </c>
      <c r="F2366" s="33">
        <v>70.199996999999996</v>
      </c>
      <c r="G2366" s="29">
        <v>-2.77</v>
      </c>
      <c r="H2366" s="29">
        <v>-2</v>
      </c>
      <c r="I2366" s="35">
        <v>72.099997999999999</v>
      </c>
      <c r="J2366" s="34">
        <v>36230</v>
      </c>
      <c r="K2366" s="34">
        <v>2591179</v>
      </c>
    </row>
    <row r="2367" spans="1:11" hidden="1">
      <c r="A2367" s="29" t="s">
        <v>138</v>
      </c>
      <c r="B2367" s="32">
        <v>41870</v>
      </c>
      <c r="C2367" s="29">
        <v>72.5</v>
      </c>
      <c r="D2367" s="35">
        <v>72.5</v>
      </c>
      <c r="E2367" s="35">
        <v>72.5</v>
      </c>
      <c r="F2367" s="33">
        <v>72.5</v>
      </c>
      <c r="G2367" s="29">
        <v>3.28</v>
      </c>
      <c r="H2367" s="29">
        <v>2.2999999999999998</v>
      </c>
      <c r="I2367" s="35">
        <v>70.199996999999996</v>
      </c>
      <c r="J2367" s="34">
        <v>155</v>
      </c>
      <c r="K2367" s="34">
        <v>11237</v>
      </c>
    </row>
    <row r="2368" spans="1:11" hidden="1">
      <c r="A2368" s="29" t="s">
        <v>138</v>
      </c>
      <c r="B2368" s="32">
        <v>41871</v>
      </c>
      <c r="C2368" s="29">
        <v>72.599999999999994</v>
      </c>
      <c r="D2368" s="35">
        <v>72.900002000000001</v>
      </c>
      <c r="E2368" s="35">
        <v>70.900002000000001</v>
      </c>
      <c r="F2368" s="33">
        <v>71.300003000000004</v>
      </c>
      <c r="G2368" s="29">
        <v>-0.28000000000000003</v>
      </c>
      <c r="H2368" s="29">
        <v>-0.2</v>
      </c>
      <c r="I2368" s="35">
        <v>72.5</v>
      </c>
      <c r="J2368" s="34">
        <v>8555</v>
      </c>
      <c r="K2368" s="34">
        <v>619221</v>
      </c>
    </row>
    <row r="2369" spans="1:11" hidden="1">
      <c r="A2369" s="29" t="s">
        <v>138</v>
      </c>
      <c r="B2369" s="32">
        <v>41872</v>
      </c>
      <c r="C2369" s="29">
        <v>72</v>
      </c>
      <c r="D2369" s="35">
        <v>72.300003000000004</v>
      </c>
      <c r="E2369" s="35">
        <v>70.199996999999996</v>
      </c>
      <c r="F2369" s="33">
        <v>71.5</v>
      </c>
      <c r="G2369" s="29">
        <v>0.28000000000000003</v>
      </c>
      <c r="H2369" s="29">
        <v>0.2</v>
      </c>
      <c r="I2369" s="35">
        <v>71.300003000000004</v>
      </c>
      <c r="J2369" s="34">
        <v>23487</v>
      </c>
      <c r="K2369" s="34">
        <v>1687198</v>
      </c>
    </row>
    <row r="2370" spans="1:11" hidden="1">
      <c r="A2370" s="29" t="s">
        <v>138</v>
      </c>
      <c r="B2370" s="32">
        <v>41873</v>
      </c>
      <c r="C2370" s="29">
        <v>71.900000000000006</v>
      </c>
      <c r="D2370" s="35">
        <v>72</v>
      </c>
      <c r="E2370" s="35">
        <v>71.900000000000006</v>
      </c>
      <c r="F2370" s="33">
        <v>72</v>
      </c>
      <c r="G2370" s="29">
        <v>0.7</v>
      </c>
      <c r="H2370" s="29">
        <v>0.5</v>
      </c>
      <c r="I2370" s="35">
        <v>71.5</v>
      </c>
      <c r="J2370" s="34">
        <v>140805</v>
      </c>
      <c r="K2370" s="34">
        <v>10137510</v>
      </c>
    </row>
    <row r="2371" spans="1:11" hidden="1">
      <c r="A2371" s="29" t="s">
        <v>138</v>
      </c>
      <c r="B2371" s="32">
        <v>41876</v>
      </c>
      <c r="C2371" s="29">
        <v>72</v>
      </c>
      <c r="D2371" s="35">
        <v>72</v>
      </c>
      <c r="E2371" s="35">
        <v>70.300003000000004</v>
      </c>
      <c r="F2371" s="33">
        <v>70.300003000000004</v>
      </c>
      <c r="G2371" s="29">
        <v>-2.36</v>
      </c>
      <c r="H2371" s="29">
        <v>-1.7</v>
      </c>
      <c r="I2371" s="35">
        <v>72</v>
      </c>
      <c r="J2371" s="34">
        <v>29</v>
      </c>
      <c r="K2371" s="34">
        <v>2084</v>
      </c>
    </row>
    <row r="2372" spans="1:11" hidden="1">
      <c r="A2372" s="29" t="s">
        <v>138</v>
      </c>
      <c r="B2372" s="32">
        <v>41877</v>
      </c>
      <c r="C2372" s="29">
        <v>72</v>
      </c>
      <c r="D2372" s="35">
        <v>72</v>
      </c>
      <c r="E2372" s="35">
        <v>71.900002000000001</v>
      </c>
      <c r="F2372" s="33">
        <v>71.900002000000001</v>
      </c>
      <c r="G2372" s="29">
        <v>2.2799999999999998</v>
      </c>
      <c r="H2372" s="29">
        <v>1.6</v>
      </c>
      <c r="I2372" s="35">
        <v>70.300003000000004</v>
      </c>
      <c r="J2372" s="34">
        <v>15205</v>
      </c>
      <c r="K2372" s="34">
        <v>1093240</v>
      </c>
    </row>
    <row r="2373" spans="1:11" hidden="1">
      <c r="A2373" s="29" t="s">
        <v>138</v>
      </c>
      <c r="B2373" s="32">
        <v>41878</v>
      </c>
      <c r="C2373" s="29">
        <v>71.900000000000006</v>
      </c>
      <c r="D2373" s="35">
        <v>71.900002000000001</v>
      </c>
      <c r="E2373" s="35">
        <v>70.5</v>
      </c>
      <c r="F2373" s="33">
        <v>70.5</v>
      </c>
      <c r="G2373" s="29">
        <v>-1.95</v>
      </c>
      <c r="H2373" s="29">
        <v>-1.4</v>
      </c>
      <c r="I2373" s="35">
        <v>71.900002000000001</v>
      </c>
      <c r="J2373" s="34">
        <v>14</v>
      </c>
      <c r="K2373" s="34">
        <v>1003</v>
      </c>
    </row>
    <row r="2374" spans="1:11" hidden="1">
      <c r="A2374" s="29" t="s">
        <v>138</v>
      </c>
      <c r="B2374" s="32">
        <v>41879</v>
      </c>
      <c r="C2374" s="29">
        <v>70.5</v>
      </c>
      <c r="D2374" s="35">
        <v>71.199996999999996</v>
      </c>
      <c r="E2374" s="35">
        <v>70.5</v>
      </c>
      <c r="F2374" s="33">
        <v>71.199996999999996</v>
      </c>
      <c r="G2374" s="29">
        <v>0.71</v>
      </c>
      <c r="H2374" s="29">
        <v>0.5</v>
      </c>
      <c r="I2374" s="35">
        <v>70.5</v>
      </c>
      <c r="J2374" s="34">
        <v>598</v>
      </c>
      <c r="K2374" s="34">
        <v>42556</v>
      </c>
    </row>
    <row r="2375" spans="1:11" hidden="1">
      <c r="A2375" s="29" t="s">
        <v>138</v>
      </c>
      <c r="B2375" s="32">
        <v>41880</v>
      </c>
      <c r="C2375" s="29">
        <v>70.5</v>
      </c>
      <c r="D2375" s="35">
        <v>71.900002000000001</v>
      </c>
      <c r="E2375" s="35">
        <v>70.5</v>
      </c>
      <c r="F2375" s="33">
        <v>71.800003000000004</v>
      </c>
      <c r="G2375" s="29">
        <v>0.84</v>
      </c>
      <c r="H2375" s="29">
        <v>0.6</v>
      </c>
      <c r="I2375" s="35">
        <v>71.199996999999996</v>
      </c>
      <c r="J2375" s="34">
        <v>20921</v>
      </c>
      <c r="K2375" s="34">
        <v>1495549</v>
      </c>
    </row>
    <row r="2376" spans="1:11" hidden="1">
      <c r="A2376" s="29" t="s">
        <v>138</v>
      </c>
      <c r="B2376" s="32">
        <v>41883</v>
      </c>
      <c r="C2376" s="29">
        <v>71.5</v>
      </c>
      <c r="D2376" s="35">
        <v>73</v>
      </c>
      <c r="E2376" s="35">
        <v>70.5</v>
      </c>
      <c r="F2376" s="33">
        <v>71.400002000000001</v>
      </c>
      <c r="G2376" s="29">
        <v>0.28000000000000003</v>
      </c>
      <c r="H2376" s="29">
        <v>0.2</v>
      </c>
      <c r="I2376" s="35">
        <v>71.800003000000004</v>
      </c>
      <c r="J2376" s="34">
        <v>74573</v>
      </c>
      <c r="K2376" s="34">
        <v>5367631</v>
      </c>
    </row>
    <row r="2377" spans="1:11" hidden="1">
      <c r="A2377" s="29" t="s">
        <v>138</v>
      </c>
      <c r="B2377" s="32">
        <v>41884</v>
      </c>
      <c r="C2377" s="29">
        <v>71</v>
      </c>
      <c r="D2377" s="35">
        <v>72.5</v>
      </c>
      <c r="E2377" s="35">
        <v>71</v>
      </c>
      <c r="F2377" s="33">
        <v>72</v>
      </c>
      <c r="G2377" s="29">
        <v>0.7</v>
      </c>
      <c r="H2377" s="29">
        <v>0.5</v>
      </c>
      <c r="I2377" s="35">
        <v>71.400002000000001</v>
      </c>
      <c r="J2377" s="34">
        <v>17052</v>
      </c>
      <c r="K2377" s="34">
        <v>1227710</v>
      </c>
    </row>
    <row r="2378" spans="1:11" hidden="1">
      <c r="A2378" s="29" t="s">
        <v>138</v>
      </c>
      <c r="B2378" s="32">
        <v>41885</v>
      </c>
      <c r="C2378" s="29">
        <v>72</v>
      </c>
      <c r="D2378" s="35">
        <v>72</v>
      </c>
      <c r="E2378" s="35">
        <v>71</v>
      </c>
      <c r="F2378" s="33">
        <v>71.099997999999999</v>
      </c>
      <c r="G2378" s="29">
        <v>-1.39</v>
      </c>
      <c r="H2378" s="29">
        <v>-1</v>
      </c>
      <c r="I2378" s="35">
        <v>72</v>
      </c>
      <c r="J2378" s="34">
        <v>1280</v>
      </c>
      <c r="K2378" s="34">
        <v>91192</v>
      </c>
    </row>
    <row r="2379" spans="1:11" hidden="1">
      <c r="A2379" s="29" t="s">
        <v>138</v>
      </c>
      <c r="B2379" s="32">
        <v>41886</v>
      </c>
      <c r="C2379" s="29">
        <v>71</v>
      </c>
      <c r="D2379" s="35">
        <v>71.900002000000001</v>
      </c>
      <c r="E2379" s="35">
        <v>71</v>
      </c>
      <c r="F2379" s="33">
        <v>71.099997999999999</v>
      </c>
      <c r="G2379" s="29">
        <v>0.84</v>
      </c>
      <c r="H2379" s="29">
        <v>0.6</v>
      </c>
      <c r="I2379" s="35">
        <v>71.099997999999999</v>
      </c>
      <c r="J2379" s="34">
        <v>1498</v>
      </c>
      <c r="K2379" s="34">
        <v>106411</v>
      </c>
    </row>
    <row r="2380" spans="1:11" hidden="1">
      <c r="A2380" s="29" t="s">
        <v>138</v>
      </c>
      <c r="B2380" s="32">
        <v>41887</v>
      </c>
      <c r="C2380" s="29">
        <v>71.400000000000006</v>
      </c>
      <c r="D2380" s="35">
        <v>71.900002000000001</v>
      </c>
      <c r="E2380" s="35">
        <v>70.599997999999999</v>
      </c>
      <c r="F2380" s="33">
        <v>71.800003000000004</v>
      </c>
      <c r="G2380" s="29">
        <v>1.1299999999999999</v>
      </c>
      <c r="H2380" s="29">
        <v>0.8</v>
      </c>
      <c r="I2380" s="35">
        <v>71.099997999999999</v>
      </c>
      <c r="J2380" s="34">
        <v>1658</v>
      </c>
      <c r="K2380" s="34">
        <v>118411</v>
      </c>
    </row>
    <row r="2381" spans="1:11" hidden="1">
      <c r="A2381" s="29" t="s">
        <v>138</v>
      </c>
      <c r="B2381" s="32">
        <v>41891</v>
      </c>
      <c r="C2381" s="29">
        <v>71.5</v>
      </c>
      <c r="D2381" s="35">
        <v>72</v>
      </c>
      <c r="E2381" s="35">
        <v>71</v>
      </c>
      <c r="F2381" s="33">
        <v>72</v>
      </c>
      <c r="G2381" s="29">
        <v>0.28000000000000003</v>
      </c>
      <c r="H2381" s="29">
        <v>0.2</v>
      </c>
      <c r="I2381" s="35">
        <v>71.800003000000004</v>
      </c>
      <c r="J2381" s="34">
        <v>37864</v>
      </c>
      <c r="K2381" s="34">
        <v>2724667</v>
      </c>
    </row>
    <row r="2382" spans="1:11" hidden="1">
      <c r="A2382" s="29" t="s">
        <v>138</v>
      </c>
      <c r="B2382" s="32">
        <v>41892</v>
      </c>
      <c r="C2382" s="29">
        <v>73</v>
      </c>
      <c r="D2382" s="35">
        <v>73</v>
      </c>
      <c r="E2382" s="35">
        <v>72</v>
      </c>
      <c r="F2382" s="33">
        <v>72.900002000000001</v>
      </c>
      <c r="G2382" s="29">
        <v>1.39</v>
      </c>
      <c r="H2382" s="29">
        <v>1</v>
      </c>
      <c r="I2382" s="35">
        <v>72</v>
      </c>
      <c r="J2382" s="34">
        <v>20150</v>
      </c>
      <c r="K2382" s="34">
        <v>1465632</v>
      </c>
    </row>
    <row r="2383" spans="1:11" hidden="1">
      <c r="A2383" s="29" t="s">
        <v>138</v>
      </c>
      <c r="B2383" s="32">
        <v>41893</v>
      </c>
      <c r="C2383" s="29">
        <v>71.900000000000006</v>
      </c>
      <c r="D2383" s="35">
        <v>73.900002000000001</v>
      </c>
      <c r="E2383" s="35">
        <v>71.900000000000006</v>
      </c>
      <c r="F2383" s="33">
        <v>72.5</v>
      </c>
      <c r="G2383" s="29">
        <v>0.27</v>
      </c>
      <c r="H2383" s="29">
        <v>0.2</v>
      </c>
      <c r="I2383" s="35">
        <v>72.900002000000001</v>
      </c>
      <c r="J2383" s="34">
        <v>7271</v>
      </c>
      <c r="K2383" s="34">
        <v>528043</v>
      </c>
    </row>
    <row r="2384" spans="1:11" hidden="1">
      <c r="A2384" s="29" t="s">
        <v>138</v>
      </c>
      <c r="B2384" s="32">
        <v>41894</v>
      </c>
      <c r="C2384" s="29">
        <v>73.099999999999994</v>
      </c>
      <c r="D2384" s="35">
        <v>74.900002000000001</v>
      </c>
      <c r="E2384" s="35">
        <v>73.099997999999999</v>
      </c>
      <c r="F2384" s="33">
        <v>74.099997999999999</v>
      </c>
      <c r="G2384" s="29">
        <v>3.03</v>
      </c>
      <c r="H2384" s="29">
        <v>2.2000000000000002</v>
      </c>
      <c r="I2384" s="35">
        <v>72.5</v>
      </c>
      <c r="J2384" s="34">
        <v>281520</v>
      </c>
      <c r="K2384" s="34">
        <v>20856914</v>
      </c>
    </row>
    <row r="2385" spans="1:11" hidden="1">
      <c r="A2385" s="29" t="s">
        <v>138</v>
      </c>
      <c r="B2385" s="32">
        <v>41897</v>
      </c>
      <c r="C2385" s="29">
        <v>74.400000000000006</v>
      </c>
      <c r="D2385" s="35">
        <v>74.5</v>
      </c>
      <c r="E2385" s="35">
        <v>73.599997999999999</v>
      </c>
      <c r="F2385" s="33">
        <v>74</v>
      </c>
      <c r="G2385" s="29">
        <v>-0.13</v>
      </c>
      <c r="H2385" s="29">
        <v>-0.1</v>
      </c>
      <c r="I2385" s="35">
        <v>74.099997999999999</v>
      </c>
      <c r="J2385" s="34">
        <v>125413</v>
      </c>
      <c r="K2385" s="34">
        <v>9329777</v>
      </c>
    </row>
    <row r="2386" spans="1:11" hidden="1">
      <c r="A2386" s="29" t="s">
        <v>138</v>
      </c>
      <c r="B2386" s="32">
        <v>41898</v>
      </c>
      <c r="C2386" s="29">
        <v>74.5</v>
      </c>
      <c r="D2386" s="35">
        <v>74.599997999999999</v>
      </c>
      <c r="E2386" s="35">
        <v>73.599997999999999</v>
      </c>
      <c r="F2386" s="33">
        <v>74.099997999999999</v>
      </c>
      <c r="G2386" s="29">
        <v>0</v>
      </c>
      <c r="H2386" s="29">
        <v>0</v>
      </c>
      <c r="I2386" s="35">
        <v>74</v>
      </c>
      <c r="J2386" s="34">
        <v>11106</v>
      </c>
      <c r="K2386" s="34">
        <v>825242</v>
      </c>
    </row>
    <row r="2387" spans="1:11" hidden="1">
      <c r="A2387" s="29" t="s">
        <v>138</v>
      </c>
      <c r="B2387" s="32">
        <v>41899</v>
      </c>
      <c r="C2387" s="29">
        <v>74.400000000000006</v>
      </c>
      <c r="D2387" s="35">
        <v>76</v>
      </c>
      <c r="E2387" s="35">
        <v>74</v>
      </c>
      <c r="F2387" s="33">
        <v>74.400002000000001</v>
      </c>
      <c r="G2387" s="29">
        <v>0</v>
      </c>
      <c r="H2387" s="29">
        <v>0</v>
      </c>
      <c r="I2387" s="35">
        <v>74.099997999999999</v>
      </c>
      <c r="J2387" s="34">
        <v>119859</v>
      </c>
      <c r="K2387" s="34">
        <v>8993757</v>
      </c>
    </row>
    <row r="2388" spans="1:11" hidden="1">
      <c r="A2388" s="29" t="s">
        <v>138</v>
      </c>
      <c r="B2388" s="32">
        <v>41900</v>
      </c>
      <c r="C2388" s="29">
        <v>75</v>
      </c>
      <c r="D2388" s="35">
        <v>75</v>
      </c>
      <c r="E2388" s="35">
        <v>74</v>
      </c>
      <c r="F2388" s="33">
        <v>74</v>
      </c>
      <c r="G2388" s="29">
        <v>-0.54</v>
      </c>
      <c r="H2388" s="29">
        <v>-0.4</v>
      </c>
      <c r="I2388" s="35">
        <v>74.400002000000001</v>
      </c>
      <c r="J2388" s="34">
        <v>1502</v>
      </c>
      <c r="K2388" s="34">
        <v>111248</v>
      </c>
    </row>
    <row r="2389" spans="1:11" hidden="1">
      <c r="A2389" s="29" t="s">
        <v>138</v>
      </c>
      <c r="B2389" s="32">
        <v>41901</v>
      </c>
      <c r="C2389" s="29">
        <v>74.8</v>
      </c>
      <c r="D2389" s="35">
        <v>79</v>
      </c>
      <c r="E2389" s="35">
        <v>74.8</v>
      </c>
      <c r="F2389" s="33">
        <v>77.199996999999996</v>
      </c>
      <c r="G2389" s="29">
        <v>4.05</v>
      </c>
      <c r="H2389" s="29">
        <v>3</v>
      </c>
      <c r="I2389" s="35">
        <v>74</v>
      </c>
      <c r="J2389" s="34">
        <v>314036</v>
      </c>
      <c r="K2389" s="34">
        <v>23816842</v>
      </c>
    </row>
    <row r="2390" spans="1:11" hidden="1">
      <c r="A2390" s="29" t="s">
        <v>138</v>
      </c>
      <c r="B2390" s="32">
        <v>41904</v>
      </c>
      <c r="C2390" s="29">
        <v>76.7</v>
      </c>
      <c r="D2390" s="35">
        <v>77</v>
      </c>
      <c r="E2390" s="35">
        <v>75.5</v>
      </c>
      <c r="F2390" s="33">
        <v>75.699996999999996</v>
      </c>
      <c r="G2390" s="29">
        <v>-1.94</v>
      </c>
      <c r="H2390" s="29">
        <v>-1.5</v>
      </c>
      <c r="I2390" s="35">
        <v>77.199996999999996</v>
      </c>
      <c r="J2390" s="34">
        <v>6556</v>
      </c>
      <c r="K2390" s="34">
        <v>499802</v>
      </c>
    </row>
    <row r="2391" spans="1:11" hidden="1">
      <c r="A2391" s="29" t="s">
        <v>138</v>
      </c>
      <c r="B2391" s="32">
        <v>41905</v>
      </c>
      <c r="C2391" s="29">
        <v>75.599999999999994</v>
      </c>
      <c r="D2391" s="35">
        <v>79.800003000000004</v>
      </c>
      <c r="E2391" s="35">
        <v>75.599997999999999</v>
      </c>
      <c r="F2391" s="33">
        <v>78.699996999999996</v>
      </c>
      <c r="G2391" s="29">
        <v>3.17</v>
      </c>
      <c r="H2391" s="29">
        <v>2.4</v>
      </c>
      <c r="I2391" s="35">
        <v>75.699996999999996</v>
      </c>
      <c r="J2391" s="34">
        <v>457346</v>
      </c>
      <c r="K2391" s="34">
        <v>35496508</v>
      </c>
    </row>
    <row r="2392" spans="1:11" hidden="1">
      <c r="A2392" s="29" t="s">
        <v>138</v>
      </c>
      <c r="B2392" s="32">
        <v>41906</v>
      </c>
      <c r="C2392" s="29">
        <v>79</v>
      </c>
      <c r="D2392" s="35">
        <v>80</v>
      </c>
      <c r="E2392" s="35">
        <v>77.900002000000001</v>
      </c>
      <c r="F2392" s="33">
        <v>78</v>
      </c>
      <c r="G2392" s="29">
        <v>-0.89</v>
      </c>
      <c r="H2392" s="29">
        <v>-0.7</v>
      </c>
      <c r="I2392" s="35">
        <v>78.699996999999996</v>
      </c>
      <c r="J2392" s="34">
        <v>81680</v>
      </c>
      <c r="K2392" s="34">
        <v>6499991</v>
      </c>
    </row>
    <row r="2393" spans="1:11" hidden="1">
      <c r="A2393" s="29" t="s">
        <v>138</v>
      </c>
      <c r="B2393" s="32">
        <v>41907</v>
      </c>
      <c r="C2393" s="29">
        <v>77.2</v>
      </c>
      <c r="D2393" s="35">
        <v>77.900002000000001</v>
      </c>
      <c r="E2393" s="35">
        <v>77</v>
      </c>
      <c r="F2393" s="33">
        <v>77</v>
      </c>
      <c r="G2393" s="29">
        <v>-1.28</v>
      </c>
      <c r="H2393" s="29">
        <v>-1</v>
      </c>
      <c r="I2393" s="35">
        <v>78</v>
      </c>
      <c r="J2393" s="34">
        <v>33960</v>
      </c>
      <c r="K2393" s="34">
        <v>2615872</v>
      </c>
    </row>
    <row r="2394" spans="1:11" hidden="1">
      <c r="A2394" s="29" t="s">
        <v>138</v>
      </c>
      <c r="B2394" s="32">
        <v>41908</v>
      </c>
      <c r="C2394" s="29">
        <v>77.099999999999994</v>
      </c>
      <c r="D2394" s="35">
        <v>78</v>
      </c>
      <c r="E2394" s="35">
        <v>77.099997999999999</v>
      </c>
      <c r="F2394" s="33">
        <v>77.900002000000001</v>
      </c>
      <c r="G2394" s="29">
        <v>0.78</v>
      </c>
      <c r="H2394" s="29">
        <v>0.6</v>
      </c>
      <c r="I2394" s="35">
        <v>77</v>
      </c>
      <c r="J2394" s="34">
        <v>18010</v>
      </c>
      <c r="K2394" s="34">
        <v>1399037</v>
      </c>
    </row>
    <row r="2395" spans="1:11" hidden="1">
      <c r="A2395" s="29" t="s">
        <v>138</v>
      </c>
      <c r="B2395" s="32">
        <v>41911</v>
      </c>
      <c r="C2395" s="29">
        <v>77.599999999999994</v>
      </c>
      <c r="D2395" s="35">
        <v>77.599999999999994</v>
      </c>
      <c r="E2395" s="35">
        <v>77.099997999999999</v>
      </c>
      <c r="F2395" s="33">
        <v>77.099997999999999</v>
      </c>
      <c r="G2395" s="29">
        <v>-1.03</v>
      </c>
      <c r="H2395" s="29">
        <v>-0.8</v>
      </c>
      <c r="I2395" s="35">
        <v>77.900002000000001</v>
      </c>
      <c r="J2395" s="34">
        <v>16142</v>
      </c>
      <c r="K2395" s="34">
        <v>1252053</v>
      </c>
    </row>
    <row r="2396" spans="1:11" hidden="1">
      <c r="A2396" s="29" t="s">
        <v>138</v>
      </c>
      <c r="B2396" s="32">
        <v>41912</v>
      </c>
      <c r="C2396" s="29">
        <v>78.5</v>
      </c>
      <c r="D2396" s="35">
        <v>79</v>
      </c>
      <c r="E2396" s="35">
        <v>77</v>
      </c>
      <c r="F2396" s="33">
        <v>77</v>
      </c>
      <c r="G2396" s="29">
        <v>-0.13</v>
      </c>
      <c r="H2396" s="29">
        <v>-0.1</v>
      </c>
      <c r="I2396" s="35">
        <v>77.099997999999999</v>
      </c>
      <c r="J2396" s="34">
        <v>59893</v>
      </c>
      <c r="K2396" s="34">
        <v>4662307</v>
      </c>
    </row>
    <row r="2397" spans="1:11" hidden="1">
      <c r="A2397" s="29" t="s">
        <v>138</v>
      </c>
      <c r="B2397" s="32">
        <v>41913</v>
      </c>
      <c r="C2397" s="29">
        <v>76</v>
      </c>
      <c r="D2397" s="35">
        <v>77.400002000000001</v>
      </c>
      <c r="E2397" s="35">
        <v>75.900002000000001</v>
      </c>
      <c r="F2397" s="33">
        <v>76</v>
      </c>
      <c r="G2397" s="29">
        <v>-1.43</v>
      </c>
      <c r="H2397" s="29">
        <v>-1.1000000000000001</v>
      </c>
      <c r="I2397" s="35">
        <v>77</v>
      </c>
      <c r="J2397" s="34">
        <v>26094</v>
      </c>
      <c r="K2397" s="34">
        <v>1987794</v>
      </c>
    </row>
    <row r="2398" spans="1:11" hidden="1">
      <c r="A2398" s="29" t="s">
        <v>138</v>
      </c>
      <c r="B2398" s="32">
        <v>41914</v>
      </c>
      <c r="C2398" s="29">
        <v>75.7</v>
      </c>
      <c r="D2398" s="35">
        <v>76.800003000000004</v>
      </c>
      <c r="E2398" s="35">
        <v>75</v>
      </c>
      <c r="F2398" s="33">
        <v>76</v>
      </c>
      <c r="G2398" s="29">
        <v>0</v>
      </c>
      <c r="H2398" s="29">
        <v>0</v>
      </c>
      <c r="I2398" s="35">
        <v>76</v>
      </c>
      <c r="J2398" s="34">
        <v>68812</v>
      </c>
      <c r="K2398" s="34">
        <v>5226173</v>
      </c>
    </row>
    <row r="2399" spans="1:11" hidden="1">
      <c r="A2399" s="29" t="s">
        <v>138</v>
      </c>
      <c r="B2399" s="32">
        <v>41915</v>
      </c>
      <c r="C2399" s="29">
        <v>76.8</v>
      </c>
      <c r="D2399" s="35">
        <v>77</v>
      </c>
      <c r="E2399" s="35">
        <v>76</v>
      </c>
      <c r="F2399" s="33">
        <v>77</v>
      </c>
      <c r="G2399" s="29">
        <v>1.32</v>
      </c>
      <c r="H2399" s="29">
        <v>1</v>
      </c>
      <c r="I2399" s="35">
        <v>76</v>
      </c>
      <c r="J2399" s="34">
        <v>65466</v>
      </c>
      <c r="K2399" s="34">
        <v>5030504</v>
      </c>
    </row>
    <row r="2400" spans="1:11" hidden="1">
      <c r="A2400" s="29" t="s">
        <v>138</v>
      </c>
      <c r="B2400" s="32">
        <v>41919</v>
      </c>
      <c r="C2400" s="29">
        <v>77.3</v>
      </c>
      <c r="D2400" s="35">
        <v>78</v>
      </c>
      <c r="E2400" s="35">
        <v>76.099997999999999</v>
      </c>
      <c r="F2400" s="33">
        <v>77</v>
      </c>
      <c r="G2400" s="29">
        <v>-1.17</v>
      </c>
      <c r="H2400" s="29">
        <v>-0.9</v>
      </c>
      <c r="I2400" s="35">
        <v>77</v>
      </c>
      <c r="J2400" s="34">
        <v>10263</v>
      </c>
      <c r="K2400" s="34">
        <v>790165</v>
      </c>
    </row>
    <row r="2401" spans="1:11" hidden="1">
      <c r="A2401" s="29" t="s">
        <v>138</v>
      </c>
      <c r="B2401" s="32">
        <v>41921</v>
      </c>
      <c r="C2401" s="29">
        <v>76.099999999999994</v>
      </c>
      <c r="D2401" s="35">
        <v>77</v>
      </c>
      <c r="E2401" s="35">
        <v>76.099997999999999</v>
      </c>
      <c r="F2401" s="33">
        <v>77</v>
      </c>
      <c r="G2401" s="29">
        <v>-0.65</v>
      </c>
      <c r="H2401" s="29">
        <v>-0.5</v>
      </c>
      <c r="I2401" s="35">
        <v>77</v>
      </c>
      <c r="J2401" s="34">
        <v>26208</v>
      </c>
      <c r="K2401" s="34">
        <v>2017316</v>
      </c>
    </row>
    <row r="2402" spans="1:11" hidden="1">
      <c r="A2402" s="29" t="s">
        <v>138</v>
      </c>
      <c r="B2402" s="32">
        <v>41922</v>
      </c>
      <c r="C2402" s="29">
        <v>77</v>
      </c>
      <c r="D2402" s="35">
        <v>77</v>
      </c>
      <c r="E2402" s="35">
        <v>74.5</v>
      </c>
      <c r="F2402" s="33">
        <v>74.900002000000001</v>
      </c>
      <c r="G2402" s="29">
        <v>-3.25</v>
      </c>
      <c r="H2402" s="29">
        <v>-2.5</v>
      </c>
      <c r="I2402" s="35">
        <v>77</v>
      </c>
      <c r="J2402" s="34">
        <v>20283</v>
      </c>
      <c r="K2402" s="34">
        <v>1526228</v>
      </c>
    </row>
    <row r="2403" spans="1:11" hidden="1">
      <c r="A2403" s="29" t="s">
        <v>138</v>
      </c>
      <c r="B2403" s="32">
        <v>41925</v>
      </c>
      <c r="C2403" s="29">
        <v>75</v>
      </c>
      <c r="D2403" s="35">
        <v>75</v>
      </c>
      <c r="E2403" s="35">
        <v>72</v>
      </c>
      <c r="F2403" s="33">
        <v>72</v>
      </c>
      <c r="G2403" s="29">
        <v>-3.87</v>
      </c>
      <c r="H2403" s="29">
        <v>-2.9</v>
      </c>
      <c r="I2403" s="35">
        <v>74.900002000000001</v>
      </c>
      <c r="J2403" s="34">
        <v>33069</v>
      </c>
      <c r="K2403" s="34">
        <v>2409243</v>
      </c>
    </row>
    <row r="2404" spans="1:11" hidden="1">
      <c r="A2404" s="29" t="s">
        <v>138</v>
      </c>
      <c r="B2404" s="32">
        <v>41926</v>
      </c>
      <c r="C2404" s="29">
        <v>72</v>
      </c>
      <c r="D2404" s="35">
        <v>73.900002000000001</v>
      </c>
      <c r="E2404" s="35">
        <v>72</v>
      </c>
      <c r="F2404" s="33">
        <v>73.900002000000001</v>
      </c>
      <c r="G2404" s="29">
        <v>2.64</v>
      </c>
      <c r="H2404" s="29">
        <v>1.9</v>
      </c>
      <c r="I2404" s="35">
        <v>72</v>
      </c>
      <c r="J2404" s="34">
        <v>601</v>
      </c>
      <c r="K2404" s="34">
        <v>43652</v>
      </c>
    </row>
    <row r="2405" spans="1:11" hidden="1">
      <c r="A2405" s="29" t="s">
        <v>138</v>
      </c>
      <c r="B2405" s="32">
        <v>41927</v>
      </c>
      <c r="C2405" s="29">
        <v>73.900000000000006</v>
      </c>
      <c r="D2405" s="35">
        <v>74.900002000000001</v>
      </c>
      <c r="E2405" s="35">
        <v>73.900000000000006</v>
      </c>
      <c r="F2405" s="33">
        <v>74</v>
      </c>
      <c r="G2405" s="29">
        <v>0.14000000000000001</v>
      </c>
      <c r="H2405" s="29">
        <v>0.1</v>
      </c>
      <c r="I2405" s="35">
        <v>73.900002000000001</v>
      </c>
      <c r="J2405" s="34">
        <v>23933</v>
      </c>
      <c r="K2405" s="34">
        <v>1772531</v>
      </c>
    </row>
    <row r="2406" spans="1:11" hidden="1">
      <c r="A2406" s="29" t="s">
        <v>138</v>
      </c>
      <c r="B2406" s="32">
        <v>41928</v>
      </c>
      <c r="C2406" s="29">
        <v>74</v>
      </c>
      <c r="D2406" s="35">
        <v>74.5</v>
      </c>
      <c r="E2406" s="35">
        <v>74</v>
      </c>
      <c r="F2406" s="33">
        <v>74</v>
      </c>
      <c r="G2406" s="29">
        <v>0</v>
      </c>
      <c r="H2406" s="29">
        <v>0</v>
      </c>
      <c r="I2406" s="35">
        <v>74</v>
      </c>
      <c r="J2406" s="34">
        <v>88928</v>
      </c>
      <c r="K2406" s="34">
        <v>6581072</v>
      </c>
    </row>
    <row r="2407" spans="1:11" hidden="1">
      <c r="A2407" s="29" t="s">
        <v>138</v>
      </c>
      <c r="B2407" s="32">
        <v>41929</v>
      </c>
      <c r="C2407" s="29">
        <v>74</v>
      </c>
      <c r="D2407" s="35">
        <v>74.199996999999996</v>
      </c>
      <c r="E2407" s="35">
        <v>74</v>
      </c>
      <c r="F2407" s="33">
        <v>74</v>
      </c>
      <c r="G2407" s="29">
        <v>0</v>
      </c>
      <c r="H2407" s="29">
        <v>0</v>
      </c>
      <c r="I2407" s="35">
        <v>74</v>
      </c>
      <c r="J2407" s="34">
        <v>122742</v>
      </c>
      <c r="K2407" s="34">
        <v>9083108</v>
      </c>
    </row>
    <row r="2408" spans="1:11" hidden="1">
      <c r="A2408" s="29" t="s">
        <v>138</v>
      </c>
      <c r="B2408" s="32">
        <v>41932</v>
      </c>
      <c r="C2408" s="29">
        <v>74</v>
      </c>
      <c r="D2408" s="35">
        <v>74.900002000000001</v>
      </c>
      <c r="E2408" s="35">
        <v>74</v>
      </c>
      <c r="F2408" s="33">
        <v>74.900002000000001</v>
      </c>
      <c r="G2408" s="29">
        <v>1.22</v>
      </c>
      <c r="H2408" s="29">
        <v>0.9</v>
      </c>
      <c r="I2408" s="35">
        <v>74</v>
      </c>
      <c r="J2408" s="34">
        <v>10848</v>
      </c>
      <c r="K2408" s="34">
        <v>803022</v>
      </c>
    </row>
    <row r="2409" spans="1:11" hidden="1">
      <c r="A2409" s="29" t="s">
        <v>138</v>
      </c>
      <c r="B2409" s="32">
        <v>41933</v>
      </c>
      <c r="C2409" s="29">
        <v>74</v>
      </c>
      <c r="D2409" s="35">
        <v>74</v>
      </c>
      <c r="E2409" s="35">
        <v>74</v>
      </c>
      <c r="F2409" s="33">
        <v>74</v>
      </c>
      <c r="G2409" s="29">
        <v>-1.2</v>
      </c>
      <c r="H2409" s="29">
        <v>-0.9</v>
      </c>
      <c r="I2409" s="35">
        <v>74.900002000000001</v>
      </c>
      <c r="J2409" s="34">
        <v>347199</v>
      </c>
      <c r="K2409" s="34">
        <v>25692726</v>
      </c>
    </row>
    <row r="2410" spans="1:11" hidden="1">
      <c r="A2410" s="29" t="s">
        <v>138</v>
      </c>
      <c r="B2410" s="32">
        <v>41935</v>
      </c>
      <c r="C2410" s="29">
        <v>73.2</v>
      </c>
      <c r="D2410" s="35">
        <v>73.5</v>
      </c>
      <c r="E2410" s="35">
        <v>73</v>
      </c>
      <c r="F2410" s="33">
        <v>73.5</v>
      </c>
      <c r="G2410" s="29">
        <v>-0.68</v>
      </c>
      <c r="H2410" s="29">
        <v>-0.5</v>
      </c>
      <c r="I2410" s="35">
        <v>74</v>
      </c>
      <c r="J2410" s="34">
        <v>850</v>
      </c>
      <c r="K2410" s="34">
        <v>62200</v>
      </c>
    </row>
    <row r="2411" spans="1:11" hidden="1">
      <c r="A2411" s="29" t="s">
        <v>138</v>
      </c>
      <c r="B2411" s="32">
        <v>41936</v>
      </c>
      <c r="C2411" s="29">
        <v>73.099999999999994</v>
      </c>
      <c r="D2411" s="35">
        <v>74.5</v>
      </c>
      <c r="E2411" s="35">
        <v>73.099997999999999</v>
      </c>
      <c r="F2411" s="33">
        <v>74.300003000000004</v>
      </c>
      <c r="G2411" s="29">
        <v>1.0900000000000001</v>
      </c>
      <c r="H2411" s="29">
        <v>0.8</v>
      </c>
      <c r="I2411" s="35">
        <v>73.5</v>
      </c>
      <c r="J2411" s="34">
        <v>4901</v>
      </c>
      <c r="K2411" s="34">
        <v>363789</v>
      </c>
    </row>
    <row r="2412" spans="1:11" hidden="1">
      <c r="A2412" s="29" t="s">
        <v>138</v>
      </c>
      <c r="B2412" s="32">
        <v>41939</v>
      </c>
      <c r="C2412" s="29">
        <v>74.5</v>
      </c>
      <c r="D2412" s="35">
        <v>75</v>
      </c>
      <c r="E2412" s="35">
        <v>74.5</v>
      </c>
      <c r="F2412" s="33">
        <v>74.900002000000001</v>
      </c>
      <c r="G2412" s="29">
        <v>0.94</v>
      </c>
      <c r="H2412" s="29">
        <v>0.7</v>
      </c>
      <c r="I2412" s="35">
        <v>74.300003000000004</v>
      </c>
      <c r="J2412" s="34">
        <v>5000</v>
      </c>
      <c r="K2412" s="34">
        <v>374500</v>
      </c>
    </row>
    <row r="2413" spans="1:11" hidden="1">
      <c r="A2413" s="29" t="s">
        <v>138</v>
      </c>
      <c r="B2413" s="32">
        <v>41940</v>
      </c>
      <c r="C2413" s="29">
        <v>74.8</v>
      </c>
      <c r="D2413" s="35">
        <v>74.800003000000004</v>
      </c>
      <c r="E2413" s="35">
        <v>74.8</v>
      </c>
      <c r="F2413" s="33">
        <v>74.8</v>
      </c>
      <c r="G2413" s="29">
        <v>-0.13</v>
      </c>
      <c r="H2413" s="29">
        <v>-0.1</v>
      </c>
      <c r="I2413" s="35">
        <v>74.900002000000001</v>
      </c>
      <c r="J2413" s="34">
        <v>260</v>
      </c>
      <c r="K2413" s="34">
        <v>19448</v>
      </c>
    </row>
    <row r="2414" spans="1:11" hidden="1">
      <c r="A2414" s="29" t="s">
        <v>138</v>
      </c>
      <c r="B2414" s="32">
        <v>41943</v>
      </c>
      <c r="C2414" s="29">
        <v>74.599999999999994</v>
      </c>
      <c r="D2414" s="35">
        <v>74.599999999999994</v>
      </c>
      <c r="E2414" s="35">
        <v>73.300003000000004</v>
      </c>
      <c r="F2414" s="33">
        <v>74.599997999999999</v>
      </c>
      <c r="G2414" s="29">
        <v>-0.27</v>
      </c>
      <c r="H2414" s="29">
        <v>-0.2</v>
      </c>
      <c r="I2414" s="35">
        <v>74.800003000000004</v>
      </c>
      <c r="J2414" s="34">
        <v>38303</v>
      </c>
      <c r="K2414" s="34">
        <v>2849915</v>
      </c>
    </row>
    <row r="2415" spans="1:11" hidden="1">
      <c r="A2415" s="29" t="s">
        <v>138</v>
      </c>
      <c r="B2415" s="32">
        <v>41946</v>
      </c>
      <c r="C2415" s="29">
        <v>75</v>
      </c>
      <c r="D2415" s="35">
        <v>75</v>
      </c>
      <c r="E2415" s="35">
        <v>74.900002000000001</v>
      </c>
      <c r="F2415" s="33">
        <v>74.900002000000001</v>
      </c>
      <c r="G2415" s="29">
        <v>0.4</v>
      </c>
      <c r="H2415" s="29">
        <v>0.3</v>
      </c>
      <c r="I2415" s="35">
        <v>74.599997999999999</v>
      </c>
      <c r="J2415" s="34">
        <v>1190</v>
      </c>
      <c r="K2415" s="34">
        <v>89231</v>
      </c>
    </row>
    <row r="2416" spans="1:11" hidden="1">
      <c r="A2416" s="29" t="s">
        <v>138</v>
      </c>
      <c r="B2416" s="32">
        <v>41947</v>
      </c>
      <c r="C2416" s="29">
        <v>73.3</v>
      </c>
      <c r="D2416" s="35">
        <v>73.900002000000001</v>
      </c>
      <c r="E2416" s="35">
        <v>73.199996999999996</v>
      </c>
      <c r="F2416" s="33">
        <v>73.199996999999996</v>
      </c>
      <c r="G2416" s="29">
        <v>-2.27</v>
      </c>
      <c r="H2416" s="29">
        <v>-1.7</v>
      </c>
      <c r="I2416" s="35">
        <v>74.900002000000001</v>
      </c>
      <c r="J2416" s="34">
        <v>1874</v>
      </c>
      <c r="K2416" s="34">
        <v>137296</v>
      </c>
    </row>
    <row r="2417" spans="1:11" hidden="1">
      <c r="A2417" s="29" t="s">
        <v>138</v>
      </c>
      <c r="B2417" s="32">
        <v>41948</v>
      </c>
      <c r="C2417" s="29">
        <v>74</v>
      </c>
      <c r="D2417" s="35">
        <v>74.800003000000004</v>
      </c>
      <c r="E2417" s="35">
        <v>73.199996999999996</v>
      </c>
      <c r="F2417" s="33">
        <v>73.599997999999999</v>
      </c>
      <c r="G2417" s="29">
        <v>2.19</v>
      </c>
      <c r="H2417" s="29">
        <v>1.6</v>
      </c>
      <c r="I2417" s="35">
        <v>73.199996999999996</v>
      </c>
      <c r="J2417" s="34">
        <v>14300</v>
      </c>
      <c r="K2417" s="34">
        <v>1052600</v>
      </c>
    </row>
    <row r="2418" spans="1:11" hidden="1">
      <c r="A2418" s="29" t="s">
        <v>138</v>
      </c>
      <c r="B2418" s="32">
        <v>41950</v>
      </c>
      <c r="C2418" s="29">
        <v>74.5</v>
      </c>
      <c r="D2418" s="35">
        <v>75</v>
      </c>
      <c r="E2418" s="35">
        <v>74</v>
      </c>
      <c r="F2418" s="33">
        <v>75</v>
      </c>
      <c r="G2418" s="29">
        <v>1.9</v>
      </c>
      <c r="H2418" s="29">
        <v>1.4</v>
      </c>
      <c r="I2418" s="35">
        <v>73.599997999999999</v>
      </c>
      <c r="J2418" s="34">
        <v>22726</v>
      </c>
      <c r="K2418" s="34">
        <v>1689248</v>
      </c>
    </row>
    <row r="2419" spans="1:11" hidden="1">
      <c r="A2419" s="29" t="s">
        <v>138</v>
      </c>
      <c r="B2419" s="32">
        <v>41953</v>
      </c>
      <c r="C2419" s="29">
        <v>75.5</v>
      </c>
      <c r="D2419" s="35">
        <v>76.5</v>
      </c>
      <c r="E2419" s="35">
        <v>75</v>
      </c>
      <c r="F2419" s="33">
        <v>76.5</v>
      </c>
      <c r="G2419" s="29">
        <v>2</v>
      </c>
      <c r="H2419" s="29">
        <v>1.5</v>
      </c>
      <c r="I2419" s="35">
        <v>75</v>
      </c>
      <c r="J2419" s="34">
        <v>15100</v>
      </c>
      <c r="K2419" s="34">
        <v>1153750</v>
      </c>
    </row>
    <row r="2420" spans="1:11" hidden="1">
      <c r="A2420" s="29" t="s">
        <v>138</v>
      </c>
      <c r="B2420" s="32">
        <v>41954</v>
      </c>
      <c r="C2420" s="29">
        <v>76.5</v>
      </c>
      <c r="D2420" s="35">
        <v>77</v>
      </c>
      <c r="E2420" s="35">
        <v>75.199996999999996</v>
      </c>
      <c r="F2420" s="33">
        <v>76</v>
      </c>
      <c r="G2420" s="29">
        <v>-0.65</v>
      </c>
      <c r="H2420" s="29">
        <v>-0.5</v>
      </c>
      <c r="I2420" s="35">
        <v>76.5</v>
      </c>
      <c r="J2420" s="34">
        <v>88170</v>
      </c>
      <c r="K2420" s="34">
        <v>6714081</v>
      </c>
    </row>
    <row r="2421" spans="1:11" hidden="1">
      <c r="A2421" s="29" t="s">
        <v>138</v>
      </c>
      <c r="B2421" s="32">
        <v>41955</v>
      </c>
      <c r="C2421" s="29">
        <v>76.099999999999994</v>
      </c>
      <c r="D2421" s="35">
        <v>78</v>
      </c>
      <c r="E2421" s="35">
        <v>76</v>
      </c>
      <c r="F2421" s="33">
        <v>77.900002000000001</v>
      </c>
      <c r="G2421" s="29">
        <v>2.63</v>
      </c>
      <c r="H2421" s="29">
        <v>2</v>
      </c>
      <c r="I2421" s="35">
        <v>76</v>
      </c>
      <c r="J2421" s="34">
        <v>18742</v>
      </c>
      <c r="K2421" s="34">
        <v>1446851</v>
      </c>
    </row>
    <row r="2422" spans="1:11" hidden="1">
      <c r="A2422" s="29" t="s">
        <v>138</v>
      </c>
      <c r="B2422" s="32">
        <v>41956</v>
      </c>
      <c r="C2422" s="29">
        <v>78</v>
      </c>
      <c r="D2422" s="35">
        <v>83.5</v>
      </c>
      <c r="E2422" s="35">
        <v>77.099997999999999</v>
      </c>
      <c r="F2422" s="33">
        <v>80.099997999999999</v>
      </c>
      <c r="G2422" s="29">
        <v>4.62</v>
      </c>
      <c r="H2422" s="29">
        <v>3.6</v>
      </c>
      <c r="I2422" s="35">
        <v>77.900002000000001</v>
      </c>
      <c r="J2422" s="34">
        <v>1309923</v>
      </c>
      <c r="K2422" s="34">
        <v>104843912</v>
      </c>
    </row>
    <row r="2423" spans="1:11" hidden="1">
      <c r="A2423" s="29" t="s">
        <v>138</v>
      </c>
      <c r="B2423" s="32">
        <v>41957</v>
      </c>
      <c r="C2423" s="29">
        <v>82</v>
      </c>
      <c r="D2423" s="35">
        <v>83.900002000000001</v>
      </c>
      <c r="E2423" s="35">
        <v>81.900002000000001</v>
      </c>
      <c r="F2423" s="33">
        <v>82.699996999999996</v>
      </c>
      <c r="G2423" s="29">
        <v>3.62</v>
      </c>
      <c r="H2423" s="29">
        <v>2.9</v>
      </c>
      <c r="I2423" s="35">
        <v>80.099997999999999</v>
      </c>
      <c r="J2423" s="34">
        <v>403749</v>
      </c>
      <c r="K2423" s="34">
        <v>33367840</v>
      </c>
    </row>
    <row r="2424" spans="1:11" hidden="1">
      <c r="A2424" s="29" t="s">
        <v>138</v>
      </c>
      <c r="B2424" s="32">
        <v>41960</v>
      </c>
      <c r="C2424" s="29">
        <v>82.7</v>
      </c>
      <c r="D2424" s="35">
        <v>83.5</v>
      </c>
      <c r="E2424" s="35">
        <v>82</v>
      </c>
      <c r="F2424" s="33">
        <v>83</v>
      </c>
      <c r="G2424" s="29">
        <v>0.85</v>
      </c>
      <c r="H2424" s="29">
        <v>0.7</v>
      </c>
      <c r="I2424" s="35">
        <v>82.699996999999996</v>
      </c>
      <c r="J2424" s="34">
        <v>338084</v>
      </c>
      <c r="K2424" s="34">
        <v>28039788</v>
      </c>
    </row>
    <row r="2425" spans="1:11" hidden="1">
      <c r="A2425" s="29" t="s">
        <v>138</v>
      </c>
      <c r="B2425" s="32">
        <v>41961</v>
      </c>
      <c r="C2425" s="29">
        <v>83</v>
      </c>
      <c r="D2425" s="35">
        <v>83</v>
      </c>
      <c r="E2425" s="35">
        <v>82</v>
      </c>
      <c r="F2425" s="33">
        <v>82.900002000000001</v>
      </c>
      <c r="G2425" s="29">
        <v>0</v>
      </c>
      <c r="H2425" s="29">
        <v>0</v>
      </c>
      <c r="I2425" s="35">
        <v>83</v>
      </c>
      <c r="J2425" s="34">
        <v>131975</v>
      </c>
      <c r="K2425" s="34">
        <v>10836516</v>
      </c>
    </row>
    <row r="2426" spans="1:11" hidden="1">
      <c r="A2426" s="29" t="s">
        <v>138</v>
      </c>
      <c r="B2426" s="32">
        <v>41962</v>
      </c>
      <c r="C2426" s="29">
        <v>83</v>
      </c>
      <c r="D2426" s="35">
        <v>83</v>
      </c>
      <c r="E2426" s="35">
        <v>80.099997999999999</v>
      </c>
      <c r="F2426" s="33">
        <v>82.400002000000001</v>
      </c>
      <c r="G2426" s="29">
        <v>-3.38</v>
      </c>
      <c r="H2426" s="29">
        <v>-2.8</v>
      </c>
      <c r="I2426" s="35">
        <v>82.900002000000001</v>
      </c>
      <c r="J2426" s="34">
        <v>55001</v>
      </c>
      <c r="K2426" s="34">
        <v>4520011</v>
      </c>
    </row>
    <row r="2427" spans="1:11" hidden="1">
      <c r="A2427" s="29" t="s">
        <v>138</v>
      </c>
      <c r="B2427" s="32">
        <v>41963</v>
      </c>
      <c r="C2427" s="29">
        <v>82.3</v>
      </c>
      <c r="D2427" s="35">
        <v>82.300003000000004</v>
      </c>
      <c r="E2427" s="35">
        <v>81.900002000000001</v>
      </c>
      <c r="F2427" s="33">
        <v>82</v>
      </c>
      <c r="G2427" s="29">
        <v>-0.49</v>
      </c>
      <c r="H2427" s="29">
        <v>-0.4</v>
      </c>
      <c r="I2427" s="35">
        <v>82.400002000000001</v>
      </c>
      <c r="J2427" s="34">
        <v>141004</v>
      </c>
      <c r="K2427" s="34">
        <v>11562029</v>
      </c>
    </row>
    <row r="2428" spans="1:11" hidden="1">
      <c r="A2428" s="29" t="s">
        <v>138</v>
      </c>
      <c r="B2428" s="32">
        <v>41964</v>
      </c>
      <c r="C2428" s="29">
        <v>81.900000000000006</v>
      </c>
      <c r="D2428" s="35">
        <v>82</v>
      </c>
      <c r="E2428" s="35">
        <v>79</v>
      </c>
      <c r="F2428" s="33">
        <v>80</v>
      </c>
      <c r="G2428" s="29">
        <v>-2.44</v>
      </c>
      <c r="H2428" s="29">
        <v>-2</v>
      </c>
      <c r="I2428" s="35">
        <v>82</v>
      </c>
      <c r="J2428" s="34">
        <v>281515</v>
      </c>
      <c r="K2428" s="34">
        <v>22620792</v>
      </c>
    </row>
    <row r="2429" spans="1:11" hidden="1">
      <c r="A2429" s="29" t="s">
        <v>138</v>
      </c>
      <c r="B2429" s="32">
        <v>41967</v>
      </c>
      <c r="C2429" s="29">
        <v>79</v>
      </c>
      <c r="D2429" s="35">
        <v>81.900002000000001</v>
      </c>
      <c r="E2429" s="35">
        <v>76</v>
      </c>
      <c r="F2429" s="33">
        <v>79.099997999999999</v>
      </c>
      <c r="G2429" s="29">
        <v>0</v>
      </c>
      <c r="H2429" s="29">
        <v>0</v>
      </c>
      <c r="I2429" s="35">
        <v>80</v>
      </c>
      <c r="J2429" s="34">
        <v>79395</v>
      </c>
      <c r="K2429" s="34">
        <v>6200537</v>
      </c>
    </row>
    <row r="2430" spans="1:11" hidden="1">
      <c r="A2430" s="29" t="s">
        <v>138</v>
      </c>
      <c r="B2430" s="32">
        <v>41968</v>
      </c>
      <c r="C2430" s="29">
        <v>79</v>
      </c>
      <c r="D2430" s="35">
        <v>79.800003000000004</v>
      </c>
      <c r="E2430" s="35">
        <v>77</v>
      </c>
      <c r="F2430" s="33">
        <v>77.800003000000004</v>
      </c>
      <c r="G2430" s="29">
        <v>-1.39</v>
      </c>
      <c r="H2430" s="29">
        <v>-1.1000000000000001</v>
      </c>
      <c r="I2430" s="35">
        <v>79.099997999999999</v>
      </c>
      <c r="J2430" s="34">
        <v>12350</v>
      </c>
      <c r="K2430" s="34">
        <v>959388</v>
      </c>
    </row>
    <row r="2431" spans="1:11" hidden="1">
      <c r="A2431" s="29" t="s">
        <v>138</v>
      </c>
      <c r="B2431" s="32">
        <v>41969</v>
      </c>
      <c r="C2431" s="29">
        <v>78</v>
      </c>
      <c r="D2431" s="35">
        <v>78</v>
      </c>
      <c r="E2431" s="35">
        <v>76</v>
      </c>
      <c r="F2431" s="33">
        <v>76</v>
      </c>
      <c r="G2431" s="29">
        <v>-2.31</v>
      </c>
      <c r="H2431" s="29">
        <v>-1.8</v>
      </c>
      <c r="I2431" s="35">
        <v>77.800003000000004</v>
      </c>
      <c r="J2431" s="34">
        <v>22123</v>
      </c>
      <c r="K2431" s="34">
        <v>1681550</v>
      </c>
    </row>
    <row r="2432" spans="1:11" hidden="1">
      <c r="A2432" s="29" t="s">
        <v>138</v>
      </c>
      <c r="B2432" s="32">
        <v>41970</v>
      </c>
      <c r="C2432" s="29">
        <v>77</v>
      </c>
      <c r="D2432" s="35">
        <v>77</v>
      </c>
      <c r="E2432" s="35">
        <v>74.5</v>
      </c>
      <c r="F2432" s="33">
        <v>76</v>
      </c>
      <c r="G2432" s="29">
        <v>0</v>
      </c>
      <c r="H2432" s="29">
        <v>0</v>
      </c>
      <c r="I2432" s="35">
        <v>76</v>
      </c>
      <c r="J2432" s="34">
        <v>8200</v>
      </c>
      <c r="K2432" s="34">
        <v>618009</v>
      </c>
    </row>
    <row r="2433" spans="1:11" hidden="1">
      <c r="A2433" s="29" t="s">
        <v>138</v>
      </c>
      <c r="B2433" s="32">
        <v>41971</v>
      </c>
      <c r="C2433" s="29">
        <v>75</v>
      </c>
      <c r="D2433" s="35">
        <v>77.099997999999999</v>
      </c>
      <c r="E2433" s="35">
        <v>75</v>
      </c>
      <c r="F2433" s="33">
        <v>77.099997999999999</v>
      </c>
      <c r="G2433" s="29">
        <v>1.45</v>
      </c>
      <c r="H2433" s="29">
        <v>1.1000000000000001</v>
      </c>
      <c r="I2433" s="35">
        <v>76</v>
      </c>
      <c r="J2433" s="34">
        <v>4307</v>
      </c>
      <c r="K2433" s="34">
        <v>329328</v>
      </c>
    </row>
    <row r="2434" spans="1:11" hidden="1">
      <c r="A2434" s="29" t="s">
        <v>138</v>
      </c>
      <c r="B2434" s="32">
        <v>41974</v>
      </c>
      <c r="C2434" s="29">
        <v>75.099999999999994</v>
      </c>
      <c r="D2434" s="35">
        <v>79</v>
      </c>
      <c r="E2434" s="35">
        <v>75.099997999999999</v>
      </c>
      <c r="F2434" s="33">
        <v>79</v>
      </c>
      <c r="G2434" s="29">
        <v>2.46</v>
      </c>
      <c r="H2434" s="29">
        <v>1.9</v>
      </c>
      <c r="I2434" s="35">
        <v>77.099997999999999</v>
      </c>
      <c r="J2434" s="34">
        <v>1205</v>
      </c>
      <c r="K2434" s="34">
        <v>95175</v>
      </c>
    </row>
    <row r="2435" spans="1:11" hidden="1">
      <c r="A2435" s="29" t="s">
        <v>138</v>
      </c>
      <c r="B2435" s="32">
        <v>41975</v>
      </c>
      <c r="C2435" s="29">
        <v>77.099999999999994</v>
      </c>
      <c r="D2435" s="35">
        <v>79.199996999999996</v>
      </c>
      <c r="E2435" s="35">
        <v>77</v>
      </c>
      <c r="F2435" s="33">
        <v>77.099997999999999</v>
      </c>
      <c r="G2435" s="29">
        <v>-2.41</v>
      </c>
      <c r="H2435" s="29">
        <v>-1.9</v>
      </c>
      <c r="I2435" s="35">
        <v>79</v>
      </c>
      <c r="J2435" s="34">
        <v>165729</v>
      </c>
      <c r="K2435" s="34">
        <v>12762972</v>
      </c>
    </row>
    <row r="2436" spans="1:11" hidden="1">
      <c r="A2436" s="29" t="s">
        <v>138</v>
      </c>
      <c r="B2436" s="32">
        <v>41977</v>
      </c>
      <c r="C2436" s="29">
        <v>77.400000000000006</v>
      </c>
      <c r="D2436" s="35">
        <v>78.800003000000004</v>
      </c>
      <c r="E2436" s="35">
        <v>77.400000000000006</v>
      </c>
      <c r="F2436" s="33">
        <v>78</v>
      </c>
      <c r="G2436" s="29">
        <v>1.17</v>
      </c>
      <c r="H2436" s="29">
        <v>0.9</v>
      </c>
      <c r="I2436" s="35">
        <v>77.099997999999999</v>
      </c>
      <c r="J2436" s="34">
        <v>1500</v>
      </c>
      <c r="K2436" s="34">
        <v>116560</v>
      </c>
    </row>
    <row r="2437" spans="1:11" hidden="1">
      <c r="A2437" s="29" t="s">
        <v>138</v>
      </c>
      <c r="B2437" s="32">
        <v>41978</v>
      </c>
      <c r="C2437" s="29">
        <v>78</v>
      </c>
      <c r="D2437" s="35">
        <v>78</v>
      </c>
      <c r="E2437" s="35">
        <v>77</v>
      </c>
      <c r="F2437" s="33">
        <v>77</v>
      </c>
      <c r="G2437" s="29">
        <v>-1.28</v>
      </c>
      <c r="H2437" s="29">
        <v>-1</v>
      </c>
      <c r="I2437" s="35">
        <v>78</v>
      </c>
      <c r="J2437" s="34">
        <v>180193</v>
      </c>
      <c r="K2437" s="34">
        <v>13880262</v>
      </c>
    </row>
    <row r="2438" spans="1:11" hidden="1">
      <c r="A2438" s="29" t="s">
        <v>138</v>
      </c>
      <c r="B2438" s="32">
        <v>41981</v>
      </c>
      <c r="C2438" s="29">
        <v>77</v>
      </c>
      <c r="D2438" s="35">
        <v>77.199996999999996</v>
      </c>
      <c r="E2438" s="35">
        <v>77</v>
      </c>
      <c r="F2438" s="33">
        <v>77.199996999999996</v>
      </c>
      <c r="G2438" s="29">
        <v>0.26</v>
      </c>
      <c r="H2438" s="29">
        <v>0.2</v>
      </c>
      <c r="I2438" s="35">
        <v>77</v>
      </c>
      <c r="J2438" s="34">
        <v>300</v>
      </c>
      <c r="K2438" s="34">
        <v>23117</v>
      </c>
    </row>
    <row r="2439" spans="1:11" hidden="1">
      <c r="A2439" s="29" t="s">
        <v>138</v>
      </c>
      <c r="B2439" s="32">
        <v>41982</v>
      </c>
      <c r="C2439" s="29">
        <v>77</v>
      </c>
      <c r="D2439" s="35">
        <v>77</v>
      </c>
      <c r="E2439" s="35">
        <v>76</v>
      </c>
      <c r="F2439" s="33">
        <v>76.900002000000001</v>
      </c>
      <c r="G2439" s="29">
        <v>-0.26</v>
      </c>
      <c r="H2439" s="29">
        <v>-0.2</v>
      </c>
      <c r="I2439" s="35">
        <v>77.199996999999996</v>
      </c>
      <c r="J2439" s="34">
        <v>5490</v>
      </c>
      <c r="K2439" s="34">
        <v>422500</v>
      </c>
    </row>
    <row r="2440" spans="1:11" hidden="1">
      <c r="A2440" s="29" t="s">
        <v>138</v>
      </c>
      <c r="B2440" s="32">
        <v>41983</v>
      </c>
      <c r="C2440" s="29">
        <v>76</v>
      </c>
      <c r="D2440" s="35">
        <v>79</v>
      </c>
      <c r="E2440" s="35">
        <v>76</v>
      </c>
      <c r="F2440" s="33">
        <v>77</v>
      </c>
      <c r="G2440" s="29">
        <v>0.13</v>
      </c>
      <c r="H2440" s="29">
        <v>0.1</v>
      </c>
      <c r="I2440" s="35">
        <v>76.900002000000001</v>
      </c>
      <c r="J2440" s="34">
        <v>35502</v>
      </c>
      <c r="K2440" s="34">
        <v>2716908</v>
      </c>
    </row>
    <row r="2441" spans="1:11" hidden="1">
      <c r="A2441" s="29" t="s">
        <v>138</v>
      </c>
      <c r="B2441" s="32">
        <v>41984</v>
      </c>
      <c r="C2441" s="29">
        <v>77.5</v>
      </c>
      <c r="D2441" s="35">
        <v>77.5</v>
      </c>
      <c r="E2441" s="35">
        <v>76.199996999999996</v>
      </c>
      <c r="F2441" s="33">
        <v>76.300003000000004</v>
      </c>
      <c r="G2441" s="29">
        <v>-1.04</v>
      </c>
      <c r="H2441" s="29">
        <v>-0.8</v>
      </c>
      <c r="I2441" s="35">
        <v>77</v>
      </c>
      <c r="J2441" s="34">
        <v>9720</v>
      </c>
      <c r="K2441" s="34">
        <v>741600</v>
      </c>
    </row>
    <row r="2442" spans="1:11" hidden="1">
      <c r="A2442" s="29" t="s">
        <v>138</v>
      </c>
      <c r="B2442" s="32">
        <v>41985</v>
      </c>
      <c r="C2442" s="29">
        <v>76.3</v>
      </c>
      <c r="D2442" s="35">
        <v>77</v>
      </c>
      <c r="E2442" s="35">
        <v>76.199996999999996</v>
      </c>
      <c r="F2442" s="33">
        <v>76.199996999999996</v>
      </c>
      <c r="G2442" s="29">
        <v>0</v>
      </c>
      <c r="H2442" s="29">
        <v>0</v>
      </c>
      <c r="I2442" s="35">
        <v>76.300003000000004</v>
      </c>
      <c r="J2442" s="34">
        <v>13970</v>
      </c>
      <c r="K2442" s="34">
        <v>1065562</v>
      </c>
    </row>
    <row r="2443" spans="1:11" hidden="1">
      <c r="A2443" s="29" t="s">
        <v>138</v>
      </c>
      <c r="B2443" s="32">
        <v>41989</v>
      </c>
      <c r="C2443" s="29">
        <v>76.099999999999994</v>
      </c>
      <c r="D2443" s="35">
        <v>77</v>
      </c>
      <c r="E2443" s="35">
        <v>76</v>
      </c>
      <c r="F2443" s="33">
        <v>77</v>
      </c>
      <c r="G2443" s="29">
        <v>-0.26</v>
      </c>
      <c r="H2443" s="29">
        <v>-0.2</v>
      </c>
      <c r="I2443" s="35">
        <v>76.199996999999996</v>
      </c>
      <c r="J2443" s="34">
        <v>47171</v>
      </c>
      <c r="K2443" s="34">
        <v>3626997</v>
      </c>
    </row>
    <row r="2444" spans="1:11" hidden="1">
      <c r="A2444" s="29" t="s">
        <v>138</v>
      </c>
      <c r="B2444" s="32">
        <v>41990</v>
      </c>
      <c r="C2444" s="29">
        <v>76.3</v>
      </c>
      <c r="D2444" s="35">
        <v>76.300003000000004</v>
      </c>
      <c r="E2444" s="35">
        <v>76.3</v>
      </c>
      <c r="F2444" s="33">
        <v>76.300003000000004</v>
      </c>
      <c r="G2444" s="29">
        <v>-0.91</v>
      </c>
      <c r="H2444" s="29">
        <v>-0.7</v>
      </c>
      <c r="I2444" s="35">
        <v>77</v>
      </c>
      <c r="J2444" s="34">
        <v>743</v>
      </c>
      <c r="K2444" s="34">
        <v>56690</v>
      </c>
    </row>
    <row r="2445" spans="1:11" hidden="1">
      <c r="A2445" s="29" t="s">
        <v>138</v>
      </c>
      <c r="B2445" s="32">
        <v>41991</v>
      </c>
      <c r="C2445" s="29">
        <v>78.900000000000006</v>
      </c>
      <c r="D2445" s="35">
        <v>78.900002000000001</v>
      </c>
      <c r="E2445" s="35">
        <v>76.300003000000004</v>
      </c>
      <c r="F2445" s="33">
        <v>76.300003000000004</v>
      </c>
      <c r="G2445" s="29">
        <v>0</v>
      </c>
      <c r="H2445" s="29">
        <v>0</v>
      </c>
      <c r="I2445" s="35">
        <v>76.300003000000004</v>
      </c>
      <c r="J2445" s="34">
        <v>767</v>
      </c>
      <c r="K2445" s="34">
        <v>58548</v>
      </c>
    </row>
    <row r="2446" spans="1:11" hidden="1">
      <c r="A2446" s="29" t="s">
        <v>138</v>
      </c>
      <c r="B2446" s="32">
        <v>41992</v>
      </c>
      <c r="C2446" s="29">
        <v>76.8</v>
      </c>
      <c r="D2446" s="35">
        <v>76.800003000000004</v>
      </c>
      <c r="E2446" s="35">
        <v>76.5</v>
      </c>
      <c r="F2446" s="33">
        <v>76.5</v>
      </c>
      <c r="G2446" s="29">
        <v>0.26</v>
      </c>
      <c r="H2446" s="29">
        <v>0.2</v>
      </c>
      <c r="I2446" s="35">
        <v>76.300003000000004</v>
      </c>
      <c r="J2446" s="34">
        <v>510</v>
      </c>
      <c r="K2446" s="34">
        <v>39023</v>
      </c>
    </row>
    <row r="2447" spans="1:11" hidden="1">
      <c r="A2447" s="29" t="s">
        <v>138</v>
      </c>
      <c r="B2447" s="32">
        <v>41996</v>
      </c>
      <c r="C2447" s="29">
        <v>76.5</v>
      </c>
      <c r="D2447" s="35">
        <v>76.5</v>
      </c>
      <c r="E2447" s="35">
        <v>76.5</v>
      </c>
      <c r="F2447" s="33">
        <v>76.5</v>
      </c>
      <c r="G2447" s="29">
        <v>0</v>
      </c>
      <c r="H2447" s="29">
        <v>0</v>
      </c>
      <c r="I2447" s="35">
        <v>76.5</v>
      </c>
      <c r="J2447" s="34">
        <v>300</v>
      </c>
      <c r="K2447" s="34">
        <v>22950</v>
      </c>
    </row>
    <row r="2448" spans="1:11" hidden="1">
      <c r="A2448" s="29" t="s">
        <v>138</v>
      </c>
      <c r="B2448" s="32">
        <v>41999</v>
      </c>
      <c r="C2448" s="29">
        <v>77</v>
      </c>
      <c r="D2448" s="35">
        <v>77</v>
      </c>
      <c r="E2448" s="35">
        <v>77</v>
      </c>
      <c r="F2448" s="33">
        <v>77</v>
      </c>
      <c r="G2448" s="29">
        <v>0.65</v>
      </c>
      <c r="H2448" s="29">
        <v>0.5</v>
      </c>
      <c r="I2448" s="35">
        <v>76.5</v>
      </c>
      <c r="J2448" s="34">
        <v>200</v>
      </c>
      <c r="K2448" s="34">
        <v>15400</v>
      </c>
    </row>
    <row r="2449" spans="1:11" hidden="1">
      <c r="A2449" s="29" t="s">
        <v>138</v>
      </c>
      <c r="B2449" s="32">
        <v>42002</v>
      </c>
      <c r="C2449" s="29">
        <v>76.5</v>
      </c>
      <c r="D2449" s="35">
        <v>76.5</v>
      </c>
      <c r="E2449" s="35">
        <v>76.5</v>
      </c>
      <c r="F2449" s="33">
        <v>76.5</v>
      </c>
      <c r="G2449" s="29">
        <v>-0.65</v>
      </c>
      <c r="H2449" s="29">
        <v>-0.5</v>
      </c>
      <c r="I2449" s="35">
        <v>77</v>
      </c>
      <c r="J2449" s="34">
        <v>20</v>
      </c>
      <c r="K2449" s="34">
        <v>1530</v>
      </c>
    </row>
    <row r="2450" spans="1:11" hidden="1">
      <c r="A2450" s="29" t="s">
        <v>138</v>
      </c>
      <c r="B2450" s="32">
        <v>42003</v>
      </c>
      <c r="C2450" s="29">
        <v>76.3</v>
      </c>
      <c r="D2450" s="35">
        <v>76.5</v>
      </c>
      <c r="E2450" s="35">
        <v>76.3</v>
      </c>
      <c r="F2450" s="33">
        <v>76.5</v>
      </c>
      <c r="G2450" s="29">
        <v>0</v>
      </c>
      <c r="H2450" s="29">
        <v>0</v>
      </c>
      <c r="I2450" s="35">
        <v>76.5</v>
      </c>
      <c r="J2450" s="34">
        <v>515</v>
      </c>
      <c r="K2450" s="34">
        <v>39374</v>
      </c>
    </row>
    <row r="2451" spans="1:11" hidden="1">
      <c r="A2451" s="29" t="s">
        <v>138</v>
      </c>
      <c r="B2451" s="32">
        <v>42004</v>
      </c>
      <c r="C2451" s="29">
        <v>76.400000000000006</v>
      </c>
      <c r="D2451" s="35">
        <v>76.5</v>
      </c>
      <c r="E2451" s="35">
        <v>76.300003000000004</v>
      </c>
      <c r="F2451" s="33">
        <v>76.400002000000001</v>
      </c>
      <c r="G2451" s="29">
        <v>-0.26</v>
      </c>
      <c r="H2451" s="29">
        <v>-0.2</v>
      </c>
      <c r="I2451" s="35">
        <v>76.5</v>
      </c>
      <c r="J2451" s="34">
        <v>7144</v>
      </c>
      <c r="K2451" s="34">
        <v>545325</v>
      </c>
    </row>
    <row r="2452" spans="1:11" hidden="1">
      <c r="A2452" s="29" t="s">
        <v>138</v>
      </c>
      <c r="B2452" s="32">
        <v>41641</v>
      </c>
      <c r="C2452" s="29">
        <v>66</v>
      </c>
      <c r="D2452" s="35">
        <v>67</v>
      </c>
      <c r="E2452" s="35">
        <v>65</v>
      </c>
      <c r="F2452" s="33">
        <v>65</v>
      </c>
      <c r="G2452" s="29">
        <v>0.15</v>
      </c>
      <c r="H2452" s="29">
        <v>0.1</v>
      </c>
      <c r="I2452" s="35">
        <v>64.900002000000001</v>
      </c>
      <c r="J2452" s="34">
        <v>2201</v>
      </c>
      <c r="K2452" s="34">
        <v>143365</v>
      </c>
    </row>
    <row r="2453" spans="1:11" hidden="1">
      <c r="A2453" s="29" t="s">
        <v>138</v>
      </c>
      <c r="B2453" s="32">
        <v>41642</v>
      </c>
      <c r="C2453" s="29">
        <v>66</v>
      </c>
      <c r="D2453" s="35">
        <v>66</v>
      </c>
      <c r="E2453" s="35">
        <v>65</v>
      </c>
      <c r="F2453" s="33">
        <v>65</v>
      </c>
      <c r="G2453" s="29">
        <v>0</v>
      </c>
      <c r="H2453" s="29">
        <v>0</v>
      </c>
      <c r="I2453" s="35">
        <v>65</v>
      </c>
      <c r="J2453" s="34">
        <v>120388</v>
      </c>
      <c r="K2453" s="34">
        <v>7827134</v>
      </c>
    </row>
    <row r="2454" spans="1:11" hidden="1">
      <c r="A2454" s="29" t="s">
        <v>138</v>
      </c>
      <c r="B2454" s="32">
        <v>41645</v>
      </c>
      <c r="C2454" s="29">
        <v>65</v>
      </c>
      <c r="D2454" s="35">
        <v>65</v>
      </c>
      <c r="E2454" s="35">
        <v>64</v>
      </c>
      <c r="F2454" s="33">
        <v>64.800003000000004</v>
      </c>
      <c r="G2454" s="29">
        <v>0</v>
      </c>
      <c r="H2454" s="29">
        <v>0</v>
      </c>
      <c r="I2454" s="35">
        <v>65</v>
      </c>
      <c r="J2454" s="34">
        <v>26286</v>
      </c>
      <c r="K2454" s="34">
        <v>1703656</v>
      </c>
    </row>
    <row r="2455" spans="1:11" hidden="1">
      <c r="A2455" s="29" t="s">
        <v>138</v>
      </c>
      <c r="B2455" s="32">
        <v>41646</v>
      </c>
      <c r="C2455" s="29">
        <v>64.099999999999994</v>
      </c>
      <c r="D2455" s="35">
        <v>66.900002000000001</v>
      </c>
      <c r="E2455" s="35">
        <v>64.099997999999999</v>
      </c>
      <c r="F2455" s="33">
        <v>66</v>
      </c>
      <c r="G2455" s="29">
        <v>1.85</v>
      </c>
      <c r="H2455" s="29">
        <v>1.2</v>
      </c>
      <c r="I2455" s="35">
        <v>64.800003000000004</v>
      </c>
      <c r="J2455" s="34">
        <v>54074</v>
      </c>
      <c r="K2455" s="34">
        <v>3521898</v>
      </c>
    </row>
    <row r="2456" spans="1:11" hidden="1">
      <c r="A2456" s="29" t="s">
        <v>138</v>
      </c>
      <c r="B2456" s="32">
        <v>41647</v>
      </c>
      <c r="C2456" s="29">
        <v>66.5</v>
      </c>
      <c r="D2456" s="35">
        <v>66.5</v>
      </c>
      <c r="E2456" s="35">
        <v>66.5</v>
      </c>
      <c r="F2456" s="33">
        <v>66.5</v>
      </c>
      <c r="G2456" s="29">
        <v>0.76</v>
      </c>
      <c r="H2456" s="29">
        <v>0.5</v>
      </c>
      <c r="I2456" s="35">
        <v>66</v>
      </c>
      <c r="J2456" s="34">
        <v>523</v>
      </c>
      <c r="K2456" s="34">
        <v>34779</v>
      </c>
    </row>
    <row r="2457" spans="1:11" hidden="1">
      <c r="A2457" s="29" t="s">
        <v>138</v>
      </c>
      <c r="B2457" s="32">
        <v>41648</v>
      </c>
      <c r="C2457" s="29">
        <v>66.5</v>
      </c>
      <c r="D2457" s="35">
        <v>67</v>
      </c>
      <c r="E2457" s="35">
        <v>66.5</v>
      </c>
      <c r="F2457" s="33">
        <v>67</v>
      </c>
      <c r="G2457" s="29">
        <v>0.75</v>
      </c>
      <c r="H2457" s="29">
        <v>0.5</v>
      </c>
      <c r="I2457" s="35">
        <v>66.5</v>
      </c>
      <c r="J2457" s="34">
        <v>3353</v>
      </c>
      <c r="K2457" s="34">
        <v>224281</v>
      </c>
    </row>
    <row r="2458" spans="1:11" hidden="1">
      <c r="A2458" s="29" t="s">
        <v>138</v>
      </c>
      <c r="B2458" s="32">
        <v>41649</v>
      </c>
      <c r="C2458" s="29">
        <v>67</v>
      </c>
      <c r="D2458" s="35">
        <v>69.900002000000001</v>
      </c>
      <c r="E2458" s="35">
        <v>67</v>
      </c>
      <c r="F2458" s="33">
        <v>69.300003000000004</v>
      </c>
      <c r="G2458" s="29">
        <v>4.33</v>
      </c>
      <c r="H2458" s="29">
        <v>2.9</v>
      </c>
      <c r="I2458" s="35">
        <v>67</v>
      </c>
      <c r="J2458" s="34">
        <v>45895</v>
      </c>
      <c r="K2458" s="34">
        <v>3161704</v>
      </c>
    </row>
    <row r="2459" spans="1:11" hidden="1">
      <c r="A2459" s="29" t="s">
        <v>138</v>
      </c>
      <c r="B2459" s="32">
        <v>41652</v>
      </c>
      <c r="C2459" s="29">
        <v>69.900000000000006</v>
      </c>
      <c r="D2459" s="35">
        <v>70</v>
      </c>
      <c r="E2459" s="35">
        <v>69</v>
      </c>
      <c r="F2459" s="33">
        <v>69</v>
      </c>
      <c r="G2459" s="29">
        <v>-0.43</v>
      </c>
      <c r="H2459" s="29">
        <v>-0.3</v>
      </c>
      <c r="I2459" s="35">
        <v>69.300003000000004</v>
      </c>
      <c r="J2459" s="34">
        <v>30202</v>
      </c>
      <c r="K2459" s="34">
        <v>2113623</v>
      </c>
    </row>
    <row r="2460" spans="1:11" hidden="1">
      <c r="A2460" s="29" t="s">
        <v>138</v>
      </c>
      <c r="B2460" s="32">
        <v>41655</v>
      </c>
      <c r="C2460" s="29">
        <v>70</v>
      </c>
      <c r="D2460" s="35">
        <v>70</v>
      </c>
      <c r="E2460" s="35">
        <v>69</v>
      </c>
      <c r="F2460" s="33">
        <v>69</v>
      </c>
      <c r="G2460" s="29">
        <v>0</v>
      </c>
      <c r="H2460" s="29">
        <v>0</v>
      </c>
      <c r="I2460" s="35">
        <v>69</v>
      </c>
      <c r="J2460" s="34">
        <v>15800</v>
      </c>
      <c r="K2460" s="34">
        <v>1100200</v>
      </c>
    </row>
    <row r="2461" spans="1:11" hidden="1">
      <c r="A2461" s="29" t="s">
        <v>138</v>
      </c>
      <c r="B2461" s="32">
        <v>41656</v>
      </c>
      <c r="C2461" s="29">
        <v>69</v>
      </c>
      <c r="D2461" s="35">
        <v>70</v>
      </c>
      <c r="E2461" s="35">
        <v>66.099997999999999</v>
      </c>
      <c r="F2461" s="33">
        <v>70</v>
      </c>
      <c r="G2461" s="29">
        <v>1.45</v>
      </c>
      <c r="H2461" s="29">
        <v>1</v>
      </c>
      <c r="I2461" s="35">
        <v>69</v>
      </c>
      <c r="J2461" s="34">
        <v>21103</v>
      </c>
      <c r="K2461" s="34">
        <v>1474497</v>
      </c>
    </row>
    <row r="2462" spans="1:11" hidden="1">
      <c r="A2462" s="29" t="s">
        <v>138</v>
      </c>
      <c r="B2462" s="32">
        <v>41659</v>
      </c>
      <c r="C2462" s="29">
        <v>68</v>
      </c>
      <c r="D2462" s="35">
        <v>68</v>
      </c>
      <c r="E2462" s="35">
        <v>68</v>
      </c>
      <c r="F2462" s="33">
        <v>68</v>
      </c>
      <c r="G2462" s="29">
        <v>-2.86</v>
      </c>
      <c r="H2462" s="29">
        <v>-2</v>
      </c>
      <c r="I2462" s="35">
        <v>70</v>
      </c>
      <c r="J2462" s="34">
        <v>300</v>
      </c>
      <c r="K2462" s="34">
        <v>20400</v>
      </c>
    </row>
    <row r="2463" spans="1:11" hidden="1">
      <c r="A2463" s="29" t="s">
        <v>138</v>
      </c>
      <c r="B2463" s="32">
        <v>41661</v>
      </c>
      <c r="C2463" s="29">
        <v>68</v>
      </c>
      <c r="D2463" s="35">
        <v>74</v>
      </c>
      <c r="E2463" s="35">
        <v>68</v>
      </c>
      <c r="F2463" s="33">
        <v>73.099997999999999</v>
      </c>
      <c r="G2463" s="29">
        <v>4.41</v>
      </c>
      <c r="H2463" s="29">
        <v>3</v>
      </c>
      <c r="I2463" s="35">
        <v>68</v>
      </c>
      <c r="J2463" s="34">
        <v>48020</v>
      </c>
      <c r="K2463" s="34">
        <v>3391410</v>
      </c>
    </row>
    <row r="2464" spans="1:11" hidden="1">
      <c r="A2464" s="29" t="s">
        <v>138</v>
      </c>
      <c r="B2464" s="32">
        <v>41662</v>
      </c>
      <c r="C2464" s="29">
        <v>72.900000000000006</v>
      </c>
      <c r="D2464" s="35">
        <v>73.900002000000001</v>
      </c>
      <c r="E2464" s="35">
        <v>72.900000000000006</v>
      </c>
      <c r="F2464" s="33">
        <v>73.800003000000004</v>
      </c>
      <c r="G2464" s="29">
        <v>1.0900000000000001</v>
      </c>
      <c r="H2464" s="29">
        <v>0.8</v>
      </c>
      <c r="I2464" s="35">
        <v>73.099997999999999</v>
      </c>
      <c r="J2464" s="34">
        <v>1000</v>
      </c>
      <c r="K2464" s="34">
        <v>73800</v>
      </c>
    </row>
    <row r="2465" spans="1:11" hidden="1">
      <c r="A2465" s="29" t="s">
        <v>138</v>
      </c>
      <c r="B2465" s="32">
        <v>41663</v>
      </c>
      <c r="C2465" s="29">
        <v>72.8</v>
      </c>
      <c r="D2465" s="35">
        <v>73</v>
      </c>
      <c r="E2465" s="35">
        <v>72.300003000000004</v>
      </c>
      <c r="F2465" s="33">
        <v>72.699996999999996</v>
      </c>
      <c r="G2465" s="29">
        <v>-1.08</v>
      </c>
      <c r="H2465" s="29">
        <v>-0.8</v>
      </c>
      <c r="I2465" s="35">
        <v>73.800003000000004</v>
      </c>
      <c r="J2465" s="34">
        <v>48190</v>
      </c>
      <c r="K2465" s="34">
        <v>3510197</v>
      </c>
    </row>
    <row r="2466" spans="1:11" hidden="1">
      <c r="A2466" s="29" t="s">
        <v>138</v>
      </c>
      <c r="B2466" s="32">
        <v>41666</v>
      </c>
      <c r="C2466" s="29">
        <v>70.2</v>
      </c>
      <c r="D2466" s="35">
        <v>70.2</v>
      </c>
      <c r="E2466" s="35">
        <v>70</v>
      </c>
      <c r="F2466" s="33">
        <v>70.099997999999999</v>
      </c>
      <c r="G2466" s="29">
        <v>-3.71</v>
      </c>
      <c r="H2466" s="29">
        <v>-2.7</v>
      </c>
      <c r="I2466" s="35">
        <v>72.699996999999996</v>
      </c>
      <c r="J2466" s="34">
        <v>1698</v>
      </c>
      <c r="K2466" s="34">
        <v>119062</v>
      </c>
    </row>
    <row r="2467" spans="1:11" hidden="1">
      <c r="A2467" s="29" t="s">
        <v>138</v>
      </c>
      <c r="B2467" s="32">
        <v>41667</v>
      </c>
      <c r="C2467" s="29">
        <v>71.3</v>
      </c>
      <c r="D2467" s="35">
        <v>71.5</v>
      </c>
      <c r="E2467" s="35">
        <v>71.3</v>
      </c>
      <c r="F2467" s="33">
        <v>71.5</v>
      </c>
      <c r="G2467" s="29">
        <v>2</v>
      </c>
      <c r="H2467" s="29">
        <v>1.4</v>
      </c>
      <c r="I2467" s="35">
        <v>70.099997999999999</v>
      </c>
      <c r="J2467" s="34">
        <v>809</v>
      </c>
      <c r="K2467" s="34">
        <v>57843</v>
      </c>
    </row>
    <row r="2468" spans="1:11" hidden="1">
      <c r="A2468" s="29" t="s">
        <v>138</v>
      </c>
      <c r="B2468" s="32">
        <v>41668</v>
      </c>
      <c r="C2468" s="29">
        <v>71</v>
      </c>
      <c r="D2468" s="35">
        <v>71</v>
      </c>
      <c r="E2468" s="35">
        <v>71</v>
      </c>
      <c r="F2468" s="33">
        <v>71</v>
      </c>
      <c r="G2468" s="29">
        <v>-0.7</v>
      </c>
      <c r="H2468" s="29">
        <v>-0.5</v>
      </c>
      <c r="I2468" s="35">
        <v>71.5</v>
      </c>
      <c r="J2468" s="34">
        <v>15800</v>
      </c>
      <c r="K2468" s="34">
        <v>1121800</v>
      </c>
    </row>
    <row r="2469" spans="1:11" hidden="1">
      <c r="A2469" s="29" t="s">
        <v>138</v>
      </c>
      <c r="B2469" s="32">
        <v>41669</v>
      </c>
      <c r="C2469" s="29">
        <v>70</v>
      </c>
      <c r="D2469" s="35">
        <v>70</v>
      </c>
      <c r="E2469" s="35">
        <v>70</v>
      </c>
      <c r="F2469" s="33">
        <v>70</v>
      </c>
      <c r="G2469" s="29">
        <v>-1.41</v>
      </c>
      <c r="H2469" s="29">
        <v>-1</v>
      </c>
      <c r="I2469" s="35">
        <v>71</v>
      </c>
      <c r="J2469" s="34">
        <v>100</v>
      </c>
      <c r="K2469" s="34">
        <v>7000</v>
      </c>
    </row>
    <row r="2470" spans="1:11" hidden="1">
      <c r="A2470" s="29" t="s">
        <v>138</v>
      </c>
      <c r="B2470" s="32">
        <v>41670</v>
      </c>
      <c r="C2470" s="29">
        <v>70</v>
      </c>
      <c r="D2470" s="35">
        <v>70</v>
      </c>
      <c r="E2470" s="35">
        <v>69</v>
      </c>
      <c r="F2470" s="33">
        <v>69</v>
      </c>
      <c r="G2470" s="29">
        <v>0</v>
      </c>
      <c r="H2470" s="29">
        <v>0</v>
      </c>
      <c r="I2470" s="35">
        <v>70</v>
      </c>
      <c r="J2470" s="34">
        <v>11101</v>
      </c>
      <c r="K2470" s="34">
        <v>776970</v>
      </c>
    </row>
    <row r="2471" spans="1:11" hidden="1">
      <c r="A2471" s="29" t="s">
        <v>138</v>
      </c>
      <c r="B2471" s="32">
        <v>41673</v>
      </c>
      <c r="C2471" s="29">
        <v>69.5</v>
      </c>
      <c r="D2471" s="35">
        <v>69.5</v>
      </c>
      <c r="E2471" s="35">
        <v>69.5</v>
      </c>
      <c r="F2471" s="33">
        <v>69.5</v>
      </c>
      <c r="G2471" s="29">
        <v>0.72</v>
      </c>
      <c r="H2471" s="29">
        <v>0.5</v>
      </c>
      <c r="I2471" s="35">
        <v>69</v>
      </c>
      <c r="J2471" s="34">
        <v>800</v>
      </c>
      <c r="K2471" s="34">
        <v>55600</v>
      </c>
    </row>
    <row r="2472" spans="1:11" hidden="1">
      <c r="A2472" s="29" t="s">
        <v>138</v>
      </c>
      <c r="B2472" s="32">
        <v>41675</v>
      </c>
      <c r="C2472" s="29">
        <v>69</v>
      </c>
      <c r="D2472" s="35">
        <v>69</v>
      </c>
      <c r="E2472" s="35">
        <v>69</v>
      </c>
      <c r="F2472" s="33">
        <v>69</v>
      </c>
      <c r="G2472" s="29">
        <v>-0.72</v>
      </c>
      <c r="H2472" s="29">
        <v>-0.5</v>
      </c>
      <c r="I2472" s="35">
        <v>69.5</v>
      </c>
      <c r="J2472" s="34">
        <v>1205</v>
      </c>
      <c r="K2472" s="34">
        <v>83145</v>
      </c>
    </row>
    <row r="2473" spans="1:11" hidden="1">
      <c r="A2473" s="29" t="s">
        <v>138</v>
      </c>
      <c r="B2473" s="32">
        <v>41676</v>
      </c>
      <c r="C2473" s="29">
        <v>68</v>
      </c>
      <c r="D2473" s="35">
        <v>69</v>
      </c>
      <c r="E2473" s="35">
        <v>68</v>
      </c>
      <c r="F2473" s="33">
        <v>68</v>
      </c>
      <c r="G2473" s="29">
        <v>-1.45</v>
      </c>
      <c r="H2473" s="29">
        <v>-1</v>
      </c>
      <c r="I2473" s="35">
        <v>69</v>
      </c>
      <c r="J2473" s="34">
        <v>1528</v>
      </c>
      <c r="K2473" s="34">
        <v>103909</v>
      </c>
    </row>
    <row r="2474" spans="1:11" hidden="1">
      <c r="A2474" s="29" t="s">
        <v>138</v>
      </c>
      <c r="B2474" s="32">
        <v>41680</v>
      </c>
      <c r="C2474" s="29">
        <v>65.099999999999994</v>
      </c>
      <c r="D2474" s="35">
        <v>65.5</v>
      </c>
      <c r="E2474" s="35">
        <v>65.099997999999999</v>
      </c>
      <c r="F2474" s="33">
        <v>65.5</v>
      </c>
      <c r="G2474" s="29">
        <v>-3.68</v>
      </c>
      <c r="H2474" s="29">
        <v>-2.5</v>
      </c>
      <c r="I2474" s="35">
        <v>68</v>
      </c>
      <c r="J2474" s="34">
        <v>10027</v>
      </c>
      <c r="K2474" s="34">
        <v>654223</v>
      </c>
    </row>
    <row r="2475" spans="1:11" hidden="1">
      <c r="A2475" s="29" t="s">
        <v>138</v>
      </c>
      <c r="B2475" s="32">
        <v>41682</v>
      </c>
      <c r="C2475" s="29">
        <v>64.7</v>
      </c>
      <c r="D2475" s="35">
        <v>65</v>
      </c>
      <c r="E2475" s="35">
        <v>64.699996999999996</v>
      </c>
      <c r="F2475" s="33">
        <v>64.800003000000004</v>
      </c>
      <c r="G2475" s="29">
        <v>-0.76</v>
      </c>
      <c r="H2475" s="29">
        <v>-0.5</v>
      </c>
      <c r="I2475" s="35">
        <v>65.5</v>
      </c>
      <c r="J2475" s="34">
        <v>3020</v>
      </c>
      <c r="K2475" s="34">
        <v>195700</v>
      </c>
    </row>
    <row r="2476" spans="1:11" hidden="1">
      <c r="A2476" s="29" t="s">
        <v>138</v>
      </c>
      <c r="B2476" s="32">
        <v>41683</v>
      </c>
      <c r="C2476" s="29">
        <v>65</v>
      </c>
      <c r="D2476" s="35">
        <v>65</v>
      </c>
      <c r="E2476" s="35">
        <v>65</v>
      </c>
      <c r="F2476" s="33">
        <v>65</v>
      </c>
      <c r="G2476" s="29">
        <v>0.31</v>
      </c>
      <c r="H2476" s="29">
        <v>0.2</v>
      </c>
      <c r="I2476" s="35">
        <v>64.800003000000004</v>
      </c>
      <c r="J2476" s="34">
        <v>2000</v>
      </c>
      <c r="K2476" s="34">
        <v>130000</v>
      </c>
    </row>
    <row r="2477" spans="1:11" hidden="1">
      <c r="A2477" s="29" t="s">
        <v>138</v>
      </c>
      <c r="B2477" s="32">
        <v>41687</v>
      </c>
      <c r="C2477" s="29">
        <v>65</v>
      </c>
      <c r="D2477" s="35">
        <v>65</v>
      </c>
      <c r="E2477" s="35">
        <v>64.5</v>
      </c>
      <c r="F2477" s="33">
        <v>64.5</v>
      </c>
      <c r="G2477" s="29">
        <v>-0.77</v>
      </c>
      <c r="H2477" s="29">
        <v>-0.5</v>
      </c>
      <c r="I2477" s="35">
        <v>65</v>
      </c>
      <c r="J2477" s="34">
        <v>5200</v>
      </c>
      <c r="K2477" s="34">
        <v>336650</v>
      </c>
    </row>
    <row r="2478" spans="1:11" hidden="1">
      <c r="A2478" s="29" t="s">
        <v>138</v>
      </c>
      <c r="B2478" s="32">
        <v>41689</v>
      </c>
      <c r="C2478" s="29">
        <v>64</v>
      </c>
      <c r="D2478" s="35">
        <v>64</v>
      </c>
      <c r="E2478" s="35">
        <v>63.099997999999999</v>
      </c>
      <c r="F2478" s="33">
        <v>64</v>
      </c>
      <c r="G2478" s="29">
        <v>-2.17</v>
      </c>
      <c r="H2478" s="29">
        <v>-1.4</v>
      </c>
      <c r="I2478" s="35">
        <v>64.5</v>
      </c>
      <c r="J2478" s="34">
        <v>6801</v>
      </c>
      <c r="K2478" s="34">
        <v>435263</v>
      </c>
    </row>
    <row r="2479" spans="1:11" hidden="1">
      <c r="A2479" s="29" t="s">
        <v>138</v>
      </c>
      <c r="B2479" s="32">
        <v>41690</v>
      </c>
      <c r="C2479" s="29">
        <v>63.1</v>
      </c>
      <c r="D2479" s="35">
        <v>64</v>
      </c>
      <c r="E2479" s="35">
        <v>63.099997999999999</v>
      </c>
      <c r="F2479" s="33">
        <v>64</v>
      </c>
      <c r="G2479" s="29">
        <v>0</v>
      </c>
      <c r="H2479" s="29">
        <v>0</v>
      </c>
      <c r="I2479" s="35">
        <v>64</v>
      </c>
      <c r="J2479" s="34">
        <v>108</v>
      </c>
      <c r="K2479" s="34">
        <v>6822</v>
      </c>
    </row>
    <row r="2480" spans="1:11" hidden="1">
      <c r="A2480" s="29" t="s">
        <v>138</v>
      </c>
      <c r="B2480" s="32">
        <v>41691</v>
      </c>
      <c r="C2480" s="29">
        <v>63.6</v>
      </c>
      <c r="D2480" s="35">
        <v>64</v>
      </c>
      <c r="E2480" s="35">
        <v>63</v>
      </c>
      <c r="F2480" s="33">
        <v>64</v>
      </c>
      <c r="G2480" s="29">
        <v>0</v>
      </c>
      <c r="H2480" s="29">
        <v>0</v>
      </c>
      <c r="I2480" s="35">
        <v>64</v>
      </c>
      <c r="J2480" s="34">
        <v>59070</v>
      </c>
      <c r="K2480" s="34">
        <v>3722920</v>
      </c>
    </row>
    <row r="2481" spans="1:11" hidden="1">
      <c r="A2481" s="29" t="s">
        <v>138</v>
      </c>
      <c r="B2481" s="32">
        <v>41694</v>
      </c>
      <c r="C2481" s="29">
        <v>62.1</v>
      </c>
      <c r="D2481" s="35">
        <v>64.5</v>
      </c>
      <c r="E2481" s="35">
        <v>62</v>
      </c>
      <c r="F2481" s="33">
        <v>62</v>
      </c>
      <c r="G2481" s="29">
        <v>0.78</v>
      </c>
      <c r="H2481" s="29">
        <v>0.5</v>
      </c>
      <c r="I2481" s="35">
        <v>64</v>
      </c>
      <c r="J2481" s="34">
        <v>34610</v>
      </c>
      <c r="K2481" s="34">
        <v>2146090</v>
      </c>
    </row>
    <row r="2482" spans="1:11" hidden="1">
      <c r="A2482" s="29" t="s">
        <v>138</v>
      </c>
      <c r="B2482" s="32">
        <v>41695</v>
      </c>
      <c r="C2482" s="29">
        <v>62</v>
      </c>
      <c r="D2482" s="35">
        <v>62</v>
      </c>
      <c r="E2482" s="35">
        <v>60</v>
      </c>
      <c r="F2482" s="33">
        <v>60.099997999999999</v>
      </c>
      <c r="G2482" s="29">
        <v>-0.32</v>
      </c>
      <c r="H2482" s="29">
        <v>-0.2</v>
      </c>
      <c r="I2482" s="35">
        <v>62</v>
      </c>
      <c r="J2482" s="34">
        <v>136749</v>
      </c>
      <c r="K2482" s="34">
        <v>8235328</v>
      </c>
    </row>
    <row r="2483" spans="1:11" hidden="1">
      <c r="A2483" s="29" t="s">
        <v>138</v>
      </c>
      <c r="B2483" s="32">
        <v>41696</v>
      </c>
      <c r="C2483" s="29">
        <v>60</v>
      </c>
      <c r="D2483" s="35">
        <v>64.400002000000001</v>
      </c>
      <c r="E2483" s="35">
        <v>60</v>
      </c>
      <c r="F2483" s="33">
        <v>60.099997999999999</v>
      </c>
      <c r="G2483" s="29">
        <v>0.17</v>
      </c>
      <c r="H2483" s="29">
        <v>0.1</v>
      </c>
      <c r="I2483" s="35">
        <v>60.099997999999999</v>
      </c>
      <c r="J2483" s="34">
        <v>37443</v>
      </c>
      <c r="K2483" s="34">
        <v>2246810</v>
      </c>
    </row>
    <row r="2484" spans="1:11" hidden="1">
      <c r="A2484" s="29" t="s">
        <v>138</v>
      </c>
      <c r="B2484" s="32">
        <v>41698</v>
      </c>
      <c r="C2484" s="29">
        <v>62.5</v>
      </c>
      <c r="D2484" s="35">
        <v>63.900002000000001</v>
      </c>
      <c r="E2484" s="35">
        <v>62.5</v>
      </c>
      <c r="F2484" s="33">
        <v>63.900002000000001</v>
      </c>
      <c r="G2484" s="29">
        <v>6.32</v>
      </c>
      <c r="H2484" s="29">
        <v>3.8</v>
      </c>
      <c r="I2484" s="35">
        <v>60.099997999999999</v>
      </c>
      <c r="J2484" s="34">
        <v>2520</v>
      </c>
      <c r="K2484" s="34">
        <v>157528</v>
      </c>
    </row>
    <row r="2485" spans="1:11" hidden="1">
      <c r="A2485" s="29" t="s">
        <v>138</v>
      </c>
      <c r="B2485" s="32">
        <v>41701</v>
      </c>
      <c r="C2485" s="29">
        <v>62.5</v>
      </c>
      <c r="D2485" s="35">
        <v>62.5</v>
      </c>
      <c r="E2485" s="35">
        <v>62.5</v>
      </c>
      <c r="F2485" s="33">
        <v>62.5</v>
      </c>
      <c r="G2485" s="29">
        <v>-2.19</v>
      </c>
      <c r="H2485" s="29">
        <v>-1.4</v>
      </c>
      <c r="I2485" s="35">
        <v>63.900002000000001</v>
      </c>
      <c r="J2485" s="34">
        <v>300</v>
      </c>
      <c r="K2485" s="34">
        <v>18750</v>
      </c>
    </row>
    <row r="2486" spans="1:11" hidden="1">
      <c r="A2486" s="29" t="s">
        <v>138</v>
      </c>
      <c r="B2486" s="32">
        <v>41702</v>
      </c>
      <c r="C2486" s="29">
        <v>62.5</v>
      </c>
      <c r="D2486" s="35">
        <v>62.5</v>
      </c>
      <c r="E2486" s="35">
        <v>62.5</v>
      </c>
      <c r="F2486" s="33">
        <v>62.5</v>
      </c>
      <c r="G2486" s="29">
        <v>0</v>
      </c>
      <c r="H2486" s="29">
        <v>0</v>
      </c>
      <c r="I2486" s="35">
        <v>62.5</v>
      </c>
      <c r="J2486" s="34">
        <v>2200</v>
      </c>
      <c r="K2486" s="34">
        <v>137500</v>
      </c>
    </row>
    <row r="2487" spans="1:11" hidden="1">
      <c r="A2487" s="29" t="s">
        <v>138</v>
      </c>
      <c r="B2487" s="32">
        <v>41703</v>
      </c>
      <c r="C2487" s="29">
        <v>62.5</v>
      </c>
      <c r="D2487" s="35">
        <v>62.5</v>
      </c>
      <c r="E2487" s="35">
        <v>62.5</v>
      </c>
      <c r="F2487" s="33">
        <v>62.5</v>
      </c>
      <c r="G2487" s="29">
        <v>0</v>
      </c>
      <c r="H2487" s="29">
        <v>0</v>
      </c>
      <c r="I2487" s="35">
        <v>62.5</v>
      </c>
      <c r="J2487" s="34">
        <v>100</v>
      </c>
      <c r="K2487" s="34">
        <v>6250</v>
      </c>
    </row>
    <row r="2488" spans="1:11" hidden="1">
      <c r="A2488" s="29" t="s">
        <v>138</v>
      </c>
      <c r="B2488" s="32">
        <v>41705</v>
      </c>
      <c r="C2488" s="29">
        <v>62</v>
      </c>
      <c r="D2488" s="35">
        <v>63</v>
      </c>
      <c r="E2488" s="35">
        <v>62</v>
      </c>
      <c r="F2488" s="33">
        <v>63</v>
      </c>
      <c r="G2488" s="29">
        <v>0.8</v>
      </c>
      <c r="H2488" s="29">
        <v>0.5</v>
      </c>
      <c r="I2488" s="35">
        <v>62.5</v>
      </c>
      <c r="J2488" s="34">
        <v>67355</v>
      </c>
      <c r="K2488" s="34">
        <v>4240484</v>
      </c>
    </row>
    <row r="2489" spans="1:11" hidden="1">
      <c r="A2489" s="29" t="s">
        <v>138</v>
      </c>
      <c r="B2489" s="32">
        <v>41708</v>
      </c>
      <c r="C2489" s="29">
        <v>63</v>
      </c>
      <c r="D2489" s="35">
        <v>63</v>
      </c>
      <c r="E2489" s="35">
        <v>62</v>
      </c>
      <c r="F2489" s="33">
        <v>62.099997999999999</v>
      </c>
      <c r="G2489" s="29">
        <v>-1.59</v>
      </c>
      <c r="H2489" s="29">
        <v>-1</v>
      </c>
      <c r="I2489" s="35">
        <v>63</v>
      </c>
      <c r="J2489" s="34">
        <v>500</v>
      </c>
      <c r="K2489" s="34">
        <v>31130</v>
      </c>
    </row>
    <row r="2490" spans="1:11" hidden="1">
      <c r="A2490" s="29" t="s">
        <v>138</v>
      </c>
      <c r="B2490" s="32">
        <v>41709</v>
      </c>
      <c r="C2490" s="29">
        <v>62</v>
      </c>
      <c r="D2490" s="35">
        <v>62</v>
      </c>
      <c r="E2490" s="35">
        <v>60.200001</v>
      </c>
      <c r="F2490" s="33">
        <v>60.299999</v>
      </c>
      <c r="G2490" s="29">
        <v>-0.16</v>
      </c>
      <c r="H2490" s="29">
        <v>-0.1</v>
      </c>
      <c r="I2490" s="35">
        <v>62.099997999999999</v>
      </c>
      <c r="J2490" s="34">
        <v>7825</v>
      </c>
      <c r="K2490" s="34">
        <v>472227</v>
      </c>
    </row>
    <row r="2491" spans="1:11" hidden="1">
      <c r="A2491" s="29" t="s">
        <v>138</v>
      </c>
      <c r="B2491" s="32">
        <v>41710</v>
      </c>
      <c r="C2491" s="29">
        <v>62</v>
      </c>
      <c r="D2491" s="35">
        <v>62</v>
      </c>
      <c r="E2491" s="35">
        <v>60.5</v>
      </c>
      <c r="F2491" s="33">
        <v>60.5</v>
      </c>
      <c r="G2491" s="29">
        <v>0.33</v>
      </c>
      <c r="H2491" s="29">
        <v>0.2</v>
      </c>
      <c r="I2491" s="35">
        <v>60.299999</v>
      </c>
      <c r="J2491" s="34">
        <v>49</v>
      </c>
      <c r="K2491" s="34">
        <v>3030</v>
      </c>
    </row>
    <row r="2492" spans="1:11" hidden="1">
      <c r="A2492" s="29" t="s">
        <v>138</v>
      </c>
      <c r="B2492" s="32">
        <v>41711</v>
      </c>
      <c r="C2492" s="29">
        <v>62</v>
      </c>
      <c r="D2492" s="35">
        <v>62</v>
      </c>
      <c r="E2492" s="35">
        <v>61</v>
      </c>
      <c r="F2492" s="33">
        <v>61.700001</v>
      </c>
      <c r="G2492" s="29">
        <v>0.83</v>
      </c>
      <c r="H2492" s="29">
        <v>0.5</v>
      </c>
      <c r="I2492" s="35">
        <v>60.5</v>
      </c>
      <c r="J2492" s="34">
        <v>2256</v>
      </c>
      <c r="K2492" s="34">
        <v>139272</v>
      </c>
    </row>
    <row r="2493" spans="1:11" hidden="1">
      <c r="A2493" s="29" t="s">
        <v>138</v>
      </c>
      <c r="B2493" s="32">
        <v>41712</v>
      </c>
      <c r="C2493" s="29">
        <v>61</v>
      </c>
      <c r="D2493" s="35">
        <v>61.099997999999999</v>
      </c>
      <c r="E2493" s="35">
        <v>61</v>
      </c>
      <c r="F2493" s="33">
        <v>61.099997999999999</v>
      </c>
      <c r="G2493" s="29">
        <v>-0.97</v>
      </c>
      <c r="H2493" s="29">
        <v>-0.6</v>
      </c>
      <c r="I2493" s="35">
        <v>61.700001</v>
      </c>
      <c r="J2493" s="34">
        <v>1241</v>
      </c>
      <c r="K2493" s="34">
        <v>75711</v>
      </c>
    </row>
    <row r="2494" spans="1:11" hidden="1">
      <c r="A2494" s="29" t="s">
        <v>138</v>
      </c>
      <c r="B2494" s="32">
        <v>41715</v>
      </c>
      <c r="C2494" s="29">
        <v>61</v>
      </c>
      <c r="D2494" s="35">
        <v>61.700001</v>
      </c>
      <c r="E2494" s="35">
        <v>61</v>
      </c>
      <c r="F2494" s="33">
        <v>61.700001</v>
      </c>
      <c r="G2494" s="29">
        <v>0.98</v>
      </c>
      <c r="H2494" s="29">
        <v>0.6</v>
      </c>
      <c r="I2494" s="35">
        <v>61.099997999999999</v>
      </c>
      <c r="J2494" s="34">
        <v>1020</v>
      </c>
      <c r="K2494" s="34">
        <v>62234</v>
      </c>
    </row>
    <row r="2495" spans="1:11" hidden="1">
      <c r="A2495" s="29" t="s">
        <v>138</v>
      </c>
      <c r="B2495" s="32">
        <v>41716</v>
      </c>
      <c r="C2495" s="29">
        <v>62</v>
      </c>
      <c r="D2495" s="35">
        <v>63.799999</v>
      </c>
      <c r="E2495" s="35">
        <v>62</v>
      </c>
      <c r="F2495" s="33">
        <v>63.799999</v>
      </c>
      <c r="G2495" s="29">
        <v>3.4</v>
      </c>
      <c r="H2495" s="29">
        <v>2.1</v>
      </c>
      <c r="I2495" s="35">
        <v>61.700001</v>
      </c>
      <c r="J2495" s="34">
        <v>1660</v>
      </c>
      <c r="K2495" s="34">
        <v>103044</v>
      </c>
    </row>
    <row r="2496" spans="1:11" hidden="1">
      <c r="A2496" s="29" t="s">
        <v>138</v>
      </c>
      <c r="B2496" s="32">
        <v>41717</v>
      </c>
      <c r="C2496" s="29">
        <v>61.2</v>
      </c>
      <c r="D2496" s="35">
        <v>63</v>
      </c>
      <c r="E2496" s="35">
        <v>61.099997999999999</v>
      </c>
      <c r="F2496" s="33">
        <v>61.400002000000001</v>
      </c>
      <c r="G2496" s="29">
        <v>-2.82</v>
      </c>
      <c r="H2496" s="29">
        <v>-1.8</v>
      </c>
      <c r="I2496" s="35">
        <v>63.799999</v>
      </c>
      <c r="J2496" s="34">
        <v>8257</v>
      </c>
      <c r="K2496" s="34">
        <v>511731</v>
      </c>
    </row>
    <row r="2497" spans="1:11" hidden="1">
      <c r="A2497" s="29" t="s">
        <v>138</v>
      </c>
      <c r="B2497" s="32">
        <v>41718</v>
      </c>
      <c r="C2497" s="29">
        <v>62</v>
      </c>
      <c r="D2497" s="35">
        <v>62</v>
      </c>
      <c r="E2497" s="35">
        <v>61.599997999999999</v>
      </c>
      <c r="F2497" s="33">
        <v>61.900002000000001</v>
      </c>
      <c r="G2497" s="29">
        <v>0.33</v>
      </c>
      <c r="H2497" s="29">
        <v>0.2</v>
      </c>
      <c r="I2497" s="35">
        <v>61.400002000000001</v>
      </c>
      <c r="J2497" s="34">
        <v>3479</v>
      </c>
      <c r="K2497" s="34">
        <v>215298</v>
      </c>
    </row>
    <row r="2498" spans="1:11" hidden="1">
      <c r="A2498" s="29" t="s">
        <v>138</v>
      </c>
      <c r="B2498" s="32">
        <v>41719</v>
      </c>
      <c r="C2498" s="29">
        <v>62</v>
      </c>
      <c r="D2498" s="35">
        <v>62</v>
      </c>
      <c r="E2498" s="35">
        <v>62</v>
      </c>
      <c r="F2498" s="33">
        <v>62</v>
      </c>
      <c r="G2498" s="29">
        <v>0.16</v>
      </c>
      <c r="H2498" s="29">
        <v>0.1</v>
      </c>
      <c r="I2498" s="35">
        <v>61.900002000000001</v>
      </c>
      <c r="J2498" s="34">
        <v>10700</v>
      </c>
      <c r="K2498" s="34">
        <v>663400</v>
      </c>
    </row>
    <row r="2499" spans="1:11" hidden="1">
      <c r="A2499" s="29" t="s">
        <v>138</v>
      </c>
      <c r="B2499" s="32">
        <v>41722</v>
      </c>
      <c r="C2499" s="29">
        <v>61.5</v>
      </c>
      <c r="D2499" s="35">
        <v>61.5</v>
      </c>
      <c r="E2499" s="35">
        <v>61.5</v>
      </c>
      <c r="F2499" s="33">
        <v>61.5</v>
      </c>
      <c r="G2499" s="29">
        <v>-0.81</v>
      </c>
      <c r="H2499" s="29">
        <v>-0.5</v>
      </c>
      <c r="I2499" s="35">
        <v>62</v>
      </c>
      <c r="J2499" s="34">
        <v>550</v>
      </c>
      <c r="K2499" s="34">
        <v>33825</v>
      </c>
    </row>
    <row r="2500" spans="1:11" hidden="1">
      <c r="A2500" s="29" t="s">
        <v>138</v>
      </c>
      <c r="B2500" s="32">
        <v>41723</v>
      </c>
      <c r="C2500" s="29">
        <v>62</v>
      </c>
      <c r="D2500" s="35">
        <v>62</v>
      </c>
      <c r="E2500" s="35">
        <v>62</v>
      </c>
      <c r="F2500" s="33">
        <v>62</v>
      </c>
      <c r="G2500" s="29">
        <v>0.81</v>
      </c>
      <c r="H2500" s="29">
        <v>0.5</v>
      </c>
      <c r="I2500" s="35">
        <v>61.5</v>
      </c>
      <c r="J2500" s="34">
        <v>2000</v>
      </c>
      <c r="K2500" s="34">
        <v>124000</v>
      </c>
    </row>
    <row r="2501" spans="1:11" hidden="1">
      <c r="A2501" s="29" t="s">
        <v>138</v>
      </c>
      <c r="B2501" s="32">
        <v>41724</v>
      </c>
      <c r="C2501" s="29">
        <v>61.1</v>
      </c>
      <c r="D2501" s="35">
        <v>61.1</v>
      </c>
      <c r="E2501" s="35">
        <v>60.599997999999999</v>
      </c>
      <c r="F2501" s="33">
        <v>60.900002000000001</v>
      </c>
      <c r="G2501" s="29">
        <v>-1.61</v>
      </c>
      <c r="H2501" s="29">
        <v>-1</v>
      </c>
      <c r="I2501" s="35">
        <v>62</v>
      </c>
      <c r="J2501" s="34">
        <v>11788</v>
      </c>
      <c r="K2501" s="34">
        <v>719024</v>
      </c>
    </row>
    <row r="2502" spans="1:11" hidden="1">
      <c r="A2502" s="29" t="s">
        <v>138</v>
      </c>
      <c r="B2502" s="32">
        <v>41725</v>
      </c>
      <c r="C2502" s="29">
        <v>61</v>
      </c>
      <c r="D2502" s="35">
        <v>61</v>
      </c>
      <c r="E2502" s="35">
        <v>61</v>
      </c>
      <c r="F2502" s="33">
        <v>61</v>
      </c>
      <c r="G2502" s="29">
        <v>0.16</v>
      </c>
      <c r="H2502" s="29">
        <v>0.1</v>
      </c>
      <c r="I2502" s="35">
        <v>60.900002000000001</v>
      </c>
      <c r="J2502" s="34">
        <v>3472</v>
      </c>
      <c r="K2502" s="34">
        <v>211792</v>
      </c>
    </row>
    <row r="2503" spans="1:11" hidden="1">
      <c r="A2503" s="29" t="s">
        <v>138</v>
      </c>
      <c r="B2503" s="32">
        <v>41726</v>
      </c>
      <c r="C2503" s="29">
        <v>61</v>
      </c>
      <c r="D2503" s="35">
        <v>61</v>
      </c>
      <c r="E2503" s="35">
        <v>60.599997999999999</v>
      </c>
      <c r="F2503" s="33">
        <v>61</v>
      </c>
      <c r="G2503" s="29">
        <v>0</v>
      </c>
      <c r="H2503" s="29">
        <v>0</v>
      </c>
      <c r="I2503" s="35">
        <v>61</v>
      </c>
      <c r="J2503" s="34">
        <v>2212</v>
      </c>
      <c r="K2503" s="34">
        <v>134892</v>
      </c>
    </row>
    <row r="2504" spans="1:11" hidden="1">
      <c r="A2504" s="29" t="s">
        <v>138</v>
      </c>
      <c r="B2504" s="32">
        <v>41729</v>
      </c>
      <c r="C2504" s="29">
        <v>61</v>
      </c>
      <c r="D2504" s="35">
        <v>61</v>
      </c>
      <c r="E2504" s="35">
        <v>60.700001</v>
      </c>
      <c r="F2504" s="33">
        <v>61</v>
      </c>
      <c r="G2504" s="29">
        <v>0</v>
      </c>
      <c r="H2504" s="29">
        <v>0</v>
      </c>
      <c r="I2504" s="35">
        <v>61</v>
      </c>
      <c r="J2504" s="34">
        <v>2088</v>
      </c>
      <c r="K2504" s="34">
        <v>127308</v>
      </c>
    </row>
    <row r="2505" spans="1:11" hidden="1">
      <c r="A2505" s="29" t="s">
        <v>138</v>
      </c>
      <c r="B2505" s="32">
        <v>41730</v>
      </c>
      <c r="C2505" s="29">
        <v>61</v>
      </c>
      <c r="D2505" s="35">
        <v>61</v>
      </c>
      <c r="E2505" s="35">
        <v>61</v>
      </c>
      <c r="F2505" s="33">
        <v>61</v>
      </c>
      <c r="G2505" s="29">
        <v>0</v>
      </c>
      <c r="H2505" s="29">
        <v>0</v>
      </c>
      <c r="I2505" s="35">
        <v>61</v>
      </c>
      <c r="J2505" s="34">
        <v>2000</v>
      </c>
      <c r="K2505" s="34">
        <v>122000</v>
      </c>
    </row>
    <row r="2506" spans="1:11" hidden="1">
      <c r="A2506" s="29" t="s">
        <v>138</v>
      </c>
      <c r="B2506" s="32">
        <v>41731</v>
      </c>
      <c r="C2506" s="29">
        <v>60.8</v>
      </c>
      <c r="D2506" s="35">
        <v>62</v>
      </c>
      <c r="E2506" s="35">
        <v>60.799999</v>
      </c>
      <c r="F2506" s="33">
        <v>62</v>
      </c>
      <c r="G2506" s="29">
        <v>1.64</v>
      </c>
      <c r="H2506" s="29">
        <v>1</v>
      </c>
      <c r="I2506" s="35">
        <v>61</v>
      </c>
      <c r="J2506" s="34">
        <v>640</v>
      </c>
      <c r="K2506" s="34">
        <v>39080</v>
      </c>
    </row>
    <row r="2507" spans="1:11" hidden="1">
      <c r="A2507" s="29" t="s">
        <v>138</v>
      </c>
      <c r="B2507" s="32">
        <v>41732</v>
      </c>
      <c r="C2507" s="29">
        <v>62</v>
      </c>
      <c r="D2507" s="35">
        <v>62</v>
      </c>
      <c r="E2507" s="35">
        <v>62</v>
      </c>
      <c r="F2507" s="33">
        <v>62</v>
      </c>
      <c r="G2507" s="29">
        <v>0</v>
      </c>
      <c r="H2507" s="29">
        <v>0</v>
      </c>
      <c r="I2507" s="35">
        <v>62</v>
      </c>
      <c r="J2507" s="34">
        <v>2000</v>
      </c>
      <c r="K2507" s="34">
        <v>124000</v>
      </c>
    </row>
    <row r="2508" spans="1:11" hidden="1">
      <c r="A2508" s="29" t="s">
        <v>138</v>
      </c>
      <c r="B2508" s="32">
        <v>41733</v>
      </c>
      <c r="C2508" s="29">
        <v>62</v>
      </c>
      <c r="D2508" s="35">
        <v>62</v>
      </c>
      <c r="E2508" s="35">
        <v>62</v>
      </c>
      <c r="F2508" s="33">
        <v>62</v>
      </c>
      <c r="G2508" s="29">
        <v>0</v>
      </c>
      <c r="H2508" s="29">
        <v>0</v>
      </c>
      <c r="I2508" s="35">
        <v>62</v>
      </c>
      <c r="J2508" s="34">
        <v>3200</v>
      </c>
      <c r="K2508" s="34">
        <v>198400</v>
      </c>
    </row>
    <row r="2509" spans="1:11" hidden="1">
      <c r="A2509" s="29" t="s">
        <v>138</v>
      </c>
      <c r="B2509" s="32">
        <v>41736</v>
      </c>
      <c r="C2509" s="29">
        <v>61.5</v>
      </c>
      <c r="D2509" s="35">
        <v>62</v>
      </c>
      <c r="E2509" s="35">
        <v>61</v>
      </c>
      <c r="F2509" s="33">
        <v>62</v>
      </c>
      <c r="G2509" s="29">
        <v>0</v>
      </c>
      <c r="H2509" s="29">
        <v>0</v>
      </c>
      <c r="I2509" s="35">
        <v>62</v>
      </c>
      <c r="J2509" s="34">
        <v>9825</v>
      </c>
      <c r="K2509" s="34">
        <v>600199</v>
      </c>
    </row>
    <row r="2510" spans="1:11" hidden="1">
      <c r="A2510" s="29" t="s">
        <v>138</v>
      </c>
      <c r="B2510" s="32">
        <v>41737</v>
      </c>
      <c r="C2510" s="29">
        <v>62</v>
      </c>
      <c r="D2510" s="35">
        <v>62</v>
      </c>
      <c r="E2510" s="35">
        <v>62</v>
      </c>
      <c r="F2510" s="33">
        <v>62</v>
      </c>
      <c r="G2510" s="29">
        <v>0</v>
      </c>
      <c r="H2510" s="29">
        <v>0</v>
      </c>
      <c r="I2510" s="35">
        <v>62</v>
      </c>
      <c r="J2510" s="34">
        <v>1000</v>
      </c>
      <c r="K2510" s="34">
        <v>62000</v>
      </c>
    </row>
    <row r="2511" spans="1:11" hidden="1">
      <c r="A2511" s="29" t="s">
        <v>138</v>
      </c>
      <c r="B2511" s="32">
        <v>41738</v>
      </c>
      <c r="C2511" s="29">
        <v>62</v>
      </c>
      <c r="D2511" s="35">
        <v>62</v>
      </c>
      <c r="E2511" s="35">
        <v>62</v>
      </c>
      <c r="F2511" s="33">
        <v>62</v>
      </c>
      <c r="G2511" s="29">
        <v>0</v>
      </c>
      <c r="H2511" s="29">
        <v>0</v>
      </c>
      <c r="I2511" s="35">
        <v>62</v>
      </c>
      <c r="J2511" s="34">
        <v>2860</v>
      </c>
      <c r="K2511" s="34">
        <v>177320</v>
      </c>
    </row>
    <row r="2512" spans="1:11" hidden="1">
      <c r="A2512" s="29" t="s">
        <v>138</v>
      </c>
      <c r="B2512" s="32">
        <v>41740</v>
      </c>
      <c r="C2512" s="29">
        <v>62</v>
      </c>
      <c r="D2512" s="35">
        <v>63</v>
      </c>
      <c r="E2512" s="35">
        <v>62</v>
      </c>
      <c r="F2512" s="33">
        <v>62.799999</v>
      </c>
      <c r="G2512" s="29">
        <v>1.61</v>
      </c>
      <c r="H2512" s="29">
        <v>1</v>
      </c>
      <c r="I2512" s="35">
        <v>62</v>
      </c>
      <c r="J2512" s="34">
        <v>6665</v>
      </c>
      <c r="K2512" s="34">
        <v>417320</v>
      </c>
    </row>
    <row r="2513" spans="1:11" hidden="1">
      <c r="A2513" s="29" t="s">
        <v>138</v>
      </c>
      <c r="B2513" s="32">
        <v>41745</v>
      </c>
      <c r="C2513" s="29">
        <v>62.9</v>
      </c>
      <c r="D2513" s="35">
        <v>63.5</v>
      </c>
      <c r="E2513" s="35">
        <v>62.9</v>
      </c>
      <c r="F2513" s="33">
        <v>63.200001</v>
      </c>
      <c r="G2513" s="29">
        <v>1.1100000000000001</v>
      </c>
      <c r="H2513" s="29">
        <v>0.7</v>
      </c>
      <c r="I2513" s="35">
        <v>62.799999</v>
      </c>
      <c r="J2513" s="34">
        <v>29573</v>
      </c>
      <c r="K2513" s="34">
        <v>1867854</v>
      </c>
    </row>
    <row r="2514" spans="1:11" hidden="1">
      <c r="A2514" s="29" t="s">
        <v>138</v>
      </c>
      <c r="B2514" s="32">
        <v>41746</v>
      </c>
      <c r="C2514" s="29">
        <v>63.6</v>
      </c>
      <c r="D2514" s="35">
        <v>64.5</v>
      </c>
      <c r="E2514" s="35">
        <v>63.599997999999999</v>
      </c>
      <c r="F2514" s="33">
        <v>64</v>
      </c>
      <c r="G2514" s="29">
        <v>1.27</v>
      </c>
      <c r="H2514" s="29">
        <v>0.8</v>
      </c>
      <c r="I2514" s="35">
        <v>63.200001</v>
      </c>
      <c r="J2514" s="34">
        <v>7460</v>
      </c>
      <c r="K2514" s="34">
        <v>477365</v>
      </c>
    </row>
    <row r="2515" spans="1:11" hidden="1">
      <c r="A2515" s="29" t="s">
        <v>138</v>
      </c>
      <c r="B2515" s="32">
        <v>41750</v>
      </c>
      <c r="C2515" s="29">
        <v>64.900000000000006</v>
      </c>
      <c r="D2515" s="35">
        <v>64.900002000000001</v>
      </c>
      <c r="E2515" s="35">
        <v>64</v>
      </c>
      <c r="F2515" s="33">
        <v>64</v>
      </c>
      <c r="G2515" s="29">
        <v>0</v>
      </c>
      <c r="H2515" s="29">
        <v>0</v>
      </c>
      <c r="I2515" s="35">
        <v>64</v>
      </c>
      <c r="J2515" s="34">
        <v>1906</v>
      </c>
      <c r="K2515" s="34">
        <v>121989</v>
      </c>
    </row>
    <row r="2516" spans="1:11" hidden="1">
      <c r="A2516" s="29" t="s">
        <v>138</v>
      </c>
      <c r="B2516" s="32">
        <v>41751</v>
      </c>
      <c r="C2516" s="29">
        <v>64.099999999999994</v>
      </c>
      <c r="D2516" s="35">
        <v>64.400002000000001</v>
      </c>
      <c r="E2516" s="35">
        <v>64</v>
      </c>
      <c r="F2516" s="33">
        <v>64.099997999999999</v>
      </c>
      <c r="G2516" s="29">
        <v>0.16</v>
      </c>
      <c r="H2516" s="29">
        <v>0.1</v>
      </c>
      <c r="I2516" s="35">
        <v>64</v>
      </c>
      <c r="J2516" s="34">
        <v>4389</v>
      </c>
      <c r="K2516" s="34">
        <v>280936</v>
      </c>
    </row>
    <row r="2517" spans="1:11" hidden="1">
      <c r="A2517" s="29" t="s">
        <v>138</v>
      </c>
      <c r="B2517" s="32">
        <v>41752</v>
      </c>
      <c r="C2517" s="29">
        <v>64</v>
      </c>
      <c r="D2517" s="35">
        <v>64</v>
      </c>
      <c r="E2517" s="35">
        <v>64</v>
      </c>
      <c r="F2517" s="33">
        <v>64</v>
      </c>
      <c r="G2517" s="29">
        <v>-0.16</v>
      </c>
      <c r="H2517" s="29">
        <v>-0.1</v>
      </c>
      <c r="I2517" s="35">
        <v>64.099997999999999</v>
      </c>
      <c r="J2517" s="34">
        <v>3800</v>
      </c>
      <c r="K2517" s="34">
        <v>243200</v>
      </c>
    </row>
    <row r="2518" spans="1:11" hidden="1">
      <c r="A2518" s="29" t="s">
        <v>138</v>
      </c>
      <c r="B2518" s="32">
        <v>41754</v>
      </c>
      <c r="C2518" s="29">
        <v>64</v>
      </c>
      <c r="D2518" s="35">
        <v>64</v>
      </c>
      <c r="E2518" s="35">
        <v>62.099997999999999</v>
      </c>
      <c r="F2518" s="33">
        <v>62.700001</v>
      </c>
      <c r="G2518" s="29">
        <v>-2.97</v>
      </c>
      <c r="H2518" s="29">
        <v>-1.9</v>
      </c>
      <c r="I2518" s="35">
        <v>64</v>
      </c>
      <c r="J2518" s="34">
        <v>6800</v>
      </c>
      <c r="K2518" s="34">
        <v>433005</v>
      </c>
    </row>
    <row r="2519" spans="1:11" hidden="1">
      <c r="A2519" s="29" t="s">
        <v>138</v>
      </c>
      <c r="B2519" s="32">
        <v>41758</v>
      </c>
      <c r="C2519" s="29">
        <v>63.9</v>
      </c>
      <c r="D2519" s="35">
        <v>63.900002000000001</v>
      </c>
      <c r="E2519" s="35">
        <v>62.599997999999999</v>
      </c>
      <c r="F2519" s="33">
        <v>63.700001</v>
      </c>
      <c r="G2519" s="29">
        <v>-0.16</v>
      </c>
      <c r="H2519" s="29">
        <v>-0.1</v>
      </c>
      <c r="I2519" s="35">
        <v>62.700001</v>
      </c>
      <c r="J2519" s="34">
        <v>6</v>
      </c>
      <c r="K2519" s="34">
        <v>382</v>
      </c>
    </row>
    <row r="2520" spans="1:11" hidden="1">
      <c r="A2520" s="29" t="s">
        <v>138</v>
      </c>
      <c r="B2520" s="32">
        <v>41759</v>
      </c>
      <c r="C2520" s="29">
        <v>63.1</v>
      </c>
      <c r="D2520" s="35">
        <v>64.5</v>
      </c>
      <c r="E2520" s="35">
        <v>63.099997999999999</v>
      </c>
      <c r="F2520" s="33">
        <v>64.5</v>
      </c>
      <c r="G2520" s="29">
        <v>1.26</v>
      </c>
      <c r="H2520" s="29">
        <v>0.8</v>
      </c>
      <c r="I2520" s="35">
        <v>63.700001</v>
      </c>
      <c r="J2520" s="34">
        <v>3892</v>
      </c>
      <c r="K2520" s="34">
        <v>248468</v>
      </c>
    </row>
    <row r="2521" spans="1:11" hidden="1">
      <c r="A2521" s="29" t="s">
        <v>138</v>
      </c>
      <c r="B2521" s="32">
        <v>41761</v>
      </c>
      <c r="C2521" s="29">
        <v>64</v>
      </c>
      <c r="D2521" s="35">
        <v>64</v>
      </c>
      <c r="E2521" s="35">
        <v>64</v>
      </c>
      <c r="F2521" s="33">
        <v>64</v>
      </c>
      <c r="G2521" s="29">
        <v>-0.78</v>
      </c>
      <c r="H2521" s="29">
        <v>-0.5</v>
      </c>
      <c r="I2521" s="35">
        <v>64.5</v>
      </c>
      <c r="J2521" s="34">
        <v>2340</v>
      </c>
      <c r="K2521" s="34">
        <v>149760</v>
      </c>
    </row>
    <row r="2522" spans="1:11" hidden="1">
      <c r="A2522" s="29" t="s">
        <v>138</v>
      </c>
      <c r="B2522" s="32">
        <v>41764</v>
      </c>
      <c r="C2522" s="29">
        <v>64.2</v>
      </c>
      <c r="D2522" s="35">
        <v>64.2</v>
      </c>
      <c r="E2522" s="35">
        <v>63.900002000000001</v>
      </c>
      <c r="F2522" s="33">
        <v>64</v>
      </c>
      <c r="G2522" s="29">
        <v>0</v>
      </c>
      <c r="H2522" s="29">
        <v>0</v>
      </c>
      <c r="I2522" s="35">
        <v>64</v>
      </c>
      <c r="J2522" s="34">
        <v>2615</v>
      </c>
      <c r="K2522" s="34">
        <v>167352</v>
      </c>
    </row>
    <row r="2523" spans="1:11" hidden="1">
      <c r="A2523" s="29" t="s">
        <v>138</v>
      </c>
      <c r="B2523" s="32">
        <v>41765</v>
      </c>
      <c r="C2523" s="29">
        <v>63.5</v>
      </c>
      <c r="D2523" s="35">
        <v>64.699996999999996</v>
      </c>
      <c r="E2523" s="35">
        <v>63.400002000000001</v>
      </c>
      <c r="F2523" s="33">
        <v>63.599997999999999</v>
      </c>
      <c r="G2523" s="29">
        <v>1.0900000000000001</v>
      </c>
      <c r="H2523" s="29">
        <v>0.7</v>
      </c>
      <c r="I2523" s="35">
        <v>64</v>
      </c>
      <c r="J2523" s="34">
        <v>11100</v>
      </c>
      <c r="K2523" s="34">
        <v>705478</v>
      </c>
    </row>
    <row r="2524" spans="1:11" hidden="1">
      <c r="A2524" s="29" t="s">
        <v>138</v>
      </c>
      <c r="B2524" s="32">
        <v>41766</v>
      </c>
      <c r="C2524" s="29">
        <v>64.8</v>
      </c>
      <c r="D2524" s="35">
        <v>68</v>
      </c>
      <c r="E2524" s="35">
        <v>64.8</v>
      </c>
      <c r="F2524" s="33">
        <v>66.5</v>
      </c>
      <c r="G2524" s="29">
        <v>4.5599999999999996</v>
      </c>
      <c r="H2524" s="29">
        <v>2.9</v>
      </c>
      <c r="I2524" s="35">
        <v>63.599997999999999</v>
      </c>
      <c r="J2524" s="34">
        <v>2126</v>
      </c>
      <c r="K2524" s="34">
        <v>139137</v>
      </c>
    </row>
    <row r="2525" spans="1:11" hidden="1">
      <c r="A2525" s="29" t="s">
        <v>138</v>
      </c>
      <c r="B2525" s="32">
        <v>41767</v>
      </c>
      <c r="C2525" s="29">
        <v>65</v>
      </c>
      <c r="D2525" s="35">
        <v>65</v>
      </c>
      <c r="E2525" s="35">
        <v>65</v>
      </c>
      <c r="F2525" s="33">
        <v>65</v>
      </c>
      <c r="G2525" s="29">
        <v>-2.2599999999999998</v>
      </c>
      <c r="H2525" s="29">
        <v>-1.5</v>
      </c>
      <c r="I2525" s="35">
        <v>66.5</v>
      </c>
      <c r="J2525" s="34">
        <v>1000</v>
      </c>
      <c r="K2525" s="34">
        <v>65000</v>
      </c>
    </row>
    <row r="2526" spans="1:11" hidden="1">
      <c r="A2526" s="29" t="s">
        <v>138</v>
      </c>
      <c r="B2526" s="32">
        <v>41768</v>
      </c>
      <c r="C2526" s="29">
        <v>63.2</v>
      </c>
      <c r="D2526" s="35">
        <v>65</v>
      </c>
      <c r="E2526" s="35">
        <v>63.2</v>
      </c>
      <c r="F2526" s="33">
        <v>63.299999</v>
      </c>
      <c r="G2526" s="29">
        <v>0</v>
      </c>
      <c r="H2526" s="29">
        <v>0</v>
      </c>
      <c r="I2526" s="35">
        <v>65</v>
      </c>
      <c r="J2526" s="34">
        <v>21</v>
      </c>
      <c r="K2526" s="34">
        <v>1329</v>
      </c>
    </row>
    <row r="2527" spans="1:11" hidden="1">
      <c r="A2527" s="29" t="s">
        <v>138</v>
      </c>
      <c r="B2527" s="32">
        <v>41771</v>
      </c>
      <c r="C2527" s="29">
        <v>64.900000000000006</v>
      </c>
      <c r="D2527" s="35">
        <v>65</v>
      </c>
      <c r="E2527" s="35">
        <v>64</v>
      </c>
      <c r="F2527" s="33">
        <v>64</v>
      </c>
      <c r="G2527" s="29">
        <v>1.1100000000000001</v>
      </c>
      <c r="H2527" s="29">
        <v>0.7</v>
      </c>
      <c r="I2527" s="35">
        <v>63.299999</v>
      </c>
      <c r="J2527" s="34">
        <v>1530</v>
      </c>
      <c r="K2527" s="34">
        <v>98009</v>
      </c>
    </row>
    <row r="2528" spans="1:11" hidden="1">
      <c r="A2528" s="29" t="s">
        <v>138</v>
      </c>
      <c r="B2528" s="32">
        <v>41772</v>
      </c>
      <c r="C2528" s="29">
        <v>65</v>
      </c>
      <c r="D2528" s="35">
        <v>65</v>
      </c>
      <c r="E2528" s="35">
        <v>64.900002000000001</v>
      </c>
      <c r="F2528" s="33">
        <v>65</v>
      </c>
      <c r="G2528" s="29">
        <v>1.56</v>
      </c>
      <c r="H2528" s="29">
        <v>1</v>
      </c>
      <c r="I2528" s="35">
        <v>64</v>
      </c>
      <c r="J2528" s="34">
        <v>26289</v>
      </c>
      <c r="K2528" s="34">
        <v>1707985</v>
      </c>
    </row>
    <row r="2529" spans="1:11" hidden="1">
      <c r="A2529" s="29" t="s">
        <v>138</v>
      </c>
      <c r="B2529" s="32">
        <v>41775</v>
      </c>
      <c r="C2529" s="29">
        <v>65</v>
      </c>
      <c r="D2529" s="35">
        <v>65.300003000000004</v>
      </c>
      <c r="E2529" s="35">
        <v>65</v>
      </c>
      <c r="F2529" s="33">
        <v>65.300003000000004</v>
      </c>
      <c r="G2529" s="29">
        <v>0.46</v>
      </c>
      <c r="H2529" s="29">
        <v>0.3</v>
      </c>
      <c r="I2529" s="35">
        <v>65</v>
      </c>
      <c r="J2529" s="34">
        <v>15718</v>
      </c>
      <c r="K2529" s="34">
        <v>1025545</v>
      </c>
    </row>
    <row r="2530" spans="1:11" hidden="1">
      <c r="A2530" s="29" t="s">
        <v>138</v>
      </c>
      <c r="B2530" s="32">
        <v>41778</v>
      </c>
      <c r="C2530" s="29">
        <v>65.400000000000006</v>
      </c>
      <c r="D2530" s="35">
        <v>65.400002000000001</v>
      </c>
      <c r="E2530" s="35">
        <v>65</v>
      </c>
      <c r="F2530" s="33">
        <v>65.199996999999996</v>
      </c>
      <c r="G2530" s="29">
        <v>-0.46</v>
      </c>
      <c r="H2530" s="29">
        <v>-0.3</v>
      </c>
      <c r="I2530" s="35">
        <v>65.300003000000004</v>
      </c>
      <c r="J2530" s="34">
        <v>14813</v>
      </c>
      <c r="K2530" s="34">
        <v>966449</v>
      </c>
    </row>
    <row r="2531" spans="1:11" hidden="1">
      <c r="A2531" s="29" t="s">
        <v>138</v>
      </c>
      <c r="B2531" s="32">
        <v>41779</v>
      </c>
      <c r="C2531" s="29">
        <v>64.5</v>
      </c>
      <c r="D2531" s="35">
        <v>64.5</v>
      </c>
      <c r="E2531" s="35">
        <v>64.5</v>
      </c>
      <c r="F2531" s="33">
        <v>64.5</v>
      </c>
      <c r="G2531" s="29">
        <v>-1.07</v>
      </c>
      <c r="H2531" s="29">
        <v>-0.7</v>
      </c>
      <c r="I2531" s="35">
        <v>65.199996999999996</v>
      </c>
      <c r="J2531" s="34">
        <v>710</v>
      </c>
      <c r="K2531" s="34">
        <v>45795</v>
      </c>
    </row>
    <row r="2532" spans="1:11" hidden="1">
      <c r="A2532" s="29" t="s">
        <v>138</v>
      </c>
      <c r="B2532" s="32">
        <v>41780</v>
      </c>
      <c r="C2532" s="29">
        <v>64.2</v>
      </c>
      <c r="D2532" s="35">
        <v>65</v>
      </c>
      <c r="E2532" s="35">
        <v>64.199996999999996</v>
      </c>
      <c r="F2532" s="33">
        <v>65</v>
      </c>
      <c r="G2532" s="29">
        <v>0</v>
      </c>
      <c r="H2532" s="29">
        <v>0</v>
      </c>
      <c r="I2532" s="35">
        <v>64.5</v>
      </c>
      <c r="J2532" s="34">
        <v>5298</v>
      </c>
      <c r="K2532" s="34">
        <v>344314</v>
      </c>
    </row>
    <row r="2533" spans="1:11" hidden="1">
      <c r="A2533" s="29" t="s">
        <v>138</v>
      </c>
      <c r="B2533" s="32">
        <v>41781</v>
      </c>
      <c r="C2533" s="29">
        <v>64.5</v>
      </c>
      <c r="D2533" s="35">
        <v>64.5</v>
      </c>
      <c r="E2533" s="35">
        <v>64.099997999999999</v>
      </c>
      <c r="F2533" s="33">
        <v>64.300003000000004</v>
      </c>
      <c r="G2533" s="29">
        <v>-1.38</v>
      </c>
      <c r="H2533" s="29">
        <v>-0.9</v>
      </c>
      <c r="I2533" s="35">
        <v>65</v>
      </c>
      <c r="J2533" s="34">
        <v>4800</v>
      </c>
      <c r="K2533" s="34">
        <v>308740</v>
      </c>
    </row>
    <row r="2534" spans="1:11" hidden="1">
      <c r="A2534" s="29" t="s">
        <v>138</v>
      </c>
      <c r="B2534" s="32">
        <v>41782</v>
      </c>
      <c r="C2534" s="29">
        <v>65.7</v>
      </c>
      <c r="D2534" s="35">
        <v>66</v>
      </c>
      <c r="E2534" s="35">
        <v>64.300003000000004</v>
      </c>
      <c r="F2534" s="33">
        <v>64.300003000000004</v>
      </c>
      <c r="G2534" s="29">
        <v>0</v>
      </c>
      <c r="H2534" s="29">
        <v>0</v>
      </c>
      <c r="I2534" s="35">
        <v>64.300003000000004</v>
      </c>
      <c r="J2534" s="34">
        <v>2509</v>
      </c>
      <c r="K2534" s="34">
        <v>161627</v>
      </c>
    </row>
    <row r="2535" spans="1:11" hidden="1">
      <c r="A2535" s="29" t="s">
        <v>138</v>
      </c>
      <c r="B2535" s="32">
        <v>41785</v>
      </c>
      <c r="C2535" s="29">
        <v>66</v>
      </c>
      <c r="D2535" s="35">
        <v>66</v>
      </c>
      <c r="E2535" s="35">
        <v>64.300003000000004</v>
      </c>
      <c r="F2535" s="33">
        <v>64.300003000000004</v>
      </c>
      <c r="G2535" s="29">
        <v>0</v>
      </c>
      <c r="H2535" s="29">
        <v>0</v>
      </c>
      <c r="I2535" s="35">
        <v>64.300003000000004</v>
      </c>
      <c r="J2535" s="34">
        <v>102</v>
      </c>
      <c r="K2535" s="34">
        <v>6728</v>
      </c>
    </row>
    <row r="2536" spans="1:11" hidden="1">
      <c r="A2536" s="29" t="s">
        <v>138</v>
      </c>
      <c r="B2536" s="32">
        <v>41786</v>
      </c>
      <c r="C2536" s="29">
        <v>64.400000000000006</v>
      </c>
      <c r="D2536" s="35">
        <v>64.400002000000001</v>
      </c>
      <c r="E2536" s="35">
        <v>64.199996999999996</v>
      </c>
      <c r="F2536" s="33">
        <v>64.400002000000001</v>
      </c>
      <c r="G2536" s="29">
        <v>0.16</v>
      </c>
      <c r="H2536" s="29">
        <v>0.1</v>
      </c>
      <c r="I2536" s="35">
        <v>64.300003000000004</v>
      </c>
      <c r="J2536" s="34">
        <v>17500</v>
      </c>
      <c r="K2536" s="34">
        <v>1126556</v>
      </c>
    </row>
    <row r="2537" spans="1:11" hidden="1">
      <c r="A2537" s="29" t="s">
        <v>138</v>
      </c>
      <c r="B2537" s="32">
        <v>41787</v>
      </c>
      <c r="C2537" s="29">
        <v>64.2</v>
      </c>
      <c r="D2537" s="35">
        <v>64.2</v>
      </c>
      <c r="E2537" s="35">
        <v>64.099997999999999</v>
      </c>
      <c r="F2537" s="33">
        <v>64.099997999999999</v>
      </c>
      <c r="G2537" s="29">
        <v>-0.47</v>
      </c>
      <c r="H2537" s="29">
        <v>-0.3</v>
      </c>
      <c r="I2537" s="35">
        <v>64.400002000000001</v>
      </c>
      <c r="J2537" s="34">
        <v>2033</v>
      </c>
      <c r="K2537" s="34">
        <v>130348</v>
      </c>
    </row>
    <row r="2538" spans="1:11" hidden="1">
      <c r="A2538" s="29" t="s">
        <v>138</v>
      </c>
      <c r="B2538" s="32">
        <v>41788</v>
      </c>
      <c r="C2538" s="29">
        <v>64.099999999999994</v>
      </c>
      <c r="D2538" s="35">
        <v>64.099999999999994</v>
      </c>
      <c r="E2538" s="35">
        <v>63.700001</v>
      </c>
      <c r="F2538" s="33">
        <v>63.900002000000001</v>
      </c>
      <c r="G2538" s="29">
        <v>0</v>
      </c>
      <c r="H2538" s="29">
        <v>0</v>
      </c>
      <c r="I2538" s="35">
        <v>64.099997999999999</v>
      </c>
      <c r="J2538" s="34">
        <v>600</v>
      </c>
      <c r="K2538" s="34">
        <v>38391</v>
      </c>
    </row>
    <row r="2539" spans="1:11" hidden="1">
      <c r="A2539" s="29" t="s">
        <v>138</v>
      </c>
      <c r="B2539" s="32">
        <v>41789</v>
      </c>
      <c r="C2539" s="29">
        <v>63.7</v>
      </c>
      <c r="D2539" s="35">
        <v>64.800003000000004</v>
      </c>
      <c r="E2539" s="35">
        <v>63.599997999999999</v>
      </c>
      <c r="F2539" s="33">
        <v>64.800003000000004</v>
      </c>
      <c r="G2539" s="29">
        <v>1.41</v>
      </c>
      <c r="H2539" s="29">
        <v>0.9</v>
      </c>
      <c r="I2539" s="35">
        <v>63.900002000000001</v>
      </c>
      <c r="J2539" s="34">
        <v>2596</v>
      </c>
      <c r="K2539" s="34">
        <v>165520</v>
      </c>
    </row>
    <row r="2540" spans="1:11" hidden="1">
      <c r="A2540" s="29" t="s">
        <v>138</v>
      </c>
      <c r="B2540" s="32">
        <v>41792</v>
      </c>
      <c r="C2540" s="29">
        <v>63.6</v>
      </c>
      <c r="D2540" s="35">
        <v>63.6</v>
      </c>
      <c r="E2540" s="35">
        <v>63.5</v>
      </c>
      <c r="F2540" s="33">
        <v>63.599997999999999</v>
      </c>
      <c r="G2540" s="29">
        <v>-1.85</v>
      </c>
      <c r="H2540" s="29">
        <v>-1.2</v>
      </c>
      <c r="I2540" s="35">
        <v>64.800003000000004</v>
      </c>
      <c r="J2540" s="34">
        <v>225</v>
      </c>
      <c r="K2540" s="34">
        <v>14297</v>
      </c>
    </row>
    <row r="2541" spans="1:11" hidden="1">
      <c r="A2541" s="29" t="s">
        <v>138</v>
      </c>
      <c r="B2541" s="32">
        <v>41793</v>
      </c>
      <c r="C2541" s="29">
        <v>63.6</v>
      </c>
      <c r="D2541" s="35">
        <v>63.6</v>
      </c>
      <c r="E2541" s="35">
        <v>63.5</v>
      </c>
      <c r="F2541" s="33">
        <v>63.5</v>
      </c>
      <c r="G2541" s="29">
        <v>-0.16</v>
      </c>
      <c r="H2541" s="29">
        <v>-0.1</v>
      </c>
      <c r="I2541" s="35">
        <v>63.599997999999999</v>
      </c>
      <c r="J2541" s="34">
        <v>640</v>
      </c>
      <c r="K2541" s="34">
        <v>40646</v>
      </c>
    </row>
    <row r="2542" spans="1:11" hidden="1">
      <c r="A2542" s="29" t="s">
        <v>138</v>
      </c>
      <c r="B2542" s="32">
        <v>41794</v>
      </c>
      <c r="C2542" s="29">
        <v>63.6</v>
      </c>
      <c r="D2542" s="35">
        <v>63.6</v>
      </c>
      <c r="E2542" s="35">
        <v>63.5</v>
      </c>
      <c r="F2542" s="33">
        <v>63.599997999999999</v>
      </c>
      <c r="G2542" s="29">
        <v>0.16</v>
      </c>
      <c r="H2542" s="29">
        <v>0.1</v>
      </c>
      <c r="I2542" s="35">
        <v>63.5</v>
      </c>
      <c r="J2542" s="34">
        <v>4800</v>
      </c>
      <c r="K2542" s="34">
        <v>305275</v>
      </c>
    </row>
    <row r="2543" spans="1:11" hidden="1">
      <c r="A2543" s="29" t="s">
        <v>138</v>
      </c>
      <c r="B2543" s="32">
        <v>41795</v>
      </c>
      <c r="C2543" s="29">
        <v>64.5</v>
      </c>
      <c r="D2543" s="35">
        <v>64.5</v>
      </c>
      <c r="E2543" s="35">
        <v>63.5</v>
      </c>
      <c r="F2543" s="33">
        <v>63.5</v>
      </c>
      <c r="G2543" s="29">
        <v>-0.16</v>
      </c>
      <c r="H2543" s="29">
        <v>-0.1</v>
      </c>
      <c r="I2543" s="35">
        <v>63.599997999999999</v>
      </c>
      <c r="J2543" s="34">
        <v>2996</v>
      </c>
      <c r="K2543" s="34">
        <v>190384</v>
      </c>
    </row>
    <row r="2544" spans="1:11" hidden="1">
      <c r="A2544" s="29" t="s">
        <v>138</v>
      </c>
      <c r="B2544" s="32">
        <v>41796</v>
      </c>
      <c r="C2544" s="29">
        <v>64</v>
      </c>
      <c r="D2544" s="35">
        <v>64</v>
      </c>
      <c r="E2544" s="35">
        <v>64</v>
      </c>
      <c r="F2544" s="33">
        <v>64</v>
      </c>
      <c r="G2544" s="29">
        <v>0.79</v>
      </c>
      <c r="H2544" s="29">
        <v>0.5</v>
      </c>
      <c r="I2544" s="35">
        <v>63.5</v>
      </c>
      <c r="J2544" s="34">
        <v>13505</v>
      </c>
      <c r="K2544" s="34">
        <v>864320</v>
      </c>
    </row>
    <row r="2545" spans="1:11" hidden="1">
      <c r="A2545" s="29" t="s">
        <v>138</v>
      </c>
      <c r="B2545" s="32">
        <v>41799</v>
      </c>
      <c r="C2545" s="29">
        <v>64.400000000000006</v>
      </c>
      <c r="D2545" s="35">
        <v>64.5</v>
      </c>
      <c r="E2545" s="35">
        <v>64</v>
      </c>
      <c r="F2545" s="33">
        <v>64</v>
      </c>
      <c r="G2545" s="29">
        <v>0</v>
      </c>
      <c r="H2545" s="29">
        <v>0</v>
      </c>
      <c r="I2545" s="35">
        <v>64</v>
      </c>
      <c r="J2545" s="34">
        <v>3576</v>
      </c>
      <c r="K2545" s="34">
        <v>229875</v>
      </c>
    </row>
    <row r="2546" spans="1:11" hidden="1">
      <c r="A2546" s="29" t="s">
        <v>138</v>
      </c>
      <c r="B2546" s="32">
        <v>41800</v>
      </c>
      <c r="C2546" s="29">
        <v>63.5</v>
      </c>
      <c r="D2546" s="35">
        <v>64</v>
      </c>
      <c r="E2546" s="35">
        <v>63.400002000000001</v>
      </c>
      <c r="F2546" s="33">
        <v>64</v>
      </c>
      <c r="G2546" s="29">
        <v>0</v>
      </c>
      <c r="H2546" s="29">
        <v>0</v>
      </c>
      <c r="I2546" s="35">
        <v>64</v>
      </c>
      <c r="J2546" s="34">
        <v>5310</v>
      </c>
      <c r="K2546" s="34">
        <v>336690</v>
      </c>
    </row>
    <row r="2547" spans="1:11" hidden="1">
      <c r="A2547" s="29" t="s">
        <v>138</v>
      </c>
      <c r="B2547" s="32">
        <v>41801</v>
      </c>
      <c r="C2547" s="29">
        <v>64</v>
      </c>
      <c r="D2547" s="35">
        <v>64</v>
      </c>
      <c r="E2547" s="35">
        <v>63.299999</v>
      </c>
      <c r="F2547" s="33">
        <v>63.299999</v>
      </c>
      <c r="G2547" s="29">
        <v>-0.78</v>
      </c>
      <c r="H2547" s="29">
        <v>-0.5</v>
      </c>
      <c r="I2547" s="35">
        <v>64</v>
      </c>
      <c r="J2547" s="34">
        <v>178</v>
      </c>
      <c r="K2547" s="34">
        <v>11355</v>
      </c>
    </row>
    <row r="2548" spans="1:11" hidden="1">
      <c r="A2548" s="29" t="s">
        <v>138</v>
      </c>
      <c r="B2548" s="32">
        <v>41803</v>
      </c>
      <c r="C2548" s="29">
        <v>64</v>
      </c>
      <c r="D2548" s="35">
        <v>66</v>
      </c>
      <c r="E2548" s="35">
        <v>64</v>
      </c>
      <c r="F2548" s="33">
        <v>65.400002000000001</v>
      </c>
      <c r="G2548" s="29">
        <v>4.2699999999999996</v>
      </c>
      <c r="H2548" s="29">
        <v>2.7</v>
      </c>
      <c r="I2548" s="35">
        <v>63.299999</v>
      </c>
      <c r="J2548" s="34">
        <v>12916</v>
      </c>
      <c r="K2548" s="34">
        <v>842499</v>
      </c>
    </row>
    <row r="2549" spans="1:11" hidden="1">
      <c r="A2549" s="29" t="s">
        <v>138</v>
      </c>
      <c r="B2549" s="32">
        <v>41806</v>
      </c>
      <c r="C2549" s="29">
        <v>63.2</v>
      </c>
      <c r="D2549" s="35">
        <v>65.599997999999999</v>
      </c>
      <c r="E2549" s="35">
        <v>63.2</v>
      </c>
      <c r="F2549" s="33">
        <v>65</v>
      </c>
      <c r="G2549" s="29">
        <v>-0.61</v>
      </c>
      <c r="H2549" s="29">
        <v>-0.4</v>
      </c>
      <c r="I2549" s="35">
        <v>65.400002000000001</v>
      </c>
      <c r="J2549" s="34">
        <v>3124</v>
      </c>
      <c r="K2549" s="34">
        <v>202019</v>
      </c>
    </row>
    <row r="2550" spans="1:11" hidden="1">
      <c r="A2550" s="29" t="s">
        <v>138</v>
      </c>
      <c r="B2550" s="32">
        <v>41807</v>
      </c>
      <c r="C2550" s="29">
        <v>65</v>
      </c>
      <c r="D2550" s="35">
        <v>65</v>
      </c>
      <c r="E2550" s="35">
        <v>65</v>
      </c>
      <c r="F2550" s="33">
        <v>65</v>
      </c>
      <c r="G2550" s="29">
        <v>0</v>
      </c>
      <c r="H2550" s="29">
        <v>0</v>
      </c>
      <c r="I2550" s="35">
        <v>65</v>
      </c>
      <c r="J2550" s="34">
        <v>200</v>
      </c>
      <c r="K2550" s="34">
        <v>13000</v>
      </c>
    </row>
    <row r="2551" spans="1:11" hidden="1">
      <c r="A2551" s="29" t="s">
        <v>138</v>
      </c>
      <c r="B2551" s="32">
        <v>41808</v>
      </c>
      <c r="C2551" s="29">
        <v>65</v>
      </c>
      <c r="D2551" s="35">
        <v>65</v>
      </c>
      <c r="E2551" s="35">
        <v>64</v>
      </c>
      <c r="F2551" s="33">
        <v>65</v>
      </c>
      <c r="G2551" s="29">
        <v>0</v>
      </c>
      <c r="H2551" s="29">
        <v>0</v>
      </c>
      <c r="I2551" s="35">
        <v>65</v>
      </c>
      <c r="J2551" s="34">
        <v>56109</v>
      </c>
      <c r="K2551" s="34">
        <v>3645085</v>
      </c>
    </row>
    <row r="2552" spans="1:11" hidden="1">
      <c r="A2552" s="29" t="s">
        <v>138</v>
      </c>
      <c r="B2552" s="32">
        <v>41809</v>
      </c>
      <c r="C2552" s="29">
        <v>65</v>
      </c>
      <c r="D2552" s="35">
        <v>65.400002000000001</v>
      </c>
      <c r="E2552" s="35">
        <v>64.5</v>
      </c>
      <c r="F2552" s="33">
        <v>65</v>
      </c>
      <c r="G2552" s="29">
        <v>0.62</v>
      </c>
      <c r="H2552" s="29">
        <v>0.4</v>
      </c>
      <c r="I2552" s="35">
        <v>65</v>
      </c>
      <c r="J2552" s="34">
        <v>20283</v>
      </c>
      <c r="K2552" s="34">
        <v>1317564</v>
      </c>
    </row>
    <row r="2553" spans="1:11" hidden="1">
      <c r="A2553" s="29" t="s">
        <v>138</v>
      </c>
      <c r="B2553" s="32">
        <v>41810</v>
      </c>
      <c r="C2553" s="29">
        <v>65.400000000000006</v>
      </c>
      <c r="D2553" s="35">
        <v>66</v>
      </c>
      <c r="E2553" s="35">
        <v>65</v>
      </c>
      <c r="F2553" s="33">
        <v>65.099997999999999</v>
      </c>
      <c r="G2553" s="29">
        <v>0.15</v>
      </c>
      <c r="H2553" s="29">
        <v>0.1</v>
      </c>
      <c r="I2553" s="35">
        <v>65</v>
      </c>
      <c r="J2553" s="34">
        <v>151234</v>
      </c>
      <c r="K2553" s="34">
        <v>9981074</v>
      </c>
    </row>
    <row r="2554" spans="1:11" hidden="1">
      <c r="A2554" s="29" t="s">
        <v>138</v>
      </c>
      <c r="B2554" s="32">
        <v>41813</v>
      </c>
      <c r="C2554" s="29">
        <v>65</v>
      </c>
      <c r="D2554" s="35">
        <v>65.5</v>
      </c>
      <c r="E2554" s="35">
        <v>65</v>
      </c>
      <c r="F2554" s="33">
        <v>65.199996999999996</v>
      </c>
      <c r="G2554" s="29">
        <v>-0.15</v>
      </c>
      <c r="H2554" s="29">
        <v>-0.1</v>
      </c>
      <c r="I2554" s="35">
        <v>65.099997999999999</v>
      </c>
      <c r="J2554" s="34">
        <v>29921</v>
      </c>
      <c r="K2554" s="34">
        <v>1949626</v>
      </c>
    </row>
    <row r="2555" spans="1:11" hidden="1">
      <c r="A2555" s="29" t="s">
        <v>138</v>
      </c>
      <c r="B2555" s="32">
        <v>41814</v>
      </c>
      <c r="C2555" s="29">
        <v>66</v>
      </c>
      <c r="D2555" s="35">
        <v>66</v>
      </c>
      <c r="E2555" s="35">
        <v>66</v>
      </c>
      <c r="F2555" s="33">
        <v>66</v>
      </c>
      <c r="G2555" s="29">
        <v>1.23</v>
      </c>
      <c r="H2555" s="29">
        <v>0.8</v>
      </c>
      <c r="I2555" s="35">
        <v>65.199996999999996</v>
      </c>
      <c r="J2555" s="34">
        <v>150000</v>
      </c>
      <c r="K2555" s="34">
        <v>9900000</v>
      </c>
    </row>
    <row r="2556" spans="1:11" hidden="1">
      <c r="A2556" s="29" t="s">
        <v>138</v>
      </c>
      <c r="B2556" s="32">
        <v>41815</v>
      </c>
      <c r="C2556" s="29">
        <v>66</v>
      </c>
      <c r="D2556" s="35">
        <v>66</v>
      </c>
      <c r="E2556" s="35">
        <v>65</v>
      </c>
      <c r="F2556" s="33">
        <v>65</v>
      </c>
      <c r="G2556" s="29">
        <v>-1.52</v>
      </c>
      <c r="H2556" s="29">
        <v>-1</v>
      </c>
      <c r="I2556" s="35">
        <v>66</v>
      </c>
      <c r="J2556" s="34">
        <v>1988</v>
      </c>
      <c r="K2556" s="34">
        <v>129924</v>
      </c>
    </row>
    <row r="2557" spans="1:11" hidden="1">
      <c r="A2557" s="29" t="s">
        <v>138</v>
      </c>
      <c r="B2557" s="32">
        <v>41817</v>
      </c>
      <c r="C2557" s="29">
        <v>64.5</v>
      </c>
      <c r="D2557" s="35">
        <v>65</v>
      </c>
      <c r="E2557" s="35">
        <v>64.199996999999996</v>
      </c>
      <c r="F2557" s="33">
        <v>64.400002000000001</v>
      </c>
      <c r="G2557" s="29">
        <v>-1.23</v>
      </c>
      <c r="H2557" s="29">
        <v>-0.8</v>
      </c>
      <c r="I2557" s="35">
        <v>65</v>
      </c>
      <c r="J2557" s="34">
        <v>15486</v>
      </c>
      <c r="K2557" s="34">
        <v>997962</v>
      </c>
    </row>
    <row r="2558" spans="1:11" hidden="1">
      <c r="A2558" s="29" t="s">
        <v>138</v>
      </c>
      <c r="B2558" s="32">
        <v>41820</v>
      </c>
      <c r="C2558" s="29">
        <v>65</v>
      </c>
      <c r="D2558" s="35">
        <v>66</v>
      </c>
      <c r="E2558" s="35">
        <v>65</v>
      </c>
      <c r="F2558" s="33">
        <v>66</v>
      </c>
      <c r="G2558" s="29">
        <v>2.48</v>
      </c>
      <c r="H2558" s="29">
        <v>1.6</v>
      </c>
      <c r="I2558" s="35">
        <v>64.400002000000001</v>
      </c>
      <c r="J2558" s="34">
        <v>3330</v>
      </c>
      <c r="K2558" s="34">
        <v>218030</v>
      </c>
    </row>
    <row r="2559" spans="1:11" hidden="1">
      <c r="A2559" s="29" t="s">
        <v>138</v>
      </c>
      <c r="B2559" s="32">
        <v>41821</v>
      </c>
      <c r="C2559" s="29">
        <v>65.5</v>
      </c>
      <c r="D2559" s="35">
        <v>65.5</v>
      </c>
      <c r="E2559" s="35">
        <v>65.5</v>
      </c>
      <c r="F2559" s="33">
        <v>65.5</v>
      </c>
      <c r="G2559" s="29">
        <v>-0.76</v>
      </c>
      <c r="H2559" s="29">
        <v>-0.5</v>
      </c>
      <c r="I2559" s="35">
        <v>66</v>
      </c>
      <c r="J2559" s="34">
        <v>2000</v>
      </c>
      <c r="K2559" s="34">
        <v>131000</v>
      </c>
    </row>
    <row r="2560" spans="1:11" hidden="1">
      <c r="A2560" s="29" t="s">
        <v>138</v>
      </c>
      <c r="B2560" s="32">
        <v>41822</v>
      </c>
      <c r="C2560" s="29">
        <v>66</v>
      </c>
      <c r="D2560" s="35">
        <v>68</v>
      </c>
      <c r="E2560" s="35">
        <v>65.800003000000004</v>
      </c>
      <c r="F2560" s="33">
        <v>66.400002000000001</v>
      </c>
      <c r="G2560" s="29">
        <v>1.68</v>
      </c>
      <c r="H2560" s="29">
        <v>1.1000000000000001</v>
      </c>
      <c r="I2560" s="35">
        <v>65.5</v>
      </c>
      <c r="J2560" s="34">
        <v>66040</v>
      </c>
      <c r="K2560" s="34">
        <v>4386624</v>
      </c>
    </row>
    <row r="2561" spans="1:11" hidden="1">
      <c r="A2561" s="29" t="s">
        <v>138</v>
      </c>
      <c r="B2561" s="32">
        <v>41823</v>
      </c>
      <c r="C2561" s="29">
        <v>67</v>
      </c>
      <c r="D2561" s="35">
        <v>67</v>
      </c>
      <c r="E2561" s="35">
        <v>67</v>
      </c>
      <c r="F2561" s="33">
        <v>67</v>
      </c>
      <c r="G2561" s="29">
        <v>0.9</v>
      </c>
      <c r="H2561" s="29">
        <v>0.6</v>
      </c>
      <c r="I2561" s="35">
        <v>66.400002000000001</v>
      </c>
      <c r="J2561" s="34">
        <v>146</v>
      </c>
      <c r="K2561" s="34">
        <v>9782</v>
      </c>
    </row>
    <row r="2562" spans="1:11" hidden="1">
      <c r="A2562" s="29" t="s">
        <v>138</v>
      </c>
      <c r="B2562" s="32">
        <v>41824</v>
      </c>
      <c r="C2562" s="29">
        <v>67</v>
      </c>
      <c r="D2562" s="35">
        <v>68.5</v>
      </c>
      <c r="E2562" s="35">
        <v>67</v>
      </c>
      <c r="F2562" s="33">
        <v>67.5</v>
      </c>
      <c r="G2562" s="29">
        <v>1.49</v>
      </c>
      <c r="H2562" s="29">
        <v>1</v>
      </c>
      <c r="I2562" s="35">
        <v>67</v>
      </c>
      <c r="J2562" s="34">
        <v>34654</v>
      </c>
      <c r="K2562" s="34">
        <v>2343023</v>
      </c>
    </row>
    <row r="2563" spans="1:11" hidden="1">
      <c r="A2563" s="29" t="s">
        <v>138</v>
      </c>
      <c r="B2563" s="32">
        <v>41827</v>
      </c>
      <c r="C2563" s="29">
        <v>66.599999999999994</v>
      </c>
      <c r="D2563" s="35">
        <v>67.800003000000004</v>
      </c>
      <c r="E2563" s="35">
        <v>66.599997999999999</v>
      </c>
      <c r="F2563" s="33">
        <v>67.800003000000004</v>
      </c>
      <c r="G2563" s="29">
        <v>0.44</v>
      </c>
      <c r="H2563" s="29">
        <v>0.3</v>
      </c>
      <c r="I2563" s="35">
        <v>67.5</v>
      </c>
      <c r="J2563" s="34">
        <v>1816</v>
      </c>
      <c r="K2563" s="34">
        <v>120973</v>
      </c>
    </row>
    <row r="2564" spans="1:11" hidden="1">
      <c r="A2564" s="29" t="s">
        <v>138</v>
      </c>
      <c r="B2564" s="32">
        <v>41828</v>
      </c>
      <c r="C2564" s="29">
        <v>67.5</v>
      </c>
      <c r="D2564" s="35">
        <v>68.300003000000004</v>
      </c>
      <c r="E2564" s="35">
        <v>66.199996999999996</v>
      </c>
      <c r="F2564" s="33">
        <v>66.5</v>
      </c>
      <c r="G2564" s="29">
        <v>-2.36</v>
      </c>
      <c r="H2564" s="29">
        <v>-1.6</v>
      </c>
      <c r="I2564" s="35">
        <v>67.800003000000004</v>
      </c>
      <c r="J2564" s="34">
        <v>3643</v>
      </c>
      <c r="K2564" s="34">
        <v>244914</v>
      </c>
    </row>
    <row r="2565" spans="1:11" hidden="1">
      <c r="A2565" s="29" t="s">
        <v>138</v>
      </c>
      <c r="B2565" s="32">
        <v>41829</v>
      </c>
      <c r="C2565" s="29">
        <v>68.900000000000006</v>
      </c>
      <c r="D2565" s="35">
        <v>69.800003000000004</v>
      </c>
      <c r="E2565" s="35">
        <v>66.599997999999999</v>
      </c>
      <c r="F2565" s="33">
        <v>69</v>
      </c>
      <c r="G2565" s="29">
        <v>3.76</v>
      </c>
      <c r="H2565" s="29">
        <v>2.5</v>
      </c>
      <c r="I2565" s="35">
        <v>66.5</v>
      </c>
      <c r="J2565" s="34">
        <v>114766</v>
      </c>
      <c r="K2565" s="34">
        <v>7914746</v>
      </c>
    </row>
    <row r="2566" spans="1:11" hidden="1">
      <c r="A2566" s="29" t="s">
        <v>138</v>
      </c>
      <c r="B2566" s="32">
        <v>41830</v>
      </c>
      <c r="C2566" s="29">
        <v>69</v>
      </c>
      <c r="D2566" s="35">
        <v>69</v>
      </c>
      <c r="E2566" s="35">
        <v>69</v>
      </c>
      <c r="F2566" s="33">
        <v>69</v>
      </c>
      <c r="G2566" s="29">
        <v>0</v>
      </c>
      <c r="H2566" s="29">
        <v>0</v>
      </c>
      <c r="I2566" s="35">
        <v>69</v>
      </c>
      <c r="J2566" s="34">
        <v>5400</v>
      </c>
      <c r="K2566" s="34">
        <v>372600</v>
      </c>
    </row>
    <row r="2567" spans="1:11" hidden="1">
      <c r="A2567" s="29" t="s">
        <v>138</v>
      </c>
      <c r="B2567" s="32">
        <v>41831</v>
      </c>
      <c r="C2567" s="29">
        <v>68</v>
      </c>
      <c r="D2567" s="35">
        <v>69</v>
      </c>
      <c r="E2567" s="35">
        <v>67</v>
      </c>
      <c r="F2567" s="33">
        <v>67.099997999999999</v>
      </c>
      <c r="G2567" s="29">
        <v>-2.9</v>
      </c>
      <c r="H2567" s="29">
        <v>-2</v>
      </c>
      <c r="I2567" s="35">
        <v>69</v>
      </c>
      <c r="J2567" s="34">
        <v>34150</v>
      </c>
      <c r="K2567" s="34">
        <v>2310330</v>
      </c>
    </row>
    <row r="2568" spans="1:11" hidden="1">
      <c r="A2568" s="29" t="s">
        <v>138</v>
      </c>
      <c r="B2568" s="32">
        <v>41834</v>
      </c>
      <c r="C2568" s="29">
        <v>67.099999999999994</v>
      </c>
      <c r="D2568" s="35">
        <v>69</v>
      </c>
      <c r="E2568" s="35">
        <v>67.099997999999999</v>
      </c>
      <c r="F2568" s="33">
        <v>69</v>
      </c>
      <c r="G2568" s="29">
        <v>2.83</v>
      </c>
      <c r="H2568" s="29">
        <v>1.9</v>
      </c>
      <c r="I2568" s="35">
        <v>67.099997999999999</v>
      </c>
      <c r="J2568" s="34">
        <v>386</v>
      </c>
      <c r="K2568" s="34">
        <v>26254</v>
      </c>
    </row>
    <row r="2569" spans="1:11" hidden="1">
      <c r="A2569" s="29" t="s">
        <v>138</v>
      </c>
      <c r="B2569" s="32">
        <v>41835</v>
      </c>
      <c r="C2569" s="29">
        <v>68.5</v>
      </c>
      <c r="D2569" s="35">
        <v>71.900002000000001</v>
      </c>
      <c r="E2569" s="35">
        <v>68.5</v>
      </c>
      <c r="F2569" s="33">
        <v>70.199996999999996</v>
      </c>
      <c r="G2569" s="29">
        <v>3.77</v>
      </c>
      <c r="H2569" s="29">
        <v>2.6</v>
      </c>
      <c r="I2569" s="35">
        <v>69</v>
      </c>
      <c r="J2569" s="34">
        <v>452181</v>
      </c>
      <c r="K2569" s="34">
        <v>31723034</v>
      </c>
    </row>
    <row r="2570" spans="1:11" hidden="1">
      <c r="A2570" s="29" t="s">
        <v>138</v>
      </c>
      <c r="B2570" s="32">
        <v>41836</v>
      </c>
      <c r="C2570" s="29">
        <v>71.900000000000006</v>
      </c>
      <c r="D2570" s="35">
        <v>74</v>
      </c>
      <c r="E2570" s="35">
        <v>70.900002000000001</v>
      </c>
      <c r="F2570" s="33">
        <v>71</v>
      </c>
      <c r="G2570" s="29">
        <v>1.1399999999999999</v>
      </c>
      <c r="H2570" s="29">
        <v>0.8</v>
      </c>
      <c r="I2570" s="35">
        <v>70.199996999999996</v>
      </c>
      <c r="J2570" s="34">
        <v>91012</v>
      </c>
      <c r="K2570" s="34">
        <v>6547494</v>
      </c>
    </row>
    <row r="2571" spans="1:11" hidden="1">
      <c r="A2571" s="29" t="s">
        <v>138</v>
      </c>
      <c r="B2571" s="32">
        <v>41837</v>
      </c>
      <c r="C2571" s="29">
        <v>70.5</v>
      </c>
      <c r="D2571" s="35">
        <v>72.300003000000004</v>
      </c>
      <c r="E2571" s="35">
        <v>70</v>
      </c>
      <c r="F2571" s="33">
        <v>70</v>
      </c>
      <c r="G2571" s="29">
        <v>-1.41</v>
      </c>
      <c r="H2571" s="29">
        <v>-1</v>
      </c>
      <c r="I2571" s="35">
        <v>71</v>
      </c>
      <c r="J2571" s="34">
        <v>90706</v>
      </c>
      <c r="K2571" s="34">
        <v>6361112</v>
      </c>
    </row>
    <row r="2572" spans="1:11" hidden="1">
      <c r="A2572" s="29" t="s">
        <v>138</v>
      </c>
      <c r="B2572" s="32">
        <v>41838</v>
      </c>
      <c r="C2572" s="29">
        <v>69.900000000000006</v>
      </c>
      <c r="D2572" s="35">
        <v>69.900002000000001</v>
      </c>
      <c r="E2572" s="35">
        <v>69</v>
      </c>
      <c r="F2572" s="33">
        <v>69</v>
      </c>
      <c r="G2572" s="29">
        <v>-1.43</v>
      </c>
      <c r="H2572" s="29">
        <v>-1</v>
      </c>
      <c r="I2572" s="35">
        <v>70</v>
      </c>
      <c r="J2572" s="34">
        <v>9400</v>
      </c>
      <c r="K2572" s="34">
        <v>648770</v>
      </c>
    </row>
    <row r="2573" spans="1:11" hidden="1">
      <c r="A2573" s="29" t="s">
        <v>138</v>
      </c>
      <c r="B2573" s="32">
        <v>41841</v>
      </c>
      <c r="C2573" s="29">
        <v>69.900000000000006</v>
      </c>
      <c r="D2573" s="35">
        <v>71</v>
      </c>
      <c r="E2573" s="35">
        <v>69.900000000000006</v>
      </c>
      <c r="F2573" s="33">
        <v>71</v>
      </c>
      <c r="G2573" s="29">
        <v>2.9</v>
      </c>
      <c r="H2573" s="29">
        <v>2</v>
      </c>
      <c r="I2573" s="35">
        <v>69</v>
      </c>
      <c r="J2573" s="34">
        <v>4521</v>
      </c>
      <c r="K2573" s="34">
        <v>319870</v>
      </c>
    </row>
    <row r="2574" spans="1:11" hidden="1">
      <c r="A2574" s="29" t="s">
        <v>138</v>
      </c>
      <c r="B2574" s="32">
        <v>41842</v>
      </c>
      <c r="C2574" s="29">
        <v>70.099999999999994</v>
      </c>
      <c r="D2574" s="35">
        <v>71</v>
      </c>
      <c r="E2574" s="35">
        <v>70</v>
      </c>
      <c r="F2574" s="33">
        <v>70.199996999999996</v>
      </c>
      <c r="G2574" s="29">
        <v>0</v>
      </c>
      <c r="H2574" s="29">
        <v>0</v>
      </c>
      <c r="I2574" s="35">
        <v>71</v>
      </c>
      <c r="J2574" s="34">
        <v>125292</v>
      </c>
      <c r="K2574" s="34">
        <v>8772866</v>
      </c>
    </row>
    <row r="2575" spans="1:11" hidden="1">
      <c r="A2575" s="29" t="s">
        <v>138</v>
      </c>
      <c r="B2575" s="32">
        <v>41843</v>
      </c>
      <c r="C2575" s="29">
        <v>70</v>
      </c>
      <c r="D2575" s="35">
        <v>71.199996999999996</v>
      </c>
      <c r="E2575" s="35">
        <v>70</v>
      </c>
      <c r="F2575" s="33">
        <v>71</v>
      </c>
      <c r="G2575" s="29">
        <v>1.1399999999999999</v>
      </c>
      <c r="H2575" s="29">
        <v>0.8</v>
      </c>
      <c r="I2575" s="35">
        <v>70.199996999999996</v>
      </c>
      <c r="J2575" s="34">
        <v>65467</v>
      </c>
      <c r="K2575" s="34">
        <v>4596682</v>
      </c>
    </row>
    <row r="2576" spans="1:11" hidden="1">
      <c r="A2576" s="29" t="s">
        <v>138</v>
      </c>
      <c r="B2576" s="32">
        <v>41844</v>
      </c>
      <c r="C2576" s="29">
        <v>71</v>
      </c>
      <c r="D2576" s="35">
        <v>71</v>
      </c>
      <c r="E2576" s="35">
        <v>70.699996999999996</v>
      </c>
      <c r="F2576" s="33">
        <v>70.900002000000001</v>
      </c>
      <c r="G2576" s="29">
        <v>0</v>
      </c>
      <c r="H2576" s="29">
        <v>0</v>
      </c>
      <c r="I2576" s="35">
        <v>71</v>
      </c>
      <c r="J2576" s="34">
        <v>3030</v>
      </c>
      <c r="K2576" s="34">
        <v>215085</v>
      </c>
    </row>
    <row r="2577" spans="1:11" hidden="1">
      <c r="A2577" s="29" t="s">
        <v>138</v>
      </c>
      <c r="B2577" s="32">
        <v>41845</v>
      </c>
      <c r="C2577" s="29">
        <v>71</v>
      </c>
      <c r="D2577" s="35">
        <v>71.300003000000004</v>
      </c>
      <c r="E2577" s="35">
        <v>70.599997999999999</v>
      </c>
      <c r="F2577" s="33">
        <v>71</v>
      </c>
      <c r="G2577" s="29">
        <v>0</v>
      </c>
      <c r="H2577" s="29">
        <v>0</v>
      </c>
      <c r="I2577" s="35">
        <v>70.900002000000001</v>
      </c>
      <c r="J2577" s="34">
        <v>31582</v>
      </c>
      <c r="K2577" s="34">
        <v>2233723</v>
      </c>
    </row>
    <row r="2578" spans="1:11" hidden="1">
      <c r="A2578" s="29" t="s">
        <v>138</v>
      </c>
      <c r="B2578" s="32">
        <v>41848</v>
      </c>
      <c r="C2578" s="29">
        <v>71.900000000000006</v>
      </c>
      <c r="D2578" s="35">
        <v>71.900002000000001</v>
      </c>
      <c r="E2578" s="35">
        <v>71</v>
      </c>
      <c r="F2578" s="33">
        <v>71</v>
      </c>
      <c r="G2578" s="29">
        <v>0</v>
      </c>
      <c r="H2578" s="29">
        <v>0</v>
      </c>
      <c r="I2578" s="35">
        <v>71</v>
      </c>
      <c r="J2578" s="34">
        <v>9872</v>
      </c>
      <c r="K2578" s="34">
        <v>705757</v>
      </c>
    </row>
    <row r="2579" spans="1:11" hidden="1">
      <c r="A2579" s="29" t="s">
        <v>138</v>
      </c>
      <c r="B2579" s="32">
        <v>41850</v>
      </c>
      <c r="C2579" s="29">
        <v>71.900000000000006</v>
      </c>
      <c r="D2579" s="35">
        <v>72</v>
      </c>
      <c r="E2579" s="35">
        <v>71</v>
      </c>
      <c r="F2579" s="33">
        <v>71</v>
      </c>
      <c r="G2579" s="29">
        <v>0</v>
      </c>
      <c r="H2579" s="29">
        <v>0</v>
      </c>
      <c r="I2579" s="35">
        <v>71</v>
      </c>
      <c r="J2579" s="34">
        <v>19188</v>
      </c>
      <c r="K2579" s="34">
        <v>1362605</v>
      </c>
    </row>
    <row r="2580" spans="1:11" hidden="1">
      <c r="A2580" s="29" t="s">
        <v>138</v>
      </c>
      <c r="B2580" s="32">
        <v>41851</v>
      </c>
      <c r="C2580" s="29">
        <v>70.5</v>
      </c>
      <c r="D2580" s="35">
        <v>71</v>
      </c>
      <c r="E2580" s="35">
        <v>70.5</v>
      </c>
      <c r="F2580" s="33">
        <v>71</v>
      </c>
      <c r="G2580" s="29">
        <v>0</v>
      </c>
      <c r="H2580" s="29">
        <v>0</v>
      </c>
      <c r="I2580" s="35">
        <v>71</v>
      </c>
      <c r="J2580" s="34">
        <v>34206</v>
      </c>
      <c r="K2580" s="34">
        <v>2424353</v>
      </c>
    </row>
    <row r="2581" spans="1:11" hidden="1">
      <c r="A2581" s="29" t="s">
        <v>138</v>
      </c>
      <c r="B2581" s="32">
        <v>41852</v>
      </c>
      <c r="C2581" s="29">
        <v>71</v>
      </c>
      <c r="D2581" s="35">
        <v>71.599997999999999</v>
      </c>
      <c r="E2581" s="35">
        <v>71</v>
      </c>
      <c r="F2581" s="33">
        <v>71.099997999999999</v>
      </c>
      <c r="G2581" s="29">
        <v>0.14000000000000001</v>
      </c>
      <c r="H2581" s="29">
        <v>0.1</v>
      </c>
      <c r="I2581" s="35">
        <v>71</v>
      </c>
      <c r="J2581" s="34">
        <v>1022</v>
      </c>
      <c r="K2581" s="34">
        <v>72565</v>
      </c>
    </row>
    <row r="2582" spans="1:11" hidden="1">
      <c r="A2582" s="29" t="s">
        <v>138</v>
      </c>
      <c r="B2582" s="32">
        <v>41855</v>
      </c>
      <c r="C2582" s="29">
        <v>71.599999999999994</v>
      </c>
      <c r="D2582" s="35">
        <v>72</v>
      </c>
      <c r="E2582" s="35">
        <v>70.800003000000004</v>
      </c>
      <c r="F2582" s="33">
        <v>70.900002000000001</v>
      </c>
      <c r="G2582" s="29">
        <v>-0.42</v>
      </c>
      <c r="H2582" s="29">
        <v>-0.3</v>
      </c>
      <c r="I2582" s="35">
        <v>71.099997999999999</v>
      </c>
      <c r="J2582" s="34">
        <v>2845</v>
      </c>
      <c r="K2582" s="34">
        <v>204383</v>
      </c>
    </row>
    <row r="2583" spans="1:11" hidden="1">
      <c r="A2583" s="29" t="s">
        <v>138</v>
      </c>
      <c r="B2583" s="32">
        <v>41856</v>
      </c>
      <c r="C2583" s="29">
        <v>71.2</v>
      </c>
      <c r="D2583" s="35">
        <v>73</v>
      </c>
      <c r="E2583" s="35">
        <v>71</v>
      </c>
      <c r="F2583" s="33">
        <v>71.5</v>
      </c>
      <c r="G2583" s="29">
        <v>0.85</v>
      </c>
      <c r="H2583" s="29">
        <v>0.6</v>
      </c>
      <c r="I2583" s="35">
        <v>70.900002000000001</v>
      </c>
      <c r="J2583" s="34">
        <v>167685</v>
      </c>
      <c r="K2583" s="34">
        <v>11996427</v>
      </c>
    </row>
    <row r="2584" spans="1:11" hidden="1">
      <c r="A2584" s="29" t="s">
        <v>138</v>
      </c>
      <c r="B2584" s="32">
        <v>41857</v>
      </c>
      <c r="C2584" s="29">
        <v>71.2</v>
      </c>
      <c r="D2584" s="35">
        <v>72.900002000000001</v>
      </c>
      <c r="E2584" s="35">
        <v>71.199996999999996</v>
      </c>
      <c r="F2584" s="33">
        <v>72.5</v>
      </c>
      <c r="G2584" s="29">
        <v>1.96</v>
      </c>
      <c r="H2584" s="29">
        <v>1.4</v>
      </c>
      <c r="I2584" s="35">
        <v>71.5</v>
      </c>
      <c r="J2584" s="34">
        <v>22668</v>
      </c>
      <c r="K2584" s="34">
        <v>1641434</v>
      </c>
    </row>
    <row r="2585" spans="1:11" hidden="1">
      <c r="A2585" s="29" t="s">
        <v>138</v>
      </c>
      <c r="B2585" s="32">
        <v>41858</v>
      </c>
      <c r="C2585" s="29">
        <v>72.8</v>
      </c>
      <c r="D2585" s="35">
        <v>73</v>
      </c>
      <c r="E2585" s="35">
        <v>72.5</v>
      </c>
      <c r="F2585" s="33">
        <v>73</v>
      </c>
      <c r="G2585" s="29">
        <v>0.69</v>
      </c>
      <c r="H2585" s="29">
        <v>0.5</v>
      </c>
      <c r="I2585" s="35">
        <v>72.5</v>
      </c>
      <c r="J2585" s="34">
        <v>103622</v>
      </c>
      <c r="K2585" s="34">
        <v>7563141</v>
      </c>
    </row>
    <row r="2586" spans="1:11" hidden="1">
      <c r="A2586" s="29" t="s">
        <v>138</v>
      </c>
      <c r="B2586" s="32">
        <v>41859</v>
      </c>
      <c r="C2586" s="29">
        <v>72.5</v>
      </c>
      <c r="D2586" s="35">
        <v>73.5</v>
      </c>
      <c r="E2586" s="35">
        <v>72.5</v>
      </c>
      <c r="F2586" s="33">
        <v>73</v>
      </c>
      <c r="G2586" s="29">
        <v>0</v>
      </c>
      <c r="H2586" s="29">
        <v>0</v>
      </c>
      <c r="I2586" s="35">
        <v>73</v>
      </c>
      <c r="J2586" s="34">
        <v>20159</v>
      </c>
      <c r="K2586" s="34">
        <v>1471632</v>
      </c>
    </row>
    <row r="2587" spans="1:11" hidden="1">
      <c r="A2587" s="29" t="s">
        <v>138</v>
      </c>
      <c r="B2587" s="32">
        <v>41862</v>
      </c>
      <c r="C2587" s="29">
        <v>73.400000000000006</v>
      </c>
      <c r="D2587" s="35">
        <v>74</v>
      </c>
      <c r="E2587" s="35">
        <v>73.099997999999999</v>
      </c>
      <c r="F2587" s="33">
        <v>73.699996999999996</v>
      </c>
      <c r="G2587" s="29">
        <v>0.96</v>
      </c>
      <c r="H2587" s="29">
        <v>0.7</v>
      </c>
      <c r="I2587" s="35">
        <v>73</v>
      </c>
      <c r="J2587" s="34">
        <v>18079</v>
      </c>
      <c r="K2587" s="34">
        <v>1334047</v>
      </c>
    </row>
    <row r="2588" spans="1:11" hidden="1">
      <c r="A2588" s="29" t="s">
        <v>138</v>
      </c>
      <c r="B2588" s="32">
        <v>41863</v>
      </c>
      <c r="C2588" s="29">
        <v>73.7</v>
      </c>
      <c r="D2588" s="35">
        <v>74.199996999999996</v>
      </c>
      <c r="E2588" s="35">
        <v>72</v>
      </c>
      <c r="F2588" s="33">
        <v>73.400002000000001</v>
      </c>
      <c r="G2588" s="29">
        <v>-0.41</v>
      </c>
      <c r="H2588" s="29">
        <v>-0.3</v>
      </c>
      <c r="I2588" s="35">
        <v>73.699996999999996</v>
      </c>
      <c r="J2588" s="34">
        <v>99309</v>
      </c>
      <c r="K2588" s="34">
        <v>7290803</v>
      </c>
    </row>
    <row r="2589" spans="1:11" hidden="1">
      <c r="A2589" s="29" t="s">
        <v>138</v>
      </c>
      <c r="B2589" s="32">
        <v>41864</v>
      </c>
      <c r="C2589" s="29">
        <v>74</v>
      </c>
      <c r="D2589" s="35">
        <v>74.300003000000004</v>
      </c>
      <c r="E2589" s="35">
        <v>74</v>
      </c>
      <c r="F2589" s="33">
        <v>74</v>
      </c>
      <c r="G2589" s="29">
        <v>0.82</v>
      </c>
      <c r="H2589" s="29">
        <v>0.6</v>
      </c>
      <c r="I2589" s="35">
        <v>73.400002000000001</v>
      </c>
      <c r="J2589" s="34">
        <v>9530</v>
      </c>
      <c r="K2589" s="34">
        <v>705229</v>
      </c>
    </row>
    <row r="2590" spans="1:11" hidden="1">
      <c r="A2590" s="29" t="s">
        <v>138</v>
      </c>
      <c r="B2590" s="32">
        <v>41865</v>
      </c>
      <c r="C2590" s="29">
        <v>74</v>
      </c>
      <c r="D2590" s="35">
        <v>74</v>
      </c>
      <c r="E2590" s="35">
        <v>72</v>
      </c>
      <c r="F2590" s="33">
        <v>72.900002000000001</v>
      </c>
      <c r="G2590" s="29">
        <v>-1.49</v>
      </c>
      <c r="H2590" s="29">
        <v>-1.1000000000000001</v>
      </c>
      <c r="I2590" s="35">
        <v>74</v>
      </c>
      <c r="J2590" s="34">
        <v>18917</v>
      </c>
      <c r="K2590" s="34">
        <v>1383623</v>
      </c>
    </row>
    <row r="2591" spans="1:11" hidden="1">
      <c r="A2591" s="29" t="s">
        <v>138</v>
      </c>
      <c r="B2591" s="32">
        <v>41866</v>
      </c>
      <c r="C2591" s="29">
        <v>72.099999999999994</v>
      </c>
      <c r="D2591" s="35">
        <v>72.599997999999999</v>
      </c>
      <c r="E2591" s="35">
        <v>72</v>
      </c>
      <c r="F2591" s="33">
        <v>72.099997999999999</v>
      </c>
      <c r="G2591" s="29">
        <v>-1.23</v>
      </c>
      <c r="H2591" s="29">
        <v>-0.9</v>
      </c>
      <c r="I2591" s="35">
        <v>72.900002000000001</v>
      </c>
      <c r="J2591" s="34">
        <v>3055</v>
      </c>
      <c r="K2591" s="34">
        <v>220263</v>
      </c>
    </row>
    <row r="2592" spans="1:11" hidden="1">
      <c r="A2592" s="29" t="s">
        <v>138</v>
      </c>
      <c r="B2592" s="32">
        <v>41869</v>
      </c>
      <c r="C2592" s="29">
        <v>72</v>
      </c>
      <c r="D2592" s="35">
        <v>72.5</v>
      </c>
      <c r="E2592" s="35">
        <v>70.099997999999999</v>
      </c>
      <c r="F2592" s="33">
        <v>70.199996999999996</v>
      </c>
      <c r="G2592" s="29">
        <v>-2.77</v>
      </c>
      <c r="H2592" s="29">
        <v>-2</v>
      </c>
      <c r="I2592" s="35">
        <v>72.099997999999999</v>
      </c>
      <c r="J2592" s="34">
        <v>36230</v>
      </c>
      <c r="K2592" s="34">
        <v>2591179</v>
      </c>
    </row>
    <row r="2593" spans="1:11" hidden="1">
      <c r="A2593" s="29" t="s">
        <v>138</v>
      </c>
      <c r="B2593" s="32">
        <v>41870</v>
      </c>
      <c r="C2593" s="29">
        <v>72.5</v>
      </c>
      <c r="D2593" s="35">
        <v>72.5</v>
      </c>
      <c r="E2593" s="35">
        <v>72.5</v>
      </c>
      <c r="F2593" s="33">
        <v>72.5</v>
      </c>
      <c r="G2593" s="29">
        <v>3.28</v>
      </c>
      <c r="H2593" s="29">
        <v>2.2999999999999998</v>
      </c>
      <c r="I2593" s="35">
        <v>70.199996999999996</v>
      </c>
      <c r="J2593" s="34">
        <v>155</v>
      </c>
      <c r="K2593" s="34">
        <v>11237</v>
      </c>
    </row>
    <row r="2594" spans="1:11" hidden="1">
      <c r="A2594" s="29" t="s">
        <v>138</v>
      </c>
      <c r="B2594" s="32">
        <v>41871</v>
      </c>
      <c r="C2594" s="29">
        <v>72.599999999999994</v>
      </c>
      <c r="D2594" s="35">
        <v>72.900002000000001</v>
      </c>
      <c r="E2594" s="35">
        <v>70.900002000000001</v>
      </c>
      <c r="F2594" s="33">
        <v>71.300003000000004</v>
      </c>
      <c r="G2594" s="29">
        <v>-0.28000000000000003</v>
      </c>
      <c r="H2594" s="29">
        <v>-0.2</v>
      </c>
      <c r="I2594" s="35">
        <v>72.5</v>
      </c>
      <c r="J2594" s="34">
        <v>8555</v>
      </c>
      <c r="K2594" s="34">
        <v>619221</v>
      </c>
    </row>
    <row r="2595" spans="1:11" hidden="1">
      <c r="A2595" s="29" t="s">
        <v>138</v>
      </c>
      <c r="B2595" s="32">
        <v>41872</v>
      </c>
      <c r="C2595" s="29">
        <v>72</v>
      </c>
      <c r="D2595" s="35">
        <v>72.300003000000004</v>
      </c>
      <c r="E2595" s="35">
        <v>70.199996999999996</v>
      </c>
      <c r="F2595" s="33">
        <v>71.5</v>
      </c>
      <c r="G2595" s="29">
        <v>0.28000000000000003</v>
      </c>
      <c r="H2595" s="29">
        <v>0.2</v>
      </c>
      <c r="I2595" s="35">
        <v>71.300003000000004</v>
      </c>
      <c r="J2595" s="34">
        <v>23487</v>
      </c>
      <c r="K2595" s="34">
        <v>1687198</v>
      </c>
    </row>
    <row r="2596" spans="1:11" hidden="1">
      <c r="A2596" s="29" t="s">
        <v>138</v>
      </c>
      <c r="B2596" s="32">
        <v>41873</v>
      </c>
      <c r="C2596" s="29">
        <v>71.900000000000006</v>
      </c>
      <c r="D2596" s="35">
        <v>72</v>
      </c>
      <c r="E2596" s="35">
        <v>71.900000000000006</v>
      </c>
      <c r="F2596" s="33">
        <v>72</v>
      </c>
      <c r="G2596" s="29">
        <v>0.7</v>
      </c>
      <c r="H2596" s="29">
        <v>0.5</v>
      </c>
      <c r="I2596" s="35">
        <v>71.5</v>
      </c>
      <c r="J2596" s="34">
        <v>140805</v>
      </c>
      <c r="K2596" s="34">
        <v>10137510</v>
      </c>
    </row>
    <row r="2597" spans="1:11" hidden="1">
      <c r="A2597" s="29" t="s">
        <v>138</v>
      </c>
      <c r="B2597" s="32">
        <v>41876</v>
      </c>
      <c r="C2597" s="29">
        <v>72</v>
      </c>
      <c r="D2597" s="35">
        <v>72</v>
      </c>
      <c r="E2597" s="35">
        <v>70.300003000000004</v>
      </c>
      <c r="F2597" s="33">
        <v>70.300003000000004</v>
      </c>
      <c r="G2597" s="29">
        <v>-2.36</v>
      </c>
      <c r="H2597" s="29">
        <v>-1.7</v>
      </c>
      <c r="I2597" s="35">
        <v>72</v>
      </c>
      <c r="J2597" s="34">
        <v>29</v>
      </c>
      <c r="K2597" s="34">
        <v>2084</v>
      </c>
    </row>
    <row r="2598" spans="1:11" hidden="1">
      <c r="A2598" s="29" t="s">
        <v>138</v>
      </c>
      <c r="B2598" s="32">
        <v>41877</v>
      </c>
      <c r="C2598" s="29">
        <v>72</v>
      </c>
      <c r="D2598" s="35">
        <v>72</v>
      </c>
      <c r="E2598" s="35">
        <v>71.900002000000001</v>
      </c>
      <c r="F2598" s="33">
        <v>71.900002000000001</v>
      </c>
      <c r="G2598" s="29">
        <v>2.2799999999999998</v>
      </c>
      <c r="H2598" s="29">
        <v>1.6</v>
      </c>
      <c r="I2598" s="35">
        <v>70.300003000000004</v>
      </c>
      <c r="J2598" s="34">
        <v>15205</v>
      </c>
      <c r="K2598" s="34">
        <v>1093240</v>
      </c>
    </row>
    <row r="2599" spans="1:11" hidden="1">
      <c r="A2599" s="29" t="s">
        <v>138</v>
      </c>
      <c r="B2599" s="32">
        <v>41878</v>
      </c>
      <c r="C2599" s="29">
        <v>71.900000000000006</v>
      </c>
      <c r="D2599" s="35">
        <v>71.900002000000001</v>
      </c>
      <c r="E2599" s="35">
        <v>70.5</v>
      </c>
      <c r="F2599" s="33">
        <v>70.5</v>
      </c>
      <c r="G2599" s="29">
        <v>-1.95</v>
      </c>
      <c r="H2599" s="29">
        <v>-1.4</v>
      </c>
      <c r="I2599" s="35">
        <v>71.900002000000001</v>
      </c>
      <c r="J2599" s="34">
        <v>14</v>
      </c>
      <c r="K2599" s="34">
        <v>1003</v>
      </c>
    </row>
    <row r="2600" spans="1:11" hidden="1">
      <c r="A2600" s="29" t="s">
        <v>138</v>
      </c>
      <c r="B2600" s="32">
        <v>41879</v>
      </c>
      <c r="C2600" s="29">
        <v>70.5</v>
      </c>
      <c r="D2600" s="35">
        <v>71.199996999999996</v>
      </c>
      <c r="E2600" s="35">
        <v>70.5</v>
      </c>
      <c r="F2600" s="33">
        <v>71.199996999999996</v>
      </c>
      <c r="G2600" s="29">
        <v>0.71</v>
      </c>
      <c r="H2600" s="29">
        <v>0.5</v>
      </c>
      <c r="I2600" s="35">
        <v>70.5</v>
      </c>
      <c r="J2600" s="34">
        <v>598</v>
      </c>
      <c r="K2600" s="34">
        <v>42556</v>
      </c>
    </row>
    <row r="2601" spans="1:11" hidden="1">
      <c r="A2601" s="29" t="s">
        <v>138</v>
      </c>
      <c r="B2601" s="32">
        <v>41880</v>
      </c>
      <c r="C2601" s="29">
        <v>70.5</v>
      </c>
      <c r="D2601" s="35">
        <v>71.900002000000001</v>
      </c>
      <c r="E2601" s="35">
        <v>70.5</v>
      </c>
      <c r="F2601" s="33">
        <v>71.800003000000004</v>
      </c>
      <c r="G2601" s="29">
        <v>0.84</v>
      </c>
      <c r="H2601" s="29">
        <v>0.6</v>
      </c>
      <c r="I2601" s="35">
        <v>71.199996999999996</v>
      </c>
      <c r="J2601" s="34">
        <v>20921</v>
      </c>
      <c r="K2601" s="34">
        <v>1495549</v>
      </c>
    </row>
    <row r="2602" spans="1:11" hidden="1">
      <c r="A2602" s="29" t="s">
        <v>138</v>
      </c>
      <c r="B2602" s="32">
        <v>41883</v>
      </c>
      <c r="C2602" s="29">
        <v>71.5</v>
      </c>
      <c r="D2602" s="35">
        <v>73</v>
      </c>
      <c r="E2602" s="35">
        <v>70.5</v>
      </c>
      <c r="F2602" s="33">
        <v>71.400002000000001</v>
      </c>
      <c r="G2602" s="29">
        <v>0.28000000000000003</v>
      </c>
      <c r="H2602" s="29">
        <v>0.2</v>
      </c>
      <c r="I2602" s="35">
        <v>71.800003000000004</v>
      </c>
      <c r="J2602" s="34">
        <v>74573</v>
      </c>
      <c r="K2602" s="34">
        <v>5367631</v>
      </c>
    </row>
    <row r="2603" spans="1:11" hidden="1">
      <c r="A2603" s="29" t="s">
        <v>138</v>
      </c>
      <c r="B2603" s="32">
        <v>41884</v>
      </c>
      <c r="C2603" s="29">
        <v>71</v>
      </c>
      <c r="D2603" s="35">
        <v>72.5</v>
      </c>
      <c r="E2603" s="35">
        <v>71</v>
      </c>
      <c r="F2603" s="33">
        <v>72</v>
      </c>
      <c r="G2603" s="29">
        <v>0.7</v>
      </c>
      <c r="H2603" s="29">
        <v>0.5</v>
      </c>
      <c r="I2603" s="35">
        <v>71.400002000000001</v>
      </c>
      <c r="J2603" s="34">
        <v>17052</v>
      </c>
      <c r="K2603" s="34">
        <v>1227710</v>
      </c>
    </row>
    <row r="2604" spans="1:11" hidden="1">
      <c r="A2604" s="29" t="s">
        <v>138</v>
      </c>
      <c r="B2604" s="32">
        <v>41885</v>
      </c>
      <c r="C2604" s="29">
        <v>72</v>
      </c>
      <c r="D2604" s="35">
        <v>72</v>
      </c>
      <c r="E2604" s="35">
        <v>71</v>
      </c>
      <c r="F2604" s="33">
        <v>71.099997999999999</v>
      </c>
      <c r="G2604" s="29">
        <v>-1.39</v>
      </c>
      <c r="H2604" s="29">
        <v>-1</v>
      </c>
      <c r="I2604" s="35">
        <v>72</v>
      </c>
      <c r="J2604" s="34">
        <v>1280</v>
      </c>
      <c r="K2604" s="34">
        <v>91192</v>
      </c>
    </row>
    <row r="2605" spans="1:11" hidden="1">
      <c r="A2605" s="29" t="s">
        <v>138</v>
      </c>
      <c r="B2605" s="32">
        <v>41886</v>
      </c>
      <c r="C2605" s="29">
        <v>71</v>
      </c>
      <c r="D2605" s="35">
        <v>71.900002000000001</v>
      </c>
      <c r="E2605" s="35">
        <v>71</v>
      </c>
      <c r="F2605" s="33">
        <v>71.099997999999999</v>
      </c>
      <c r="G2605" s="29">
        <v>0.84</v>
      </c>
      <c r="H2605" s="29">
        <v>0.6</v>
      </c>
      <c r="I2605" s="35">
        <v>71.099997999999999</v>
      </c>
      <c r="J2605" s="34">
        <v>1498</v>
      </c>
      <c r="K2605" s="34">
        <v>106411</v>
      </c>
    </row>
    <row r="2606" spans="1:11" hidden="1">
      <c r="A2606" s="29" t="s">
        <v>138</v>
      </c>
      <c r="B2606" s="32">
        <v>41887</v>
      </c>
      <c r="C2606" s="29">
        <v>71.400000000000006</v>
      </c>
      <c r="D2606" s="35">
        <v>71.900002000000001</v>
      </c>
      <c r="E2606" s="35">
        <v>70.599997999999999</v>
      </c>
      <c r="F2606" s="33">
        <v>71.800003000000004</v>
      </c>
      <c r="G2606" s="29">
        <v>1.1299999999999999</v>
      </c>
      <c r="H2606" s="29">
        <v>0.8</v>
      </c>
      <c r="I2606" s="35">
        <v>71.099997999999999</v>
      </c>
      <c r="J2606" s="34">
        <v>1658</v>
      </c>
      <c r="K2606" s="34">
        <v>118411</v>
      </c>
    </row>
    <row r="2607" spans="1:11" hidden="1">
      <c r="A2607" s="29" t="s">
        <v>138</v>
      </c>
      <c r="B2607" s="32">
        <v>41891</v>
      </c>
      <c r="C2607" s="29">
        <v>71.5</v>
      </c>
      <c r="D2607" s="35">
        <v>72</v>
      </c>
      <c r="E2607" s="35">
        <v>71</v>
      </c>
      <c r="F2607" s="33">
        <v>72</v>
      </c>
      <c r="G2607" s="29">
        <v>0.28000000000000003</v>
      </c>
      <c r="H2607" s="29">
        <v>0.2</v>
      </c>
      <c r="I2607" s="35">
        <v>71.800003000000004</v>
      </c>
      <c r="J2607" s="34">
        <v>37864</v>
      </c>
      <c r="K2607" s="34">
        <v>2724667</v>
      </c>
    </row>
    <row r="2608" spans="1:11" hidden="1">
      <c r="A2608" s="29" t="s">
        <v>138</v>
      </c>
      <c r="B2608" s="32">
        <v>41892</v>
      </c>
      <c r="C2608" s="29">
        <v>73</v>
      </c>
      <c r="D2608" s="35">
        <v>73</v>
      </c>
      <c r="E2608" s="35">
        <v>72</v>
      </c>
      <c r="F2608" s="33">
        <v>72.900002000000001</v>
      </c>
      <c r="G2608" s="29">
        <v>1.39</v>
      </c>
      <c r="H2608" s="29">
        <v>1</v>
      </c>
      <c r="I2608" s="35">
        <v>72</v>
      </c>
      <c r="J2608" s="34">
        <v>20150</v>
      </c>
      <c r="K2608" s="34">
        <v>1465632</v>
      </c>
    </row>
    <row r="2609" spans="1:11" hidden="1">
      <c r="A2609" s="29" t="s">
        <v>138</v>
      </c>
      <c r="B2609" s="32">
        <v>41893</v>
      </c>
      <c r="C2609" s="29">
        <v>71.900000000000006</v>
      </c>
      <c r="D2609" s="35">
        <v>73.900002000000001</v>
      </c>
      <c r="E2609" s="35">
        <v>71.900000000000006</v>
      </c>
      <c r="F2609" s="33">
        <v>72.5</v>
      </c>
      <c r="G2609" s="29">
        <v>0.27</v>
      </c>
      <c r="H2609" s="29">
        <v>0.2</v>
      </c>
      <c r="I2609" s="35">
        <v>72.900002000000001</v>
      </c>
      <c r="J2609" s="34">
        <v>7271</v>
      </c>
      <c r="K2609" s="34">
        <v>528043</v>
      </c>
    </row>
    <row r="2610" spans="1:11" hidden="1">
      <c r="A2610" s="29" t="s">
        <v>138</v>
      </c>
      <c r="B2610" s="32">
        <v>41894</v>
      </c>
      <c r="C2610" s="29">
        <v>73.099999999999994</v>
      </c>
      <c r="D2610" s="35">
        <v>74.900002000000001</v>
      </c>
      <c r="E2610" s="35">
        <v>73.099997999999999</v>
      </c>
      <c r="F2610" s="33">
        <v>74.099997999999999</v>
      </c>
      <c r="G2610" s="29">
        <v>3.03</v>
      </c>
      <c r="H2610" s="29">
        <v>2.2000000000000002</v>
      </c>
      <c r="I2610" s="35">
        <v>72.5</v>
      </c>
      <c r="J2610" s="34">
        <v>281520</v>
      </c>
      <c r="K2610" s="34">
        <v>20856914</v>
      </c>
    </row>
    <row r="2611" spans="1:11" hidden="1">
      <c r="A2611" s="29" t="s">
        <v>138</v>
      </c>
      <c r="B2611" s="32">
        <v>41897</v>
      </c>
      <c r="C2611" s="29">
        <v>74.400000000000006</v>
      </c>
      <c r="D2611" s="35">
        <v>74.5</v>
      </c>
      <c r="E2611" s="35">
        <v>73.599997999999999</v>
      </c>
      <c r="F2611" s="33">
        <v>74</v>
      </c>
      <c r="G2611" s="29">
        <v>-0.13</v>
      </c>
      <c r="H2611" s="29">
        <v>-0.1</v>
      </c>
      <c r="I2611" s="35">
        <v>74.099997999999999</v>
      </c>
      <c r="J2611" s="34">
        <v>125413</v>
      </c>
      <c r="K2611" s="34">
        <v>9329777</v>
      </c>
    </row>
    <row r="2612" spans="1:11" hidden="1">
      <c r="A2612" s="29" t="s">
        <v>138</v>
      </c>
      <c r="B2612" s="32">
        <v>41898</v>
      </c>
      <c r="C2612" s="29">
        <v>74.5</v>
      </c>
      <c r="D2612" s="35">
        <v>74.599997999999999</v>
      </c>
      <c r="E2612" s="35">
        <v>73.599997999999999</v>
      </c>
      <c r="F2612" s="33">
        <v>74.099997999999999</v>
      </c>
      <c r="G2612" s="29">
        <v>0</v>
      </c>
      <c r="H2612" s="29">
        <v>0</v>
      </c>
      <c r="I2612" s="35">
        <v>74</v>
      </c>
      <c r="J2612" s="34">
        <v>11106</v>
      </c>
      <c r="K2612" s="34">
        <v>825242</v>
      </c>
    </row>
    <row r="2613" spans="1:11" hidden="1">
      <c r="A2613" s="29" t="s">
        <v>138</v>
      </c>
      <c r="B2613" s="32">
        <v>41899</v>
      </c>
      <c r="C2613" s="29">
        <v>74.400000000000006</v>
      </c>
      <c r="D2613" s="35">
        <v>76</v>
      </c>
      <c r="E2613" s="35">
        <v>74</v>
      </c>
      <c r="F2613" s="33">
        <v>74.400002000000001</v>
      </c>
      <c r="G2613" s="29">
        <v>0</v>
      </c>
      <c r="H2613" s="29">
        <v>0</v>
      </c>
      <c r="I2613" s="35">
        <v>74.099997999999999</v>
      </c>
      <c r="J2613" s="34">
        <v>119859</v>
      </c>
      <c r="K2613" s="34">
        <v>8993757</v>
      </c>
    </row>
    <row r="2614" spans="1:11" hidden="1">
      <c r="A2614" s="29" t="s">
        <v>138</v>
      </c>
      <c r="B2614" s="32">
        <v>41900</v>
      </c>
      <c r="C2614" s="29">
        <v>75</v>
      </c>
      <c r="D2614" s="35">
        <v>75</v>
      </c>
      <c r="E2614" s="35">
        <v>74</v>
      </c>
      <c r="F2614" s="33">
        <v>74</v>
      </c>
      <c r="G2614" s="29">
        <v>-0.54</v>
      </c>
      <c r="H2614" s="29">
        <v>-0.4</v>
      </c>
      <c r="I2614" s="35">
        <v>74.400002000000001</v>
      </c>
      <c r="J2614" s="34">
        <v>1502</v>
      </c>
      <c r="K2614" s="34">
        <v>111248</v>
      </c>
    </row>
    <row r="2615" spans="1:11" hidden="1">
      <c r="A2615" s="29" t="s">
        <v>138</v>
      </c>
      <c r="B2615" s="32">
        <v>41901</v>
      </c>
      <c r="C2615" s="29">
        <v>74.8</v>
      </c>
      <c r="D2615" s="35">
        <v>79</v>
      </c>
      <c r="E2615" s="35">
        <v>74.8</v>
      </c>
      <c r="F2615" s="33">
        <v>77.199996999999996</v>
      </c>
      <c r="G2615" s="29">
        <v>4.05</v>
      </c>
      <c r="H2615" s="29">
        <v>3</v>
      </c>
      <c r="I2615" s="35">
        <v>74</v>
      </c>
      <c r="J2615" s="34">
        <v>314036</v>
      </c>
      <c r="K2615" s="34">
        <v>23816842</v>
      </c>
    </row>
    <row r="2616" spans="1:11" hidden="1">
      <c r="A2616" s="29" t="s">
        <v>138</v>
      </c>
      <c r="B2616" s="32">
        <v>41904</v>
      </c>
      <c r="C2616" s="29">
        <v>76.7</v>
      </c>
      <c r="D2616" s="35">
        <v>77</v>
      </c>
      <c r="E2616" s="35">
        <v>75.5</v>
      </c>
      <c r="F2616" s="33">
        <v>75.699996999999996</v>
      </c>
      <c r="G2616" s="29">
        <v>-1.94</v>
      </c>
      <c r="H2616" s="29">
        <v>-1.5</v>
      </c>
      <c r="I2616" s="35">
        <v>77.199996999999996</v>
      </c>
      <c r="J2616" s="34">
        <v>6556</v>
      </c>
      <c r="K2616" s="34">
        <v>499802</v>
      </c>
    </row>
    <row r="2617" spans="1:11" hidden="1">
      <c r="A2617" s="29" t="s">
        <v>138</v>
      </c>
      <c r="B2617" s="32">
        <v>41905</v>
      </c>
      <c r="C2617" s="29">
        <v>75.599999999999994</v>
      </c>
      <c r="D2617" s="35">
        <v>79.800003000000004</v>
      </c>
      <c r="E2617" s="35">
        <v>75.599997999999999</v>
      </c>
      <c r="F2617" s="33">
        <v>78.699996999999996</v>
      </c>
      <c r="G2617" s="29">
        <v>3.17</v>
      </c>
      <c r="H2617" s="29">
        <v>2.4</v>
      </c>
      <c r="I2617" s="35">
        <v>75.699996999999996</v>
      </c>
      <c r="J2617" s="34">
        <v>457346</v>
      </c>
      <c r="K2617" s="34">
        <v>35496508</v>
      </c>
    </row>
    <row r="2618" spans="1:11" hidden="1">
      <c r="A2618" s="29" t="s">
        <v>138</v>
      </c>
      <c r="B2618" s="32">
        <v>41906</v>
      </c>
      <c r="C2618" s="29">
        <v>79</v>
      </c>
      <c r="D2618" s="35">
        <v>80</v>
      </c>
      <c r="E2618" s="35">
        <v>77.900002000000001</v>
      </c>
      <c r="F2618" s="33">
        <v>78</v>
      </c>
      <c r="G2618" s="29">
        <v>-0.89</v>
      </c>
      <c r="H2618" s="29">
        <v>-0.7</v>
      </c>
      <c r="I2618" s="35">
        <v>78.699996999999996</v>
      </c>
      <c r="J2618" s="34">
        <v>81680</v>
      </c>
      <c r="K2618" s="34">
        <v>6499991</v>
      </c>
    </row>
    <row r="2619" spans="1:11" hidden="1">
      <c r="A2619" s="29" t="s">
        <v>138</v>
      </c>
      <c r="B2619" s="32">
        <v>41907</v>
      </c>
      <c r="C2619" s="29">
        <v>77.2</v>
      </c>
      <c r="D2619" s="35">
        <v>77.900002000000001</v>
      </c>
      <c r="E2619" s="35">
        <v>77</v>
      </c>
      <c r="F2619" s="33">
        <v>77</v>
      </c>
      <c r="G2619" s="29">
        <v>-1.28</v>
      </c>
      <c r="H2619" s="29">
        <v>-1</v>
      </c>
      <c r="I2619" s="35">
        <v>78</v>
      </c>
      <c r="J2619" s="34">
        <v>33960</v>
      </c>
      <c r="K2619" s="34">
        <v>2615872</v>
      </c>
    </row>
    <row r="2620" spans="1:11" hidden="1">
      <c r="A2620" s="29" t="s">
        <v>138</v>
      </c>
      <c r="B2620" s="32">
        <v>41908</v>
      </c>
      <c r="C2620" s="29">
        <v>77.099999999999994</v>
      </c>
      <c r="D2620" s="35">
        <v>78</v>
      </c>
      <c r="E2620" s="35">
        <v>77.099997999999999</v>
      </c>
      <c r="F2620" s="33">
        <v>77.900002000000001</v>
      </c>
      <c r="G2620" s="29">
        <v>0.78</v>
      </c>
      <c r="H2620" s="29">
        <v>0.6</v>
      </c>
      <c r="I2620" s="35">
        <v>77</v>
      </c>
      <c r="J2620" s="34">
        <v>18010</v>
      </c>
      <c r="K2620" s="34">
        <v>1399037</v>
      </c>
    </row>
    <row r="2621" spans="1:11" hidden="1">
      <c r="A2621" s="29" t="s">
        <v>138</v>
      </c>
      <c r="B2621" s="32">
        <v>41911</v>
      </c>
      <c r="C2621" s="29">
        <v>77.599999999999994</v>
      </c>
      <c r="D2621" s="35">
        <v>77.599999999999994</v>
      </c>
      <c r="E2621" s="35">
        <v>77.099997999999999</v>
      </c>
      <c r="F2621" s="33">
        <v>77.099997999999999</v>
      </c>
      <c r="G2621" s="29">
        <v>-1.03</v>
      </c>
      <c r="H2621" s="29">
        <v>-0.8</v>
      </c>
      <c r="I2621" s="35">
        <v>77.900002000000001</v>
      </c>
      <c r="J2621" s="34">
        <v>16142</v>
      </c>
      <c r="K2621" s="34">
        <v>1252053</v>
      </c>
    </row>
    <row r="2622" spans="1:11" hidden="1">
      <c r="A2622" s="29" t="s">
        <v>138</v>
      </c>
      <c r="B2622" s="32">
        <v>41912</v>
      </c>
      <c r="C2622" s="29">
        <v>78.5</v>
      </c>
      <c r="D2622" s="35">
        <v>79</v>
      </c>
      <c r="E2622" s="35">
        <v>77</v>
      </c>
      <c r="F2622" s="33">
        <v>77</v>
      </c>
      <c r="G2622" s="29">
        <v>-0.13</v>
      </c>
      <c r="H2622" s="29">
        <v>-0.1</v>
      </c>
      <c r="I2622" s="35">
        <v>77.099997999999999</v>
      </c>
      <c r="J2622" s="34">
        <v>59893</v>
      </c>
      <c r="K2622" s="34">
        <v>4662307</v>
      </c>
    </row>
    <row r="2623" spans="1:11" hidden="1">
      <c r="A2623" s="29" t="s">
        <v>138</v>
      </c>
      <c r="B2623" s="32">
        <v>41913</v>
      </c>
      <c r="C2623" s="29">
        <v>76</v>
      </c>
      <c r="D2623" s="35">
        <v>77.400002000000001</v>
      </c>
      <c r="E2623" s="35">
        <v>75.900002000000001</v>
      </c>
      <c r="F2623" s="33">
        <v>76</v>
      </c>
      <c r="G2623" s="29">
        <v>-1.43</v>
      </c>
      <c r="H2623" s="29">
        <v>-1.1000000000000001</v>
      </c>
      <c r="I2623" s="35">
        <v>77</v>
      </c>
      <c r="J2623" s="34">
        <v>26094</v>
      </c>
      <c r="K2623" s="34">
        <v>1987794</v>
      </c>
    </row>
    <row r="2624" spans="1:11" hidden="1">
      <c r="A2624" s="29" t="s">
        <v>138</v>
      </c>
      <c r="B2624" s="32">
        <v>41914</v>
      </c>
      <c r="C2624" s="29">
        <v>75.7</v>
      </c>
      <c r="D2624" s="35">
        <v>76.800003000000004</v>
      </c>
      <c r="E2624" s="35">
        <v>75</v>
      </c>
      <c r="F2624" s="33">
        <v>76</v>
      </c>
      <c r="G2624" s="29">
        <v>0</v>
      </c>
      <c r="H2624" s="29">
        <v>0</v>
      </c>
      <c r="I2624" s="35">
        <v>76</v>
      </c>
      <c r="J2624" s="34">
        <v>68812</v>
      </c>
      <c r="K2624" s="34">
        <v>5226173</v>
      </c>
    </row>
    <row r="2625" spans="1:11" hidden="1">
      <c r="A2625" s="29" t="s">
        <v>138</v>
      </c>
      <c r="B2625" s="32">
        <v>41915</v>
      </c>
      <c r="C2625" s="29">
        <v>76.8</v>
      </c>
      <c r="D2625" s="35">
        <v>77</v>
      </c>
      <c r="E2625" s="35">
        <v>76</v>
      </c>
      <c r="F2625" s="33">
        <v>77</v>
      </c>
      <c r="G2625" s="29">
        <v>1.32</v>
      </c>
      <c r="H2625" s="29">
        <v>1</v>
      </c>
      <c r="I2625" s="35">
        <v>76</v>
      </c>
      <c r="J2625" s="34">
        <v>65466</v>
      </c>
      <c r="K2625" s="34">
        <v>5030504</v>
      </c>
    </row>
    <row r="2626" spans="1:11" hidden="1">
      <c r="A2626" s="29" t="s">
        <v>138</v>
      </c>
      <c r="B2626" s="32">
        <v>41919</v>
      </c>
      <c r="C2626" s="29">
        <v>77.3</v>
      </c>
      <c r="D2626" s="35">
        <v>78</v>
      </c>
      <c r="E2626" s="35">
        <v>76.099997999999999</v>
      </c>
      <c r="F2626" s="33">
        <v>77</v>
      </c>
      <c r="G2626" s="29">
        <v>-1.17</v>
      </c>
      <c r="H2626" s="29">
        <v>-0.9</v>
      </c>
      <c r="I2626" s="35">
        <v>77</v>
      </c>
      <c r="J2626" s="34">
        <v>10263</v>
      </c>
      <c r="K2626" s="34">
        <v>790165</v>
      </c>
    </row>
    <row r="2627" spans="1:11" hidden="1">
      <c r="A2627" s="29" t="s">
        <v>138</v>
      </c>
      <c r="B2627" s="32">
        <v>41921</v>
      </c>
      <c r="C2627" s="29">
        <v>76.099999999999994</v>
      </c>
      <c r="D2627" s="35">
        <v>77</v>
      </c>
      <c r="E2627" s="35">
        <v>76.099997999999999</v>
      </c>
      <c r="F2627" s="33">
        <v>77</v>
      </c>
      <c r="G2627" s="29">
        <v>-0.65</v>
      </c>
      <c r="H2627" s="29">
        <v>-0.5</v>
      </c>
      <c r="I2627" s="35">
        <v>77</v>
      </c>
      <c r="J2627" s="34">
        <v>26208</v>
      </c>
      <c r="K2627" s="34">
        <v>2017316</v>
      </c>
    </row>
    <row r="2628" spans="1:11" hidden="1">
      <c r="A2628" s="29" t="s">
        <v>138</v>
      </c>
      <c r="B2628" s="32">
        <v>41922</v>
      </c>
      <c r="C2628" s="29">
        <v>77</v>
      </c>
      <c r="D2628" s="35">
        <v>77</v>
      </c>
      <c r="E2628" s="35">
        <v>74.5</v>
      </c>
      <c r="F2628" s="33">
        <v>74.900002000000001</v>
      </c>
      <c r="G2628" s="29">
        <v>-3.25</v>
      </c>
      <c r="H2628" s="29">
        <v>-2.5</v>
      </c>
      <c r="I2628" s="35">
        <v>77</v>
      </c>
      <c r="J2628" s="34">
        <v>20283</v>
      </c>
      <c r="K2628" s="34">
        <v>1526228</v>
      </c>
    </row>
    <row r="2629" spans="1:11" hidden="1">
      <c r="A2629" s="29" t="s">
        <v>138</v>
      </c>
      <c r="B2629" s="32">
        <v>41925</v>
      </c>
      <c r="C2629" s="29">
        <v>75</v>
      </c>
      <c r="D2629" s="35">
        <v>75</v>
      </c>
      <c r="E2629" s="35">
        <v>72</v>
      </c>
      <c r="F2629" s="33">
        <v>72</v>
      </c>
      <c r="G2629" s="29">
        <v>-3.87</v>
      </c>
      <c r="H2629" s="29">
        <v>-2.9</v>
      </c>
      <c r="I2629" s="35">
        <v>74.900002000000001</v>
      </c>
      <c r="J2629" s="34">
        <v>33069</v>
      </c>
      <c r="K2629" s="34">
        <v>2409243</v>
      </c>
    </row>
    <row r="2630" spans="1:11" hidden="1">
      <c r="A2630" s="29" t="s">
        <v>138</v>
      </c>
      <c r="B2630" s="32">
        <v>41926</v>
      </c>
      <c r="C2630" s="29">
        <v>72</v>
      </c>
      <c r="D2630" s="35">
        <v>73.900002000000001</v>
      </c>
      <c r="E2630" s="35">
        <v>72</v>
      </c>
      <c r="F2630" s="33">
        <v>73.900002000000001</v>
      </c>
      <c r="G2630" s="29">
        <v>2.64</v>
      </c>
      <c r="H2630" s="29">
        <v>1.9</v>
      </c>
      <c r="I2630" s="35">
        <v>72</v>
      </c>
      <c r="J2630" s="34">
        <v>601</v>
      </c>
      <c r="K2630" s="34">
        <v>43652</v>
      </c>
    </row>
    <row r="2631" spans="1:11" hidden="1">
      <c r="A2631" s="29" t="s">
        <v>138</v>
      </c>
      <c r="B2631" s="32">
        <v>41927</v>
      </c>
      <c r="C2631" s="29">
        <v>73.900000000000006</v>
      </c>
      <c r="D2631" s="35">
        <v>74.900002000000001</v>
      </c>
      <c r="E2631" s="35">
        <v>73.900000000000006</v>
      </c>
      <c r="F2631" s="33">
        <v>74</v>
      </c>
      <c r="G2631" s="29">
        <v>0.14000000000000001</v>
      </c>
      <c r="H2631" s="29">
        <v>0.1</v>
      </c>
      <c r="I2631" s="35">
        <v>73.900002000000001</v>
      </c>
      <c r="J2631" s="34">
        <v>23933</v>
      </c>
      <c r="K2631" s="34">
        <v>1772531</v>
      </c>
    </row>
    <row r="2632" spans="1:11" hidden="1">
      <c r="A2632" s="29" t="s">
        <v>138</v>
      </c>
      <c r="B2632" s="32">
        <v>41928</v>
      </c>
      <c r="C2632" s="29">
        <v>74</v>
      </c>
      <c r="D2632" s="35">
        <v>74.5</v>
      </c>
      <c r="E2632" s="35">
        <v>74</v>
      </c>
      <c r="F2632" s="33">
        <v>74</v>
      </c>
      <c r="G2632" s="29">
        <v>0</v>
      </c>
      <c r="H2632" s="29">
        <v>0</v>
      </c>
      <c r="I2632" s="35">
        <v>74</v>
      </c>
      <c r="J2632" s="34">
        <v>88928</v>
      </c>
      <c r="K2632" s="34">
        <v>6581072</v>
      </c>
    </row>
    <row r="2633" spans="1:11" hidden="1">
      <c r="A2633" s="29" t="s">
        <v>138</v>
      </c>
      <c r="B2633" s="32">
        <v>41929</v>
      </c>
      <c r="C2633" s="29">
        <v>74</v>
      </c>
      <c r="D2633" s="35">
        <v>74.199996999999996</v>
      </c>
      <c r="E2633" s="35">
        <v>74</v>
      </c>
      <c r="F2633" s="33">
        <v>74</v>
      </c>
      <c r="G2633" s="29">
        <v>0</v>
      </c>
      <c r="H2633" s="29">
        <v>0</v>
      </c>
      <c r="I2633" s="35">
        <v>74</v>
      </c>
      <c r="J2633" s="34">
        <v>122742</v>
      </c>
      <c r="K2633" s="34">
        <v>9083108</v>
      </c>
    </row>
    <row r="2634" spans="1:11" hidden="1">
      <c r="A2634" s="29" t="s">
        <v>138</v>
      </c>
      <c r="B2634" s="32">
        <v>41932</v>
      </c>
      <c r="C2634" s="29">
        <v>74</v>
      </c>
      <c r="D2634" s="35">
        <v>74.900002000000001</v>
      </c>
      <c r="E2634" s="35">
        <v>74</v>
      </c>
      <c r="F2634" s="33">
        <v>74.900002000000001</v>
      </c>
      <c r="G2634" s="29">
        <v>1.22</v>
      </c>
      <c r="H2634" s="29">
        <v>0.9</v>
      </c>
      <c r="I2634" s="35">
        <v>74</v>
      </c>
      <c r="J2634" s="34">
        <v>10848</v>
      </c>
      <c r="K2634" s="34">
        <v>803022</v>
      </c>
    </row>
    <row r="2635" spans="1:11" hidden="1">
      <c r="A2635" s="29" t="s">
        <v>138</v>
      </c>
      <c r="B2635" s="32">
        <v>41933</v>
      </c>
      <c r="C2635" s="29">
        <v>74</v>
      </c>
      <c r="D2635" s="35">
        <v>74</v>
      </c>
      <c r="E2635" s="35">
        <v>74</v>
      </c>
      <c r="F2635" s="33">
        <v>74</v>
      </c>
      <c r="G2635" s="29">
        <v>-1.2</v>
      </c>
      <c r="H2635" s="29">
        <v>-0.9</v>
      </c>
      <c r="I2635" s="35">
        <v>74.900002000000001</v>
      </c>
      <c r="J2635" s="34">
        <v>347199</v>
      </c>
      <c r="K2635" s="34">
        <v>25692726</v>
      </c>
    </row>
    <row r="2636" spans="1:11" hidden="1">
      <c r="A2636" s="29" t="s">
        <v>138</v>
      </c>
      <c r="B2636" s="32">
        <v>41935</v>
      </c>
      <c r="C2636" s="29">
        <v>73.2</v>
      </c>
      <c r="D2636" s="35">
        <v>73.5</v>
      </c>
      <c r="E2636" s="35">
        <v>73</v>
      </c>
      <c r="F2636" s="33">
        <v>73.5</v>
      </c>
      <c r="G2636" s="29">
        <v>-0.68</v>
      </c>
      <c r="H2636" s="29">
        <v>-0.5</v>
      </c>
      <c r="I2636" s="35">
        <v>74</v>
      </c>
      <c r="J2636" s="34">
        <v>850</v>
      </c>
      <c r="K2636" s="34">
        <v>62200</v>
      </c>
    </row>
    <row r="2637" spans="1:11" hidden="1">
      <c r="A2637" s="29" t="s">
        <v>138</v>
      </c>
      <c r="B2637" s="32">
        <v>41936</v>
      </c>
      <c r="C2637" s="29">
        <v>73.099999999999994</v>
      </c>
      <c r="D2637" s="35">
        <v>74.5</v>
      </c>
      <c r="E2637" s="35">
        <v>73.099997999999999</v>
      </c>
      <c r="F2637" s="33">
        <v>74.300003000000004</v>
      </c>
      <c r="G2637" s="29">
        <v>1.0900000000000001</v>
      </c>
      <c r="H2637" s="29">
        <v>0.8</v>
      </c>
      <c r="I2637" s="35">
        <v>73.5</v>
      </c>
      <c r="J2637" s="34">
        <v>4901</v>
      </c>
      <c r="K2637" s="34">
        <v>363789</v>
      </c>
    </row>
    <row r="2638" spans="1:11" hidden="1">
      <c r="A2638" s="29" t="s">
        <v>138</v>
      </c>
      <c r="B2638" s="32">
        <v>41939</v>
      </c>
      <c r="C2638" s="29">
        <v>74.5</v>
      </c>
      <c r="D2638" s="35">
        <v>75</v>
      </c>
      <c r="E2638" s="35">
        <v>74.5</v>
      </c>
      <c r="F2638" s="33">
        <v>74.900002000000001</v>
      </c>
      <c r="G2638" s="29">
        <v>0.94</v>
      </c>
      <c r="H2638" s="29">
        <v>0.7</v>
      </c>
      <c r="I2638" s="35">
        <v>74.300003000000004</v>
      </c>
      <c r="J2638" s="34">
        <v>5000</v>
      </c>
      <c r="K2638" s="34">
        <v>374500</v>
      </c>
    </row>
    <row r="2639" spans="1:11" hidden="1">
      <c r="A2639" s="29" t="s">
        <v>138</v>
      </c>
      <c r="B2639" s="32">
        <v>41940</v>
      </c>
      <c r="C2639" s="29">
        <v>74.8</v>
      </c>
      <c r="D2639" s="35">
        <v>74.800003000000004</v>
      </c>
      <c r="E2639" s="35">
        <v>74.8</v>
      </c>
      <c r="F2639" s="33">
        <v>74.8</v>
      </c>
      <c r="G2639" s="29">
        <v>-0.13</v>
      </c>
      <c r="H2639" s="29">
        <v>-0.1</v>
      </c>
      <c r="I2639" s="35">
        <v>74.900002000000001</v>
      </c>
      <c r="J2639" s="34">
        <v>260</v>
      </c>
      <c r="K2639" s="34">
        <v>19448</v>
      </c>
    </row>
    <row r="2640" spans="1:11" hidden="1">
      <c r="A2640" s="29" t="s">
        <v>138</v>
      </c>
      <c r="B2640" s="32">
        <v>41943</v>
      </c>
      <c r="C2640" s="29">
        <v>74.599999999999994</v>
      </c>
      <c r="D2640" s="35">
        <v>74.599999999999994</v>
      </c>
      <c r="E2640" s="35">
        <v>73.300003000000004</v>
      </c>
      <c r="F2640" s="33">
        <v>74.599997999999999</v>
      </c>
      <c r="G2640" s="29">
        <v>-0.27</v>
      </c>
      <c r="H2640" s="29">
        <v>-0.2</v>
      </c>
      <c r="I2640" s="35">
        <v>74.800003000000004</v>
      </c>
      <c r="J2640" s="34">
        <v>38303</v>
      </c>
      <c r="K2640" s="34">
        <v>2849915</v>
      </c>
    </row>
    <row r="2641" spans="1:11" hidden="1">
      <c r="A2641" s="29" t="s">
        <v>138</v>
      </c>
      <c r="B2641" s="32">
        <v>41946</v>
      </c>
      <c r="C2641" s="29">
        <v>75</v>
      </c>
      <c r="D2641" s="35">
        <v>75</v>
      </c>
      <c r="E2641" s="35">
        <v>74.900002000000001</v>
      </c>
      <c r="F2641" s="33">
        <v>74.900002000000001</v>
      </c>
      <c r="G2641" s="29">
        <v>0.4</v>
      </c>
      <c r="H2641" s="29">
        <v>0.3</v>
      </c>
      <c r="I2641" s="35">
        <v>74.599997999999999</v>
      </c>
      <c r="J2641" s="34">
        <v>1190</v>
      </c>
      <c r="K2641" s="34">
        <v>89231</v>
      </c>
    </row>
    <row r="2642" spans="1:11" hidden="1">
      <c r="A2642" s="29" t="s">
        <v>138</v>
      </c>
      <c r="B2642" s="32">
        <v>41947</v>
      </c>
      <c r="C2642" s="29">
        <v>73.3</v>
      </c>
      <c r="D2642" s="35">
        <v>73.900002000000001</v>
      </c>
      <c r="E2642" s="35">
        <v>73.199996999999996</v>
      </c>
      <c r="F2642" s="33">
        <v>73.199996999999996</v>
      </c>
      <c r="G2642" s="29">
        <v>-2.27</v>
      </c>
      <c r="H2642" s="29">
        <v>-1.7</v>
      </c>
      <c r="I2642" s="35">
        <v>74.900002000000001</v>
      </c>
      <c r="J2642" s="34">
        <v>1874</v>
      </c>
      <c r="K2642" s="34">
        <v>137296</v>
      </c>
    </row>
    <row r="2643" spans="1:11" hidden="1">
      <c r="A2643" s="29" t="s">
        <v>138</v>
      </c>
      <c r="B2643" s="32">
        <v>41948</v>
      </c>
      <c r="C2643" s="29">
        <v>74</v>
      </c>
      <c r="D2643" s="35">
        <v>74.800003000000004</v>
      </c>
      <c r="E2643" s="35">
        <v>73.199996999999996</v>
      </c>
      <c r="F2643" s="33">
        <v>73.599997999999999</v>
      </c>
      <c r="G2643" s="29">
        <v>2.19</v>
      </c>
      <c r="H2643" s="29">
        <v>1.6</v>
      </c>
      <c r="I2643" s="35">
        <v>73.199996999999996</v>
      </c>
      <c r="J2643" s="34">
        <v>14300</v>
      </c>
      <c r="K2643" s="34">
        <v>1052600</v>
      </c>
    </row>
    <row r="2644" spans="1:11" hidden="1">
      <c r="A2644" s="29" t="s">
        <v>138</v>
      </c>
      <c r="B2644" s="32">
        <v>41950</v>
      </c>
      <c r="C2644" s="29">
        <v>74.5</v>
      </c>
      <c r="D2644" s="35">
        <v>75</v>
      </c>
      <c r="E2644" s="35">
        <v>74</v>
      </c>
      <c r="F2644" s="33">
        <v>75</v>
      </c>
      <c r="G2644" s="29">
        <v>1.9</v>
      </c>
      <c r="H2644" s="29">
        <v>1.4</v>
      </c>
      <c r="I2644" s="35">
        <v>73.599997999999999</v>
      </c>
      <c r="J2644" s="34">
        <v>22726</v>
      </c>
      <c r="K2644" s="34">
        <v>1689248</v>
      </c>
    </row>
    <row r="2645" spans="1:11" hidden="1">
      <c r="A2645" s="29" t="s">
        <v>138</v>
      </c>
      <c r="B2645" s="32">
        <v>41953</v>
      </c>
      <c r="C2645" s="29">
        <v>75.5</v>
      </c>
      <c r="D2645" s="35">
        <v>76.5</v>
      </c>
      <c r="E2645" s="35">
        <v>75</v>
      </c>
      <c r="F2645" s="33">
        <v>76.5</v>
      </c>
      <c r="G2645" s="29">
        <v>2</v>
      </c>
      <c r="H2645" s="29">
        <v>1.5</v>
      </c>
      <c r="I2645" s="35">
        <v>75</v>
      </c>
      <c r="J2645" s="34">
        <v>15100</v>
      </c>
      <c r="K2645" s="34">
        <v>1153750</v>
      </c>
    </row>
    <row r="2646" spans="1:11" hidden="1">
      <c r="A2646" s="29" t="s">
        <v>138</v>
      </c>
      <c r="B2646" s="32">
        <v>41954</v>
      </c>
      <c r="C2646" s="29">
        <v>76.5</v>
      </c>
      <c r="D2646" s="35">
        <v>77</v>
      </c>
      <c r="E2646" s="35">
        <v>75.199996999999996</v>
      </c>
      <c r="F2646" s="33">
        <v>76</v>
      </c>
      <c r="G2646" s="29">
        <v>-0.65</v>
      </c>
      <c r="H2646" s="29">
        <v>-0.5</v>
      </c>
      <c r="I2646" s="35">
        <v>76.5</v>
      </c>
      <c r="J2646" s="34">
        <v>88170</v>
      </c>
      <c r="K2646" s="34">
        <v>6714081</v>
      </c>
    </row>
    <row r="2647" spans="1:11" hidden="1">
      <c r="A2647" s="29" t="s">
        <v>138</v>
      </c>
      <c r="B2647" s="32">
        <v>41955</v>
      </c>
      <c r="C2647" s="29">
        <v>76.099999999999994</v>
      </c>
      <c r="D2647" s="35">
        <v>78</v>
      </c>
      <c r="E2647" s="35">
        <v>76</v>
      </c>
      <c r="F2647" s="33">
        <v>77.900002000000001</v>
      </c>
      <c r="G2647" s="29">
        <v>2.63</v>
      </c>
      <c r="H2647" s="29">
        <v>2</v>
      </c>
      <c r="I2647" s="35">
        <v>76</v>
      </c>
      <c r="J2647" s="34">
        <v>18742</v>
      </c>
      <c r="K2647" s="34">
        <v>1446851</v>
      </c>
    </row>
    <row r="2648" spans="1:11" hidden="1">
      <c r="A2648" s="29" t="s">
        <v>138</v>
      </c>
      <c r="B2648" s="32">
        <v>41956</v>
      </c>
      <c r="C2648" s="29">
        <v>78</v>
      </c>
      <c r="D2648" s="35">
        <v>83.5</v>
      </c>
      <c r="E2648" s="35">
        <v>77.099997999999999</v>
      </c>
      <c r="F2648" s="33">
        <v>80.099997999999999</v>
      </c>
      <c r="G2648" s="29">
        <v>4.62</v>
      </c>
      <c r="H2648" s="29">
        <v>3.6</v>
      </c>
      <c r="I2648" s="35">
        <v>77.900002000000001</v>
      </c>
      <c r="J2648" s="34">
        <v>1309923</v>
      </c>
      <c r="K2648" s="34">
        <v>104843912</v>
      </c>
    </row>
    <row r="2649" spans="1:11" hidden="1">
      <c r="A2649" s="29" t="s">
        <v>138</v>
      </c>
      <c r="B2649" s="32">
        <v>41957</v>
      </c>
      <c r="C2649" s="29">
        <v>82</v>
      </c>
      <c r="D2649" s="35">
        <v>83.900002000000001</v>
      </c>
      <c r="E2649" s="35">
        <v>81.900002000000001</v>
      </c>
      <c r="F2649" s="33">
        <v>82.699996999999996</v>
      </c>
      <c r="G2649" s="29">
        <v>3.62</v>
      </c>
      <c r="H2649" s="29">
        <v>2.9</v>
      </c>
      <c r="I2649" s="35">
        <v>80.099997999999999</v>
      </c>
      <c r="J2649" s="34">
        <v>403749</v>
      </c>
      <c r="K2649" s="34">
        <v>33367840</v>
      </c>
    </row>
    <row r="2650" spans="1:11" hidden="1">
      <c r="A2650" s="29" t="s">
        <v>138</v>
      </c>
      <c r="B2650" s="32">
        <v>41960</v>
      </c>
      <c r="C2650" s="29">
        <v>82.7</v>
      </c>
      <c r="D2650" s="35">
        <v>83.5</v>
      </c>
      <c r="E2650" s="35">
        <v>82</v>
      </c>
      <c r="F2650" s="33">
        <v>83</v>
      </c>
      <c r="G2650" s="29">
        <v>0.85</v>
      </c>
      <c r="H2650" s="29">
        <v>0.7</v>
      </c>
      <c r="I2650" s="35">
        <v>82.699996999999996</v>
      </c>
      <c r="J2650" s="34">
        <v>338084</v>
      </c>
      <c r="K2650" s="34">
        <v>28039788</v>
      </c>
    </row>
    <row r="2651" spans="1:11" hidden="1">
      <c r="A2651" s="29" t="s">
        <v>138</v>
      </c>
      <c r="B2651" s="32">
        <v>41961</v>
      </c>
      <c r="C2651" s="29">
        <v>83</v>
      </c>
      <c r="D2651" s="35">
        <v>83</v>
      </c>
      <c r="E2651" s="35">
        <v>82</v>
      </c>
      <c r="F2651" s="33">
        <v>82.900002000000001</v>
      </c>
      <c r="G2651" s="29">
        <v>0</v>
      </c>
      <c r="H2651" s="29">
        <v>0</v>
      </c>
      <c r="I2651" s="35">
        <v>83</v>
      </c>
      <c r="J2651" s="34">
        <v>131975</v>
      </c>
      <c r="K2651" s="34">
        <v>10836516</v>
      </c>
    </row>
    <row r="2652" spans="1:11" hidden="1">
      <c r="A2652" s="29" t="s">
        <v>138</v>
      </c>
      <c r="B2652" s="32">
        <v>41962</v>
      </c>
      <c r="C2652" s="29">
        <v>83</v>
      </c>
      <c r="D2652" s="35">
        <v>83</v>
      </c>
      <c r="E2652" s="35">
        <v>80.099997999999999</v>
      </c>
      <c r="F2652" s="33">
        <v>82.400002000000001</v>
      </c>
      <c r="G2652" s="29">
        <v>-3.38</v>
      </c>
      <c r="H2652" s="29">
        <v>-2.8</v>
      </c>
      <c r="I2652" s="35">
        <v>82.900002000000001</v>
      </c>
      <c r="J2652" s="34">
        <v>55001</v>
      </c>
      <c r="K2652" s="34">
        <v>4520011</v>
      </c>
    </row>
    <row r="2653" spans="1:11" hidden="1">
      <c r="A2653" s="29" t="s">
        <v>138</v>
      </c>
      <c r="B2653" s="32">
        <v>41963</v>
      </c>
      <c r="C2653" s="29">
        <v>82.3</v>
      </c>
      <c r="D2653" s="35">
        <v>82.300003000000004</v>
      </c>
      <c r="E2653" s="35">
        <v>81.900002000000001</v>
      </c>
      <c r="F2653" s="33">
        <v>82</v>
      </c>
      <c r="G2653" s="29">
        <v>-0.49</v>
      </c>
      <c r="H2653" s="29">
        <v>-0.4</v>
      </c>
      <c r="I2653" s="35">
        <v>82.400002000000001</v>
      </c>
      <c r="J2653" s="34">
        <v>141004</v>
      </c>
      <c r="K2653" s="34">
        <v>11562029</v>
      </c>
    </row>
    <row r="2654" spans="1:11" hidden="1">
      <c r="A2654" s="29" t="s">
        <v>138</v>
      </c>
      <c r="B2654" s="32">
        <v>41964</v>
      </c>
      <c r="C2654" s="29">
        <v>81.900000000000006</v>
      </c>
      <c r="D2654" s="35">
        <v>82</v>
      </c>
      <c r="E2654" s="35">
        <v>79</v>
      </c>
      <c r="F2654" s="33">
        <v>80</v>
      </c>
      <c r="G2654" s="29">
        <v>-2.44</v>
      </c>
      <c r="H2654" s="29">
        <v>-2</v>
      </c>
      <c r="I2654" s="35">
        <v>82</v>
      </c>
      <c r="J2654" s="34">
        <v>281515</v>
      </c>
      <c r="K2654" s="34">
        <v>22620792</v>
      </c>
    </row>
    <row r="2655" spans="1:11" hidden="1">
      <c r="A2655" s="29" t="s">
        <v>138</v>
      </c>
      <c r="B2655" s="32">
        <v>41967</v>
      </c>
      <c r="C2655" s="29">
        <v>79</v>
      </c>
      <c r="D2655" s="35">
        <v>81.900002000000001</v>
      </c>
      <c r="E2655" s="35">
        <v>76</v>
      </c>
      <c r="F2655" s="33">
        <v>79.099997999999999</v>
      </c>
      <c r="G2655" s="29">
        <v>0</v>
      </c>
      <c r="H2655" s="29">
        <v>0</v>
      </c>
      <c r="I2655" s="35">
        <v>80</v>
      </c>
      <c r="J2655" s="34">
        <v>79395</v>
      </c>
      <c r="K2655" s="34">
        <v>6200537</v>
      </c>
    </row>
    <row r="2656" spans="1:11" hidden="1">
      <c r="A2656" s="29" t="s">
        <v>138</v>
      </c>
      <c r="B2656" s="32">
        <v>41968</v>
      </c>
      <c r="C2656" s="29">
        <v>79</v>
      </c>
      <c r="D2656" s="35">
        <v>79.800003000000004</v>
      </c>
      <c r="E2656" s="35">
        <v>77</v>
      </c>
      <c r="F2656" s="33">
        <v>77.800003000000004</v>
      </c>
      <c r="G2656" s="29">
        <v>-1.39</v>
      </c>
      <c r="H2656" s="29">
        <v>-1.1000000000000001</v>
      </c>
      <c r="I2656" s="35">
        <v>79.099997999999999</v>
      </c>
      <c r="J2656" s="34">
        <v>12350</v>
      </c>
      <c r="K2656" s="34">
        <v>959388</v>
      </c>
    </row>
    <row r="2657" spans="1:11" hidden="1">
      <c r="A2657" s="29" t="s">
        <v>138</v>
      </c>
      <c r="B2657" s="32">
        <v>41969</v>
      </c>
      <c r="C2657" s="29">
        <v>78</v>
      </c>
      <c r="D2657" s="35">
        <v>78</v>
      </c>
      <c r="E2657" s="35">
        <v>76</v>
      </c>
      <c r="F2657" s="33">
        <v>76</v>
      </c>
      <c r="G2657" s="29">
        <v>-2.31</v>
      </c>
      <c r="H2657" s="29">
        <v>-1.8</v>
      </c>
      <c r="I2657" s="35">
        <v>77.800003000000004</v>
      </c>
      <c r="J2657" s="34">
        <v>22123</v>
      </c>
      <c r="K2657" s="34">
        <v>1681550</v>
      </c>
    </row>
    <row r="2658" spans="1:11" hidden="1">
      <c r="A2658" s="29" t="s">
        <v>138</v>
      </c>
      <c r="B2658" s="32">
        <v>41970</v>
      </c>
      <c r="C2658" s="29">
        <v>77</v>
      </c>
      <c r="D2658" s="35">
        <v>77</v>
      </c>
      <c r="E2658" s="35">
        <v>74.5</v>
      </c>
      <c r="F2658" s="33">
        <v>76</v>
      </c>
      <c r="G2658" s="29">
        <v>0</v>
      </c>
      <c r="H2658" s="29">
        <v>0</v>
      </c>
      <c r="I2658" s="35">
        <v>76</v>
      </c>
      <c r="J2658" s="34">
        <v>8200</v>
      </c>
      <c r="K2658" s="34">
        <v>618009</v>
      </c>
    </row>
    <row r="2659" spans="1:11" hidden="1">
      <c r="A2659" s="29" t="s">
        <v>138</v>
      </c>
      <c r="B2659" s="32">
        <v>41971</v>
      </c>
      <c r="C2659" s="29">
        <v>75</v>
      </c>
      <c r="D2659" s="35">
        <v>77.099997999999999</v>
      </c>
      <c r="E2659" s="35">
        <v>75</v>
      </c>
      <c r="F2659" s="33">
        <v>77.099997999999999</v>
      </c>
      <c r="G2659" s="29">
        <v>1.45</v>
      </c>
      <c r="H2659" s="29">
        <v>1.1000000000000001</v>
      </c>
      <c r="I2659" s="35">
        <v>76</v>
      </c>
      <c r="J2659" s="34">
        <v>4307</v>
      </c>
      <c r="K2659" s="34">
        <v>329328</v>
      </c>
    </row>
    <row r="2660" spans="1:11" hidden="1">
      <c r="A2660" s="29" t="s">
        <v>138</v>
      </c>
      <c r="B2660" s="32">
        <v>41974</v>
      </c>
      <c r="C2660" s="29">
        <v>75.099999999999994</v>
      </c>
      <c r="D2660" s="35">
        <v>79</v>
      </c>
      <c r="E2660" s="35">
        <v>75.099997999999999</v>
      </c>
      <c r="F2660" s="33">
        <v>79</v>
      </c>
      <c r="G2660" s="29">
        <v>2.46</v>
      </c>
      <c r="H2660" s="29">
        <v>1.9</v>
      </c>
      <c r="I2660" s="35">
        <v>77.099997999999999</v>
      </c>
      <c r="J2660" s="34">
        <v>1205</v>
      </c>
      <c r="K2660" s="34">
        <v>95175</v>
      </c>
    </row>
    <row r="2661" spans="1:11" hidden="1">
      <c r="A2661" s="29" t="s">
        <v>138</v>
      </c>
      <c r="B2661" s="32">
        <v>41975</v>
      </c>
      <c r="C2661" s="29">
        <v>77.099999999999994</v>
      </c>
      <c r="D2661" s="35">
        <v>79.199996999999996</v>
      </c>
      <c r="E2661" s="35">
        <v>77</v>
      </c>
      <c r="F2661" s="33">
        <v>77.099997999999999</v>
      </c>
      <c r="G2661" s="29">
        <v>-2.41</v>
      </c>
      <c r="H2661" s="29">
        <v>-1.9</v>
      </c>
      <c r="I2661" s="35">
        <v>79</v>
      </c>
      <c r="J2661" s="34">
        <v>165729</v>
      </c>
      <c r="K2661" s="34">
        <v>12762972</v>
      </c>
    </row>
    <row r="2662" spans="1:11" hidden="1">
      <c r="A2662" s="29" t="s">
        <v>138</v>
      </c>
      <c r="B2662" s="32">
        <v>41977</v>
      </c>
      <c r="C2662" s="29">
        <v>77.400000000000006</v>
      </c>
      <c r="D2662" s="35">
        <v>78.800003000000004</v>
      </c>
      <c r="E2662" s="35">
        <v>77.400000000000006</v>
      </c>
      <c r="F2662" s="33">
        <v>78</v>
      </c>
      <c r="G2662" s="29">
        <v>1.17</v>
      </c>
      <c r="H2662" s="29">
        <v>0.9</v>
      </c>
      <c r="I2662" s="35">
        <v>77.099997999999999</v>
      </c>
      <c r="J2662" s="34">
        <v>1500</v>
      </c>
      <c r="K2662" s="34">
        <v>116560</v>
      </c>
    </row>
    <row r="2663" spans="1:11" hidden="1">
      <c r="A2663" s="29" t="s">
        <v>138</v>
      </c>
      <c r="B2663" s="32">
        <v>41978</v>
      </c>
      <c r="C2663" s="29">
        <v>78</v>
      </c>
      <c r="D2663" s="35">
        <v>78</v>
      </c>
      <c r="E2663" s="35">
        <v>77</v>
      </c>
      <c r="F2663" s="33">
        <v>77</v>
      </c>
      <c r="G2663" s="29">
        <v>-1.28</v>
      </c>
      <c r="H2663" s="29">
        <v>-1</v>
      </c>
      <c r="I2663" s="35">
        <v>78</v>
      </c>
      <c r="J2663" s="34">
        <v>180193</v>
      </c>
      <c r="K2663" s="34">
        <v>13880262</v>
      </c>
    </row>
    <row r="2664" spans="1:11" hidden="1">
      <c r="A2664" s="29" t="s">
        <v>138</v>
      </c>
      <c r="B2664" s="32">
        <v>41981</v>
      </c>
      <c r="C2664" s="29">
        <v>77</v>
      </c>
      <c r="D2664" s="35">
        <v>77.199996999999996</v>
      </c>
      <c r="E2664" s="35">
        <v>77</v>
      </c>
      <c r="F2664" s="33">
        <v>77.199996999999996</v>
      </c>
      <c r="G2664" s="29">
        <v>0.26</v>
      </c>
      <c r="H2664" s="29">
        <v>0.2</v>
      </c>
      <c r="I2664" s="35">
        <v>77</v>
      </c>
      <c r="J2664" s="34">
        <v>300</v>
      </c>
      <c r="K2664" s="34">
        <v>23117</v>
      </c>
    </row>
    <row r="2665" spans="1:11" hidden="1">
      <c r="A2665" s="29" t="s">
        <v>138</v>
      </c>
      <c r="B2665" s="32">
        <v>41982</v>
      </c>
      <c r="C2665" s="29">
        <v>77</v>
      </c>
      <c r="D2665" s="35">
        <v>77</v>
      </c>
      <c r="E2665" s="35">
        <v>76</v>
      </c>
      <c r="F2665" s="33">
        <v>76.900002000000001</v>
      </c>
      <c r="G2665" s="29">
        <v>-0.26</v>
      </c>
      <c r="H2665" s="29">
        <v>-0.2</v>
      </c>
      <c r="I2665" s="35">
        <v>77.199996999999996</v>
      </c>
      <c r="J2665" s="34">
        <v>5490</v>
      </c>
      <c r="K2665" s="34">
        <v>422500</v>
      </c>
    </row>
    <row r="2666" spans="1:11" hidden="1">
      <c r="A2666" s="29" t="s">
        <v>138</v>
      </c>
      <c r="B2666" s="32">
        <v>41983</v>
      </c>
      <c r="C2666" s="29">
        <v>76</v>
      </c>
      <c r="D2666" s="35">
        <v>79</v>
      </c>
      <c r="E2666" s="35">
        <v>76</v>
      </c>
      <c r="F2666" s="33">
        <v>77</v>
      </c>
      <c r="G2666" s="29">
        <v>0.13</v>
      </c>
      <c r="H2666" s="29">
        <v>0.1</v>
      </c>
      <c r="I2666" s="35">
        <v>76.900002000000001</v>
      </c>
      <c r="J2666" s="34">
        <v>35502</v>
      </c>
      <c r="K2666" s="34">
        <v>2716908</v>
      </c>
    </row>
    <row r="2667" spans="1:11" hidden="1">
      <c r="A2667" s="29" t="s">
        <v>138</v>
      </c>
      <c r="B2667" s="32">
        <v>41984</v>
      </c>
      <c r="C2667" s="29">
        <v>77.5</v>
      </c>
      <c r="D2667" s="35">
        <v>77.5</v>
      </c>
      <c r="E2667" s="35">
        <v>76.199996999999996</v>
      </c>
      <c r="F2667" s="33">
        <v>76.300003000000004</v>
      </c>
      <c r="G2667" s="29">
        <v>-1.04</v>
      </c>
      <c r="H2667" s="29">
        <v>-0.8</v>
      </c>
      <c r="I2667" s="35">
        <v>77</v>
      </c>
      <c r="J2667" s="34">
        <v>9720</v>
      </c>
      <c r="K2667" s="34">
        <v>741600</v>
      </c>
    </row>
    <row r="2668" spans="1:11" hidden="1">
      <c r="A2668" s="29" t="s">
        <v>138</v>
      </c>
      <c r="B2668" s="32">
        <v>41985</v>
      </c>
      <c r="C2668" s="29">
        <v>76.3</v>
      </c>
      <c r="D2668" s="35">
        <v>77</v>
      </c>
      <c r="E2668" s="35">
        <v>76.199996999999996</v>
      </c>
      <c r="F2668" s="33">
        <v>76.199996999999996</v>
      </c>
      <c r="G2668" s="29">
        <v>0</v>
      </c>
      <c r="H2668" s="29">
        <v>0</v>
      </c>
      <c r="I2668" s="35">
        <v>76.300003000000004</v>
      </c>
      <c r="J2668" s="34">
        <v>13970</v>
      </c>
      <c r="K2668" s="34">
        <v>1065562</v>
      </c>
    </row>
    <row r="2669" spans="1:11" hidden="1">
      <c r="A2669" s="29" t="s">
        <v>138</v>
      </c>
      <c r="B2669" s="32">
        <v>41989</v>
      </c>
      <c r="C2669" s="29">
        <v>76.099999999999994</v>
      </c>
      <c r="D2669" s="35">
        <v>77</v>
      </c>
      <c r="E2669" s="35">
        <v>76</v>
      </c>
      <c r="F2669" s="33">
        <v>77</v>
      </c>
      <c r="G2669" s="29">
        <v>-0.26</v>
      </c>
      <c r="H2669" s="29">
        <v>-0.2</v>
      </c>
      <c r="I2669" s="35">
        <v>76.199996999999996</v>
      </c>
      <c r="J2669" s="34">
        <v>47171</v>
      </c>
      <c r="K2669" s="34">
        <v>3626997</v>
      </c>
    </row>
    <row r="2670" spans="1:11" hidden="1">
      <c r="A2670" s="29" t="s">
        <v>138</v>
      </c>
      <c r="B2670" s="32">
        <v>41990</v>
      </c>
      <c r="C2670" s="29">
        <v>76.3</v>
      </c>
      <c r="D2670" s="35">
        <v>76.300003000000004</v>
      </c>
      <c r="E2670" s="35">
        <v>76.3</v>
      </c>
      <c r="F2670" s="33">
        <v>76.300003000000004</v>
      </c>
      <c r="G2670" s="29">
        <v>-0.91</v>
      </c>
      <c r="H2670" s="29">
        <v>-0.7</v>
      </c>
      <c r="I2670" s="35">
        <v>77</v>
      </c>
      <c r="J2670" s="34">
        <v>743</v>
      </c>
      <c r="K2670" s="34">
        <v>56690</v>
      </c>
    </row>
    <row r="2671" spans="1:11" hidden="1">
      <c r="A2671" s="29" t="s">
        <v>138</v>
      </c>
      <c r="B2671" s="32">
        <v>41991</v>
      </c>
      <c r="C2671" s="29">
        <v>78.900000000000006</v>
      </c>
      <c r="D2671" s="35">
        <v>78.900002000000001</v>
      </c>
      <c r="E2671" s="35">
        <v>76.300003000000004</v>
      </c>
      <c r="F2671" s="33">
        <v>76.300003000000004</v>
      </c>
      <c r="G2671" s="29">
        <v>0</v>
      </c>
      <c r="H2671" s="29">
        <v>0</v>
      </c>
      <c r="I2671" s="35">
        <v>76.300003000000004</v>
      </c>
      <c r="J2671" s="34">
        <v>767</v>
      </c>
      <c r="K2671" s="34">
        <v>58548</v>
      </c>
    </row>
    <row r="2672" spans="1:11" hidden="1">
      <c r="A2672" s="29" t="s">
        <v>138</v>
      </c>
      <c r="B2672" s="32">
        <v>41992</v>
      </c>
      <c r="C2672" s="29">
        <v>76.8</v>
      </c>
      <c r="D2672" s="35">
        <v>76.800003000000004</v>
      </c>
      <c r="E2672" s="35">
        <v>76.5</v>
      </c>
      <c r="F2672" s="33">
        <v>76.5</v>
      </c>
      <c r="G2672" s="29">
        <v>0.26</v>
      </c>
      <c r="H2672" s="29">
        <v>0.2</v>
      </c>
      <c r="I2672" s="35">
        <v>76.300003000000004</v>
      </c>
      <c r="J2672" s="34">
        <v>510</v>
      </c>
      <c r="K2672" s="34">
        <v>39023</v>
      </c>
    </row>
    <row r="2673" spans="1:21" hidden="1">
      <c r="A2673" s="29" t="s">
        <v>138</v>
      </c>
      <c r="B2673" s="32">
        <v>41996</v>
      </c>
      <c r="C2673" s="29">
        <v>76.5</v>
      </c>
      <c r="D2673" s="35">
        <v>76.5</v>
      </c>
      <c r="E2673" s="35">
        <v>76.5</v>
      </c>
      <c r="F2673" s="33">
        <v>76.5</v>
      </c>
      <c r="G2673" s="29">
        <v>0</v>
      </c>
      <c r="H2673" s="29">
        <v>0</v>
      </c>
      <c r="I2673" s="35">
        <v>76.5</v>
      </c>
      <c r="J2673" s="34">
        <v>300</v>
      </c>
      <c r="K2673" s="34">
        <v>22950</v>
      </c>
    </row>
    <row r="2674" spans="1:21" hidden="1">
      <c r="A2674" s="29" t="s">
        <v>138</v>
      </c>
      <c r="B2674" s="32">
        <v>41999</v>
      </c>
      <c r="C2674" s="29">
        <v>77</v>
      </c>
      <c r="D2674" s="35">
        <v>77</v>
      </c>
      <c r="E2674" s="35">
        <v>77</v>
      </c>
      <c r="F2674" s="33">
        <v>77</v>
      </c>
      <c r="G2674" s="29">
        <v>0.65</v>
      </c>
      <c r="H2674" s="29">
        <v>0.5</v>
      </c>
      <c r="I2674" s="35">
        <v>76.5</v>
      </c>
      <c r="J2674" s="34">
        <v>200</v>
      </c>
      <c r="K2674" s="34">
        <v>15400</v>
      </c>
    </row>
    <row r="2675" spans="1:21" hidden="1">
      <c r="A2675" s="29" t="s">
        <v>138</v>
      </c>
      <c r="B2675" s="32">
        <v>42002</v>
      </c>
      <c r="C2675" s="29">
        <v>76.5</v>
      </c>
      <c r="D2675" s="35">
        <v>76.5</v>
      </c>
      <c r="E2675" s="35">
        <v>76.5</v>
      </c>
      <c r="F2675" s="33">
        <v>76.5</v>
      </c>
      <c r="G2675" s="29">
        <v>-0.65</v>
      </c>
      <c r="H2675" s="29">
        <v>-0.5</v>
      </c>
      <c r="I2675" s="35">
        <v>77</v>
      </c>
      <c r="J2675" s="34">
        <v>20</v>
      </c>
      <c r="K2675" s="34">
        <v>1530</v>
      </c>
    </row>
    <row r="2676" spans="1:21" hidden="1">
      <c r="A2676" s="29" t="s">
        <v>138</v>
      </c>
      <c r="B2676" s="32">
        <v>42003</v>
      </c>
      <c r="C2676" s="29">
        <v>76.3</v>
      </c>
      <c r="D2676" s="35">
        <v>76.5</v>
      </c>
      <c r="E2676" s="35">
        <v>76.3</v>
      </c>
      <c r="F2676" s="33">
        <v>76.5</v>
      </c>
      <c r="G2676" s="29">
        <v>0</v>
      </c>
      <c r="H2676" s="29">
        <v>0</v>
      </c>
      <c r="I2676" s="35">
        <v>76.5</v>
      </c>
      <c r="J2676" s="34">
        <v>515</v>
      </c>
      <c r="K2676" s="34">
        <v>39374</v>
      </c>
    </row>
    <row r="2677" spans="1:21" hidden="1">
      <c r="A2677" s="29" t="s">
        <v>138</v>
      </c>
      <c r="B2677" s="32">
        <v>42004</v>
      </c>
      <c r="C2677" s="29">
        <v>76.400000000000006</v>
      </c>
      <c r="D2677" s="35">
        <v>76.5</v>
      </c>
      <c r="E2677" s="35">
        <v>76.300003000000004</v>
      </c>
      <c r="F2677" s="33">
        <v>76.400002000000001</v>
      </c>
      <c r="G2677" s="29">
        <v>-0.26</v>
      </c>
      <c r="H2677" s="29">
        <v>-0.2</v>
      </c>
      <c r="I2677" s="35">
        <v>76.5</v>
      </c>
      <c r="J2677" s="34">
        <v>7144</v>
      </c>
      <c r="K2677" s="34">
        <v>545325</v>
      </c>
    </row>
    <row r="2678" spans="1:21">
      <c r="A2678" s="29" t="s">
        <v>138</v>
      </c>
      <c r="B2678" s="32">
        <v>42006</v>
      </c>
      <c r="C2678" s="29">
        <v>76.5</v>
      </c>
      <c r="D2678" s="35">
        <v>76.5</v>
      </c>
      <c r="E2678" s="35">
        <v>76.5</v>
      </c>
      <c r="F2678" s="33">
        <v>76.5</v>
      </c>
      <c r="G2678" s="29">
        <v>0.13</v>
      </c>
      <c r="H2678" s="29">
        <v>0.1</v>
      </c>
      <c r="I2678" s="35">
        <v>76.400002000000001</v>
      </c>
      <c r="J2678" s="34">
        <v>2000</v>
      </c>
      <c r="K2678" s="34">
        <v>153000</v>
      </c>
      <c r="M2678" s="29" t="s">
        <v>128</v>
      </c>
      <c r="N2678" s="30">
        <v>42076</v>
      </c>
      <c r="O2678" s="41">
        <v>7109.23</v>
      </c>
      <c r="P2678" s="41">
        <v>7115.89</v>
      </c>
      <c r="Q2678" s="41">
        <v>7091.25</v>
      </c>
      <c r="R2678" s="31">
        <v>7091.25</v>
      </c>
      <c r="S2678" s="29">
        <v>-0.25</v>
      </c>
      <c r="T2678" s="29">
        <v>-17.82</v>
      </c>
      <c r="U2678" s="41">
        <v>7109.07</v>
      </c>
    </row>
    <row r="2679" spans="1:21">
      <c r="A2679" s="29" t="s">
        <v>138</v>
      </c>
      <c r="B2679" s="32">
        <v>42010</v>
      </c>
      <c r="C2679" s="29">
        <v>78.900000000000006</v>
      </c>
      <c r="D2679" s="35">
        <v>80.5</v>
      </c>
      <c r="E2679" s="35">
        <v>78.900000000000006</v>
      </c>
      <c r="F2679" s="33">
        <v>79.900002000000001</v>
      </c>
      <c r="G2679" s="29">
        <v>4.4400000000000004</v>
      </c>
      <c r="H2679" s="29">
        <v>3.4</v>
      </c>
      <c r="I2679" s="35">
        <v>76.5</v>
      </c>
      <c r="J2679" s="34">
        <v>13012</v>
      </c>
      <c r="K2679" s="34">
        <v>1037638</v>
      </c>
      <c r="M2679" s="29" t="s">
        <v>128</v>
      </c>
      <c r="N2679" s="30">
        <v>42079</v>
      </c>
      <c r="O2679" s="41">
        <v>7096.13</v>
      </c>
      <c r="P2679" s="41">
        <v>7104</v>
      </c>
      <c r="Q2679" s="41">
        <v>7043.12</v>
      </c>
      <c r="R2679" s="31">
        <v>7050.91</v>
      </c>
      <c r="S2679" s="29">
        <v>-0.56999999999999995</v>
      </c>
      <c r="T2679" s="29">
        <v>-40.340000000000003</v>
      </c>
      <c r="U2679" s="41">
        <v>7091.25</v>
      </c>
    </row>
    <row r="2680" spans="1:21">
      <c r="A2680" s="29" t="s">
        <v>138</v>
      </c>
      <c r="B2680" s="32">
        <v>42011</v>
      </c>
      <c r="C2680" s="29">
        <v>80</v>
      </c>
      <c r="D2680" s="35">
        <v>80</v>
      </c>
      <c r="E2680" s="35">
        <v>79.5</v>
      </c>
      <c r="F2680" s="33">
        <v>79.800003000000004</v>
      </c>
      <c r="G2680" s="29">
        <v>0</v>
      </c>
      <c r="H2680" s="29">
        <v>0</v>
      </c>
      <c r="I2680" s="35">
        <v>79.900002000000001</v>
      </c>
      <c r="J2680" s="34">
        <v>16170</v>
      </c>
      <c r="K2680" s="34">
        <v>1287615</v>
      </c>
      <c r="M2680" s="29" t="s">
        <v>128</v>
      </c>
      <c r="N2680" s="30">
        <v>42080</v>
      </c>
      <c r="O2680" s="41">
        <v>7050.28</v>
      </c>
      <c r="P2680" s="41">
        <v>7065.5</v>
      </c>
      <c r="Q2680" s="41">
        <v>7046.91</v>
      </c>
      <c r="R2680" s="31">
        <v>7057</v>
      </c>
      <c r="S2680" s="29">
        <v>0.09</v>
      </c>
      <c r="T2680" s="29">
        <v>6.09</v>
      </c>
      <c r="U2680" s="41">
        <v>7050.91</v>
      </c>
    </row>
    <row r="2681" spans="1:21">
      <c r="A2681" s="29" t="s">
        <v>138</v>
      </c>
      <c r="B2681" s="32">
        <v>42012</v>
      </c>
      <c r="C2681" s="29">
        <v>79.5</v>
      </c>
      <c r="D2681" s="35">
        <v>82</v>
      </c>
      <c r="E2681" s="35">
        <v>79.5</v>
      </c>
      <c r="F2681" s="33">
        <v>81.400002000000001</v>
      </c>
      <c r="G2681" s="29">
        <v>2.63</v>
      </c>
      <c r="H2681" s="29">
        <v>2.1</v>
      </c>
      <c r="I2681" s="35">
        <v>79.800003000000004</v>
      </c>
      <c r="J2681" s="34">
        <v>116350</v>
      </c>
      <c r="K2681" s="34">
        <v>9335170</v>
      </c>
      <c r="M2681" s="29" t="s">
        <v>128</v>
      </c>
      <c r="N2681" s="30">
        <v>42081</v>
      </c>
      <c r="O2681" s="41">
        <v>7051.97</v>
      </c>
      <c r="P2681" s="41">
        <v>7070.86</v>
      </c>
      <c r="Q2681" s="41">
        <v>7037.77</v>
      </c>
      <c r="R2681" s="31">
        <v>7043.9</v>
      </c>
      <c r="S2681" s="29">
        <v>-0.19</v>
      </c>
      <c r="T2681" s="29">
        <v>-13.1</v>
      </c>
      <c r="U2681" s="41">
        <v>7057</v>
      </c>
    </row>
    <row r="2682" spans="1:21">
      <c r="A2682" s="29" t="s">
        <v>138</v>
      </c>
      <c r="B2682" s="32">
        <v>42013</v>
      </c>
      <c r="C2682" s="29">
        <v>82</v>
      </c>
      <c r="D2682" s="35">
        <v>83.599997999999999</v>
      </c>
      <c r="E2682" s="35">
        <v>80.199996999999996</v>
      </c>
      <c r="F2682" s="33">
        <v>81.800003000000004</v>
      </c>
      <c r="G2682" s="29">
        <v>0.61</v>
      </c>
      <c r="H2682" s="29">
        <v>0.5</v>
      </c>
      <c r="I2682" s="35">
        <v>81.400002000000001</v>
      </c>
      <c r="J2682" s="34">
        <v>68129</v>
      </c>
      <c r="K2682" s="34">
        <v>5617897</v>
      </c>
      <c r="M2682" s="29" t="s">
        <v>128</v>
      </c>
      <c r="N2682" s="30">
        <v>42082</v>
      </c>
      <c r="O2682" s="41">
        <v>7042.43</v>
      </c>
      <c r="P2682" s="41">
        <v>7061.59</v>
      </c>
      <c r="Q2682" s="41">
        <v>7042.43</v>
      </c>
      <c r="R2682" s="31">
        <v>7046.7</v>
      </c>
      <c r="S2682" s="29">
        <v>0.04</v>
      </c>
      <c r="T2682" s="29">
        <v>2.8</v>
      </c>
      <c r="U2682" s="41">
        <v>7043.9</v>
      </c>
    </row>
    <row r="2683" spans="1:21">
      <c r="A2683" s="29" t="s">
        <v>138</v>
      </c>
      <c r="B2683" s="32">
        <v>42016</v>
      </c>
      <c r="C2683" s="29">
        <v>83</v>
      </c>
      <c r="D2683" s="35">
        <v>83.5</v>
      </c>
      <c r="E2683" s="35">
        <v>79.099997999999999</v>
      </c>
      <c r="F2683" s="33">
        <v>80.400002000000001</v>
      </c>
      <c r="G2683" s="29">
        <v>-1.59</v>
      </c>
      <c r="H2683" s="29">
        <v>-1.3</v>
      </c>
      <c r="I2683" s="35">
        <v>81.800003000000004</v>
      </c>
      <c r="J2683" s="34">
        <v>102548</v>
      </c>
      <c r="K2683" s="34">
        <v>8386627</v>
      </c>
      <c r="M2683" s="29" t="s">
        <v>128</v>
      </c>
      <c r="N2683" s="30">
        <v>42083</v>
      </c>
      <c r="O2683" s="41">
        <v>7047.33</v>
      </c>
      <c r="P2683" s="41">
        <v>7056.3</v>
      </c>
      <c r="Q2683" s="41">
        <v>7025</v>
      </c>
      <c r="R2683" s="31">
        <v>7054.58</v>
      </c>
      <c r="S2683" s="29">
        <v>0.11</v>
      </c>
      <c r="T2683" s="29">
        <v>7.88</v>
      </c>
      <c r="U2683" s="41">
        <v>7046.7</v>
      </c>
    </row>
    <row r="2684" spans="1:21">
      <c r="A2684" s="29" t="s">
        <v>138</v>
      </c>
      <c r="B2684" s="32">
        <v>42017</v>
      </c>
      <c r="C2684" s="29">
        <v>80.099999999999994</v>
      </c>
      <c r="D2684" s="35">
        <v>82.900002000000001</v>
      </c>
      <c r="E2684" s="35">
        <v>80</v>
      </c>
      <c r="F2684" s="33">
        <v>80.099997999999999</v>
      </c>
      <c r="G2684" s="29">
        <v>-0.5</v>
      </c>
      <c r="H2684" s="29">
        <v>-0.4</v>
      </c>
      <c r="I2684" s="35">
        <v>80.400002000000001</v>
      </c>
      <c r="J2684" s="34">
        <v>2550</v>
      </c>
      <c r="K2684" s="34">
        <v>204293</v>
      </c>
      <c r="M2684" s="29" t="s">
        <v>128</v>
      </c>
      <c r="N2684" s="30">
        <v>42086</v>
      </c>
      <c r="O2684" s="41">
        <v>7059.84</v>
      </c>
      <c r="P2684" s="41">
        <v>7076.37</v>
      </c>
      <c r="Q2684" s="41">
        <v>7042.3</v>
      </c>
      <c r="R2684" s="31">
        <v>7042.3</v>
      </c>
      <c r="S2684" s="29">
        <v>-0.17</v>
      </c>
      <c r="T2684" s="29">
        <v>-12.28</v>
      </c>
      <c r="U2684" s="41">
        <v>7054.58</v>
      </c>
    </row>
    <row r="2685" spans="1:21">
      <c r="A2685" s="29" t="s">
        <v>138</v>
      </c>
      <c r="B2685" s="32">
        <v>42020</v>
      </c>
      <c r="C2685" s="29">
        <v>80</v>
      </c>
      <c r="D2685" s="35">
        <v>80</v>
      </c>
      <c r="E2685" s="35">
        <v>79.900002000000001</v>
      </c>
      <c r="F2685" s="33">
        <v>80</v>
      </c>
      <c r="G2685" s="29">
        <v>-0.12</v>
      </c>
      <c r="H2685" s="29">
        <v>-0.1</v>
      </c>
      <c r="I2685" s="35">
        <v>80.099997999999999</v>
      </c>
      <c r="J2685" s="34">
        <v>10341</v>
      </c>
      <c r="K2685" s="34">
        <v>827265</v>
      </c>
      <c r="M2685" s="29" t="s">
        <v>128</v>
      </c>
      <c r="N2685" s="30">
        <v>42087</v>
      </c>
      <c r="O2685" s="41">
        <v>7041.62</v>
      </c>
      <c r="P2685" s="41">
        <v>7045.19</v>
      </c>
      <c r="Q2685" s="41">
        <v>6994.1</v>
      </c>
      <c r="R2685" s="31">
        <v>6997.93</v>
      </c>
      <c r="S2685" s="29">
        <v>-0.63</v>
      </c>
      <c r="T2685" s="29">
        <v>-44.37</v>
      </c>
      <c r="U2685" s="41">
        <v>7042.3</v>
      </c>
    </row>
    <row r="2686" spans="1:21">
      <c r="A2686" s="29" t="s">
        <v>138</v>
      </c>
      <c r="B2686" s="32">
        <v>42023</v>
      </c>
      <c r="C2686" s="29">
        <v>80</v>
      </c>
      <c r="D2686" s="35">
        <v>80</v>
      </c>
      <c r="E2686" s="35">
        <v>78</v>
      </c>
      <c r="F2686" s="33">
        <v>78</v>
      </c>
      <c r="G2686" s="29">
        <v>-2.5</v>
      </c>
      <c r="H2686" s="29">
        <v>-2</v>
      </c>
      <c r="I2686" s="35">
        <v>80</v>
      </c>
      <c r="J2686" s="34">
        <v>76735</v>
      </c>
      <c r="K2686" s="34">
        <v>6004756</v>
      </c>
      <c r="M2686" s="29" t="s">
        <v>128</v>
      </c>
      <c r="N2686" s="30">
        <v>42088</v>
      </c>
      <c r="O2686" s="41">
        <v>6998.34</v>
      </c>
      <c r="P2686" s="41">
        <v>7008.74</v>
      </c>
      <c r="Q2686" s="41">
        <v>6965.8</v>
      </c>
      <c r="R2686" s="31">
        <v>6973.03</v>
      </c>
      <c r="S2686" s="29">
        <v>-0.36</v>
      </c>
      <c r="T2686" s="29">
        <v>-24.9</v>
      </c>
      <c r="U2686" s="41">
        <v>6997.93</v>
      </c>
    </row>
    <row r="2687" spans="1:21">
      <c r="A2687" s="29" t="s">
        <v>138</v>
      </c>
      <c r="B2687" s="32">
        <v>42024</v>
      </c>
      <c r="C2687" s="29">
        <v>78</v>
      </c>
      <c r="D2687" s="35">
        <v>78.099997999999999</v>
      </c>
      <c r="E2687" s="35">
        <v>78</v>
      </c>
      <c r="F2687" s="33">
        <v>78.099997999999999</v>
      </c>
      <c r="G2687" s="29">
        <v>0</v>
      </c>
      <c r="H2687" s="29">
        <v>0</v>
      </c>
      <c r="I2687" s="35">
        <v>78</v>
      </c>
      <c r="J2687" s="34">
        <v>5400</v>
      </c>
      <c r="K2687" s="34">
        <v>421225</v>
      </c>
      <c r="M2687" s="29" t="s">
        <v>128</v>
      </c>
      <c r="N2687" s="30">
        <v>42089</v>
      </c>
      <c r="O2687" s="41">
        <v>6973.21</v>
      </c>
      <c r="P2687" s="41">
        <v>6980.86</v>
      </c>
      <c r="Q2687" s="41">
        <v>6922.83</v>
      </c>
      <c r="R2687" s="31">
        <v>6922.83</v>
      </c>
      <c r="S2687" s="29">
        <v>-0.72</v>
      </c>
      <c r="T2687" s="29">
        <v>-50.2</v>
      </c>
      <c r="U2687" s="41">
        <v>6973.03</v>
      </c>
    </row>
    <row r="2688" spans="1:21">
      <c r="A2688" s="29" t="s">
        <v>138</v>
      </c>
      <c r="B2688" s="32">
        <v>42025</v>
      </c>
      <c r="C2688" s="29">
        <v>79</v>
      </c>
      <c r="D2688" s="35">
        <v>80</v>
      </c>
      <c r="E2688" s="35">
        <v>79</v>
      </c>
      <c r="F2688" s="33">
        <v>80</v>
      </c>
      <c r="G2688" s="29">
        <v>2.4300000000000002</v>
      </c>
      <c r="H2688" s="29">
        <v>1.9</v>
      </c>
      <c r="I2688" s="35">
        <v>78.099997999999999</v>
      </c>
      <c r="J2688" s="34">
        <v>1006</v>
      </c>
      <c r="K2688" s="34">
        <v>80475</v>
      </c>
      <c r="M2688" s="29" t="s">
        <v>128</v>
      </c>
      <c r="N2688" s="30">
        <v>42090</v>
      </c>
      <c r="O2688" s="41">
        <v>6921.35</v>
      </c>
      <c r="P2688" s="41">
        <v>6936.62</v>
      </c>
      <c r="Q2688" s="41">
        <v>6873.52</v>
      </c>
      <c r="R2688" s="31">
        <v>6873.52</v>
      </c>
      <c r="S2688" s="29">
        <v>-0.71</v>
      </c>
      <c r="T2688" s="29">
        <v>-49.31</v>
      </c>
      <c r="U2688" s="41">
        <v>6922.83</v>
      </c>
    </row>
    <row r="2689" spans="1:21">
      <c r="A2689" s="29" t="s">
        <v>138</v>
      </c>
      <c r="B2689" s="32">
        <v>42026</v>
      </c>
      <c r="C2689" s="29">
        <v>79</v>
      </c>
      <c r="D2689" s="35">
        <v>79</v>
      </c>
      <c r="E2689" s="35">
        <v>77.5</v>
      </c>
      <c r="F2689" s="33">
        <v>79</v>
      </c>
      <c r="G2689" s="29">
        <v>-1.25</v>
      </c>
      <c r="H2689" s="29">
        <v>-1</v>
      </c>
      <c r="I2689" s="35">
        <v>80</v>
      </c>
      <c r="J2689" s="34">
        <v>9550</v>
      </c>
      <c r="K2689" s="34">
        <v>743205</v>
      </c>
      <c r="M2689" s="29" t="s">
        <v>128</v>
      </c>
      <c r="N2689" s="30">
        <v>42093</v>
      </c>
      <c r="O2689" s="41">
        <v>6873.44</v>
      </c>
      <c r="P2689" s="41">
        <v>6879.12</v>
      </c>
      <c r="Q2689" s="41">
        <v>6780.39</v>
      </c>
      <c r="R2689" s="31">
        <v>6782.43</v>
      </c>
      <c r="S2689" s="29">
        <v>-1.33</v>
      </c>
      <c r="T2689" s="29">
        <v>-91.09</v>
      </c>
      <c r="U2689" s="41">
        <v>6873.52</v>
      </c>
    </row>
    <row r="2690" spans="1:21">
      <c r="A2690" s="29" t="s">
        <v>138</v>
      </c>
      <c r="B2690" s="32">
        <v>42027</v>
      </c>
      <c r="C2690" s="29">
        <v>77.099999999999994</v>
      </c>
      <c r="D2690" s="35">
        <v>78</v>
      </c>
      <c r="E2690" s="35">
        <v>76.5</v>
      </c>
      <c r="F2690" s="33">
        <v>76.900002000000001</v>
      </c>
      <c r="G2690" s="29">
        <v>-1.27</v>
      </c>
      <c r="H2690" s="29">
        <v>-1</v>
      </c>
      <c r="I2690" s="35">
        <v>79</v>
      </c>
      <c r="J2690" s="34">
        <v>1100</v>
      </c>
      <c r="K2690" s="34">
        <v>84555</v>
      </c>
      <c r="M2690" s="29" t="s">
        <v>128</v>
      </c>
      <c r="N2690" s="30">
        <v>42094</v>
      </c>
      <c r="O2690" s="41">
        <v>6777.6</v>
      </c>
      <c r="P2690" s="41">
        <v>6841.54</v>
      </c>
      <c r="Q2690" s="41">
        <v>6760.04</v>
      </c>
      <c r="R2690" s="31">
        <v>6820.34</v>
      </c>
      <c r="S2690" s="29">
        <v>0.56000000000000005</v>
      </c>
      <c r="T2690" s="29">
        <v>37.909999999999997</v>
      </c>
      <c r="U2690" s="41">
        <v>6782.43</v>
      </c>
    </row>
    <row r="2691" spans="1:21">
      <c r="A2691" s="29" t="s">
        <v>138</v>
      </c>
      <c r="B2691" s="32">
        <v>42030</v>
      </c>
      <c r="C2691" s="29">
        <v>78</v>
      </c>
      <c r="D2691" s="35">
        <v>80</v>
      </c>
      <c r="E2691" s="35">
        <v>78</v>
      </c>
      <c r="F2691" s="33">
        <v>79.699996999999996</v>
      </c>
      <c r="G2691" s="29">
        <v>4.03</v>
      </c>
      <c r="H2691" s="29">
        <v>3.1</v>
      </c>
      <c r="I2691" s="35">
        <v>76.900002000000001</v>
      </c>
      <c r="J2691" s="34">
        <v>17511</v>
      </c>
      <c r="K2691" s="34">
        <v>1388368</v>
      </c>
      <c r="M2691" s="29" t="s">
        <v>128</v>
      </c>
      <c r="N2691" s="30">
        <v>42095</v>
      </c>
      <c r="O2691" s="41">
        <v>6815.67</v>
      </c>
      <c r="P2691" s="41">
        <v>6916.08</v>
      </c>
      <c r="Q2691" s="41">
        <v>6815.17</v>
      </c>
      <c r="R2691" s="31">
        <v>6916.08</v>
      </c>
      <c r="S2691" s="29">
        <v>1.4</v>
      </c>
      <c r="T2691" s="29">
        <v>95.74</v>
      </c>
      <c r="U2691" s="41">
        <v>6820.34</v>
      </c>
    </row>
    <row r="2692" spans="1:21">
      <c r="A2692" s="29" t="s">
        <v>138</v>
      </c>
      <c r="B2692" s="32">
        <v>42031</v>
      </c>
      <c r="C2692" s="29">
        <v>78</v>
      </c>
      <c r="D2692" s="35">
        <v>80</v>
      </c>
      <c r="E2692" s="35">
        <v>78</v>
      </c>
      <c r="F2692" s="33">
        <v>79</v>
      </c>
      <c r="G2692" s="29">
        <v>-0.88</v>
      </c>
      <c r="H2692" s="29">
        <v>-0.7</v>
      </c>
      <c r="I2692" s="35">
        <v>79.699996999999996</v>
      </c>
      <c r="J2692" s="34">
        <v>67772</v>
      </c>
      <c r="K2692" s="34">
        <v>5411289</v>
      </c>
      <c r="M2692" s="29" t="s">
        <v>128</v>
      </c>
      <c r="N2692" s="30">
        <v>42096</v>
      </c>
      <c r="O2692" s="41">
        <v>6921.72</v>
      </c>
      <c r="P2692" s="41">
        <v>6967.79</v>
      </c>
      <c r="Q2692" s="41">
        <v>6921.72</v>
      </c>
      <c r="R2692" s="31">
        <v>6948.14</v>
      </c>
      <c r="S2692" s="29">
        <v>0.46</v>
      </c>
      <c r="T2692" s="29">
        <v>32.06</v>
      </c>
      <c r="U2692" s="41">
        <v>6916.08</v>
      </c>
    </row>
    <row r="2693" spans="1:21">
      <c r="A2693" s="29" t="s">
        <v>138</v>
      </c>
      <c r="B2693" s="32">
        <v>42032</v>
      </c>
      <c r="C2693" s="29">
        <v>80</v>
      </c>
      <c r="D2693" s="35">
        <v>80</v>
      </c>
      <c r="E2693" s="35">
        <v>80</v>
      </c>
      <c r="F2693" s="33">
        <v>80</v>
      </c>
      <c r="G2693" s="29">
        <v>1.27</v>
      </c>
      <c r="H2693" s="29">
        <v>1</v>
      </c>
      <c r="I2693" s="35">
        <v>79</v>
      </c>
      <c r="J2693" s="34">
        <v>10400</v>
      </c>
      <c r="K2693" s="34">
        <v>832000</v>
      </c>
      <c r="M2693" s="29" t="s">
        <v>128</v>
      </c>
      <c r="N2693" s="30">
        <v>42100</v>
      </c>
      <c r="O2693" s="41">
        <v>6948.76</v>
      </c>
      <c r="P2693" s="41">
        <v>6959.32</v>
      </c>
      <c r="Q2693" s="41">
        <v>6917.51</v>
      </c>
      <c r="R2693" s="31">
        <v>6917.51</v>
      </c>
      <c r="S2693" s="29">
        <v>-0.44</v>
      </c>
      <c r="T2693" s="29">
        <v>-30.63</v>
      </c>
      <c r="U2693" s="41">
        <v>6948.14</v>
      </c>
    </row>
    <row r="2694" spans="1:21">
      <c r="A2694" s="29" t="s">
        <v>138</v>
      </c>
      <c r="B2694" s="32">
        <v>42033</v>
      </c>
      <c r="C2694" s="29">
        <v>80</v>
      </c>
      <c r="D2694" s="35">
        <v>81</v>
      </c>
      <c r="E2694" s="35">
        <v>80</v>
      </c>
      <c r="F2694" s="33">
        <v>80.199996999999996</v>
      </c>
      <c r="G2694" s="29">
        <v>1.25</v>
      </c>
      <c r="H2694" s="29">
        <v>1</v>
      </c>
      <c r="I2694" s="35">
        <v>80</v>
      </c>
      <c r="J2694" s="34">
        <v>13217</v>
      </c>
      <c r="K2694" s="34">
        <v>1059362</v>
      </c>
      <c r="M2694" s="29" t="s">
        <v>128</v>
      </c>
      <c r="N2694" s="30">
        <v>42101</v>
      </c>
      <c r="O2694" s="41">
        <v>6916.94</v>
      </c>
      <c r="P2694" s="41">
        <v>6938.17</v>
      </c>
      <c r="Q2694" s="41">
        <v>6903.21</v>
      </c>
      <c r="R2694" s="31">
        <v>6927.25</v>
      </c>
      <c r="S2694" s="29">
        <v>0.14000000000000001</v>
      </c>
      <c r="T2694" s="29">
        <v>9.74</v>
      </c>
      <c r="U2694" s="41">
        <v>6917.51</v>
      </c>
    </row>
    <row r="2695" spans="1:21">
      <c r="A2695" s="29" t="s">
        <v>138</v>
      </c>
      <c r="B2695" s="32">
        <v>42034</v>
      </c>
      <c r="C2695" s="29">
        <v>80.099999999999994</v>
      </c>
      <c r="D2695" s="35">
        <v>80.900002000000001</v>
      </c>
      <c r="E2695" s="35">
        <v>79</v>
      </c>
      <c r="F2695" s="33">
        <v>79.800003000000004</v>
      </c>
      <c r="G2695" s="29">
        <v>-1.5</v>
      </c>
      <c r="H2695" s="29">
        <v>-1.2</v>
      </c>
      <c r="I2695" s="35">
        <v>80.199996999999996</v>
      </c>
      <c r="J2695" s="34">
        <v>66150</v>
      </c>
      <c r="K2695" s="34">
        <v>5266395</v>
      </c>
      <c r="M2695" s="29" t="s">
        <v>128</v>
      </c>
      <c r="N2695" s="30">
        <v>42102</v>
      </c>
      <c r="O2695" s="41">
        <v>6927.25</v>
      </c>
      <c r="P2695" s="41">
        <v>6935.11</v>
      </c>
      <c r="Q2695" s="41">
        <v>6906.74</v>
      </c>
      <c r="R2695" s="31">
        <v>6913.73</v>
      </c>
      <c r="S2695" s="29">
        <v>-0.2</v>
      </c>
      <c r="T2695" s="29">
        <v>-13.52</v>
      </c>
      <c r="U2695" s="41">
        <v>6927.25</v>
      </c>
    </row>
    <row r="2696" spans="1:21">
      <c r="A2696" s="29" t="s">
        <v>138</v>
      </c>
      <c r="B2696" s="32">
        <v>42037</v>
      </c>
      <c r="C2696" s="29">
        <v>78.599999999999994</v>
      </c>
      <c r="D2696" s="35">
        <v>79.199996999999996</v>
      </c>
      <c r="E2696" s="35">
        <v>78.599997999999999</v>
      </c>
      <c r="F2696" s="33">
        <v>79.199996999999996</v>
      </c>
      <c r="G2696" s="29">
        <v>-0.75</v>
      </c>
      <c r="H2696" s="29">
        <v>-0.6</v>
      </c>
      <c r="I2696" s="35">
        <v>79.800003000000004</v>
      </c>
      <c r="J2696" s="34">
        <v>504</v>
      </c>
      <c r="K2696" s="34">
        <v>39616</v>
      </c>
      <c r="M2696" s="29" t="s">
        <v>128</v>
      </c>
      <c r="N2696" s="30">
        <v>42103</v>
      </c>
      <c r="O2696" s="41">
        <v>6914.78</v>
      </c>
      <c r="P2696" s="41">
        <v>6916.38</v>
      </c>
      <c r="Q2696" s="41">
        <v>6899.29</v>
      </c>
      <c r="R2696" s="31">
        <v>6899.29</v>
      </c>
      <c r="S2696" s="29">
        <v>-0.21</v>
      </c>
      <c r="T2696" s="29">
        <v>-14.44</v>
      </c>
      <c r="U2696" s="41">
        <v>6913.73</v>
      </c>
    </row>
    <row r="2697" spans="1:21">
      <c r="A2697" s="29" t="s">
        <v>138</v>
      </c>
      <c r="B2697" s="32">
        <v>42040</v>
      </c>
      <c r="C2697" s="29">
        <v>79</v>
      </c>
      <c r="D2697" s="35">
        <v>79</v>
      </c>
      <c r="E2697" s="35">
        <v>78.099997999999999</v>
      </c>
      <c r="F2697" s="33">
        <v>78.099997999999999</v>
      </c>
      <c r="G2697" s="29">
        <v>-1.39</v>
      </c>
      <c r="H2697" s="29">
        <v>-1.1000000000000001</v>
      </c>
      <c r="I2697" s="35">
        <v>79.199996999999996</v>
      </c>
      <c r="J2697" s="34">
        <v>117</v>
      </c>
      <c r="K2697" s="34">
        <v>9153</v>
      </c>
      <c r="M2697" s="29" t="s">
        <v>128</v>
      </c>
      <c r="N2697" s="30">
        <v>42104</v>
      </c>
      <c r="O2697" s="41">
        <v>6899.04</v>
      </c>
      <c r="P2697" s="41">
        <v>6914.65</v>
      </c>
      <c r="Q2697" s="41">
        <v>6896.28</v>
      </c>
      <c r="R2697" s="31">
        <v>6901.06</v>
      </c>
      <c r="S2697" s="29">
        <v>0.03</v>
      </c>
      <c r="T2697" s="29">
        <v>1.77</v>
      </c>
      <c r="U2697" s="41">
        <v>6899.29</v>
      </c>
    </row>
    <row r="2698" spans="1:21">
      <c r="A2698" s="29" t="s">
        <v>138</v>
      </c>
      <c r="B2698" s="32">
        <v>42041</v>
      </c>
      <c r="C2698" s="29">
        <v>78.099999999999994</v>
      </c>
      <c r="D2698" s="35">
        <v>80</v>
      </c>
      <c r="E2698" s="35">
        <v>78</v>
      </c>
      <c r="F2698" s="33">
        <v>79.599997999999999</v>
      </c>
      <c r="G2698" s="29">
        <v>2.4300000000000002</v>
      </c>
      <c r="H2698" s="29">
        <v>1.9</v>
      </c>
      <c r="I2698" s="35">
        <v>78.099997999999999</v>
      </c>
      <c r="J2698" s="34">
        <v>11800</v>
      </c>
      <c r="K2698" s="34">
        <v>939070</v>
      </c>
      <c r="M2698" s="29" t="s">
        <v>128</v>
      </c>
      <c r="N2698" s="30">
        <v>42109</v>
      </c>
      <c r="O2698" s="41">
        <v>6903.42</v>
      </c>
      <c r="P2698" s="41">
        <v>6981.03</v>
      </c>
      <c r="Q2698" s="41">
        <v>6903.42</v>
      </c>
      <c r="R2698" s="31">
        <v>6981.03</v>
      </c>
      <c r="S2698" s="29">
        <v>1.1599999999999999</v>
      </c>
      <c r="T2698" s="29">
        <v>79.97</v>
      </c>
      <c r="U2698" s="41">
        <v>6901.06</v>
      </c>
    </row>
    <row r="2699" spans="1:21">
      <c r="A2699" s="29" t="s">
        <v>138</v>
      </c>
      <c r="B2699" s="32">
        <v>42044</v>
      </c>
      <c r="C2699" s="29">
        <v>79</v>
      </c>
      <c r="D2699" s="35">
        <v>79.199996999999996</v>
      </c>
      <c r="E2699" s="35">
        <v>78.5</v>
      </c>
      <c r="F2699" s="33">
        <v>79.199996999999996</v>
      </c>
      <c r="G2699" s="29">
        <v>-0.5</v>
      </c>
      <c r="H2699" s="29">
        <v>-0.4</v>
      </c>
      <c r="I2699" s="35">
        <v>79.599997999999999</v>
      </c>
      <c r="J2699" s="34">
        <v>11073</v>
      </c>
      <c r="K2699" s="34">
        <v>876501</v>
      </c>
      <c r="M2699" s="29" t="s">
        <v>128</v>
      </c>
      <c r="N2699" s="30">
        <v>42110</v>
      </c>
      <c r="O2699" s="41">
        <v>6985.74</v>
      </c>
      <c r="P2699" s="41">
        <v>7077.27</v>
      </c>
      <c r="Q2699" s="41">
        <v>6985.74</v>
      </c>
      <c r="R2699" s="31">
        <v>7077.27</v>
      </c>
      <c r="S2699" s="29">
        <v>1.38</v>
      </c>
      <c r="T2699" s="29">
        <v>96.24</v>
      </c>
      <c r="U2699" s="41">
        <v>6981.03</v>
      </c>
    </row>
    <row r="2700" spans="1:21">
      <c r="A2700" s="29" t="s">
        <v>138</v>
      </c>
      <c r="B2700" s="32">
        <v>42045</v>
      </c>
      <c r="C2700" s="29">
        <v>79.400000000000006</v>
      </c>
      <c r="D2700" s="35">
        <v>80</v>
      </c>
      <c r="E2700" s="35">
        <v>79.199996999999996</v>
      </c>
      <c r="F2700" s="33">
        <v>80</v>
      </c>
      <c r="G2700" s="29">
        <v>0.88</v>
      </c>
      <c r="H2700" s="29">
        <v>0.7</v>
      </c>
      <c r="I2700" s="35">
        <v>79.199996999999996</v>
      </c>
      <c r="J2700" s="34">
        <v>44729</v>
      </c>
      <c r="K2700" s="34">
        <v>3577978</v>
      </c>
      <c r="M2700" s="29" t="s">
        <v>128</v>
      </c>
      <c r="N2700" s="30">
        <v>42111</v>
      </c>
      <c r="O2700" s="41">
        <v>7082.14</v>
      </c>
      <c r="P2700" s="41">
        <v>7098.26</v>
      </c>
      <c r="Q2700" s="41">
        <v>7066.52</v>
      </c>
      <c r="R2700" s="31">
        <v>7086.41</v>
      </c>
      <c r="S2700" s="29">
        <v>0.13</v>
      </c>
      <c r="T2700" s="29">
        <v>9.14</v>
      </c>
      <c r="U2700" s="41">
        <v>7077.27</v>
      </c>
    </row>
    <row r="2701" spans="1:21">
      <c r="A2701" s="29" t="s">
        <v>138</v>
      </c>
      <c r="B2701" s="32">
        <v>42046</v>
      </c>
      <c r="C2701" s="29">
        <v>80</v>
      </c>
      <c r="D2701" s="35">
        <v>81</v>
      </c>
      <c r="E2701" s="35">
        <v>80</v>
      </c>
      <c r="F2701" s="33">
        <v>80</v>
      </c>
      <c r="G2701" s="29">
        <v>0</v>
      </c>
      <c r="H2701" s="29">
        <v>0</v>
      </c>
      <c r="I2701" s="35">
        <v>80</v>
      </c>
      <c r="J2701" s="34">
        <v>60866</v>
      </c>
      <c r="K2701" s="34">
        <v>4869525</v>
      </c>
      <c r="M2701" s="29" t="s">
        <v>128</v>
      </c>
      <c r="N2701" s="30">
        <v>42114</v>
      </c>
      <c r="O2701" s="41">
        <v>7088.39</v>
      </c>
      <c r="P2701" s="41">
        <v>7096.17</v>
      </c>
      <c r="Q2701" s="41">
        <v>7043.47</v>
      </c>
      <c r="R2701" s="31">
        <v>7080.38</v>
      </c>
      <c r="S2701" s="29">
        <v>-0.09</v>
      </c>
      <c r="T2701" s="29">
        <v>-6.03</v>
      </c>
      <c r="U2701" s="41">
        <v>7086.41</v>
      </c>
    </row>
    <row r="2702" spans="1:21">
      <c r="A2702" s="29" t="s">
        <v>138</v>
      </c>
      <c r="B2702" s="32">
        <v>42047</v>
      </c>
      <c r="C2702" s="29">
        <v>80</v>
      </c>
      <c r="D2702" s="35">
        <v>80.099997999999999</v>
      </c>
      <c r="E2702" s="35">
        <v>80</v>
      </c>
      <c r="F2702" s="33">
        <v>80</v>
      </c>
      <c r="G2702" s="29">
        <v>0</v>
      </c>
      <c r="H2702" s="29">
        <v>0</v>
      </c>
      <c r="I2702" s="35">
        <v>80</v>
      </c>
      <c r="J2702" s="34">
        <v>57240</v>
      </c>
      <c r="K2702" s="34">
        <v>4579700</v>
      </c>
      <c r="M2702" s="29" t="s">
        <v>128</v>
      </c>
      <c r="N2702" s="30">
        <v>42115</v>
      </c>
      <c r="O2702" s="41">
        <v>7078.99</v>
      </c>
      <c r="P2702" s="41">
        <v>7107.4</v>
      </c>
      <c r="Q2702" s="41">
        <v>7078.38</v>
      </c>
      <c r="R2702" s="31">
        <v>7098.6</v>
      </c>
      <c r="S2702" s="29">
        <v>0.26</v>
      </c>
      <c r="T2702" s="29">
        <v>18.22</v>
      </c>
      <c r="U2702" s="41">
        <v>7080.38</v>
      </c>
    </row>
    <row r="2703" spans="1:21">
      <c r="A2703" s="29" t="s">
        <v>138</v>
      </c>
      <c r="B2703" s="32">
        <v>42048</v>
      </c>
      <c r="C2703" s="29">
        <v>80</v>
      </c>
      <c r="D2703" s="35">
        <v>80</v>
      </c>
      <c r="E2703" s="35">
        <v>79.5</v>
      </c>
      <c r="F2703" s="33">
        <v>80</v>
      </c>
      <c r="G2703" s="29">
        <v>-0.62</v>
      </c>
      <c r="H2703" s="29">
        <v>-0.5</v>
      </c>
      <c r="I2703" s="35">
        <v>80</v>
      </c>
      <c r="J2703" s="34">
        <v>11654</v>
      </c>
      <c r="K2703" s="34">
        <v>932193</v>
      </c>
      <c r="M2703" s="29" t="s">
        <v>128</v>
      </c>
      <c r="N2703" s="30">
        <v>42116</v>
      </c>
      <c r="O2703" s="41">
        <v>7096.7</v>
      </c>
      <c r="P2703" s="41">
        <v>7117.13</v>
      </c>
      <c r="Q2703" s="41">
        <v>7069.41</v>
      </c>
      <c r="R2703" s="31">
        <v>7117.13</v>
      </c>
      <c r="S2703" s="29">
        <v>0.26</v>
      </c>
      <c r="T2703" s="29">
        <v>18.53</v>
      </c>
      <c r="U2703" s="41">
        <v>7098.6</v>
      </c>
    </row>
    <row r="2704" spans="1:21">
      <c r="A2704" s="29" t="s">
        <v>138</v>
      </c>
      <c r="B2704" s="32">
        <v>42051</v>
      </c>
      <c r="C2704" s="29">
        <v>81</v>
      </c>
      <c r="D2704" s="35">
        <v>82</v>
      </c>
      <c r="E2704" s="35">
        <v>80</v>
      </c>
      <c r="F2704" s="33">
        <v>81.900002000000001</v>
      </c>
      <c r="G2704" s="29">
        <v>2.5</v>
      </c>
      <c r="H2704" s="29">
        <v>2</v>
      </c>
      <c r="I2704" s="35">
        <v>80</v>
      </c>
      <c r="J2704" s="34">
        <v>16800</v>
      </c>
      <c r="K2704" s="34">
        <v>1360300</v>
      </c>
      <c r="M2704" s="29" t="s">
        <v>128</v>
      </c>
      <c r="N2704" s="30">
        <v>42117</v>
      </c>
      <c r="O2704" s="41">
        <v>7119.61</v>
      </c>
      <c r="P2704" s="41">
        <v>7125.73</v>
      </c>
      <c r="Q2704" s="41">
        <v>7103.62</v>
      </c>
      <c r="R2704" s="31">
        <v>7114.39</v>
      </c>
      <c r="S2704" s="29">
        <v>-0.04</v>
      </c>
      <c r="T2704" s="29">
        <v>-2.74</v>
      </c>
      <c r="U2704" s="41">
        <v>7117.13</v>
      </c>
    </row>
    <row r="2705" spans="1:21">
      <c r="A2705" s="29" t="s">
        <v>138</v>
      </c>
      <c r="B2705" s="32">
        <v>42053</v>
      </c>
      <c r="C2705" s="29">
        <v>80.599999999999994</v>
      </c>
      <c r="D2705" s="35">
        <v>81.900002000000001</v>
      </c>
      <c r="E2705" s="35">
        <v>80.5</v>
      </c>
      <c r="F2705" s="33">
        <v>80.599997999999999</v>
      </c>
      <c r="G2705" s="29">
        <v>-1.71</v>
      </c>
      <c r="H2705" s="29">
        <v>-1.4</v>
      </c>
      <c r="I2705" s="35">
        <v>81.900002000000001</v>
      </c>
      <c r="J2705" s="34">
        <v>3530</v>
      </c>
      <c r="K2705" s="34">
        <v>284890</v>
      </c>
      <c r="M2705" s="29" t="s">
        <v>128</v>
      </c>
      <c r="N2705" s="30">
        <v>42118</v>
      </c>
      <c r="O2705" s="41">
        <v>7115.29</v>
      </c>
      <c r="P2705" s="41">
        <v>7144.98</v>
      </c>
      <c r="Q2705" s="41">
        <v>7114.81</v>
      </c>
      <c r="R2705" s="31">
        <v>7129.78</v>
      </c>
      <c r="S2705" s="29">
        <v>0.22</v>
      </c>
      <c r="T2705" s="29">
        <v>15.39</v>
      </c>
      <c r="U2705" s="41">
        <v>7114.39</v>
      </c>
    </row>
    <row r="2706" spans="1:21">
      <c r="A2706" s="29" t="s">
        <v>138</v>
      </c>
      <c r="B2706" s="32">
        <v>42054</v>
      </c>
      <c r="C2706" s="29">
        <v>80</v>
      </c>
      <c r="D2706" s="35">
        <v>81</v>
      </c>
      <c r="E2706" s="35">
        <v>80</v>
      </c>
      <c r="F2706" s="33">
        <v>80.900002000000001</v>
      </c>
      <c r="G2706" s="29">
        <v>0.37</v>
      </c>
      <c r="H2706" s="29">
        <v>0.3</v>
      </c>
      <c r="I2706" s="35">
        <v>80.599997999999999</v>
      </c>
      <c r="J2706" s="34">
        <v>14607</v>
      </c>
      <c r="K2706" s="34">
        <v>1171617</v>
      </c>
      <c r="M2706" s="29" t="s">
        <v>128</v>
      </c>
      <c r="N2706" s="30">
        <v>42121</v>
      </c>
      <c r="O2706" s="41">
        <v>7129.82</v>
      </c>
      <c r="P2706" s="41">
        <v>7132.04</v>
      </c>
      <c r="Q2706" s="41">
        <v>7111.24</v>
      </c>
      <c r="R2706" s="31">
        <v>7125.12</v>
      </c>
      <c r="S2706" s="29">
        <v>-7.0000000000000007E-2</v>
      </c>
      <c r="T2706" s="29">
        <v>-4.66</v>
      </c>
      <c r="U2706" s="41">
        <v>7129.78</v>
      </c>
    </row>
    <row r="2707" spans="1:21">
      <c r="A2707" s="29" t="s">
        <v>138</v>
      </c>
      <c r="B2707" s="32">
        <v>42055</v>
      </c>
      <c r="C2707" s="29">
        <v>80.900000000000006</v>
      </c>
      <c r="D2707" s="35">
        <v>83.5</v>
      </c>
      <c r="E2707" s="35">
        <v>79.5</v>
      </c>
      <c r="F2707" s="33">
        <v>81.400002000000001</v>
      </c>
      <c r="G2707" s="29">
        <v>-0.37</v>
      </c>
      <c r="H2707" s="29">
        <v>-0.3</v>
      </c>
      <c r="I2707" s="35">
        <v>80.900002000000001</v>
      </c>
      <c r="J2707" s="34">
        <v>104346</v>
      </c>
      <c r="K2707" s="34">
        <v>8552288</v>
      </c>
      <c r="M2707" s="29" t="s">
        <v>128</v>
      </c>
      <c r="N2707" s="30">
        <v>42122</v>
      </c>
      <c r="O2707" s="41">
        <v>7126.41</v>
      </c>
      <c r="P2707" s="41">
        <v>7144.8</v>
      </c>
      <c r="Q2707" s="41">
        <v>7125.31</v>
      </c>
      <c r="R2707" s="31">
        <v>7134.43</v>
      </c>
      <c r="S2707" s="29">
        <v>0.13</v>
      </c>
      <c r="T2707" s="29">
        <v>9.31</v>
      </c>
      <c r="U2707" s="41">
        <v>7125.12</v>
      </c>
    </row>
    <row r="2708" spans="1:21">
      <c r="A2708" s="29" t="s">
        <v>138</v>
      </c>
      <c r="B2708" s="32">
        <v>42058</v>
      </c>
      <c r="C2708" s="29">
        <v>82</v>
      </c>
      <c r="D2708" s="35">
        <v>82.900002000000001</v>
      </c>
      <c r="E2708" s="35">
        <v>82</v>
      </c>
      <c r="F2708" s="33">
        <v>82.400002000000001</v>
      </c>
      <c r="G2708" s="29">
        <v>1.23</v>
      </c>
      <c r="H2708" s="29">
        <v>1</v>
      </c>
      <c r="I2708" s="35">
        <v>81.400002000000001</v>
      </c>
      <c r="J2708" s="34">
        <v>15751</v>
      </c>
      <c r="K2708" s="34">
        <v>1296757</v>
      </c>
      <c r="M2708" s="29" t="s">
        <v>128</v>
      </c>
      <c r="N2708" s="30">
        <v>42123</v>
      </c>
      <c r="O2708" s="41">
        <v>7139.41</v>
      </c>
      <c r="P2708" s="41">
        <v>7185.01</v>
      </c>
      <c r="Q2708" s="41">
        <v>7139.41</v>
      </c>
      <c r="R2708" s="31">
        <v>7173.37</v>
      </c>
      <c r="S2708" s="29">
        <v>0.55000000000000004</v>
      </c>
      <c r="T2708" s="29">
        <v>38.94</v>
      </c>
      <c r="U2708" s="41">
        <v>7134.43</v>
      </c>
    </row>
    <row r="2709" spans="1:21">
      <c r="A2709" s="29" t="s">
        <v>138</v>
      </c>
      <c r="B2709" s="32">
        <v>42059</v>
      </c>
      <c r="C2709" s="29">
        <v>82.5</v>
      </c>
      <c r="D2709" s="35">
        <v>83.5</v>
      </c>
      <c r="E2709" s="35">
        <v>82</v>
      </c>
      <c r="F2709" s="33">
        <v>82</v>
      </c>
      <c r="G2709" s="29">
        <v>-0.49</v>
      </c>
      <c r="H2709" s="29">
        <v>-0.4</v>
      </c>
      <c r="I2709" s="35">
        <v>82.400002000000001</v>
      </c>
      <c r="J2709" s="34">
        <v>37781</v>
      </c>
      <c r="K2709" s="34">
        <v>3121039</v>
      </c>
      <c r="M2709" s="29" t="s">
        <v>128</v>
      </c>
      <c r="N2709" s="30">
        <v>42124</v>
      </c>
      <c r="O2709" s="41">
        <v>7180.29</v>
      </c>
      <c r="P2709" s="41">
        <v>7193.88</v>
      </c>
      <c r="Q2709" s="41">
        <v>7172.43</v>
      </c>
      <c r="R2709" s="31">
        <v>7179</v>
      </c>
      <c r="S2709" s="29">
        <v>0.08</v>
      </c>
      <c r="T2709" s="29">
        <v>5.63</v>
      </c>
      <c r="U2709" s="41">
        <v>7173.37</v>
      </c>
    </row>
    <row r="2710" spans="1:21">
      <c r="A2710" s="29" t="s">
        <v>138</v>
      </c>
      <c r="B2710" s="32">
        <v>42060</v>
      </c>
      <c r="C2710" s="29">
        <v>81</v>
      </c>
      <c r="D2710" s="35">
        <v>81.5</v>
      </c>
      <c r="E2710" s="35">
        <v>80.5</v>
      </c>
      <c r="F2710" s="33">
        <v>80.800003000000004</v>
      </c>
      <c r="G2710" s="29">
        <v>-1.83</v>
      </c>
      <c r="H2710" s="29">
        <v>-1.5</v>
      </c>
      <c r="I2710" s="35">
        <v>82</v>
      </c>
      <c r="J2710" s="34">
        <v>18093</v>
      </c>
      <c r="K2710" s="34">
        <v>1463363</v>
      </c>
      <c r="M2710" s="29" t="s">
        <v>128</v>
      </c>
      <c r="N2710" s="30">
        <v>42129</v>
      </c>
      <c r="O2710" s="41">
        <v>7182.39</v>
      </c>
      <c r="P2710" s="41">
        <v>7206.47</v>
      </c>
      <c r="Q2710" s="41">
        <v>7182.07</v>
      </c>
      <c r="R2710" s="31">
        <v>7202.11</v>
      </c>
      <c r="S2710" s="29">
        <v>0.32</v>
      </c>
      <c r="T2710" s="29">
        <v>23.11</v>
      </c>
      <c r="U2710" s="41">
        <v>7179</v>
      </c>
    </row>
    <row r="2711" spans="1:21">
      <c r="A2711" s="29" t="s">
        <v>138</v>
      </c>
      <c r="B2711" s="32">
        <v>42061</v>
      </c>
      <c r="C2711" s="29">
        <v>81.8</v>
      </c>
      <c r="D2711" s="35">
        <v>82</v>
      </c>
      <c r="E2711" s="35">
        <v>80.800003000000004</v>
      </c>
      <c r="F2711" s="33">
        <v>81.900002000000001</v>
      </c>
      <c r="G2711" s="29">
        <v>1.49</v>
      </c>
      <c r="H2711" s="29">
        <v>1.2</v>
      </c>
      <c r="I2711" s="35">
        <v>80.800003000000004</v>
      </c>
      <c r="J2711" s="34">
        <v>32544</v>
      </c>
      <c r="K2711" s="34">
        <v>2665425</v>
      </c>
      <c r="M2711" s="29" t="s">
        <v>128</v>
      </c>
      <c r="N2711" s="30">
        <v>42130</v>
      </c>
      <c r="O2711" s="41">
        <v>7203.53</v>
      </c>
      <c r="P2711" s="41">
        <v>7208.09</v>
      </c>
      <c r="Q2711" s="41">
        <v>7180.55</v>
      </c>
      <c r="R2711" s="31">
        <v>7192.29</v>
      </c>
      <c r="S2711" s="29">
        <v>-0.14000000000000001</v>
      </c>
      <c r="T2711" s="29">
        <v>-9.82</v>
      </c>
      <c r="U2711" s="41">
        <v>7202.11</v>
      </c>
    </row>
    <row r="2712" spans="1:21">
      <c r="A2712" s="29" t="s">
        <v>138</v>
      </c>
      <c r="B2712" s="32">
        <v>42062</v>
      </c>
      <c r="C2712" s="29">
        <v>83</v>
      </c>
      <c r="D2712" s="35">
        <v>83</v>
      </c>
      <c r="E2712" s="35">
        <v>81</v>
      </c>
      <c r="F2712" s="33">
        <v>81.300003000000004</v>
      </c>
      <c r="G2712" s="29">
        <v>-1.1000000000000001</v>
      </c>
      <c r="H2712" s="29">
        <v>-0.9</v>
      </c>
      <c r="I2712" s="35">
        <v>81.900002000000001</v>
      </c>
      <c r="J2712" s="34">
        <v>44212</v>
      </c>
      <c r="K2712" s="34">
        <v>3612782</v>
      </c>
      <c r="M2712" s="29" t="s">
        <v>128</v>
      </c>
      <c r="N2712" s="30">
        <v>42131</v>
      </c>
      <c r="O2712" s="41">
        <v>7191.47</v>
      </c>
      <c r="P2712" s="41">
        <v>7212.9</v>
      </c>
      <c r="Q2712" s="41">
        <v>7186.99</v>
      </c>
      <c r="R2712" s="31">
        <v>7212.9</v>
      </c>
      <c r="S2712" s="29">
        <v>0.28999999999999998</v>
      </c>
      <c r="T2712" s="29">
        <v>20.61</v>
      </c>
      <c r="U2712" s="41">
        <v>7192.29</v>
      </c>
    </row>
    <row r="2713" spans="1:21">
      <c r="A2713" s="29" t="s">
        <v>138</v>
      </c>
      <c r="B2713" s="32">
        <v>42065</v>
      </c>
      <c r="C2713" s="29">
        <v>81</v>
      </c>
      <c r="D2713" s="35">
        <v>81</v>
      </c>
      <c r="E2713" s="35">
        <v>81</v>
      </c>
      <c r="F2713" s="33">
        <v>81</v>
      </c>
      <c r="G2713" s="29">
        <v>-0.37</v>
      </c>
      <c r="H2713" s="29">
        <v>-0.3</v>
      </c>
      <c r="I2713" s="35">
        <v>81.300003000000004</v>
      </c>
      <c r="J2713" s="34">
        <v>8531</v>
      </c>
      <c r="K2713" s="34">
        <v>691011</v>
      </c>
      <c r="M2713" s="29" t="s">
        <v>128</v>
      </c>
      <c r="N2713" s="30">
        <v>42132</v>
      </c>
      <c r="O2713" s="41">
        <v>7214.3</v>
      </c>
      <c r="P2713" s="41">
        <v>7228.8</v>
      </c>
      <c r="Q2713" s="41">
        <v>7212.28</v>
      </c>
      <c r="R2713" s="31">
        <v>7212.47</v>
      </c>
      <c r="S2713" s="29">
        <v>-0.01</v>
      </c>
      <c r="T2713" s="29">
        <v>-0.43</v>
      </c>
      <c r="U2713" s="41">
        <v>7212.9</v>
      </c>
    </row>
    <row r="2714" spans="1:21">
      <c r="A2714" s="29" t="s">
        <v>138</v>
      </c>
      <c r="B2714" s="32">
        <v>42066</v>
      </c>
      <c r="C2714" s="29">
        <v>80.900000000000006</v>
      </c>
      <c r="D2714" s="35">
        <v>81</v>
      </c>
      <c r="E2714" s="35">
        <v>80.5</v>
      </c>
      <c r="F2714" s="33">
        <v>81</v>
      </c>
      <c r="G2714" s="29">
        <v>0</v>
      </c>
      <c r="H2714" s="29">
        <v>0</v>
      </c>
      <c r="I2714" s="35">
        <v>81</v>
      </c>
      <c r="J2714" s="34">
        <v>24534</v>
      </c>
      <c r="K2714" s="34">
        <v>1987044</v>
      </c>
      <c r="M2714" s="29" t="s">
        <v>128</v>
      </c>
      <c r="N2714" s="30">
        <v>42135</v>
      </c>
      <c r="O2714" s="41">
        <v>7218.58</v>
      </c>
      <c r="P2714" s="41">
        <v>7222.48</v>
      </c>
      <c r="Q2714" s="41">
        <v>7209.46</v>
      </c>
      <c r="R2714" s="31">
        <v>7213.63</v>
      </c>
      <c r="S2714" s="29">
        <v>0.02</v>
      </c>
      <c r="T2714" s="29">
        <v>1.1599999999999999</v>
      </c>
      <c r="U2714" s="41">
        <v>7212.47</v>
      </c>
    </row>
    <row r="2715" spans="1:21">
      <c r="A2715" s="29" t="s">
        <v>138</v>
      </c>
      <c r="B2715" s="32">
        <v>42067</v>
      </c>
      <c r="C2715" s="29">
        <v>82</v>
      </c>
      <c r="D2715" s="35">
        <v>82</v>
      </c>
      <c r="E2715" s="35">
        <v>80.699996999999996</v>
      </c>
      <c r="F2715" s="33">
        <v>81</v>
      </c>
      <c r="G2715" s="29">
        <v>0</v>
      </c>
      <c r="H2715" s="29">
        <v>0</v>
      </c>
      <c r="I2715" s="35">
        <v>81</v>
      </c>
      <c r="J2715" s="34">
        <v>82911</v>
      </c>
      <c r="K2715" s="34">
        <v>6764842</v>
      </c>
      <c r="M2715" s="29" t="s">
        <v>128</v>
      </c>
      <c r="N2715" s="30">
        <v>42136</v>
      </c>
      <c r="O2715" s="41">
        <v>7210.58</v>
      </c>
      <c r="P2715" s="41">
        <v>7265.52</v>
      </c>
      <c r="Q2715" s="41">
        <v>7210.58</v>
      </c>
      <c r="R2715" s="31">
        <v>7258.61</v>
      </c>
      <c r="S2715" s="29">
        <v>0.62</v>
      </c>
      <c r="T2715" s="29">
        <v>44.98</v>
      </c>
      <c r="U2715" s="41">
        <v>7213.63</v>
      </c>
    </row>
    <row r="2716" spans="1:21">
      <c r="A2716" s="29" t="s">
        <v>138</v>
      </c>
      <c r="B2716" s="32">
        <v>42069</v>
      </c>
      <c r="C2716" s="29">
        <v>80.7</v>
      </c>
      <c r="D2716" s="35">
        <v>80.7</v>
      </c>
      <c r="E2716" s="35">
        <v>80.599997999999999</v>
      </c>
      <c r="F2716" s="33">
        <v>80.599997999999999</v>
      </c>
      <c r="G2716" s="29">
        <v>-0.49</v>
      </c>
      <c r="H2716" s="29">
        <v>-0.4</v>
      </c>
      <c r="I2716" s="35">
        <v>81</v>
      </c>
      <c r="J2716" s="34">
        <v>5366</v>
      </c>
      <c r="K2716" s="34">
        <v>432569</v>
      </c>
      <c r="M2716" s="29" t="s">
        <v>128</v>
      </c>
      <c r="N2716" s="30">
        <v>42137</v>
      </c>
      <c r="O2716" s="41">
        <v>7262.68</v>
      </c>
      <c r="P2716" s="41">
        <v>7272.41</v>
      </c>
      <c r="Q2716" s="41">
        <v>7243.69</v>
      </c>
      <c r="R2716" s="31">
        <v>7245.05</v>
      </c>
      <c r="S2716" s="29">
        <v>-0.19</v>
      </c>
      <c r="T2716" s="29">
        <v>-13.56</v>
      </c>
      <c r="U2716" s="41">
        <v>7258.61</v>
      </c>
    </row>
    <row r="2717" spans="1:21">
      <c r="A2717" s="29" t="s">
        <v>138</v>
      </c>
      <c r="B2717" s="32">
        <v>42072</v>
      </c>
      <c r="C2717" s="29">
        <v>80.599999999999994</v>
      </c>
      <c r="D2717" s="35">
        <v>80.599999999999994</v>
      </c>
      <c r="E2717" s="35">
        <v>80</v>
      </c>
      <c r="F2717" s="33">
        <v>80</v>
      </c>
      <c r="G2717" s="29">
        <v>-0.74</v>
      </c>
      <c r="H2717" s="29">
        <v>-0.6</v>
      </c>
      <c r="I2717" s="35">
        <v>80.599997999999999</v>
      </c>
      <c r="J2717" s="34">
        <v>24102</v>
      </c>
      <c r="K2717" s="34">
        <v>1938340</v>
      </c>
      <c r="M2717" s="29" t="s">
        <v>128</v>
      </c>
      <c r="N2717" s="30">
        <v>42138</v>
      </c>
      <c r="O2717" s="41">
        <v>7244.15</v>
      </c>
      <c r="P2717" s="41">
        <v>7255.55</v>
      </c>
      <c r="Q2717" s="41">
        <v>7234.86</v>
      </c>
      <c r="R2717" s="31">
        <v>7236.87</v>
      </c>
      <c r="S2717" s="29">
        <v>-0.11</v>
      </c>
      <c r="T2717" s="29">
        <v>-8.18</v>
      </c>
      <c r="U2717" s="41">
        <v>7245.05</v>
      </c>
    </row>
    <row r="2718" spans="1:21">
      <c r="A2718" s="29" t="s">
        <v>138</v>
      </c>
      <c r="B2718" s="32">
        <v>42073</v>
      </c>
      <c r="C2718" s="29">
        <v>80</v>
      </c>
      <c r="D2718" s="35">
        <v>80</v>
      </c>
      <c r="E2718" s="35">
        <v>79.5</v>
      </c>
      <c r="F2718" s="33">
        <v>79.900002000000001</v>
      </c>
      <c r="G2718" s="29">
        <v>0</v>
      </c>
      <c r="H2718" s="29">
        <v>0</v>
      </c>
      <c r="I2718" s="35">
        <v>80</v>
      </c>
      <c r="J2718" s="34">
        <v>6800</v>
      </c>
      <c r="K2718" s="34">
        <v>543911</v>
      </c>
      <c r="M2718" s="29" t="s">
        <v>128</v>
      </c>
      <c r="N2718" s="30">
        <v>42139</v>
      </c>
      <c r="O2718" s="41">
        <v>7240.45</v>
      </c>
      <c r="P2718" s="41">
        <v>7267.1</v>
      </c>
      <c r="Q2718" s="41">
        <v>7240.35</v>
      </c>
      <c r="R2718" s="31">
        <v>7258.67</v>
      </c>
      <c r="S2718" s="29">
        <v>0.3</v>
      </c>
      <c r="T2718" s="29">
        <v>21.8</v>
      </c>
      <c r="U2718" s="41">
        <v>7236.87</v>
      </c>
    </row>
    <row r="2719" spans="1:21">
      <c r="A2719" s="29" t="s">
        <v>138</v>
      </c>
      <c r="B2719" s="32">
        <v>42074</v>
      </c>
      <c r="C2719" s="29">
        <v>79</v>
      </c>
      <c r="D2719" s="35">
        <v>80</v>
      </c>
      <c r="E2719" s="35">
        <v>79</v>
      </c>
      <c r="F2719" s="33">
        <v>79.400002000000001</v>
      </c>
      <c r="G2719" s="29">
        <v>-1.1299999999999999</v>
      </c>
      <c r="H2719" s="29">
        <v>-0.9</v>
      </c>
      <c r="I2719" s="35">
        <v>79.900002000000001</v>
      </c>
      <c r="J2719" s="34">
        <v>12820</v>
      </c>
      <c r="K2719" s="34">
        <v>1020280</v>
      </c>
      <c r="M2719" s="29" t="s">
        <v>128</v>
      </c>
      <c r="N2719" s="30">
        <v>42142</v>
      </c>
      <c r="O2719" s="41">
        <v>7260.84</v>
      </c>
      <c r="P2719" s="41">
        <v>7277.14</v>
      </c>
      <c r="Q2719" s="41">
        <v>7246.53</v>
      </c>
      <c r="R2719" s="31">
        <v>7255.02</v>
      </c>
      <c r="S2719" s="29">
        <v>-0.05</v>
      </c>
      <c r="T2719" s="29">
        <v>-3.65</v>
      </c>
      <c r="U2719" s="41">
        <v>7258.67</v>
      </c>
    </row>
    <row r="2720" spans="1:21">
      <c r="A2720" s="29" t="s">
        <v>138</v>
      </c>
      <c r="B2720" s="32">
        <v>42075</v>
      </c>
      <c r="C2720" s="29">
        <v>79</v>
      </c>
      <c r="D2720" s="35">
        <v>79</v>
      </c>
      <c r="E2720" s="35">
        <v>79</v>
      </c>
      <c r="F2720" s="33">
        <v>79</v>
      </c>
      <c r="G2720" s="29">
        <v>-0.5</v>
      </c>
      <c r="H2720" s="29">
        <v>-0.4</v>
      </c>
      <c r="I2720" s="35">
        <v>79.400002000000001</v>
      </c>
      <c r="J2720" s="34">
        <v>1000</v>
      </c>
      <c r="K2720" s="34">
        <v>79000</v>
      </c>
      <c r="M2720" s="29" t="s">
        <v>128</v>
      </c>
      <c r="N2720" s="30">
        <v>42143</v>
      </c>
      <c r="O2720" s="41">
        <v>7253.37</v>
      </c>
      <c r="P2720" s="41">
        <v>7266.2</v>
      </c>
      <c r="Q2720" s="41">
        <v>7249.31</v>
      </c>
      <c r="R2720" s="31">
        <v>7266.2</v>
      </c>
      <c r="S2720" s="29">
        <v>0.15</v>
      </c>
      <c r="T2720" s="29">
        <v>11.18</v>
      </c>
      <c r="U2720" s="41">
        <v>7255.02</v>
      </c>
    </row>
    <row r="2721" spans="1:21">
      <c r="A2721" s="29" t="s">
        <v>138</v>
      </c>
      <c r="B2721" s="32">
        <v>42076</v>
      </c>
      <c r="C2721" s="29">
        <v>79</v>
      </c>
      <c r="D2721" s="35">
        <v>79</v>
      </c>
      <c r="E2721" s="35">
        <v>76.400002000000001</v>
      </c>
      <c r="F2721" s="33">
        <v>76.400002000000001</v>
      </c>
      <c r="G2721" s="29">
        <v>-3.29</v>
      </c>
      <c r="H2721" s="29">
        <v>-2.6</v>
      </c>
      <c r="I2721" s="35">
        <v>79</v>
      </c>
      <c r="J2721" s="34">
        <v>600</v>
      </c>
      <c r="K2721" s="34">
        <v>46104</v>
      </c>
      <c r="M2721" s="29" t="s">
        <v>128</v>
      </c>
      <c r="N2721" s="30">
        <v>42144</v>
      </c>
      <c r="O2721" s="41">
        <v>7267.81</v>
      </c>
      <c r="P2721" s="41">
        <v>7296.94</v>
      </c>
      <c r="Q2721" s="41">
        <v>7267.1</v>
      </c>
      <c r="R2721" s="31">
        <v>7289.77</v>
      </c>
      <c r="S2721" s="29">
        <v>0.32</v>
      </c>
      <c r="T2721" s="29">
        <v>23.57</v>
      </c>
      <c r="U2721" s="41">
        <v>7266.2</v>
      </c>
    </row>
    <row r="2722" spans="1:21">
      <c r="A2722" s="29" t="s">
        <v>138</v>
      </c>
      <c r="B2722" s="32">
        <v>42080</v>
      </c>
      <c r="C2722" s="29">
        <v>79.900000000000006</v>
      </c>
      <c r="D2722" s="35">
        <v>80</v>
      </c>
      <c r="E2722" s="35">
        <v>77.199996999999996</v>
      </c>
      <c r="F2722" s="33">
        <v>79.900002000000001</v>
      </c>
      <c r="G2722" s="29">
        <v>4.71</v>
      </c>
      <c r="H2722" s="29">
        <v>3.6</v>
      </c>
      <c r="I2722" s="35">
        <v>76.400002000000001</v>
      </c>
      <c r="J2722" s="34">
        <v>8321</v>
      </c>
      <c r="K2722" s="34">
        <v>665116</v>
      </c>
      <c r="M2722" s="29" t="s">
        <v>128</v>
      </c>
      <c r="N2722" s="30">
        <v>42145</v>
      </c>
      <c r="O2722" s="41">
        <v>7292.61</v>
      </c>
      <c r="P2722" s="41">
        <v>7299.87</v>
      </c>
      <c r="Q2722" s="41">
        <v>7273.69</v>
      </c>
      <c r="R2722" s="31">
        <v>7273.69</v>
      </c>
      <c r="S2722" s="29">
        <v>-0.22</v>
      </c>
      <c r="T2722" s="29">
        <v>-16.079999999999998</v>
      </c>
      <c r="U2722" s="41">
        <v>7289.77</v>
      </c>
    </row>
    <row r="2723" spans="1:21">
      <c r="A2723" s="29" t="s">
        <v>138</v>
      </c>
      <c r="B2723" s="32">
        <v>42081</v>
      </c>
      <c r="C2723" s="29">
        <v>78</v>
      </c>
      <c r="D2723" s="35">
        <v>79.800003000000004</v>
      </c>
      <c r="E2723" s="35">
        <v>78</v>
      </c>
      <c r="F2723" s="33">
        <v>79.800003000000004</v>
      </c>
      <c r="G2723" s="29">
        <v>-0.13</v>
      </c>
      <c r="H2723" s="29">
        <v>-0.1</v>
      </c>
      <c r="I2723" s="35">
        <v>79.900002000000001</v>
      </c>
      <c r="J2723" s="34">
        <v>3509</v>
      </c>
      <c r="K2723" s="34">
        <v>280002</v>
      </c>
      <c r="M2723" s="29" t="s">
        <v>128</v>
      </c>
      <c r="N2723" s="30">
        <v>42146</v>
      </c>
      <c r="O2723" s="41">
        <v>7276.04</v>
      </c>
      <c r="P2723" s="41">
        <v>7294.52</v>
      </c>
      <c r="Q2723" s="41">
        <v>7273.57</v>
      </c>
      <c r="R2723" s="31">
        <v>7288.74</v>
      </c>
      <c r="S2723" s="29">
        <v>0.21</v>
      </c>
      <c r="T2723" s="29">
        <v>15.05</v>
      </c>
      <c r="U2723" s="41">
        <v>7273.69</v>
      </c>
    </row>
    <row r="2724" spans="1:21">
      <c r="A2724" s="29" t="s">
        <v>138</v>
      </c>
      <c r="B2724" s="32">
        <v>42082</v>
      </c>
      <c r="C2724" s="29">
        <v>78.5</v>
      </c>
      <c r="D2724" s="35">
        <v>78.5</v>
      </c>
      <c r="E2724" s="35">
        <v>78</v>
      </c>
      <c r="F2724" s="33">
        <v>78.5</v>
      </c>
      <c r="G2724" s="29">
        <v>-2.2599999999999998</v>
      </c>
      <c r="H2724" s="29">
        <v>-1.8</v>
      </c>
      <c r="I2724" s="35">
        <v>79.800003000000004</v>
      </c>
      <c r="J2724" s="34">
        <v>1210</v>
      </c>
      <c r="K2724" s="34">
        <v>94980</v>
      </c>
      <c r="M2724" s="29" t="s">
        <v>128</v>
      </c>
      <c r="N2724" s="30">
        <v>42149</v>
      </c>
      <c r="O2724" s="41">
        <v>7293.96</v>
      </c>
      <c r="P2724" s="41">
        <v>7302.34</v>
      </c>
      <c r="Q2724" s="41">
        <v>7261.25</v>
      </c>
      <c r="R2724" s="31">
        <v>7284.76</v>
      </c>
      <c r="S2724" s="29">
        <v>-0.05</v>
      </c>
      <c r="T2724" s="29">
        <v>-3.98</v>
      </c>
      <c r="U2724" s="41">
        <v>7288.74</v>
      </c>
    </row>
    <row r="2725" spans="1:21">
      <c r="A2725" s="29" t="s">
        <v>138</v>
      </c>
      <c r="B2725" s="32">
        <v>42083</v>
      </c>
      <c r="C2725" s="29">
        <v>78.3</v>
      </c>
      <c r="D2725" s="35">
        <v>78.300003000000004</v>
      </c>
      <c r="E2725" s="35">
        <v>78</v>
      </c>
      <c r="F2725" s="33">
        <v>78</v>
      </c>
      <c r="G2725" s="29">
        <v>-0.64</v>
      </c>
      <c r="H2725" s="29">
        <v>-0.5</v>
      </c>
      <c r="I2725" s="35">
        <v>78.5</v>
      </c>
      <c r="J2725" s="34">
        <v>505</v>
      </c>
      <c r="K2725" s="34">
        <v>39391</v>
      </c>
      <c r="M2725" s="29" t="s">
        <v>128</v>
      </c>
      <c r="N2725" s="30">
        <v>42150</v>
      </c>
      <c r="O2725" s="41">
        <v>7293.59</v>
      </c>
      <c r="P2725" s="41">
        <v>7314.66</v>
      </c>
      <c r="Q2725" s="41">
        <v>7261.78</v>
      </c>
      <c r="R2725" s="31">
        <v>7261.78</v>
      </c>
      <c r="S2725" s="29">
        <v>-0.32</v>
      </c>
      <c r="T2725" s="29">
        <v>-22.98</v>
      </c>
      <c r="U2725" s="41">
        <v>7284.76</v>
      </c>
    </row>
    <row r="2726" spans="1:21">
      <c r="A2726" s="29" t="s">
        <v>138</v>
      </c>
      <c r="B2726" s="32">
        <v>42086</v>
      </c>
      <c r="C2726" s="29">
        <v>78</v>
      </c>
      <c r="D2726" s="35">
        <v>78</v>
      </c>
      <c r="E2726" s="35">
        <v>78</v>
      </c>
      <c r="F2726" s="33">
        <v>78</v>
      </c>
      <c r="G2726" s="29">
        <v>0</v>
      </c>
      <c r="H2726" s="29">
        <v>0</v>
      </c>
      <c r="I2726" s="35">
        <v>78</v>
      </c>
      <c r="J2726" s="34">
        <v>1800</v>
      </c>
      <c r="K2726" s="34">
        <v>140400</v>
      </c>
      <c r="M2726" s="29" t="s">
        <v>128</v>
      </c>
      <c r="N2726" s="30">
        <v>42151</v>
      </c>
      <c r="O2726" s="41">
        <v>7266.11</v>
      </c>
      <c r="P2726" s="41">
        <v>7277.05</v>
      </c>
      <c r="Q2726" s="41">
        <v>7253.5</v>
      </c>
      <c r="R2726" s="31">
        <v>7253.5</v>
      </c>
      <c r="S2726" s="29">
        <v>-0.11</v>
      </c>
      <c r="T2726" s="29">
        <v>-8.2799999999999994</v>
      </c>
      <c r="U2726" s="41">
        <v>7261.78</v>
      </c>
    </row>
    <row r="2727" spans="1:21">
      <c r="A2727" s="29" t="s">
        <v>138</v>
      </c>
      <c r="B2727" s="32">
        <v>42087</v>
      </c>
      <c r="C2727" s="29">
        <v>78</v>
      </c>
      <c r="D2727" s="35">
        <v>78.5</v>
      </c>
      <c r="E2727" s="35">
        <v>75.400002000000001</v>
      </c>
      <c r="F2727" s="33">
        <v>75.599997999999999</v>
      </c>
      <c r="G2727" s="29">
        <v>0</v>
      </c>
      <c r="H2727" s="29">
        <v>0</v>
      </c>
      <c r="I2727" s="35">
        <v>78</v>
      </c>
      <c r="J2727" s="34">
        <v>24609</v>
      </c>
      <c r="K2727" s="34">
        <v>1876044</v>
      </c>
      <c r="M2727" s="29" t="s">
        <v>128</v>
      </c>
      <c r="N2727" s="30">
        <v>42152</v>
      </c>
      <c r="O2727" s="41">
        <v>7255.76</v>
      </c>
      <c r="P2727" s="41">
        <v>7270.55</v>
      </c>
      <c r="Q2727" s="41">
        <v>7253.36</v>
      </c>
      <c r="R2727" s="31">
        <v>7255.71</v>
      </c>
      <c r="S2727" s="29">
        <v>0.03</v>
      </c>
      <c r="T2727" s="29">
        <v>2.21</v>
      </c>
      <c r="U2727" s="41">
        <v>7253.5</v>
      </c>
    </row>
    <row r="2728" spans="1:21">
      <c r="A2728" s="29" t="s">
        <v>138</v>
      </c>
      <c r="B2728" s="32">
        <v>42088</v>
      </c>
      <c r="C2728" s="29">
        <v>77.900000000000006</v>
      </c>
      <c r="D2728" s="35">
        <v>77.900002000000001</v>
      </c>
      <c r="E2728" s="35">
        <v>76</v>
      </c>
      <c r="F2728" s="33">
        <v>76</v>
      </c>
      <c r="G2728" s="29">
        <v>0.53</v>
      </c>
      <c r="H2728" s="29">
        <v>0.4</v>
      </c>
      <c r="I2728" s="35">
        <v>75.599997999999999</v>
      </c>
      <c r="J2728" s="34">
        <v>217</v>
      </c>
      <c r="K2728" s="34">
        <v>16872</v>
      </c>
      <c r="M2728" s="29" t="s">
        <v>128</v>
      </c>
      <c r="N2728" s="30">
        <v>42153</v>
      </c>
      <c r="O2728" s="41">
        <v>7255.88</v>
      </c>
      <c r="P2728" s="41">
        <v>7270.33</v>
      </c>
      <c r="Q2728" s="41">
        <v>7220.29</v>
      </c>
      <c r="R2728" s="31">
        <v>7220.29</v>
      </c>
      <c r="S2728" s="29">
        <v>-0.49</v>
      </c>
      <c r="T2728" s="29">
        <v>-35.42</v>
      </c>
      <c r="U2728" s="41">
        <v>7255.71</v>
      </c>
    </row>
    <row r="2729" spans="1:21">
      <c r="A2729" s="29" t="s">
        <v>138</v>
      </c>
      <c r="B2729" s="32">
        <v>42089</v>
      </c>
      <c r="C2729" s="29">
        <v>76</v>
      </c>
      <c r="D2729" s="35">
        <v>76.900002000000001</v>
      </c>
      <c r="E2729" s="35">
        <v>74</v>
      </c>
      <c r="F2729" s="33">
        <v>74.199996999999996</v>
      </c>
      <c r="G2729" s="29">
        <v>-2.63</v>
      </c>
      <c r="H2729" s="29">
        <v>-2</v>
      </c>
      <c r="I2729" s="35">
        <v>76</v>
      </c>
      <c r="J2729" s="34">
        <v>3834</v>
      </c>
      <c r="K2729" s="34">
        <v>287398</v>
      </c>
      <c r="M2729" s="29" t="s">
        <v>128</v>
      </c>
      <c r="N2729" s="30">
        <v>42156</v>
      </c>
      <c r="O2729" s="41">
        <v>7228.67</v>
      </c>
      <c r="P2729" s="41">
        <v>7231.04</v>
      </c>
      <c r="Q2729" s="41">
        <v>7195.19</v>
      </c>
      <c r="R2729" s="31">
        <v>7195.19</v>
      </c>
      <c r="S2729" s="29">
        <v>-0.35</v>
      </c>
      <c r="T2729" s="29">
        <v>-25.1</v>
      </c>
      <c r="U2729" s="41">
        <v>7220.29</v>
      </c>
    </row>
    <row r="2730" spans="1:21">
      <c r="A2730" s="29" t="s">
        <v>138</v>
      </c>
      <c r="B2730" s="32">
        <v>42090</v>
      </c>
      <c r="C2730" s="29">
        <v>75</v>
      </c>
      <c r="D2730" s="35">
        <v>75.5</v>
      </c>
      <c r="E2730" s="35">
        <v>75</v>
      </c>
      <c r="F2730" s="33">
        <v>75.099997999999999</v>
      </c>
      <c r="G2730" s="29">
        <v>1.08</v>
      </c>
      <c r="H2730" s="29">
        <v>0.8</v>
      </c>
      <c r="I2730" s="35">
        <v>74.199996999999996</v>
      </c>
      <c r="J2730" s="34">
        <v>24448</v>
      </c>
      <c r="K2730" s="34">
        <v>1836100</v>
      </c>
      <c r="M2730" s="29" t="s">
        <v>128</v>
      </c>
      <c r="N2730" s="30">
        <v>42158</v>
      </c>
      <c r="O2730" s="41">
        <v>7196.22</v>
      </c>
      <c r="P2730" s="41">
        <v>7199.81</v>
      </c>
      <c r="Q2730" s="41">
        <v>7133.57</v>
      </c>
      <c r="R2730" s="31">
        <v>7149.46</v>
      </c>
      <c r="S2730" s="29">
        <v>-0.64</v>
      </c>
      <c r="T2730" s="29">
        <v>-45.73</v>
      </c>
      <c r="U2730" s="41">
        <v>7195.19</v>
      </c>
    </row>
    <row r="2731" spans="1:21">
      <c r="A2731" s="29" t="s">
        <v>138</v>
      </c>
      <c r="B2731" s="32">
        <v>42093</v>
      </c>
      <c r="C2731" s="29">
        <v>76.400000000000006</v>
      </c>
      <c r="D2731" s="35">
        <v>76.400002000000001</v>
      </c>
      <c r="E2731" s="35">
        <v>75</v>
      </c>
      <c r="F2731" s="33">
        <v>75</v>
      </c>
      <c r="G2731" s="29">
        <v>-0.13</v>
      </c>
      <c r="H2731" s="29">
        <v>-0.1</v>
      </c>
      <c r="I2731" s="35">
        <v>75.099997999999999</v>
      </c>
      <c r="J2731" s="34">
        <v>500</v>
      </c>
      <c r="K2731" s="34">
        <v>37660</v>
      </c>
      <c r="M2731" s="29" t="s">
        <v>128</v>
      </c>
      <c r="N2731" s="30">
        <v>42159</v>
      </c>
      <c r="O2731" s="41">
        <v>7147.85</v>
      </c>
      <c r="P2731" s="41">
        <v>7158.94</v>
      </c>
      <c r="Q2731" s="41">
        <v>7120.91</v>
      </c>
      <c r="R2731" s="31">
        <v>7120.91</v>
      </c>
      <c r="S2731" s="29">
        <v>-0.4</v>
      </c>
      <c r="T2731" s="29">
        <v>-28.55</v>
      </c>
      <c r="U2731" s="41">
        <v>7149.46</v>
      </c>
    </row>
    <row r="2732" spans="1:21">
      <c r="A2732" s="29" t="s">
        <v>138</v>
      </c>
      <c r="B2732" s="32">
        <v>42094</v>
      </c>
      <c r="C2732" s="29">
        <v>75.3</v>
      </c>
      <c r="D2732" s="35">
        <v>76.5</v>
      </c>
      <c r="E2732" s="35">
        <v>75.3</v>
      </c>
      <c r="F2732" s="33">
        <v>76</v>
      </c>
      <c r="G2732" s="29">
        <v>1.33</v>
      </c>
      <c r="H2732" s="29">
        <v>1</v>
      </c>
      <c r="I2732" s="35">
        <v>75</v>
      </c>
      <c r="J2732" s="34">
        <v>6060</v>
      </c>
      <c r="K2732" s="34">
        <v>459562</v>
      </c>
      <c r="M2732" s="29" t="s">
        <v>128</v>
      </c>
      <c r="N2732" s="30">
        <v>42160</v>
      </c>
      <c r="O2732" s="41">
        <v>7129.68</v>
      </c>
      <c r="P2732" s="41">
        <v>7156.8</v>
      </c>
      <c r="Q2732" s="41">
        <v>7122.73</v>
      </c>
      <c r="R2732" s="31">
        <v>7122.73</v>
      </c>
      <c r="S2732" s="29">
        <v>0.03</v>
      </c>
      <c r="T2732" s="29">
        <v>1.82</v>
      </c>
      <c r="U2732" s="41">
        <v>7120.91</v>
      </c>
    </row>
    <row r="2733" spans="1:21">
      <c r="B2733" s="32"/>
      <c r="M2733" s="29" t="s">
        <v>128</v>
      </c>
      <c r="N2733" s="30">
        <v>42163</v>
      </c>
      <c r="O2733" s="41">
        <v>7122.62</v>
      </c>
      <c r="P2733" s="41">
        <v>7135.13</v>
      </c>
      <c r="Q2733" s="41">
        <v>7078.66</v>
      </c>
      <c r="R2733" s="31">
        <v>7078.66</v>
      </c>
      <c r="S2733" s="29">
        <v>-0.62</v>
      </c>
      <c r="T2733" s="29">
        <v>-44.07</v>
      </c>
      <c r="U2733" s="41">
        <v>7122.73</v>
      </c>
    </row>
    <row r="2734" spans="1:21" ht="13.2">
      <c r="B2734" s="32"/>
      <c r="F2734" s="39" t="s">
        <v>108</v>
      </c>
      <c r="J2734" s="39" t="s">
        <v>125</v>
      </c>
      <c r="M2734" s="29" t="s">
        <v>128</v>
      </c>
      <c r="N2734" s="30">
        <v>42164</v>
      </c>
      <c r="O2734" s="41">
        <v>7077.55</v>
      </c>
      <c r="P2734" s="41">
        <v>7090.26</v>
      </c>
      <c r="Q2734" s="41">
        <v>7067.11</v>
      </c>
      <c r="R2734" s="31">
        <v>7067.11</v>
      </c>
      <c r="S2734" s="29">
        <v>-0.16</v>
      </c>
      <c r="T2734" s="29">
        <v>-11.55</v>
      </c>
      <c r="U2734" s="41">
        <v>7078.66</v>
      </c>
    </row>
    <row r="2735" spans="1:21">
      <c r="A2735" s="29" t="s">
        <v>138</v>
      </c>
      <c r="B2735" s="32">
        <v>42095</v>
      </c>
      <c r="C2735" s="29">
        <v>76.5</v>
      </c>
      <c r="D2735" s="35">
        <v>77</v>
      </c>
      <c r="E2735" s="35">
        <v>76.5</v>
      </c>
      <c r="F2735" s="33">
        <v>76.800003000000004</v>
      </c>
      <c r="G2735" s="29">
        <v>1.32</v>
      </c>
      <c r="H2735" s="29">
        <v>1</v>
      </c>
      <c r="I2735" s="35">
        <v>76</v>
      </c>
      <c r="J2735" s="34">
        <v>1298</v>
      </c>
      <c r="K2735" s="34">
        <v>99647</v>
      </c>
      <c r="M2735" s="29" t="s">
        <v>128</v>
      </c>
      <c r="N2735" s="30">
        <v>42165</v>
      </c>
      <c r="O2735" s="41">
        <v>7066.53</v>
      </c>
      <c r="P2735" s="41">
        <v>7077.06</v>
      </c>
      <c r="Q2735" s="41">
        <v>7052.98</v>
      </c>
      <c r="R2735" s="31">
        <v>7063.45</v>
      </c>
      <c r="S2735" s="29">
        <v>-0.05</v>
      </c>
      <c r="T2735" s="29">
        <v>-3.66</v>
      </c>
      <c r="U2735" s="41">
        <v>7067.11</v>
      </c>
    </row>
    <row r="2736" spans="1:21">
      <c r="A2736" s="29" t="s">
        <v>138</v>
      </c>
      <c r="B2736" s="32">
        <v>42096</v>
      </c>
      <c r="C2736" s="29">
        <v>77</v>
      </c>
      <c r="D2736" s="35">
        <v>78.400002000000001</v>
      </c>
      <c r="E2736" s="35">
        <v>76.800003000000004</v>
      </c>
      <c r="F2736" s="33">
        <v>76.800003000000004</v>
      </c>
      <c r="G2736" s="29">
        <v>0</v>
      </c>
      <c r="H2736" s="29">
        <v>0</v>
      </c>
      <c r="I2736" s="35">
        <v>76.800003000000004</v>
      </c>
      <c r="J2736" s="34">
        <v>1500</v>
      </c>
      <c r="K2736" s="34">
        <v>116040</v>
      </c>
      <c r="M2736" s="29" t="s">
        <v>128</v>
      </c>
      <c r="N2736" s="30">
        <v>42166</v>
      </c>
      <c r="O2736" s="41">
        <v>7063.34</v>
      </c>
      <c r="P2736" s="41">
        <v>7080.73</v>
      </c>
      <c r="Q2736" s="41">
        <v>7051.52</v>
      </c>
      <c r="R2736" s="31">
        <v>7051.52</v>
      </c>
      <c r="S2736" s="29">
        <v>-0.17</v>
      </c>
      <c r="T2736" s="29">
        <v>-11.93</v>
      </c>
      <c r="U2736" s="41">
        <v>7063.45</v>
      </c>
    </row>
    <row r="2737" spans="1:21">
      <c r="A2737" s="29" t="s">
        <v>138</v>
      </c>
      <c r="B2737" s="32">
        <v>42100</v>
      </c>
      <c r="C2737" s="29">
        <v>76</v>
      </c>
      <c r="D2737" s="35">
        <v>76</v>
      </c>
      <c r="E2737" s="35">
        <v>75.5</v>
      </c>
      <c r="F2737" s="33">
        <v>75.699996999999996</v>
      </c>
      <c r="G2737" s="29">
        <v>-1.69</v>
      </c>
      <c r="H2737" s="29">
        <v>-1.3</v>
      </c>
      <c r="I2737" s="35">
        <v>76.800003000000004</v>
      </c>
      <c r="J2737" s="34">
        <v>15000</v>
      </c>
      <c r="K2737" s="34">
        <v>1135000</v>
      </c>
      <c r="M2737" s="29" t="s">
        <v>128</v>
      </c>
      <c r="N2737" s="30">
        <v>42167</v>
      </c>
      <c r="O2737" s="41">
        <v>7054.2</v>
      </c>
      <c r="P2737" s="41">
        <v>7065.09</v>
      </c>
      <c r="Q2737" s="41">
        <v>7040.08</v>
      </c>
      <c r="R2737" s="31">
        <v>7061.28</v>
      </c>
      <c r="S2737" s="29">
        <v>0.14000000000000001</v>
      </c>
      <c r="T2737" s="29">
        <v>9.76</v>
      </c>
      <c r="U2737" s="41">
        <v>7051.52</v>
      </c>
    </row>
    <row r="2738" spans="1:21">
      <c r="A2738" s="29" t="s">
        <v>138</v>
      </c>
      <c r="B2738" s="32">
        <v>42102</v>
      </c>
      <c r="C2738" s="29">
        <v>78</v>
      </c>
      <c r="D2738" s="35">
        <v>78</v>
      </c>
      <c r="E2738" s="35">
        <v>78</v>
      </c>
      <c r="F2738" s="33">
        <v>78</v>
      </c>
      <c r="G2738" s="29">
        <v>3.04</v>
      </c>
      <c r="H2738" s="29">
        <v>2.2999999999999998</v>
      </c>
      <c r="I2738" s="35">
        <v>75.699996999999996</v>
      </c>
      <c r="J2738" s="34">
        <v>100</v>
      </c>
      <c r="K2738" s="34">
        <v>7800</v>
      </c>
      <c r="M2738" s="29" t="s">
        <v>128</v>
      </c>
      <c r="N2738" s="30">
        <v>42170</v>
      </c>
      <c r="O2738" s="41">
        <v>7071.76</v>
      </c>
      <c r="P2738" s="41">
        <v>7086.84</v>
      </c>
      <c r="Q2738" s="41">
        <v>7071.76</v>
      </c>
      <c r="R2738" s="31">
        <v>7078.97</v>
      </c>
      <c r="S2738" s="29">
        <v>0.25</v>
      </c>
      <c r="T2738" s="29">
        <v>17.690000000000001</v>
      </c>
      <c r="U2738" s="41">
        <v>7061.28</v>
      </c>
    </row>
    <row r="2739" spans="1:21">
      <c r="A2739" s="29" t="s">
        <v>138</v>
      </c>
      <c r="B2739" s="32">
        <v>42103</v>
      </c>
      <c r="C2739" s="29">
        <v>75.5</v>
      </c>
      <c r="D2739" s="35">
        <v>78</v>
      </c>
      <c r="E2739" s="35">
        <v>75.300003000000004</v>
      </c>
      <c r="F2739" s="33">
        <v>77.900002000000001</v>
      </c>
      <c r="G2739" s="29">
        <v>0</v>
      </c>
      <c r="H2739" s="29">
        <v>0</v>
      </c>
      <c r="I2739" s="35">
        <v>78</v>
      </c>
      <c r="J2739" s="34">
        <v>1900</v>
      </c>
      <c r="K2739" s="34">
        <v>144390</v>
      </c>
      <c r="M2739" s="29" t="s">
        <v>128</v>
      </c>
      <c r="N2739" s="30">
        <v>42171</v>
      </c>
      <c r="O2739" s="41">
        <v>7081.07</v>
      </c>
      <c r="P2739" s="41">
        <v>7088.22</v>
      </c>
      <c r="Q2739" s="41">
        <v>7042.87</v>
      </c>
      <c r="R2739" s="31">
        <v>7044.6</v>
      </c>
      <c r="S2739" s="29">
        <v>-0.49</v>
      </c>
      <c r="T2739" s="29">
        <v>-34.369999999999997</v>
      </c>
      <c r="U2739" s="41">
        <v>7078.97</v>
      </c>
    </row>
    <row r="2740" spans="1:21">
      <c r="A2740" s="29" t="s">
        <v>138</v>
      </c>
      <c r="B2740" s="32">
        <v>42104</v>
      </c>
      <c r="C2740" s="29">
        <v>76.5</v>
      </c>
      <c r="D2740" s="35">
        <v>78</v>
      </c>
      <c r="E2740" s="35">
        <v>76.5</v>
      </c>
      <c r="F2740" s="33">
        <v>78</v>
      </c>
      <c r="G2740" s="29">
        <v>0.13</v>
      </c>
      <c r="H2740" s="29">
        <v>0.1</v>
      </c>
      <c r="I2740" s="35">
        <v>77.900002000000001</v>
      </c>
      <c r="J2740" s="34">
        <v>10072</v>
      </c>
      <c r="K2740" s="34">
        <v>785508</v>
      </c>
      <c r="M2740" s="29" t="s">
        <v>128</v>
      </c>
      <c r="N2740" s="30">
        <v>42172</v>
      </c>
      <c r="O2740" s="41">
        <v>7045.36</v>
      </c>
      <c r="P2740" s="41">
        <v>7069.41</v>
      </c>
      <c r="Q2740" s="41">
        <v>7035.81</v>
      </c>
      <c r="R2740" s="31">
        <v>7049.71</v>
      </c>
      <c r="S2740" s="29">
        <v>7.0000000000000007E-2</v>
      </c>
      <c r="T2740" s="29">
        <v>5.1100000000000003</v>
      </c>
      <c r="U2740" s="41">
        <v>7044.6</v>
      </c>
    </row>
    <row r="2741" spans="1:21">
      <c r="A2741" s="29" t="s">
        <v>138</v>
      </c>
      <c r="B2741" s="32">
        <v>42109</v>
      </c>
      <c r="C2741" s="29">
        <v>78</v>
      </c>
      <c r="D2741" s="35">
        <v>78</v>
      </c>
      <c r="E2741" s="35">
        <v>78</v>
      </c>
      <c r="F2741" s="33">
        <v>78</v>
      </c>
      <c r="G2741" s="29">
        <v>0</v>
      </c>
      <c r="H2741" s="29">
        <v>0</v>
      </c>
      <c r="I2741" s="35">
        <v>78</v>
      </c>
      <c r="J2741" s="34">
        <v>100</v>
      </c>
      <c r="K2741" s="34">
        <v>7800</v>
      </c>
      <c r="M2741" s="29" t="s">
        <v>128</v>
      </c>
      <c r="N2741" s="30">
        <v>42173</v>
      </c>
      <c r="O2741" s="41">
        <v>7051.47</v>
      </c>
      <c r="P2741" s="41">
        <v>7065.93</v>
      </c>
      <c r="Q2741" s="41">
        <v>7048.18</v>
      </c>
      <c r="R2741" s="31">
        <v>7064.15</v>
      </c>
      <c r="S2741" s="29">
        <v>0.2</v>
      </c>
      <c r="T2741" s="29">
        <v>14.44</v>
      </c>
      <c r="U2741" s="41">
        <v>7049.71</v>
      </c>
    </row>
    <row r="2742" spans="1:21">
      <c r="A2742" s="29" t="s">
        <v>138</v>
      </c>
      <c r="B2742" s="32">
        <v>42110</v>
      </c>
      <c r="C2742" s="29">
        <v>80</v>
      </c>
      <c r="D2742" s="35">
        <v>83</v>
      </c>
      <c r="E2742" s="35">
        <v>80</v>
      </c>
      <c r="F2742" s="33">
        <v>81.5</v>
      </c>
      <c r="G2742" s="29">
        <v>6.41</v>
      </c>
      <c r="H2742" s="29">
        <v>5</v>
      </c>
      <c r="I2742" s="35">
        <v>78</v>
      </c>
      <c r="J2742" s="34">
        <v>28000</v>
      </c>
      <c r="K2742" s="34">
        <v>2282900</v>
      </c>
      <c r="M2742" s="29" t="s">
        <v>128</v>
      </c>
      <c r="N2742" s="30">
        <v>42174</v>
      </c>
      <c r="O2742" s="41">
        <v>7065.94</v>
      </c>
      <c r="P2742" s="41">
        <v>7068.65</v>
      </c>
      <c r="Q2742" s="41">
        <v>7032.85</v>
      </c>
      <c r="R2742" s="31">
        <v>7035.15</v>
      </c>
      <c r="S2742" s="29">
        <v>-0.41</v>
      </c>
      <c r="T2742" s="29">
        <v>-29</v>
      </c>
      <c r="U2742" s="41">
        <v>7064.15</v>
      </c>
    </row>
    <row r="2743" spans="1:21">
      <c r="A2743" s="29" t="s">
        <v>138</v>
      </c>
      <c r="B2743" s="32">
        <v>42111</v>
      </c>
      <c r="C2743" s="29">
        <v>81</v>
      </c>
      <c r="D2743" s="35">
        <v>81</v>
      </c>
      <c r="E2743" s="35">
        <v>80</v>
      </c>
      <c r="F2743" s="33">
        <v>80.5</v>
      </c>
      <c r="G2743" s="29">
        <v>-1.84</v>
      </c>
      <c r="H2743" s="29">
        <v>-1.5</v>
      </c>
      <c r="I2743" s="35">
        <v>81.5</v>
      </c>
      <c r="J2743" s="34">
        <v>212</v>
      </c>
      <c r="K2743" s="34">
        <v>17060</v>
      </c>
      <c r="M2743" s="29" t="s">
        <v>128</v>
      </c>
      <c r="N2743" s="30">
        <v>42177</v>
      </c>
      <c r="O2743" s="41">
        <v>7037.04</v>
      </c>
      <c r="P2743" s="41">
        <v>7052.47</v>
      </c>
      <c r="Q2743" s="41">
        <v>7026.65</v>
      </c>
      <c r="R2743" s="31">
        <v>7039.65</v>
      </c>
      <c r="S2743" s="29">
        <v>0.06</v>
      </c>
      <c r="T2743" s="29">
        <v>4.5</v>
      </c>
      <c r="U2743" s="41">
        <v>7035.15</v>
      </c>
    </row>
    <row r="2744" spans="1:21">
      <c r="A2744" s="29" t="s">
        <v>138</v>
      </c>
      <c r="B2744" s="32">
        <v>42114</v>
      </c>
      <c r="C2744" s="29">
        <v>78</v>
      </c>
      <c r="D2744" s="35">
        <v>80.5</v>
      </c>
      <c r="E2744" s="35">
        <v>78</v>
      </c>
      <c r="F2744" s="33">
        <v>78.5</v>
      </c>
      <c r="G2744" s="29">
        <v>0</v>
      </c>
      <c r="H2744" s="29">
        <v>0</v>
      </c>
      <c r="I2744" s="35">
        <v>80.5</v>
      </c>
      <c r="J2744" s="34">
        <v>3210</v>
      </c>
      <c r="K2744" s="34">
        <v>251893</v>
      </c>
      <c r="M2744" s="29" t="s">
        <v>128</v>
      </c>
      <c r="N2744" s="30">
        <v>42178</v>
      </c>
      <c r="O2744" s="41">
        <v>7040.76</v>
      </c>
      <c r="P2744" s="41">
        <v>7066.89</v>
      </c>
      <c r="Q2744" s="41">
        <v>7040.68</v>
      </c>
      <c r="R2744" s="31">
        <v>7053.96</v>
      </c>
      <c r="S2744" s="29">
        <v>0.2</v>
      </c>
      <c r="T2744" s="29">
        <v>14.31</v>
      </c>
      <c r="U2744" s="41">
        <v>7039.65</v>
      </c>
    </row>
    <row r="2745" spans="1:21">
      <c r="A2745" s="29" t="s">
        <v>138</v>
      </c>
      <c r="B2745" s="32">
        <v>42115</v>
      </c>
      <c r="C2745" s="29">
        <v>80</v>
      </c>
      <c r="D2745" s="35">
        <v>80</v>
      </c>
      <c r="E2745" s="35">
        <v>79.900002000000001</v>
      </c>
      <c r="F2745" s="33">
        <v>80</v>
      </c>
      <c r="G2745" s="29">
        <v>1.78</v>
      </c>
      <c r="H2745" s="29">
        <v>1.4</v>
      </c>
      <c r="I2745" s="35">
        <v>78.5</v>
      </c>
      <c r="J2745" s="34">
        <v>12</v>
      </c>
      <c r="K2745" s="34">
        <v>959</v>
      </c>
      <c r="M2745" s="29" t="s">
        <v>128</v>
      </c>
      <c r="N2745" s="30">
        <v>42179</v>
      </c>
      <c r="O2745" s="41">
        <v>7054.59</v>
      </c>
      <c r="P2745" s="41">
        <v>7072.85</v>
      </c>
      <c r="Q2745" s="41">
        <v>7045.56</v>
      </c>
      <c r="R2745" s="31">
        <v>7053.83</v>
      </c>
      <c r="S2745" s="29">
        <v>0</v>
      </c>
      <c r="T2745" s="29">
        <v>-0.13</v>
      </c>
      <c r="U2745" s="41">
        <v>7053.96</v>
      </c>
    </row>
    <row r="2746" spans="1:21">
      <c r="A2746" s="29" t="s">
        <v>138</v>
      </c>
      <c r="B2746" s="32">
        <v>42116</v>
      </c>
      <c r="C2746" s="29">
        <v>79.900000000000006</v>
      </c>
      <c r="D2746" s="35">
        <v>79.900002000000001</v>
      </c>
      <c r="E2746" s="35">
        <v>79.900000000000006</v>
      </c>
      <c r="F2746" s="33">
        <v>79.900002000000001</v>
      </c>
      <c r="G2746" s="29">
        <v>-0.12</v>
      </c>
      <c r="H2746" s="29">
        <v>-0.1</v>
      </c>
      <c r="I2746" s="35">
        <v>80</v>
      </c>
      <c r="J2746" s="34">
        <v>10</v>
      </c>
      <c r="K2746" s="34">
        <v>799</v>
      </c>
      <c r="M2746" s="29" t="s">
        <v>128</v>
      </c>
      <c r="N2746" s="30">
        <v>42180</v>
      </c>
      <c r="O2746" s="41">
        <v>7054.78</v>
      </c>
      <c r="P2746" s="41">
        <v>7058.02</v>
      </c>
      <c r="Q2746" s="41">
        <v>7031.33</v>
      </c>
      <c r="R2746" s="31">
        <v>7031.33</v>
      </c>
      <c r="S2746" s="29">
        <v>-0.32</v>
      </c>
      <c r="T2746" s="29">
        <v>-22.5</v>
      </c>
      <c r="U2746" s="41">
        <v>7053.83</v>
      </c>
    </row>
    <row r="2747" spans="1:21">
      <c r="A2747" s="29" t="s">
        <v>138</v>
      </c>
      <c r="B2747" s="32">
        <v>42117</v>
      </c>
      <c r="C2747" s="29">
        <v>78.099999999999994</v>
      </c>
      <c r="D2747" s="35">
        <v>78.300003000000004</v>
      </c>
      <c r="E2747" s="35">
        <v>78.099997999999999</v>
      </c>
      <c r="F2747" s="33">
        <v>78.199996999999996</v>
      </c>
      <c r="G2747" s="29">
        <v>-2.13</v>
      </c>
      <c r="H2747" s="29">
        <v>-1.7</v>
      </c>
      <c r="I2747" s="35">
        <v>79.900002000000001</v>
      </c>
      <c r="J2747" s="34">
        <v>2780</v>
      </c>
      <c r="K2747" s="34">
        <v>217138</v>
      </c>
      <c r="M2747" s="29" t="s">
        <v>128</v>
      </c>
      <c r="N2747" s="30">
        <v>42181</v>
      </c>
      <c r="O2747" s="41">
        <v>7031.05</v>
      </c>
      <c r="P2747" s="41">
        <v>7035.31</v>
      </c>
      <c r="Q2747" s="41">
        <v>7015.87</v>
      </c>
      <c r="R2747" s="31">
        <v>7016.2</v>
      </c>
      <c r="S2747" s="29">
        <v>-0.22</v>
      </c>
      <c r="T2747" s="29">
        <v>-15.13</v>
      </c>
      <c r="U2747" s="41">
        <v>7031.33</v>
      </c>
    </row>
    <row r="2748" spans="1:21">
      <c r="A2748" s="29" t="s">
        <v>138</v>
      </c>
      <c r="B2748" s="32">
        <v>42118</v>
      </c>
      <c r="C2748" s="29">
        <v>78.2</v>
      </c>
      <c r="D2748" s="35">
        <v>80</v>
      </c>
      <c r="E2748" s="35">
        <v>78.099997999999999</v>
      </c>
      <c r="F2748" s="33">
        <v>80</v>
      </c>
      <c r="G2748" s="29">
        <v>2.2999999999999998</v>
      </c>
      <c r="H2748" s="29">
        <v>1.8</v>
      </c>
      <c r="I2748" s="35">
        <v>78.199996999999996</v>
      </c>
      <c r="J2748" s="34">
        <v>6124</v>
      </c>
      <c r="K2748" s="34">
        <v>483722</v>
      </c>
      <c r="M2748" s="29" t="s">
        <v>128</v>
      </c>
      <c r="N2748" s="30">
        <v>42184</v>
      </c>
      <c r="O2748" s="41">
        <v>7024.06</v>
      </c>
      <c r="P2748" s="41">
        <v>7043.2</v>
      </c>
      <c r="Q2748" s="41">
        <v>7024.06</v>
      </c>
      <c r="R2748" s="31">
        <v>7032.15</v>
      </c>
      <c r="S2748" s="29">
        <v>0.23</v>
      </c>
      <c r="T2748" s="29">
        <v>15.95</v>
      </c>
      <c r="U2748" s="41">
        <v>7016.2</v>
      </c>
    </row>
    <row r="2749" spans="1:21">
      <c r="A2749" s="29" t="s">
        <v>138</v>
      </c>
      <c r="B2749" s="32">
        <v>42121</v>
      </c>
      <c r="C2749" s="29">
        <v>80</v>
      </c>
      <c r="D2749" s="35">
        <v>80.900002000000001</v>
      </c>
      <c r="E2749" s="35">
        <v>80</v>
      </c>
      <c r="F2749" s="33">
        <v>80.900002000000001</v>
      </c>
      <c r="G2749" s="29">
        <v>1.1299999999999999</v>
      </c>
      <c r="H2749" s="29">
        <v>0.9</v>
      </c>
      <c r="I2749" s="35">
        <v>80</v>
      </c>
      <c r="J2749" s="34">
        <v>1347</v>
      </c>
      <c r="K2749" s="34">
        <v>107847</v>
      </c>
      <c r="M2749" s="29" t="s">
        <v>128</v>
      </c>
      <c r="N2749" s="30">
        <v>42185</v>
      </c>
      <c r="O2749" s="41">
        <v>7032.95</v>
      </c>
      <c r="P2749" s="41">
        <v>7035.01</v>
      </c>
      <c r="Q2749" s="41">
        <v>7012.12</v>
      </c>
      <c r="R2749" s="31">
        <v>7020.8</v>
      </c>
      <c r="S2749" s="29">
        <v>-0.16</v>
      </c>
      <c r="T2749" s="29">
        <v>-11.35</v>
      </c>
      <c r="U2749" s="41">
        <v>7032.15</v>
      </c>
    </row>
    <row r="2750" spans="1:21">
      <c r="A2750" s="29" t="s">
        <v>138</v>
      </c>
      <c r="B2750" s="32">
        <v>42122</v>
      </c>
      <c r="C2750" s="29">
        <v>81</v>
      </c>
      <c r="D2750" s="35">
        <v>81</v>
      </c>
      <c r="E2750" s="35">
        <v>80</v>
      </c>
      <c r="F2750" s="33">
        <v>80.199996999999996</v>
      </c>
      <c r="G2750" s="29">
        <v>-1.1100000000000001</v>
      </c>
      <c r="H2750" s="29">
        <v>-0.9</v>
      </c>
      <c r="I2750" s="35">
        <v>80.900002000000001</v>
      </c>
      <c r="J2750" s="34">
        <v>30090</v>
      </c>
      <c r="K2750" s="34">
        <v>2423909</v>
      </c>
      <c r="M2750" s="29" t="s">
        <v>128</v>
      </c>
      <c r="N2750" s="30">
        <v>42187</v>
      </c>
      <c r="O2750" s="41">
        <v>7018.27</v>
      </c>
      <c r="P2750" s="41">
        <v>7020.86</v>
      </c>
      <c r="Q2750" s="41">
        <v>6982.8</v>
      </c>
      <c r="R2750" s="31">
        <v>6982.8</v>
      </c>
      <c r="S2750" s="29">
        <v>-0.54</v>
      </c>
      <c r="T2750" s="29">
        <v>-38</v>
      </c>
      <c r="U2750" s="41">
        <v>7020.8</v>
      </c>
    </row>
    <row r="2751" spans="1:21">
      <c r="A2751" s="29" t="s">
        <v>138</v>
      </c>
      <c r="B2751" s="32">
        <v>42123</v>
      </c>
      <c r="C2751" s="29">
        <v>80</v>
      </c>
      <c r="D2751" s="35">
        <v>84</v>
      </c>
      <c r="E2751" s="35">
        <v>80</v>
      </c>
      <c r="F2751" s="33">
        <v>83.300003000000004</v>
      </c>
      <c r="G2751" s="29">
        <v>4.74</v>
      </c>
      <c r="H2751" s="29">
        <v>3.8</v>
      </c>
      <c r="I2751" s="35">
        <v>80.199996999999996</v>
      </c>
      <c r="J2751" s="34">
        <v>650157</v>
      </c>
      <c r="K2751" s="34">
        <v>52742232</v>
      </c>
      <c r="M2751" s="29" t="s">
        <v>128</v>
      </c>
      <c r="N2751" s="30">
        <v>42188</v>
      </c>
      <c r="O2751" s="41">
        <v>6982.96</v>
      </c>
      <c r="P2751" s="41">
        <v>7016.57</v>
      </c>
      <c r="Q2751" s="41">
        <v>6982.72</v>
      </c>
      <c r="R2751" s="31">
        <v>7007.05</v>
      </c>
      <c r="S2751" s="29">
        <v>0.35</v>
      </c>
      <c r="T2751" s="29">
        <v>24.25</v>
      </c>
      <c r="U2751" s="41">
        <v>6982.8</v>
      </c>
    </row>
    <row r="2752" spans="1:21">
      <c r="A2752" s="29" t="s">
        <v>138</v>
      </c>
      <c r="B2752" s="32">
        <v>42124</v>
      </c>
      <c r="C2752" s="29">
        <v>84</v>
      </c>
      <c r="D2752" s="35">
        <v>86.5</v>
      </c>
      <c r="E2752" s="35">
        <v>83.099997999999999</v>
      </c>
      <c r="F2752" s="33">
        <v>86</v>
      </c>
      <c r="G2752" s="29">
        <v>3.84</v>
      </c>
      <c r="H2752" s="29">
        <v>3.2</v>
      </c>
      <c r="I2752" s="35">
        <v>83.300003000000004</v>
      </c>
      <c r="J2752" s="34">
        <v>474005</v>
      </c>
      <c r="K2752" s="34">
        <v>40400892</v>
      </c>
      <c r="M2752" s="29" t="s">
        <v>128</v>
      </c>
      <c r="N2752" s="30">
        <v>42191</v>
      </c>
      <c r="O2752" s="41">
        <v>7010.51</v>
      </c>
      <c r="P2752" s="41">
        <v>7024.67</v>
      </c>
      <c r="Q2752" s="41">
        <v>6989.31</v>
      </c>
      <c r="R2752" s="31">
        <v>6989.41</v>
      </c>
      <c r="S2752" s="29">
        <v>-0.25</v>
      </c>
      <c r="T2752" s="29">
        <v>-17.64</v>
      </c>
      <c r="U2752" s="41">
        <v>7007.05</v>
      </c>
    </row>
    <row r="2753" spans="1:21">
      <c r="A2753" s="29" t="s">
        <v>138</v>
      </c>
      <c r="B2753" s="32">
        <v>42129</v>
      </c>
      <c r="C2753" s="29">
        <v>86.1</v>
      </c>
      <c r="D2753" s="35">
        <v>86.400002000000001</v>
      </c>
      <c r="E2753" s="35">
        <v>85.300003000000004</v>
      </c>
      <c r="F2753" s="33">
        <v>85.599997999999999</v>
      </c>
      <c r="G2753" s="29">
        <v>-0.12</v>
      </c>
      <c r="H2753" s="29">
        <v>-0.1</v>
      </c>
      <c r="I2753" s="35">
        <v>86</v>
      </c>
      <c r="J2753" s="34">
        <v>29113</v>
      </c>
      <c r="K2753" s="34">
        <v>2497174</v>
      </c>
      <c r="M2753" s="29" t="s">
        <v>128</v>
      </c>
      <c r="N2753" s="30">
        <v>42192</v>
      </c>
      <c r="O2753" s="41">
        <v>6991.71</v>
      </c>
      <c r="P2753" s="41">
        <v>6998.43</v>
      </c>
      <c r="Q2753" s="41">
        <v>6966.81</v>
      </c>
      <c r="R2753" s="31">
        <v>6967.78</v>
      </c>
      <c r="S2753" s="29">
        <v>-0.31</v>
      </c>
      <c r="T2753" s="29">
        <v>-21.63</v>
      </c>
      <c r="U2753" s="41">
        <v>6989.41</v>
      </c>
    </row>
    <row r="2754" spans="1:21">
      <c r="A2754" s="29" t="s">
        <v>138</v>
      </c>
      <c r="B2754" s="32">
        <v>42130</v>
      </c>
      <c r="C2754" s="29">
        <v>86</v>
      </c>
      <c r="D2754" s="35">
        <v>92.5</v>
      </c>
      <c r="E2754" s="35">
        <v>85.300003000000004</v>
      </c>
      <c r="F2754" s="33">
        <v>90.599997999999999</v>
      </c>
      <c r="G2754" s="29">
        <v>5.14</v>
      </c>
      <c r="H2754" s="29">
        <v>4.4000000000000004</v>
      </c>
      <c r="I2754" s="35">
        <v>85.599997999999999</v>
      </c>
      <c r="J2754" s="34">
        <v>705301</v>
      </c>
      <c r="K2754" s="34">
        <v>62833816</v>
      </c>
      <c r="M2754" s="29" t="s">
        <v>128</v>
      </c>
      <c r="N2754" s="30">
        <v>42193</v>
      </c>
      <c r="O2754" s="41">
        <v>6967.41</v>
      </c>
      <c r="P2754" s="41">
        <v>6967.41</v>
      </c>
      <c r="Q2754" s="41">
        <v>6923.79</v>
      </c>
      <c r="R2754" s="31">
        <v>6923.79</v>
      </c>
      <c r="S2754" s="29">
        <v>-0.63</v>
      </c>
      <c r="T2754" s="29">
        <v>-43.99</v>
      </c>
      <c r="U2754" s="41">
        <v>6967.78</v>
      </c>
    </row>
    <row r="2755" spans="1:21">
      <c r="A2755" s="29" t="s">
        <v>138</v>
      </c>
      <c r="B2755" s="32">
        <v>42131</v>
      </c>
      <c r="C2755" s="29">
        <v>91</v>
      </c>
      <c r="D2755" s="35">
        <v>91</v>
      </c>
      <c r="E2755" s="35">
        <v>89</v>
      </c>
      <c r="F2755" s="33">
        <v>90</v>
      </c>
      <c r="G2755" s="29">
        <v>-0.66</v>
      </c>
      <c r="H2755" s="29">
        <v>-0.6</v>
      </c>
      <c r="I2755" s="35">
        <v>90.599997999999999</v>
      </c>
      <c r="J2755" s="34">
        <v>901486</v>
      </c>
      <c r="K2755" s="34">
        <v>81152744</v>
      </c>
      <c r="M2755" s="29" t="s">
        <v>128</v>
      </c>
      <c r="N2755" s="30">
        <v>42194</v>
      </c>
      <c r="O2755" s="41">
        <v>6925.33</v>
      </c>
      <c r="P2755" s="41">
        <v>6947.05</v>
      </c>
      <c r="Q2755" s="41">
        <v>6921.64</v>
      </c>
      <c r="R2755" s="31">
        <v>6947.05</v>
      </c>
      <c r="S2755" s="29">
        <v>0.34</v>
      </c>
      <c r="T2755" s="29">
        <v>23.26</v>
      </c>
      <c r="U2755" s="41">
        <v>6923.79</v>
      </c>
    </row>
    <row r="2756" spans="1:21">
      <c r="A2756" s="29" t="s">
        <v>138</v>
      </c>
      <c r="B2756" s="32">
        <v>42132</v>
      </c>
      <c r="C2756" s="29">
        <v>90</v>
      </c>
      <c r="D2756" s="35">
        <v>90</v>
      </c>
      <c r="E2756" s="35">
        <v>90</v>
      </c>
      <c r="F2756" s="33">
        <v>90</v>
      </c>
      <c r="G2756" s="29">
        <v>0</v>
      </c>
      <c r="H2756" s="29">
        <v>0</v>
      </c>
      <c r="I2756" s="35">
        <v>90</v>
      </c>
      <c r="J2756" s="34">
        <v>54301</v>
      </c>
      <c r="K2756" s="34">
        <v>4887090</v>
      </c>
      <c r="M2756" s="29" t="s">
        <v>128</v>
      </c>
      <c r="N2756" s="30">
        <v>42195</v>
      </c>
      <c r="O2756" s="41">
        <v>6946.15</v>
      </c>
      <c r="P2756" s="41">
        <v>6993.99</v>
      </c>
      <c r="Q2756" s="41">
        <v>6946.03</v>
      </c>
      <c r="R2756" s="31">
        <v>6984.12</v>
      </c>
      <c r="S2756" s="29">
        <v>0.53</v>
      </c>
      <c r="T2756" s="29">
        <v>37.07</v>
      </c>
      <c r="U2756" s="41">
        <v>6947.05</v>
      </c>
    </row>
    <row r="2757" spans="1:21">
      <c r="A2757" s="29" t="s">
        <v>138</v>
      </c>
      <c r="B2757" s="32">
        <v>42135</v>
      </c>
      <c r="C2757" s="29">
        <v>89.7</v>
      </c>
      <c r="D2757" s="35">
        <v>89.7</v>
      </c>
      <c r="E2757" s="35">
        <v>89.699996999999996</v>
      </c>
      <c r="F2757" s="33">
        <v>89.699996999999996</v>
      </c>
      <c r="G2757" s="29">
        <v>-0.33</v>
      </c>
      <c r="H2757" s="29">
        <v>-0.3</v>
      </c>
      <c r="I2757" s="35">
        <v>90</v>
      </c>
      <c r="J2757" s="34">
        <v>1000</v>
      </c>
      <c r="K2757" s="34">
        <v>89700</v>
      </c>
      <c r="M2757" s="29" t="s">
        <v>128</v>
      </c>
      <c r="N2757" s="30">
        <v>42198</v>
      </c>
      <c r="O2757" s="41">
        <v>6992.03</v>
      </c>
      <c r="P2757" s="41">
        <v>7022.7</v>
      </c>
      <c r="Q2757" s="41">
        <v>6992.03</v>
      </c>
      <c r="R2757" s="31">
        <v>7002.78</v>
      </c>
      <c r="S2757" s="29">
        <v>0.27</v>
      </c>
      <c r="T2757" s="29">
        <v>18.66</v>
      </c>
      <c r="U2757" s="41">
        <v>6984.12</v>
      </c>
    </row>
    <row r="2758" spans="1:21">
      <c r="A2758" s="29" t="s">
        <v>138</v>
      </c>
      <c r="B2758" s="32">
        <v>42136</v>
      </c>
      <c r="C2758" s="29">
        <v>88.5</v>
      </c>
      <c r="D2758" s="35">
        <v>88.5</v>
      </c>
      <c r="E2758" s="35">
        <v>88.5</v>
      </c>
      <c r="F2758" s="33">
        <v>88.5</v>
      </c>
      <c r="G2758" s="29">
        <v>-1.34</v>
      </c>
      <c r="H2758" s="29">
        <v>-1.2</v>
      </c>
      <c r="I2758" s="35">
        <v>89.699996999999996</v>
      </c>
      <c r="J2758" s="34">
        <v>28900</v>
      </c>
      <c r="K2758" s="34">
        <v>2557650</v>
      </c>
      <c r="M2758" s="29" t="s">
        <v>128</v>
      </c>
      <c r="N2758" s="30">
        <v>42199</v>
      </c>
      <c r="O2758" s="41">
        <v>7003.96</v>
      </c>
      <c r="P2758" s="41">
        <v>7034.8</v>
      </c>
      <c r="Q2758" s="41">
        <v>7002.78</v>
      </c>
      <c r="R2758" s="31">
        <v>7027</v>
      </c>
      <c r="S2758" s="29">
        <v>0.35</v>
      </c>
      <c r="T2758" s="29">
        <v>24.22</v>
      </c>
      <c r="U2758" s="41">
        <v>7002.78</v>
      </c>
    </row>
    <row r="2759" spans="1:21">
      <c r="A2759" s="29" t="s">
        <v>138</v>
      </c>
      <c r="B2759" s="32">
        <v>42137</v>
      </c>
      <c r="C2759" s="29">
        <v>89.6</v>
      </c>
      <c r="D2759" s="35">
        <v>89.699996999999996</v>
      </c>
      <c r="E2759" s="35">
        <v>88.400002000000001</v>
      </c>
      <c r="F2759" s="33">
        <v>89</v>
      </c>
      <c r="G2759" s="29">
        <v>1.1299999999999999</v>
      </c>
      <c r="H2759" s="29">
        <v>1</v>
      </c>
      <c r="I2759" s="35">
        <v>88.5</v>
      </c>
      <c r="J2759" s="34">
        <v>38611</v>
      </c>
      <c r="K2759" s="34">
        <v>3456910</v>
      </c>
      <c r="M2759" s="29" t="s">
        <v>128</v>
      </c>
      <c r="N2759" s="30">
        <v>42200</v>
      </c>
      <c r="O2759" s="41">
        <v>7030.63</v>
      </c>
      <c r="P2759" s="41">
        <v>7085</v>
      </c>
      <c r="Q2759" s="41">
        <v>7028.86</v>
      </c>
      <c r="R2759" s="31">
        <v>7066.19</v>
      </c>
      <c r="S2759" s="29">
        <v>0.56000000000000005</v>
      </c>
      <c r="T2759" s="29">
        <v>39.19</v>
      </c>
      <c r="U2759" s="41">
        <v>7027</v>
      </c>
    </row>
    <row r="2760" spans="1:21">
      <c r="A2760" s="29" t="s">
        <v>138</v>
      </c>
      <c r="B2760" s="32">
        <v>42138</v>
      </c>
      <c r="C2760" s="29">
        <v>88.5</v>
      </c>
      <c r="D2760" s="35">
        <v>88.5</v>
      </c>
      <c r="E2760" s="35">
        <v>87</v>
      </c>
      <c r="F2760" s="33">
        <v>87.900002000000001</v>
      </c>
      <c r="G2760" s="29">
        <v>-2.25</v>
      </c>
      <c r="H2760" s="29">
        <v>-2</v>
      </c>
      <c r="I2760" s="35">
        <v>89</v>
      </c>
      <c r="J2760" s="34">
        <v>3000</v>
      </c>
      <c r="K2760" s="34">
        <v>263790</v>
      </c>
      <c r="M2760" s="29" t="s">
        <v>128</v>
      </c>
      <c r="N2760" s="30">
        <v>42201</v>
      </c>
      <c r="O2760" s="41">
        <v>7068.92</v>
      </c>
      <c r="P2760" s="41">
        <v>7133.28</v>
      </c>
      <c r="Q2760" s="41">
        <v>7068.92</v>
      </c>
      <c r="R2760" s="31">
        <v>7124.14</v>
      </c>
      <c r="S2760" s="29">
        <v>0.82</v>
      </c>
      <c r="T2760" s="29">
        <v>57.95</v>
      </c>
      <c r="U2760" s="41">
        <v>7066.19</v>
      </c>
    </row>
    <row r="2761" spans="1:21">
      <c r="A2761" s="29" t="s">
        <v>138</v>
      </c>
      <c r="B2761" s="32">
        <v>42139</v>
      </c>
      <c r="C2761" s="29">
        <v>89.5</v>
      </c>
      <c r="D2761" s="35">
        <v>89.5</v>
      </c>
      <c r="E2761" s="35">
        <v>87</v>
      </c>
      <c r="F2761" s="33">
        <v>88.5</v>
      </c>
      <c r="G2761" s="29">
        <v>0.68</v>
      </c>
      <c r="H2761" s="29">
        <v>0.6</v>
      </c>
      <c r="I2761" s="35">
        <v>87.900002000000001</v>
      </c>
      <c r="J2761" s="34">
        <v>39612</v>
      </c>
      <c r="K2761" s="34">
        <v>3506374</v>
      </c>
      <c r="M2761" s="29" t="s">
        <v>128</v>
      </c>
      <c r="N2761" s="30">
        <v>42202</v>
      </c>
      <c r="O2761" s="41">
        <v>7127.48</v>
      </c>
      <c r="P2761" s="41">
        <v>7172.67</v>
      </c>
      <c r="Q2761" s="41">
        <v>7127.12</v>
      </c>
      <c r="R2761" s="31">
        <v>7161.96</v>
      </c>
      <c r="S2761" s="29">
        <v>0.53</v>
      </c>
      <c r="T2761" s="29">
        <v>37.82</v>
      </c>
      <c r="U2761" s="41">
        <v>7124.14</v>
      </c>
    </row>
    <row r="2762" spans="1:21">
      <c r="A2762" s="29" t="s">
        <v>138</v>
      </c>
      <c r="B2762" s="32">
        <v>42142</v>
      </c>
      <c r="C2762" s="29">
        <v>88</v>
      </c>
      <c r="D2762" s="35">
        <v>88</v>
      </c>
      <c r="E2762" s="35">
        <v>87</v>
      </c>
      <c r="F2762" s="33">
        <v>87</v>
      </c>
      <c r="G2762" s="29">
        <v>-1.69</v>
      </c>
      <c r="H2762" s="29">
        <v>-1.5</v>
      </c>
      <c r="I2762" s="35">
        <v>88.5</v>
      </c>
      <c r="J2762" s="34">
        <v>1772</v>
      </c>
      <c r="K2762" s="34">
        <v>154934</v>
      </c>
      <c r="M2762" s="29" t="s">
        <v>128</v>
      </c>
      <c r="N2762" s="30">
        <v>42205</v>
      </c>
      <c r="O2762" s="41">
        <v>7162.7</v>
      </c>
      <c r="P2762" s="41">
        <v>7177.4</v>
      </c>
      <c r="Q2762" s="41">
        <v>7147.86</v>
      </c>
      <c r="R2762" s="31">
        <v>7147.86</v>
      </c>
      <c r="S2762" s="29">
        <v>-0.2</v>
      </c>
      <c r="T2762" s="29">
        <v>-14.1</v>
      </c>
      <c r="U2762" s="41">
        <v>7161.96</v>
      </c>
    </row>
    <row r="2763" spans="1:21">
      <c r="A2763" s="29" t="s">
        <v>138</v>
      </c>
      <c r="B2763" s="32">
        <v>42143</v>
      </c>
      <c r="C2763" s="29">
        <v>86.5</v>
      </c>
      <c r="D2763" s="35">
        <v>87</v>
      </c>
      <c r="E2763" s="35">
        <v>86</v>
      </c>
      <c r="F2763" s="33">
        <v>87</v>
      </c>
      <c r="G2763" s="29">
        <v>0</v>
      </c>
      <c r="H2763" s="29">
        <v>0</v>
      </c>
      <c r="I2763" s="35">
        <v>87</v>
      </c>
      <c r="J2763" s="34">
        <v>50536</v>
      </c>
      <c r="K2763" s="34">
        <v>4396531</v>
      </c>
      <c r="M2763" s="29" t="s">
        <v>128</v>
      </c>
      <c r="N2763" s="30">
        <v>42206</v>
      </c>
      <c r="O2763" s="41">
        <v>7148.49</v>
      </c>
      <c r="P2763" s="41">
        <v>7158.46</v>
      </c>
      <c r="Q2763" s="41">
        <v>7144.3</v>
      </c>
      <c r="R2763" s="31">
        <v>7145.59</v>
      </c>
      <c r="S2763" s="29">
        <v>-0.03</v>
      </c>
      <c r="T2763" s="29">
        <v>-2.27</v>
      </c>
      <c r="U2763" s="41">
        <v>7147.86</v>
      </c>
    </row>
    <row r="2764" spans="1:21">
      <c r="A2764" s="29" t="s">
        <v>138</v>
      </c>
      <c r="B2764" s="32">
        <v>42144</v>
      </c>
      <c r="C2764" s="29">
        <v>86</v>
      </c>
      <c r="D2764" s="35">
        <v>87</v>
      </c>
      <c r="E2764" s="35">
        <v>86</v>
      </c>
      <c r="F2764" s="33">
        <v>87</v>
      </c>
      <c r="G2764" s="29">
        <v>0</v>
      </c>
      <c r="H2764" s="29">
        <v>0</v>
      </c>
      <c r="I2764" s="35">
        <v>87</v>
      </c>
      <c r="J2764" s="34">
        <v>8200</v>
      </c>
      <c r="K2764" s="34">
        <v>713200</v>
      </c>
      <c r="M2764" s="29" t="s">
        <v>128</v>
      </c>
      <c r="N2764" s="30">
        <v>42207</v>
      </c>
      <c r="O2764" s="41">
        <v>7145.92</v>
      </c>
      <c r="P2764" s="41">
        <v>7206.35</v>
      </c>
      <c r="Q2764" s="41">
        <v>7145.92</v>
      </c>
      <c r="R2764" s="31">
        <v>7199.63</v>
      </c>
      <c r="S2764" s="29">
        <v>0.76</v>
      </c>
      <c r="T2764" s="29">
        <v>54.04</v>
      </c>
      <c r="U2764" s="41">
        <v>7145.59</v>
      </c>
    </row>
    <row r="2765" spans="1:21">
      <c r="A2765" s="29" t="s">
        <v>138</v>
      </c>
      <c r="B2765" s="32">
        <v>42145</v>
      </c>
      <c r="C2765" s="29">
        <v>86.5</v>
      </c>
      <c r="D2765" s="35">
        <v>86.5</v>
      </c>
      <c r="E2765" s="35">
        <v>86</v>
      </c>
      <c r="F2765" s="33">
        <v>86.099997999999999</v>
      </c>
      <c r="G2765" s="29">
        <v>-1.03</v>
      </c>
      <c r="H2765" s="29">
        <v>-0.9</v>
      </c>
      <c r="I2765" s="35">
        <v>87</v>
      </c>
      <c r="J2765" s="34">
        <v>23053</v>
      </c>
      <c r="K2765" s="34">
        <v>1982966</v>
      </c>
      <c r="M2765" s="29" t="s">
        <v>128</v>
      </c>
      <c r="N2765" s="30">
        <v>42208</v>
      </c>
      <c r="O2765" s="41">
        <v>7202.62</v>
      </c>
      <c r="P2765" s="41">
        <v>7231.08</v>
      </c>
      <c r="Q2765" s="41">
        <v>7201.83</v>
      </c>
      <c r="R2765" s="31">
        <v>7212.62</v>
      </c>
      <c r="S2765" s="29">
        <v>0.18</v>
      </c>
      <c r="T2765" s="29">
        <v>12.99</v>
      </c>
      <c r="U2765" s="41">
        <v>7199.63</v>
      </c>
    </row>
    <row r="2766" spans="1:21">
      <c r="A2766" s="29" t="s">
        <v>138</v>
      </c>
      <c r="B2766" s="32">
        <v>42146</v>
      </c>
      <c r="C2766" s="29">
        <v>87</v>
      </c>
      <c r="D2766" s="35">
        <v>88</v>
      </c>
      <c r="E2766" s="35">
        <v>86.099997999999999</v>
      </c>
      <c r="F2766" s="33">
        <v>88</v>
      </c>
      <c r="G2766" s="29">
        <v>2.21</v>
      </c>
      <c r="H2766" s="29">
        <v>1.9</v>
      </c>
      <c r="I2766" s="35">
        <v>86.099997999999999</v>
      </c>
      <c r="J2766" s="34">
        <v>25300</v>
      </c>
      <c r="K2766" s="34">
        <v>2210263</v>
      </c>
      <c r="M2766" s="29" t="s">
        <v>128</v>
      </c>
      <c r="N2766" s="30">
        <v>42209</v>
      </c>
      <c r="O2766" s="41">
        <v>7214.67</v>
      </c>
      <c r="P2766" s="41">
        <v>7269.62</v>
      </c>
      <c r="Q2766" s="41">
        <v>7214.23</v>
      </c>
      <c r="R2766" s="31">
        <v>7269.05</v>
      </c>
      <c r="S2766" s="29">
        <v>0.78</v>
      </c>
      <c r="T2766" s="29">
        <v>56.43</v>
      </c>
      <c r="U2766" s="41">
        <v>7212.62</v>
      </c>
    </row>
    <row r="2767" spans="1:21">
      <c r="A2767" s="29" t="s">
        <v>138</v>
      </c>
      <c r="B2767" s="32">
        <v>42149</v>
      </c>
      <c r="C2767" s="29">
        <v>87</v>
      </c>
      <c r="D2767" s="35">
        <v>88.900002000000001</v>
      </c>
      <c r="E2767" s="35">
        <v>86.599997999999999</v>
      </c>
      <c r="F2767" s="33">
        <v>87</v>
      </c>
      <c r="G2767" s="29">
        <v>1.02</v>
      </c>
      <c r="H2767" s="29">
        <v>0.9</v>
      </c>
      <c r="I2767" s="35">
        <v>88</v>
      </c>
      <c r="J2767" s="34">
        <v>73990</v>
      </c>
      <c r="K2767" s="34">
        <v>6436018</v>
      </c>
      <c r="M2767" s="29" t="s">
        <v>128</v>
      </c>
      <c r="N2767" s="30">
        <v>42212</v>
      </c>
      <c r="O2767" s="41">
        <v>7267.12</v>
      </c>
      <c r="P2767" s="41">
        <v>7280.59</v>
      </c>
      <c r="Q2767" s="41">
        <v>7243.01</v>
      </c>
      <c r="R2767" s="31">
        <v>7247.23</v>
      </c>
      <c r="S2767" s="29">
        <v>-0.3</v>
      </c>
      <c r="T2767" s="29">
        <v>-21.82</v>
      </c>
      <c r="U2767" s="41">
        <v>7269.05</v>
      </c>
    </row>
    <row r="2768" spans="1:21">
      <c r="A2768" s="29" t="s">
        <v>138</v>
      </c>
      <c r="B2768" s="32">
        <v>42150</v>
      </c>
      <c r="C2768" s="29">
        <v>88.9</v>
      </c>
      <c r="D2768" s="35">
        <v>90</v>
      </c>
      <c r="E2768" s="35">
        <v>87.099997999999999</v>
      </c>
      <c r="F2768" s="33">
        <v>89.900002000000001</v>
      </c>
      <c r="G2768" s="29">
        <v>3.33</v>
      </c>
      <c r="H2768" s="29">
        <v>2.9</v>
      </c>
      <c r="I2768" s="35">
        <v>87</v>
      </c>
      <c r="J2768" s="34">
        <v>5480</v>
      </c>
      <c r="K2768" s="34">
        <v>478502</v>
      </c>
      <c r="M2768" s="29" t="s">
        <v>128</v>
      </c>
      <c r="N2768" s="30">
        <v>42213</v>
      </c>
      <c r="O2768" s="41">
        <v>7247.78</v>
      </c>
      <c r="P2768" s="41">
        <v>7275.45</v>
      </c>
      <c r="Q2768" s="41">
        <v>7245.98</v>
      </c>
      <c r="R2768" s="31">
        <v>7261.07</v>
      </c>
      <c r="S2768" s="29">
        <v>0.19</v>
      </c>
      <c r="T2768" s="29">
        <v>13.84</v>
      </c>
      <c r="U2768" s="41">
        <v>7247.23</v>
      </c>
    </row>
    <row r="2769" spans="1:21">
      <c r="A2769" s="29" t="s">
        <v>138</v>
      </c>
      <c r="B2769" s="32">
        <v>42151</v>
      </c>
      <c r="C2769" s="29">
        <v>89.8</v>
      </c>
      <c r="D2769" s="35">
        <v>89.800003000000004</v>
      </c>
      <c r="E2769" s="35">
        <v>86</v>
      </c>
      <c r="F2769" s="33">
        <v>89.099997999999999</v>
      </c>
      <c r="G2769" s="29">
        <v>-1</v>
      </c>
      <c r="H2769" s="29">
        <v>-0.9</v>
      </c>
      <c r="I2769" s="35">
        <v>89.900002000000001</v>
      </c>
      <c r="J2769" s="34">
        <v>38300</v>
      </c>
      <c r="K2769" s="34">
        <v>3352397</v>
      </c>
      <c r="M2769" s="29" t="s">
        <v>128</v>
      </c>
      <c r="N2769" s="30">
        <v>42214</v>
      </c>
      <c r="O2769" s="41">
        <v>7270.39</v>
      </c>
      <c r="P2769" s="41">
        <v>7323.17</v>
      </c>
      <c r="Q2769" s="41">
        <v>7270.39</v>
      </c>
      <c r="R2769" s="31">
        <v>7313.97</v>
      </c>
      <c r="S2769" s="29">
        <v>0.73</v>
      </c>
      <c r="T2769" s="29">
        <v>52.9</v>
      </c>
      <c r="U2769" s="41">
        <v>7261.07</v>
      </c>
    </row>
    <row r="2770" spans="1:21">
      <c r="A2770" s="29" t="s">
        <v>138</v>
      </c>
      <c r="B2770" s="32">
        <v>42152</v>
      </c>
      <c r="C2770" s="29">
        <v>88</v>
      </c>
      <c r="D2770" s="35">
        <v>88</v>
      </c>
      <c r="E2770" s="35">
        <v>88</v>
      </c>
      <c r="F2770" s="33">
        <v>88</v>
      </c>
      <c r="G2770" s="29">
        <v>-1.23</v>
      </c>
      <c r="H2770" s="29">
        <v>-1.1000000000000001</v>
      </c>
      <c r="I2770" s="35">
        <v>89.099997999999999</v>
      </c>
      <c r="J2770" s="34">
        <v>11000</v>
      </c>
      <c r="K2770" s="34">
        <v>968000</v>
      </c>
      <c r="M2770" s="29" t="s">
        <v>128</v>
      </c>
      <c r="N2770" s="30">
        <v>42215</v>
      </c>
      <c r="O2770" s="41">
        <v>7325.5</v>
      </c>
      <c r="P2770" s="41">
        <v>7340.24</v>
      </c>
      <c r="Q2770" s="41">
        <v>7312.76</v>
      </c>
      <c r="R2770" s="31">
        <v>7332.05</v>
      </c>
      <c r="S2770" s="29">
        <v>0.25</v>
      </c>
      <c r="T2770" s="29">
        <v>18.079999999999998</v>
      </c>
      <c r="U2770" s="41">
        <v>7313.97</v>
      </c>
    </row>
    <row r="2771" spans="1:21">
      <c r="A2771" s="29" t="s">
        <v>138</v>
      </c>
      <c r="B2771" s="32">
        <v>42153</v>
      </c>
      <c r="C2771" s="29">
        <v>88.9</v>
      </c>
      <c r="D2771" s="35">
        <v>89.5</v>
      </c>
      <c r="E2771" s="35">
        <v>88.5</v>
      </c>
      <c r="F2771" s="33">
        <v>89</v>
      </c>
      <c r="G2771" s="29">
        <v>1.7</v>
      </c>
      <c r="H2771" s="29">
        <v>1.5</v>
      </c>
      <c r="I2771" s="35">
        <v>88</v>
      </c>
      <c r="J2771" s="34">
        <v>22527</v>
      </c>
      <c r="K2771" s="34">
        <v>2006935</v>
      </c>
      <c r="M2771" s="29" t="s">
        <v>128</v>
      </c>
      <c r="N2771" s="30">
        <v>42219</v>
      </c>
      <c r="O2771" s="41">
        <v>7334.11</v>
      </c>
      <c r="P2771" s="41">
        <v>7358.09</v>
      </c>
      <c r="Q2771" s="41">
        <v>7327.84</v>
      </c>
      <c r="R2771" s="31">
        <v>7336.59</v>
      </c>
      <c r="S2771" s="29">
        <v>0.06</v>
      </c>
      <c r="T2771" s="29">
        <v>4.54</v>
      </c>
      <c r="U2771" s="41">
        <v>7332.05</v>
      </c>
    </row>
    <row r="2772" spans="1:21">
      <c r="A2772" s="29" t="s">
        <v>138</v>
      </c>
      <c r="B2772" s="32">
        <v>42156</v>
      </c>
      <c r="C2772" s="29">
        <v>89.6</v>
      </c>
      <c r="D2772" s="35">
        <v>91.5</v>
      </c>
      <c r="E2772" s="35">
        <v>87</v>
      </c>
      <c r="F2772" s="33">
        <v>89.900002000000001</v>
      </c>
      <c r="G2772" s="29">
        <v>0.22</v>
      </c>
      <c r="H2772" s="29">
        <v>0.2</v>
      </c>
      <c r="I2772" s="35">
        <v>89</v>
      </c>
      <c r="J2772" s="34">
        <v>291997</v>
      </c>
      <c r="K2772" s="34">
        <v>26183010</v>
      </c>
      <c r="M2772" s="29" t="s">
        <v>128</v>
      </c>
      <c r="N2772" s="30">
        <v>42220</v>
      </c>
      <c r="O2772" s="41">
        <v>7336.55</v>
      </c>
      <c r="P2772" s="41">
        <v>7345.18</v>
      </c>
      <c r="Q2772" s="41">
        <v>7308.15</v>
      </c>
      <c r="R2772" s="31">
        <v>7310.05</v>
      </c>
      <c r="S2772" s="29">
        <v>-0.36</v>
      </c>
      <c r="T2772" s="29">
        <v>-26.54</v>
      </c>
      <c r="U2772" s="41">
        <v>7336.59</v>
      </c>
    </row>
    <row r="2773" spans="1:21">
      <c r="A2773" s="29" t="s">
        <v>138</v>
      </c>
      <c r="B2773" s="32">
        <v>42158</v>
      </c>
      <c r="C2773" s="29">
        <v>93.1</v>
      </c>
      <c r="D2773" s="35">
        <v>96.599997999999999</v>
      </c>
      <c r="E2773" s="35">
        <v>93</v>
      </c>
      <c r="F2773" s="33">
        <v>93.400002000000001</v>
      </c>
      <c r="G2773" s="29">
        <v>4.5599999999999996</v>
      </c>
      <c r="H2773" s="29">
        <v>4.0999999999999996</v>
      </c>
      <c r="I2773" s="35">
        <v>89.900002000000001</v>
      </c>
      <c r="J2773" s="34">
        <v>727887</v>
      </c>
      <c r="K2773" s="34">
        <v>69022232</v>
      </c>
      <c r="M2773" s="29" t="s">
        <v>128</v>
      </c>
      <c r="N2773" s="30">
        <v>42221</v>
      </c>
      <c r="O2773" s="41">
        <v>7315.94</v>
      </c>
      <c r="P2773" s="41">
        <v>7379.69</v>
      </c>
      <c r="Q2773" s="41">
        <v>7315.94</v>
      </c>
      <c r="R2773" s="31">
        <v>7366.31</v>
      </c>
      <c r="S2773" s="29">
        <v>0.77</v>
      </c>
      <c r="T2773" s="29">
        <v>56.26</v>
      </c>
      <c r="U2773" s="41">
        <v>7310.05</v>
      </c>
    </row>
    <row r="2774" spans="1:21">
      <c r="A2774" s="29" t="s">
        <v>138</v>
      </c>
      <c r="B2774" s="32">
        <v>42159</v>
      </c>
      <c r="C2774" s="29">
        <v>94</v>
      </c>
      <c r="D2774" s="35">
        <v>94</v>
      </c>
      <c r="E2774" s="35">
        <v>91.5</v>
      </c>
      <c r="F2774" s="33">
        <v>92.5</v>
      </c>
      <c r="G2774" s="29">
        <v>-0.54</v>
      </c>
      <c r="H2774" s="29">
        <v>-0.5</v>
      </c>
      <c r="I2774" s="35">
        <v>93.400002000000001</v>
      </c>
      <c r="J2774" s="34">
        <v>60695</v>
      </c>
      <c r="K2774" s="34">
        <v>5605742</v>
      </c>
      <c r="M2774" s="29" t="s">
        <v>128</v>
      </c>
      <c r="N2774" s="30">
        <v>42222</v>
      </c>
      <c r="O2774" s="41">
        <v>7368.38</v>
      </c>
      <c r="P2774" s="41">
        <v>7388.02</v>
      </c>
      <c r="Q2774" s="41">
        <v>7368.38</v>
      </c>
      <c r="R2774" s="31">
        <v>7377.24</v>
      </c>
      <c r="S2774" s="29">
        <v>0.15</v>
      </c>
      <c r="T2774" s="29">
        <v>10.93</v>
      </c>
      <c r="U2774" s="41">
        <v>7366.31</v>
      </c>
    </row>
    <row r="2775" spans="1:21">
      <c r="A2775" s="29" t="s">
        <v>138</v>
      </c>
      <c r="B2775" s="32">
        <v>42160</v>
      </c>
      <c r="C2775" s="29">
        <v>91.3</v>
      </c>
      <c r="D2775" s="35">
        <v>92.699996999999996</v>
      </c>
      <c r="E2775" s="35">
        <v>90.5</v>
      </c>
      <c r="F2775" s="33">
        <v>91.300003000000004</v>
      </c>
      <c r="G2775" s="29">
        <v>-1.62</v>
      </c>
      <c r="H2775" s="29">
        <v>-1.5</v>
      </c>
      <c r="I2775" s="35">
        <v>92.5</v>
      </c>
      <c r="J2775" s="34">
        <v>72496</v>
      </c>
      <c r="K2775" s="34">
        <v>6637685</v>
      </c>
      <c r="M2775" s="29" t="s">
        <v>128</v>
      </c>
      <c r="N2775" s="30">
        <v>42223</v>
      </c>
      <c r="O2775" s="41">
        <v>7380.4</v>
      </c>
      <c r="P2775" s="41">
        <v>7392.59</v>
      </c>
      <c r="Q2775" s="41">
        <v>7368.53</v>
      </c>
      <c r="R2775" s="31">
        <v>7370.6</v>
      </c>
      <c r="S2775" s="29">
        <v>-0.09</v>
      </c>
      <c r="T2775" s="29">
        <v>-6.64</v>
      </c>
      <c r="U2775" s="41">
        <v>7377.24</v>
      </c>
    </row>
    <row r="2776" spans="1:21">
      <c r="A2776" s="29" t="s">
        <v>138</v>
      </c>
      <c r="B2776" s="32">
        <v>42163</v>
      </c>
      <c r="C2776" s="29">
        <v>93.9</v>
      </c>
      <c r="D2776" s="35">
        <v>93.900002000000001</v>
      </c>
      <c r="E2776" s="35">
        <v>90</v>
      </c>
      <c r="F2776" s="33">
        <v>90.099997999999999</v>
      </c>
      <c r="G2776" s="29">
        <v>-1.42</v>
      </c>
      <c r="H2776" s="29">
        <v>-1.3</v>
      </c>
      <c r="I2776" s="35">
        <v>91.300003000000004</v>
      </c>
      <c r="J2776" s="34">
        <v>18832</v>
      </c>
      <c r="K2776" s="34">
        <v>1710148</v>
      </c>
      <c r="M2776" s="29" t="s">
        <v>128</v>
      </c>
      <c r="N2776" s="30">
        <v>42226</v>
      </c>
      <c r="O2776" s="41">
        <v>7371.05</v>
      </c>
      <c r="P2776" s="41">
        <v>7385.11</v>
      </c>
      <c r="Q2776" s="41">
        <v>7365.19</v>
      </c>
      <c r="R2776" s="31">
        <v>7377.94</v>
      </c>
      <c r="S2776" s="29">
        <v>0.1</v>
      </c>
      <c r="T2776" s="29">
        <v>7.34</v>
      </c>
      <c r="U2776" s="41">
        <v>7370.6</v>
      </c>
    </row>
    <row r="2777" spans="1:21">
      <c r="A2777" s="29" t="s">
        <v>138</v>
      </c>
      <c r="B2777" s="32">
        <v>42164</v>
      </c>
      <c r="C2777" s="29">
        <v>90.2</v>
      </c>
      <c r="D2777" s="35">
        <v>92.800003000000004</v>
      </c>
      <c r="E2777" s="35">
        <v>90.199996999999996</v>
      </c>
      <c r="F2777" s="33">
        <v>91.199996999999996</v>
      </c>
      <c r="G2777" s="29">
        <v>1.55</v>
      </c>
      <c r="H2777" s="29">
        <v>1.4</v>
      </c>
      <c r="I2777" s="35">
        <v>90.099997999999999</v>
      </c>
      <c r="J2777" s="34">
        <v>16231</v>
      </c>
      <c r="K2777" s="34">
        <v>1479547</v>
      </c>
      <c r="M2777" s="29" t="s">
        <v>128</v>
      </c>
      <c r="N2777" s="30">
        <v>42227</v>
      </c>
      <c r="O2777" s="41">
        <v>7379.99</v>
      </c>
      <c r="P2777" s="41">
        <v>7468.74</v>
      </c>
      <c r="Q2777" s="41">
        <v>7379.99</v>
      </c>
      <c r="R2777" s="31">
        <v>7458.92</v>
      </c>
      <c r="S2777" s="29">
        <v>1.1000000000000001</v>
      </c>
      <c r="T2777" s="29">
        <v>80.98</v>
      </c>
      <c r="U2777" s="41">
        <v>7377.94</v>
      </c>
    </row>
    <row r="2778" spans="1:21">
      <c r="A2778" s="29" t="s">
        <v>138</v>
      </c>
      <c r="B2778" s="32">
        <v>42165</v>
      </c>
      <c r="C2778" s="29">
        <v>92.1</v>
      </c>
      <c r="D2778" s="35">
        <v>92.1</v>
      </c>
      <c r="E2778" s="35">
        <v>91.199996999999996</v>
      </c>
      <c r="F2778" s="33">
        <v>91.300003000000004</v>
      </c>
      <c r="G2778" s="29">
        <v>0.11</v>
      </c>
      <c r="H2778" s="29">
        <v>0.1</v>
      </c>
      <c r="I2778" s="35">
        <v>91.199996999999996</v>
      </c>
      <c r="J2778" s="34">
        <v>55769</v>
      </c>
      <c r="K2778" s="34">
        <v>5108174</v>
      </c>
      <c r="M2778" s="29" t="s">
        <v>128</v>
      </c>
      <c r="N2778" s="30">
        <v>42228</v>
      </c>
      <c r="O2778" s="41">
        <v>7458.65</v>
      </c>
      <c r="P2778" s="41">
        <v>7490.45</v>
      </c>
      <c r="Q2778" s="41">
        <v>7458.65</v>
      </c>
      <c r="R2778" s="31">
        <v>7471.9</v>
      </c>
      <c r="S2778" s="29">
        <v>0.17</v>
      </c>
      <c r="T2778" s="29">
        <v>12.98</v>
      </c>
      <c r="U2778" s="41">
        <v>7458.92</v>
      </c>
    </row>
    <row r="2779" spans="1:21">
      <c r="A2779" s="29" t="s">
        <v>138</v>
      </c>
      <c r="B2779" s="32">
        <v>42166</v>
      </c>
      <c r="C2779" s="29">
        <v>91.3</v>
      </c>
      <c r="D2779" s="35">
        <v>93</v>
      </c>
      <c r="E2779" s="35">
        <v>91.3</v>
      </c>
      <c r="F2779" s="33">
        <v>92.599997999999999</v>
      </c>
      <c r="G2779" s="29">
        <v>1.31</v>
      </c>
      <c r="H2779" s="29">
        <v>1.2</v>
      </c>
      <c r="I2779" s="35">
        <v>91.300003000000004</v>
      </c>
      <c r="J2779" s="34">
        <v>33704</v>
      </c>
      <c r="K2779" s="34">
        <v>3097298</v>
      </c>
      <c r="M2779" s="29" t="s">
        <v>128</v>
      </c>
      <c r="N2779" s="30">
        <v>42229</v>
      </c>
      <c r="O2779" s="41">
        <v>7474.87</v>
      </c>
      <c r="P2779" s="41">
        <v>7482.52</v>
      </c>
      <c r="Q2779" s="41">
        <v>7432.55</v>
      </c>
      <c r="R2779" s="31">
        <v>7442.75</v>
      </c>
      <c r="S2779" s="29">
        <v>-0.39</v>
      </c>
      <c r="T2779" s="29">
        <v>-29.15</v>
      </c>
      <c r="U2779" s="41">
        <v>7471.9</v>
      </c>
    </row>
    <row r="2780" spans="1:21">
      <c r="A2780" s="29" t="s">
        <v>138</v>
      </c>
      <c r="B2780" s="32">
        <v>42167</v>
      </c>
      <c r="C2780" s="29">
        <v>92</v>
      </c>
      <c r="D2780" s="35">
        <v>93</v>
      </c>
      <c r="E2780" s="35">
        <v>92</v>
      </c>
      <c r="F2780" s="33">
        <v>92.5</v>
      </c>
      <c r="G2780" s="29">
        <v>-0.11</v>
      </c>
      <c r="H2780" s="29">
        <v>-0.1</v>
      </c>
      <c r="I2780" s="35">
        <v>92.599997999999999</v>
      </c>
      <c r="J2780" s="34">
        <v>58721</v>
      </c>
      <c r="K2780" s="34">
        <v>5434257</v>
      </c>
      <c r="M2780" s="29" t="s">
        <v>128</v>
      </c>
      <c r="N2780" s="30">
        <v>42230</v>
      </c>
      <c r="O2780" s="41">
        <v>7438.3</v>
      </c>
      <c r="P2780" s="41">
        <v>7469.57</v>
      </c>
      <c r="Q2780" s="41">
        <v>7437.4</v>
      </c>
      <c r="R2780" s="31">
        <v>7462.34</v>
      </c>
      <c r="S2780" s="29">
        <v>0.26</v>
      </c>
      <c r="T2780" s="29">
        <v>19.59</v>
      </c>
      <c r="U2780" s="41">
        <v>7442.75</v>
      </c>
    </row>
    <row r="2781" spans="1:21">
      <c r="A2781" s="29" t="s">
        <v>138</v>
      </c>
      <c r="B2781" s="32">
        <v>42170</v>
      </c>
      <c r="C2781" s="29">
        <v>92.5</v>
      </c>
      <c r="D2781" s="35">
        <v>92.900002000000001</v>
      </c>
      <c r="E2781" s="35">
        <v>92</v>
      </c>
      <c r="F2781" s="33">
        <v>92</v>
      </c>
      <c r="G2781" s="29">
        <v>-0.54</v>
      </c>
      <c r="H2781" s="29">
        <v>-0.5</v>
      </c>
      <c r="I2781" s="35">
        <v>92.5</v>
      </c>
      <c r="J2781" s="34">
        <v>20994</v>
      </c>
      <c r="K2781" s="34">
        <v>1931838</v>
      </c>
      <c r="M2781" s="29" t="s">
        <v>128</v>
      </c>
      <c r="N2781" s="30">
        <v>42233</v>
      </c>
      <c r="O2781" s="41">
        <v>7469.75</v>
      </c>
      <c r="P2781" s="41">
        <v>7504.18</v>
      </c>
      <c r="Q2781" s="41">
        <v>7469.75</v>
      </c>
      <c r="R2781" s="31">
        <v>7492.04</v>
      </c>
      <c r="S2781" s="29">
        <v>0.4</v>
      </c>
      <c r="T2781" s="29">
        <v>29.7</v>
      </c>
      <c r="U2781" s="41">
        <v>7462.34</v>
      </c>
    </row>
    <row r="2782" spans="1:21">
      <c r="A2782" s="29" t="s">
        <v>138</v>
      </c>
      <c r="B2782" s="32">
        <v>42171</v>
      </c>
      <c r="C2782" s="29">
        <v>91.8</v>
      </c>
      <c r="D2782" s="35">
        <v>91.800003000000004</v>
      </c>
      <c r="E2782" s="35">
        <v>91</v>
      </c>
      <c r="F2782" s="33">
        <v>91.400002000000001</v>
      </c>
      <c r="G2782" s="29">
        <v>-0.87</v>
      </c>
      <c r="H2782" s="29">
        <v>-0.8</v>
      </c>
      <c r="I2782" s="35">
        <v>92</v>
      </c>
      <c r="J2782" s="34">
        <v>45744</v>
      </c>
      <c r="K2782" s="34">
        <v>4185268</v>
      </c>
      <c r="M2782" s="29" t="s">
        <v>128</v>
      </c>
      <c r="N2782" s="30">
        <v>42234</v>
      </c>
      <c r="O2782" s="41">
        <v>7501.1</v>
      </c>
      <c r="P2782" s="41">
        <v>7526.07</v>
      </c>
      <c r="Q2782" s="41">
        <v>7498.7</v>
      </c>
      <c r="R2782" s="31">
        <v>7498.7</v>
      </c>
      <c r="S2782" s="29">
        <v>0.09</v>
      </c>
      <c r="T2782" s="29">
        <v>6.66</v>
      </c>
      <c r="U2782" s="41">
        <v>7492.04</v>
      </c>
    </row>
    <row r="2783" spans="1:21">
      <c r="A2783" s="29" t="s">
        <v>138</v>
      </c>
      <c r="B2783" s="32">
        <v>42172</v>
      </c>
      <c r="C2783" s="29">
        <v>91.4</v>
      </c>
      <c r="D2783" s="35">
        <v>92</v>
      </c>
      <c r="E2783" s="35">
        <v>91.199996999999996</v>
      </c>
      <c r="F2783" s="33">
        <v>91.900002000000001</v>
      </c>
      <c r="G2783" s="29">
        <v>0.66</v>
      </c>
      <c r="H2783" s="29">
        <v>0.6</v>
      </c>
      <c r="I2783" s="35">
        <v>91.400002000000001</v>
      </c>
      <c r="J2783" s="34">
        <v>17436</v>
      </c>
      <c r="K2783" s="34">
        <v>1602609</v>
      </c>
      <c r="M2783" s="29" t="s">
        <v>128</v>
      </c>
      <c r="N2783" s="30">
        <v>42235</v>
      </c>
      <c r="O2783" s="41">
        <v>7498.76</v>
      </c>
      <c r="P2783" s="41">
        <v>7531.28</v>
      </c>
      <c r="Q2783" s="41">
        <v>7498.76</v>
      </c>
      <c r="R2783" s="31">
        <v>7498.78</v>
      </c>
      <c r="S2783" s="29">
        <v>0</v>
      </c>
      <c r="T2783" s="29">
        <v>0.08</v>
      </c>
      <c r="U2783" s="41">
        <v>7498.7</v>
      </c>
    </row>
    <row r="2784" spans="1:21">
      <c r="A2784" s="29" t="s">
        <v>138</v>
      </c>
      <c r="B2784" s="32">
        <v>42173</v>
      </c>
      <c r="C2784" s="29">
        <v>91.5</v>
      </c>
      <c r="D2784" s="35">
        <v>91.5</v>
      </c>
      <c r="E2784" s="35">
        <v>91.400002000000001</v>
      </c>
      <c r="F2784" s="33">
        <v>91.5</v>
      </c>
      <c r="G2784" s="29">
        <v>-0.44</v>
      </c>
      <c r="H2784" s="29">
        <v>-0.4</v>
      </c>
      <c r="I2784" s="35">
        <v>91.900002000000001</v>
      </c>
      <c r="J2784" s="34">
        <v>1200</v>
      </c>
      <c r="K2784" s="34">
        <v>109780</v>
      </c>
      <c r="M2784" s="29" t="s">
        <v>128</v>
      </c>
      <c r="N2784" s="30">
        <v>42236</v>
      </c>
      <c r="O2784" s="41">
        <v>7498.34</v>
      </c>
      <c r="P2784" s="41">
        <v>7500.14</v>
      </c>
      <c r="Q2784" s="41">
        <v>7445.25</v>
      </c>
      <c r="R2784" s="31">
        <v>7449.82</v>
      </c>
      <c r="S2784" s="29">
        <v>-0.65</v>
      </c>
      <c r="T2784" s="29">
        <v>-48.96</v>
      </c>
      <c r="U2784" s="41">
        <v>7498.78</v>
      </c>
    </row>
    <row r="2785" spans="1:21">
      <c r="A2785" s="29" t="s">
        <v>138</v>
      </c>
      <c r="B2785" s="32">
        <v>42174</v>
      </c>
      <c r="C2785" s="29">
        <v>92</v>
      </c>
      <c r="D2785" s="35">
        <v>93.900002000000001</v>
      </c>
      <c r="E2785" s="35">
        <v>91.5</v>
      </c>
      <c r="F2785" s="33">
        <v>92</v>
      </c>
      <c r="G2785" s="29">
        <v>0.55000000000000004</v>
      </c>
      <c r="H2785" s="29">
        <v>0.5</v>
      </c>
      <c r="I2785" s="35">
        <v>91.5</v>
      </c>
      <c r="J2785" s="34">
        <v>19046</v>
      </c>
      <c r="K2785" s="34">
        <v>1752146</v>
      </c>
      <c r="M2785" s="29" t="s">
        <v>128</v>
      </c>
      <c r="N2785" s="30">
        <v>42237</v>
      </c>
      <c r="O2785" s="41">
        <v>7449.06</v>
      </c>
      <c r="P2785" s="41">
        <v>7479.37</v>
      </c>
      <c r="Q2785" s="41">
        <v>7449.06</v>
      </c>
      <c r="R2785" s="31">
        <v>7471.17</v>
      </c>
      <c r="S2785" s="29">
        <v>0.28999999999999998</v>
      </c>
      <c r="T2785" s="29">
        <v>21.35</v>
      </c>
      <c r="U2785" s="41">
        <v>7449.82</v>
      </c>
    </row>
    <row r="2786" spans="1:21">
      <c r="A2786" s="29" t="s">
        <v>138</v>
      </c>
      <c r="B2786" s="32">
        <v>42177</v>
      </c>
      <c r="C2786" s="29">
        <v>92</v>
      </c>
      <c r="D2786" s="35">
        <v>92.800003000000004</v>
      </c>
      <c r="E2786" s="35">
        <v>91.599997999999999</v>
      </c>
      <c r="F2786" s="33">
        <v>92</v>
      </c>
      <c r="G2786" s="29">
        <v>0</v>
      </c>
      <c r="H2786" s="29">
        <v>0</v>
      </c>
      <c r="I2786" s="35">
        <v>92</v>
      </c>
      <c r="J2786" s="34">
        <v>23446</v>
      </c>
      <c r="K2786" s="34">
        <v>2156992</v>
      </c>
      <c r="M2786" s="29" t="s">
        <v>128</v>
      </c>
      <c r="N2786" s="30">
        <v>42240</v>
      </c>
      <c r="O2786" s="41">
        <v>7471.16</v>
      </c>
      <c r="P2786" s="41">
        <v>7473.51</v>
      </c>
      <c r="Q2786" s="41">
        <v>7324.93</v>
      </c>
      <c r="R2786" s="31">
        <v>7331.09</v>
      </c>
      <c r="S2786" s="29">
        <v>-1.87</v>
      </c>
      <c r="T2786" s="29">
        <v>-140.08000000000001</v>
      </c>
      <c r="U2786" s="41">
        <v>7471.17</v>
      </c>
    </row>
    <row r="2787" spans="1:21">
      <c r="A2787" s="29" t="s">
        <v>138</v>
      </c>
      <c r="B2787" s="32">
        <v>42178</v>
      </c>
      <c r="C2787" s="29">
        <v>91.7</v>
      </c>
      <c r="D2787" s="35">
        <v>93</v>
      </c>
      <c r="E2787" s="35">
        <v>91.599997999999999</v>
      </c>
      <c r="F2787" s="33">
        <v>93</v>
      </c>
      <c r="G2787" s="29">
        <v>0.98</v>
      </c>
      <c r="H2787" s="29">
        <v>0.9</v>
      </c>
      <c r="I2787" s="35">
        <v>92</v>
      </c>
      <c r="J2787" s="34">
        <v>35311</v>
      </c>
      <c r="K2787" s="34">
        <v>3271132</v>
      </c>
      <c r="M2787" s="29" t="s">
        <v>128</v>
      </c>
      <c r="N2787" s="30">
        <v>42241</v>
      </c>
      <c r="O2787" s="41">
        <v>7330.62</v>
      </c>
      <c r="P2787" s="41">
        <v>7343.71</v>
      </c>
      <c r="Q2787" s="41">
        <v>7231.58</v>
      </c>
      <c r="R2787" s="31">
        <v>7231.58</v>
      </c>
      <c r="S2787" s="29">
        <v>-1.36</v>
      </c>
      <c r="T2787" s="29">
        <v>-99.51</v>
      </c>
      <c r="U2787" s="41">
        <v>7331.09</v>
      </c>
    </row>
    <row r="2788" spans="1:21">
      <c r="A2788" s="29" t="s">
        <v>138</v>
      </c>
      <c r="B2788" s="32">
        <v>42179</v>
      </c>
      <c r="C2788" s="29">
        <v>93.5</v>
      </c>
      <c r="D2788" s="35">
        <v>94</v>
      </c>
      <c r="E2788" s="35">
        <v>92.699996999999996</v>
      </c>
      <c r="F2788" s="33">
        <v>92.699996999999996</v>
      </c>
      <c r="G2788" s="29">
        <v>-0.32</v>
      </c>
      <c r="H2788" s="29">
        <v>-0.3</v>
      </c>
      <c r="I2788" s="35">
        <v>93</v>
      </c>
      <c r="J2788" s="34">
        <v>13958</v>
      </c>
      <c r="K2788" s="34">
        <v>1308201</v>
      </c>
      <c r="M2788" s="29" t="s">
        <v>128</v>
      </c>
      <c r="N2788" s="30">
        <v>42242</v>
      </c>
      <c r="O2788" s="41">
        <v>7229.28</v>
      </c>
      <c r="P2788" s="41">
        <v>7287.87</v>
      </c>
      <c r="Q2788" s="41">
        <v>7228.38</v>
      </c>
      <c r="R2788" s="31">
        <v>7240.1</v>
      </c>
      <c r="S2788" s="29">
        <v>0.12</v>
      </c>
      <c r="T2788" s="29">
        <v>8.52</v>
      </c>
      <c r="U2788" s="41">
        <v>7231.58</v>
      </c>
    </row>
    <row r="2789" spans="1:21">
      <c r="A2789" s="29" t="s">
        <v>138</v>
      </c>
      <c r="B2789" s="32">
        <v>42180</v>
      </c>
      <c r="C2789" s="29">
        <v>92.7</v>
      </c>
      <c r="D2789" s="35">
        <v>92.800003000000004</v>
      </c>
      <c r="E2789" s="35">
        <v>91</v>
      </c>
      <c r="F2789" s="33">
        <v>91.199996999999996</v>
      </c>
      <c r="G2789" s="29">
        <v>-0.76</v>
      </c>
      <c r="H2789" s="29">
        <v>-0.7</v>
      </c>
      <c r="I2789" s="35">
        <v>92.699996999999996</v>
      </c>
      <c r="J2789" s="34">
        <v>9541</v>
      </c>
      <c r="K2789" s="34">
        <v>872475</v>
      </c>
      <c r="M2789" s="29" t="s">
        <v>128</v>
      </c>
      <c r="N2789" s="30">
        <v>42243</v>
      </c>
      <c r="O2789" s="41">
        <v>7241.86</v>
      </c>
      <c r="P2789" s="41">
        <v>7288.77</v>
      </c>
      <c r="Q2789" s="41">
        <v>7241.86</v>
      </c>
      <c r="R2789" s="31">
        <v>7273.14</v>
      </c>
      <c r="S2789" s="29">
        <v>0.46</v>
      </c>
      <c r="T2789" s="29">
        <v>33.04</v>
      </c>
      <c r="U2789" s="41">
        <v>7240.1</v>
      </c>
    </row>
    <row r="2790" spans="1:21">
      <c r="A2790" s="29" t="s">
        <v>138</v>
      </c>
      <c r="B2790" s="32">
        <v>42181</v>
      </c>
      <c r="C2790" s="29">
        <v>92.4</v>
      </c>
      <c r="D2790" s="35">
        <v>92.400002000000001</v>
      </c>
      <c r="E2790" s="35">
        <v>91</v>
      </c>
      <c r="F2790" s="33">
        <v>91</v>
      </c>
      <c r="G2790" s="29">
        <v>-0.22</v>
      </c>
      <c r="H2790" s="29">
        <v>-0.2</v>
      </c>
      <c r="I2790" s="35">
        <v>91.199996999999996</v>
      </c>
      <c r="J2790" s="34">
        <v>25964</v>
      </c>
      <c r="K2790" s="34">
        <v>2362729</v>
      </c>
      <c r="M2790" s="29" t="s">
        <v>128</v>
      </c>
      <c r="N2790" s="30">
        <v>42244</v>
      </c>
      <c r="O2790" s="41">
        <v>7274.73</v>
      </c>
      <c r="P2790" s="41">
        <v>7362.53</v>
      </c>
      <c r="Q2790" s="41">
        <v>7274.73</v>
      </c>
      <c r="R2790" s="31">
        <v>7350.52</v>
      </c>
      <c r="S2790" s="29">
        <v>1.06</v>
      </c>
      <c r="T2790" s="29">
        <v>77.38</v>
      </c>
      <c r="U2790" s="41">
        <v>7273.14</v>
      </c>
    </row>
    <row r="2791" spans="1:21">
      <c r="A2791" s="29" t="s">
        <v>138</v>
      </c>
      <c r="B2791" s="32">
        <v>42184</v>
      </c>
      <c r="C2791" s="29">
        <v>90.5</v>
      </c>
      <c r="D2791" s="35">
        <v>94</v>
      </c>
      <c r="E2791" s="35">
        <v>90.5</v>
      </c>
      <c r="F2791" s="33">
        <v>90.699996999999996</v>
      </c>
      <c r="G2791" s="29">
        <v>1.54</v>
      </c>
      <c r="H2791" s="29">
        <v>1.4</v>
      </c>
      <c r="I2791" s="35">
        <v>91</v>
      </c>
      <c r="J2791" s="34">
        <v>214518</v>
      </c>
      <c r="K2791" s="34">
        <v>19444812</v>
      </c>
      <c r="M2791" s="29" t="s">
        <v>128</v>
      </c>
      <c r="N2791" s="30">
        <v>42247</v>
      </c>
      <c r="O2791" s="41">
        <v>7354.9</v>
      </c>
      <c r="P2791" s="41">
        <v>7359.09</v>
      </c>
      <c r="Q2791" s="41">
        <v>7304.8</v>
      </c>
      <c r="R2791" s="31">
        <v>7306.94</v>
      </c>
      <c r="S2791" s="29">
        <v>-0.59</v>
      </c>
      <c r="T2791" s="29">
        <v>-43.58</v>
      </c>
      <c r="U2791" s="41">
        <v>7350.52</v>
      </c>
    </row>
    <row r="2792" spans="1:21">
      <c r="A2792" s="29" t="s">
        <v>138</v>
      </c>
      <c r="B2792" s="32">
        <v>42185</v>
      </c>
      <c r="C2792" s="29">
        <v>93</v>
      </c>
      <c r="D2792" s="35">
        <v>93</v>
      </c>
      <c r="E2792" s="35">
        <v>91</v>
      </c>
      <c r="F2792" s="33">
        <v>91</v>
      </c>
      <c r="G2792" s="29">
        <v>0.33</v>
      </c>
      <c r="H2792" s="29">
        <v>0.3</v>
      </c>
      <c r="I2792" s="35">
        <v>90.699996999999996</v>
      </c>
      <c r="J2792" s="34">
        <v>21047</v>
      </c>
      <c r="K2792" s="34">
        <v>1915326</v>
      </c>
      <c r="M2792" s="29" t="s">
        <v>128</v>
      </c>
      <c r="N2792" s="30">
        <v>42248</v>
      </c>
      <c r="O2792" s="41">
        <v>7306.87</v>
      </c>
      <c r="P2792" s="41">
        <v>7326.26</v>
      </c>
      <c r="Q2792" s="41">
        <v>7298.75</v>
      </c>
      <c r="R2792" s="31">
        <v>7298.75</v>
      </c>
      <c r="S2792" s="29">
        <v>-0.11</v>
      </c>
      <c r="T2792" s="29">
        <v>-8.19</v>
      </c>
      <c r="U2792" s="41">
        <v>7306.94</v>
      </c>
    </row>
    <row r="2793" spans="1:21">
      <c r="A2793" s="29" t="s">
        <v>138</v>
      </c>
      <c r="B2793" s="32">
        <v>42187</v>
      </c>
      <c r="C2793" s="29">
        <v>92</v>
      </c>
      <c r="D2793" s="35">
        <v>92.199996999999996</v>
      </c>
      <c r="E2793" s="35">
        <v>91</v>
      </c>
      <c r="F2793" s="33">
        <v>91</v>
      </c>
      <c r="G2793" s="29">
        <v>0</v>
      </c>
      <c r="H2793" s="29">
        <v>0</v>
      </c>
      <c r="I2793" s="35">
        <v>91</v>
      </c>
      <c r="J2793" s="34">
        <v>60398</v>
      </c>
      <c r="K2793" s="34">
        <v>5496538</v>
      </c>
      <c r="M2793" s="29" t="s">
        <v>128</v>
      </c>
      <c r="N2793" s="30">
        <v>42249</v>
      </c>
      <c r="O2793" s="41">
        <v>7299.15</v>
      </c>
      <c r="P2793" s="41">
        <v>7299.2</v>
      </c>
      <c r="Q2793" s="41">
        <v>7240.39</v>
      </c>
      <c r="R2793" s="31">
        <v>7240.39</v>
      </c>
      <c r="S2793" s="29">
        <v>-0.8</v>
      </c>
      <c r="T2793" s="29">
        <v>-58.36</v>
      </c>
      <c r="U2793" s="41">
        <v>7298.75</v>
      </c>
    </row>
    <row r="2794" spans="1:21">
      <c r="A2794" s="29" t="s">
        <v>138</v>
      </c>
      <c r="B2794" s="32">
        <v>42188</v>
      </c>
      <c r="C2794" s="29">
        <v>92</v>
      </c>
      <c r="D2794" s="35">
        <v>92</v>
      </c>
      <c r="E2794" s="35">
        <v>91.599997999999999</v>
      </c>
      <c r="F2794" s="33">
        <v>91.599997999999999</v>
      </c>
      <c r="G2794" s="29">
        <v>0.66</v>
      </c>
      <c r="H2794" s="29">
        <v>0.6</v>
      </c>
      <c r="I2794" s="35">
        <v>91</v>
      </c>
      <c r="J2794" s="34">
        <v>135</v>
      </c>
      <c r="K2794" s="34">
        <v>12368</v>
      </c>
      <c r="M2794" s="29" t="s">
        <v>128</v>
      </c>
      <c r="N2794" s="30">
        <v>42250</v>
      </c>
      <c r="O2794" s="41">
        <v>7240.57</v>
      </c>
      <c r="P2794" s="41">
        <v>7262.13</v>
      </c>
      <c r="Q2794" s="41">
        <v>7239.72</v>
      </c>
      <c r="R2794" s="31">
        <v>7245.5</v>
      </c>
      <c r="S2794" s="29">
        <v>7.0000000000000007E-2</v>
      </c>
      <c r="T2794" s="29">
        <v>5.1100000000000003</v>
      </c>
      <c r="U2794" s="41">
        <v>7240.39</v>
      </c>
    </row>
    <row r="2795" spans="1:21">
      <c r="A2795" s="29" t="s">
        <v>138</v>
      </c>
      <c r="B2795" s="32">
        <v>42191</v>
      </c>
      <c r="C2795" s="29">
        <v>91</v>
      </c>
      <c r="D2795" s="35">
        <v>92</v>
      </c>
      <c r="E2795" s="35">
        <v>91</v>
      </c>
      <c r="F2795" s="33">
        <v>91.099997999999999</v>
      </c>
      <c r="G2795" s="29">
        <v>-0.55000000000000004</v>
      </c>
      <c r="H2795" s="29">
        <v>-0.5</v>
      </c>
      <c r="I2795" s="35">
        <v>91.599997999999999</v>
      </c>
      <c r="J2795" s="34">
        <v>33302</v>
      </c>
      <c r="K2795" s="34">
        <v>3034114</v>
      </c>
      <c r="M2795" s="29" t="s">
        <v>128</v>
      </c>
      <c r="N2795" s="30">
        <v>42251</v>
      </c>
      <c r="O2795" s="41">
        <v>7249.74</v>
      </c>
      <c r="P2795" s="41">
        <v>7252.6</v>
      </c>
      <c r="Q2795" s="41">
        <v>7215.11</v>
      </c>
      <c r="R2795" s="31">
        <v>7215.11</v>
      </c>
      <c r="S2795" s="29">
        <v>-0.42</v>
      </c>
      <c r="T2795" s="29">
        <v>-30.39</v>
      </c>
      <c r="U2795" s="41">
        <v>7245.5</v>
      </c>
    </row>
    <row r="2796" spans="1:21">
      <c r="A2796" s="29" t="s">
        <v>138</v>
      </c>
      <c r="B2796" s="32">
        <v>42192</v>
      </c>
      <c r="C2796" s="29">
        <v>90.2</v>
      </c>
      <c r="D2796" s="35">
        <v>90.900002000000001</v>
      </c>
      <c r="E2796" s="35">
        <v>89.300003000000004</v>
      </c>
      <c r="F2796" s="33">
        <v>89.800003000000004</v>
      </c>
      <c r="G2796" s="29">
        <v>-0.22</v>
      </c>
      <c r="H2796" s="29">
        <v>-0.2</v>
      </c>
      <c r="I2796" s="35">
        <v>91.099997999999999</v>
      </c>
      <c r="J2796" s="34">
        <v>2013</v>
      </c>
      <c r="K2796" s="34">
        <v>181033</v>
      </c>
      <c r="M2796" s="29" t="s">
        <v>128</v>
      </c>
      <c r="N2796" s="30">
        <v>42254</v>
      </c>
      <c r="O2796" s="41">
        <v>7211.78</v>
      </c>
      <c r="P2796" s="41">
        <v>7223.32</v>
      </c>
      <c r="Q2796" s="41">
        <v>7149.7</v>
      </c>
      <c r="R2796" s="31">
        <v>7149.7</v>
      </c>
      <c r="S2796" s="29">
        <v>-0.91</v>
      </c>
      <c r="T2796" s="29">
        <v>-65.41</v>
      </c>
      <c r="U2796" s="41">
        <v>7215.11</v>
      </c>
    </row>
    <row r="2797" spans="1:21">
      <c r="A2797" s="29" t="s">
        <v>138</v>
      </c>
      <c r="B2797" s="32">
        <v>42193</v>
      </c>
      <c r="C2797" s="29">
        <v>91</v>
      </c>
      <c r="D2797" s="35">
        <v>91</v>
      </c>
      <c r="E2797" s="35">
        <v>89.800003000000004</v>
      </c>
      <c r="F2797" s="33">
        <v>89.800003000000004</v>
      </c>
      <c r="G2797" s="29">
        <v>1.34</v>
      </c>
      <c r="H2797" s="29">
        <v>1.2</v>
      </c>
      <c r="I2797" s="35">
        <v>89.800003000000004</v>
      </c>
      <c r="J2797" s="34">
        <v>5</v>
      </c>
      <c r="K2797" s="34">
        <v>455</v>
      </c>
      <c r="M2797" s="29" t="s">
        <v>128</v>
      </c>
      <c r="N2797" s="30">
        <v>42255</v>
      </c>
      <c r="O2797" s="41">
        <v>7149.25</v>
      </c>
      <c r="P2797" s="41">
        <v>7157.85</v>
      </c>
      <c r="Q2797" s="41">
        <v>7121.29</v>
      </c>
      <c r="R2797" s="31">
        <v>7124.46</v>
      </c>
      <c r="S2797" s="29">
        <v>-0.35</v>
      </c>
      <c r="T2797" s="29">
        <v>-25.24</v>
      </c>
      <c r="U2797" s="41">
        <v>7149.7</v>
      </c>
    </row>
    <row r="2798" spans="1:21">
      <c r="A2798" s="29" t="s">
        <v>138</v>
      </c>
      <c r="B2798" s="32">
        <v>42194</v>
      </c>
      <c r="C2798" s="29">
        <v>90.9</v>
      </c>
      <c r="D2798" s="35">
        <v>92</v>
      </c>
      <c r="E2798" s="35">
        <v>90</v>
      </c>
      <c r="F2798" s="33">
        <v>91</v>
      </c>
      <c r="G2798" s="29">
        <v>2.4500000000000002</v>
      </c>
      <c r="H2798" s="29">
        <v>2.2000000000000002</v>
      </c>
      <c r="I2798" s="35">
        <v>89.800003000000004</v>
      </c>
      <c r="J2798" s="34">
        <v>35860</v>
      </c>
      <c r="K2798" s="34">
        <v>3259683</v>
      </c>
      <c r="M2798" s="29" t="s">
        <v>128</v>
      </c>
      <c r="N2798" s="30">
        <v>42256</v>
      </c>
      <c r="O2798" s="41">
        <v>7126.39</v>
      </c>
      <c r="P2798" s="41">
        <v>7186.38</v>
      </c>
      <c r="Q2798" s="41">
        <v>7124.78</v>
      </c>
      <c r="R2798" s="31">
        <v>7183.25</v>
      </c>
      <c r="S2798" s="29">
        <v>0.83</v>
      </c>
      <c r="T2798" s="29">
        <v>58.79</v>
      </c>
      <c r="U2798" s="41">
        <v>7124.46</v>
      </c>
    </row>
    <row r="2799" spans="1:21">
      <c r="A2799" s="29" t="s">
        <v>138</v>
      </c>
      <c r="B2799" s="32">
        <v>42195</v>
      </c>
      <c r="C2799" s="29">
        <v>92.9</v>
      </c>
      <c r="D2799" s="35">
        <v>92.900002000000001</v>
      </c>
      <c r="E2799" s="35">
        <v>90.5</v>
      </c>
      <c r="F2799" s="33">
        <v>92</v>
      </c>
      <c r="G2799" s="29">
        <v>2.09</v>
      </c>
      <c r="H2799" s="29">
        <v>1.9</v>
      </c>
      <c r="I2799" s="35">
        <v>91</v>
      </c>
      <c r="J2799" s="34">
        <v>22904</v>
      </c>
      <c r="K2799" s="34">
        <v>2104022</v>
      </c>
      <c r="M2799" s="29" t="s">
        <v>128</v>
      </c>
      <c r="N2799" s="30">
        <v>42257</v>
      </c>
      <c r="O2799" s="41">
        <v>7187.2</v>
      </c>
      <c r="P2799" s="41">
        <v>7189.58</v>
      </c>
      <c r="Q2799" s="41">
        <v>7157.12</v>
      </c>
      <c r="R2799" s="31">
        <v>7159.94</v>
      </c>
      <c r="S2799" s="29">
        <v>-0.32</v>
      </c>
      <c r="T2799" s="29">
        <v>-23.31</v>
      </c>
      <c r="U2799" s="41">
        <v>7183.25</v>
      </c>
    </row>
    <row r="2800" spans="1:21">
      <c r="A2800" s="29" t="s">
        <v>138</v>
      </c>
      <c r="B2800" s="32">
        <v>42198</v>
      </c>
      <c r="C2800" s="29">
        <v>93</v>
      </c>
      <c r="D2800" s="35">
        <v>93</v>
      </c>
      <c r="E2800" s="35">
        <v>93</v>
      </c>
      <c r="F2800" s="33">
        <v>93</v>
      </c>
      <c r="G2800" s="29">
        <v>1.0900000000000001</v>
      </c>
      <c r="H2800" s="29">
        <v>1</v>
      </c>
      <c r="I2800" s="35">
        <v>92</v>
      </c>
      <c r="J2800" s="34">
        <v>102</v>
      </c>
      <c r="K2800" s="34">
        <v>9486</v>
      </c>
      <c r="M2800" s="29" t="s">
        <v>128</v>
      </c>
      <c r="N2800" s="30">
        <v>42258</v>
      </c>
      <c r="O2800" s="41">
        <v>7162.86</v>
      </c>
      <c r="P2800" s="41">
        <v>7167.95</v>
      </c>
      <c r="Q2800" s="41">
        <v>7149.55</v>
      </c>
      <c r="R2800" s="31">
        <v>7153.49</v>
      </c>
      <c r="S2800" s="29">
        <v>-0.09</v>
      </c>
      <c r="T2800" s="29">
        <v>-6.45</v>
      </c>
      <c r="U2800" s="41">
        <v>7159.94</v>
      </c>
    </row>
    <row r="2801" spans="1:21">
      <c r="A2801" s="29" t="s">
        <v>138</v>
      </c>
      <c r="B2801" s="32">
        <v>42199</v>
      </c>
      <c r="C2801" s="29">
        <v>92</v>
      </c>
      <c r="D2801" s="35">
        <v>94</v>
      </c>
      <c r="E2801" s="35">
        <v>92</v>
      </c>
      <c r="F2801" s="33">
        <v>93</v>
      </c>
      <c r="G2801" s="29">
        <v>0.54</v>
      </c>
      <c r="H2801" s="29">
        <v>0.5</v>
      </c>
      <c r="I2801" s="35">
        <v>93</v>
      </c>
      <c r="J2801" s="34">
        <v>61004</v>
      </c>
      <c r="K2801" s="34">
        <v>5674068</v>
      </c>
      <c r="M2801" s="29" t="s">
        <v>128</v>
      </c>
      <c r="N2801" s="30">
        <v>42261</v>
      </c>
      <c r="O2801" s="41">
        <v>7154.76</v>
      </c>
      <c r="P2801" s="41">
        <v>7166.94</v>
      </c>
      <c r="Q2801" s="41">
        <v>7154.38</v>
      </c>
      <c r="R2801" s="31">
        <v>7162.44</v>
      </c>
      <c r="S2801" s="29">
        <v>0.13</v>
      </c>
      <c r="T2801" s="29">
        <v>8.9499999999999993</v>
      </c>
      <c r="U2801" s="41">
        <v>7153.49</v>
      </c>
    </row>
    <row r="2802" spans="1:21">
      <c r="A2802" s="29" t="s">
        <v>138</v>
      </c>
      <c r="B2802" s="32">
        <v>42200</v>
      </c>
      <c r="C2802" s="29">
        <v>93.9</v>
      </c>
      <c r="D2802" s="35">
        <v>95</v>
      </c>
      <c r="E2802" s="35">
        <v>93.5</v>
      </c>
      <c r="F2802" s="33">
        <v>94.300003000000004</v>
      </c>
      <c r="G2802" s="29">
        <v>1.08</v>
      </c>
      <c r="H2802" s="29">
        <v>1</v>
      </c>
      <c r="I2802" s="35">
        <v>93</v>
      </c>
      <c r="J2802" s="34">
        <v>231124</v>
      </c>
      <c r="K2802" s="34">
        <v>21846740</v>
      </c>
      <c r="M2802" s="29" t="s">
        <v>128</v>
      </c>
      <c r="N2802" s="30">
        <v>42262</v>
      </c>
      <c r="O2802" s="41">
        <v>7162.36</v>
      </c>
      <c r="P2802" s="41">
        <v>7175.54</v>
      </c>
      <c r="Q2802" s="41">
        <v>7148.25</v>
      </c>
      <c r="R2802" s="31">
        <v>7152.43</v>
      </c>
      <c r="S2802" s="29">
        <v>-0.14000000000000001</v>
      </c>
      <c r="T2802" s="29">
        <v>-10.01</v>
      </c>
      <c r="U2802" s="41">
        <v>7162.44</v>
      </c>
    </row>
    <row r="2803" spans="1:21">
      <c r="A2803" s="29" t="s">
        <v>138</v>
      </c>
      <c r="B2803" s="32">
        <v>42201</v>
      </c>
      <c r="C2803" s="29">
        <v>94.9</v>
      </c>
      <c r="D2803" s="35">
        <v>95</v>
      </c>
      <c r="E2803" s="35">
        <v>92.5</v>
      </c>
      <c r="F2803" s="33">
        <v>92.800003000000004</v>
      </c>
      <c r="G2803" s="29">
        <v>-0.42</v>
      </c>
      <c r="H2803" s="29">
        <v>-0.4</v>
      </c>
      <c r="I2803" s="35">
        <v>94.300003000000004</v>
      </c>
      <c r="J2803" s="34">
        <v>40799</v>
      </c>
      <c r="K2803" s="34">
        <v>3798809</v>
      </c>
      <c r="M2803" s="29" t="s">
        <v>128</v>
      </c>
      <c r="N2803" s="30">
        <v>42263</v>
      </c>
      <c r="O2803" s="41">
        <v>7152.77</v>
      </c>
      <c r="P2803" s="41">
        <v>7161.23</v>
      </c>
      <c r="Q2803" s="41">
        <v>7126.64</v>
      </c>
      <c r="R2803" s="31">
        <v>7137.4</v>
      </c>
      <c r="S2803" s="29">
        <v>-0.21</v>
      </c>
      <c r="T2803" s="29">
        <v>-15.03</v>
      </c>
      <c r="U2803" s="41">
        <v>7152.43</v>
      </c>
    </row>
    <row r="2804" spans="1:21">
      <c r="A2804" s="29" t="s">
        <v>138</v>
      </c>
      <c r="B2804" s="32">
        <v>42202</v>
      </c>
      <c r="C2804" s="29">
        <v>93.1</v>
      </c>
      <c r="D2804" s="35">
        <v>94.599997999999999</v>
      </c>
      <c r="E2804" s="35">
        <v>93.099997999999999</v>
      </c>
      <c r="F2804" s="33">
        <v>93.5</v>
      </c>
      <c r="G2804" s="29">
        <v>0.75</v>
      </c>
      <c r="H2804" s="29">
        <v>0.7</v>
      </c>
      <c r="I2804" s="35">
        <v>92.800003000000004</v>
      </c>
      <c r="J2804" s="34">
        <v>8402</v>
      </c>
      <c r="K2804" s="34">
        <v>788978</v>
      </c>
      <c r="M2804" s="29" t="s">
        <v>128</v>
      </c>
      <c r="N2804" s="30">
        <v>42264</v>
      </c>
      <c r="O2804" s="41">
        <v>7138.67</v>
      </c>
      <c r="P2804" s="41">
        <v>7147.07</v>
      </c>
      <c r="Q2804" s="41">
        <v>7109.31</v>
      </c>
      <c r="R2804" s="31">
        <v>7113.51</v>
      </c>
      <c r="S2804" s="29">
        <v>-0.33</v>
      </c>
      <c r="T2804" s="29">
        <v>-23.89</v>
      </c>
      <c r="U2804" s="41">
        <v>7137.4</v>
      </c>
    </row>
    <row r="2805" spans="1:21">
      <c r="A2805" s="29" t="s">
        <v>138</v>
      </c>
      <c r="B2805" s="32">
        <v>42205</v>
      </c>
      <c r="C2805" s="29">
        <v>94.5</v>
      </c>
      <c r="D2805" s="35">
        <v>94.5</v>
      </c>
      <c r="E2805" s="35">
        <v>93.5</v>
      </c>
      <c r="F2805" s="33">
        <v>94</v>
      </c>
      <c r="G2805" s="29">
        <v>0.86</v>
      </c>
      <c r="H2805" s="29">
        <v>0.8</v>
      </c>
      <c r="I2805" s="35">
        <v>93.5</v>
      </c>
      <c r="J2805" s="34">
        <v>8780</v>
      </c>
      <c r="K2805" s="34">
        <v>825404</v>
      </c>
      <c r="M2805" s="29" t="s">
        <v>128</v>
      </c>
      <c r="N2805" s="30">
        <v>42265</v>
      </c>
      <c r="O2805" s="41">
        <v>7115.08</v>
      </c>
      <c r="P2805" s="41">
        <v>7119.77</v>
      </c>
      <c r="Q2805" s="41">
        <v>7102.37</v>
      </c>
      <c r="R2805" s="31">
        <v>7107.87</v>
      </c>
      <c r="S2805" s="29">
        <v>-0.08</v>
      </c>
      <c r="T2805" s="29">
        <v>-5.64</v>
      </c>
      <c r="U2805" s="41">
        <v>7113.51</v>
      </c>
    </row>
    <row r="2806" spans="1:21">
      <c r="A2806" s="29" t="s">
        <v>138</v>
      </c>
      <c r="B2806" s="32">
        <v>42206</v>
      </c>
      <c r="C2806" s="29">
        <v>94.3</v>
      </c>
      <c r="D2806" s="35">
        <v>94.300003000000004</v>
      </c>
      <c r="E2806" s="35">
        <v>93.599997999999999</v>
      </c>
      <c r="F2806" s="33">
        <v>94</v>
      </c>
      <c r="G2806" s="29">
        <v>0</v>
      </c>
      <c r="H2806" s="29">
        <v>0</v>
      </c>
      <c r="I2806" s="35">
        <v>94</v>
      </c>
      <c r="J2806" s="34">
        <v>15550</v>
      </c>
      <c r="K2806" s="34">
        <v>1459847</v>
      </c>
      <c r="M2806" s="29" t="s">
        <v>128</v>
      </c>
      <c r="N2806" s="30">
        <v>42268</v>
      </c>
      <c r="O2806" s="41">
        <v>7110.2</v>
      </c>
      <c r="P2806" s="41">
        <v>7116.85</v>
      </c>
      <c r="Q2806" s="41">
        <v>7101.67</v>
      </c>
      <c r="R2806" s="31">
        <v>7104.37</v>
      </c>
      <c r="S2806" s="29">
        <v>-0.05</v>
      </c>
      <c r="T2806" s="29">
        <v>-3.5</v>
      </c>
      <c r="U2806" s="41">
        <v>7107.87</v>
      </c>
    </row>
    <row r="2807" spans="1:21">
      <c r="A2807" s="29" t="s">
        <v>138</v>
      </c>
      <c r="B2807" s="32">
        <v>42207</v>
      </c>
      <c r="C2807" s="29">
        <v>93.3</v>
      </c>
      <c r="D2807" s="35">
        <v>94.5</v>
      </c>
      <c r="E2807" s="35">
        <v>93.3</v>
      </c>
      <c r="F2807" s="33">
        <v>94.099997999999999</v>
      </c>
      <c r="G2807" s="29">
        <v>0.11</v>
      </c>
      <c r="H2807" s="29">
        <v>0.1</v>
      </c>
      <c r="I2807" s="35">
        <v>94</v>
      </c>
      <c r="J2807" s="34">
        <v>25414</v>
      </c>
      <c r="K2807" s="34">
        <v>2390081</v>
      </c>
      <c r="M2807" s="29" t="s">
        <v>128</v>
      </c>
      <c r="N2807" s="30">
        <v>42269</v>
      </c>
      <c r="O2807" s="41">
        <v>7104.88</v>
      </c>
      <c r="P2807" s="41">
        <v>7130.29</v>
      </c>
      <c r="Q2807" s="41">
        <v>7101.22</v>
      </c>
      <c r="R2807" s="31">
        <v>7118.38</v>
      </c>
      <c r="S2807" s="29">
        <v>0.2</v>
      </c>
      <c r="T2807" s="29">
        <v>14.01</v>
      </c>
      <c r="U2807" s="41">
        <v>7104.37</v>
      </c>
    </row>
    <row r="2808" spans="1:21">
      <c r="A2808" s="29" t="s">
        <v>138</v>
      </c>
      <c r="B2808" s="32">
        <v>42208</v>
      </c>
      <c r="C2808" s="29">
        <v>94.5</v>
      </c>
      <c r="D2808" s="35">
        <v>95</v>
      </c>
      <c r="E2808" s="35">
        <v>93</v>
      </c>
      <c r="F2808" s="33">
        <v>95</v>
      </c>
      <c r="G2808" s="29">
        <v>0.96</v>
      </c>
      <c r="H2808" s="29">
        <v>0.9</v>
      </c>
      <c r="I2808" s="35">
        <v>94.099997999999999</v>
      </c>
      <c r="J2808" s="34">
        <v>52420</v>
      </c>
      <c r="K2808" s="34">
        <v>4958646</v>
      </c>
      <c r="M2808" s="29" t="s">
        <v>128</v>
      </c>
      <c r="N2808" s="30">
        <v>42270</v>
      </c>
      <c r="O2808" s="41">
        <v>7119.74</v>
      </c>
      <c r="P2808" s="41">
        <v>7136.11</v>
      </c>
      <c r="Q2808" s="41">
        <v>7107.7</v>
      </c>
      <c r="R2808" s="31">
        <v>7114.83</v>
      </c>
      <c r="S2808" s="29">
        <v>-0.05</v>
      </c>
      <c r="T2808" s="29">
        <v>-3.55</v>
      </c>
      <c r="U2808" s="41">
        <v>7118.38</v>
      </c>
    </row>
    <row r="2809" spans="1:21">
      <c r="A2809" s="29" t="s">
        <v>138</v>
      </c>
      <c r="B2809" s="32">
        <v>42209</v>
      </c>
      <c r="C2809" s="29">
        <v>95</v>
      </c>
      <c r="D2809" s="35">
        <v>96.900002000000001</v>
      </c>
      <c r="E2809" s="35">
        <v>95</v>
      </c>
      <c r="F2809" s="33">
        <v>96</v>
      </c>
      <c r="G2809" s="29">
        <v>2</v>
      </c>
      <c r="H2809" s="29">
        <v>1.9</v>
      </c>
      <c r="I2809" s="35">
        <v>95</v>
      </c>
      <c r="J2809" s="34">
        <v>156650</v>
      </c>
      <c r="K2809" s="34">
        <v>14978959</v>
      </c>
      <c r="M2809" s="29" t="s">
        <v>128</v>
      </c>
      <c r="N2809" s="30">
        <v>42272</v>
      </c>
      <c r="O2809" s="41">
        <v>7120.41</v>
      </c>
      <c r="P2809" s="41">
        <v>7127.76</v>
      </c>
      <c r="Q2809" s="41">
        <v>7106.92</v>
      </c>
      <c r="R2809" s="31">
        <v>7110.8</v>
      </c>
      <c r="S2809" s="29">
        <v>-0.06</v>
      </c>
      <c r="T2809" s="29">
        <v>-4.03</v>
      </c>
      <c r="U2809" s="41">
        <v>7114.83</v>
      </c>
    </row>
    <row r="2810" spans="1:21">
      <c r="A2810" s="29" t="s">
        <v>138</v>
      </c>
      <c r="B2810" s="32">
        <v>42212</v>
      </c>
      <c r="C2810" s="29">
        <v>97</v>
      </c>
      <c r="D2810" s="35">
        <v>98.699996999999996</v>
      </c>
      <c r="E2810" s="35">
        <v>96.199996999999996</v>
      </c>
      <c r="F2810" s="33">
        <v>96.900002000000001</v>
      </c>
      <c r="G2810" s="29">
        <v>0.21</v>
      </c>
      <c r="H2810" s="29">
        <v>0.2</v>
      </c>
      <c r="I2810" s="35">
        <v>96</v>
      </c>
      <c r="J2810" s="34">
        <v>291172</v>
      </c>
      <c r="K2810" s="34">
        <v>28363138</v>
      </c>
      <c r="M2810" s="29" t="s">
        <v>128</v>
      </c>
      <c r="N2810" s="30">
        <v>42275</v>
      </c>
      <c r="O2810" s="41">
        <v>7113.15</v>
      </c>
      <c r="P2810" s="41">
        <v>7113.7</v>
      </c>
      <c r="Q2810" s="41">
        <v>7078.64</v>
      </c>
      <c r="R2810" s="31">
        <v>7078.64</v>
      </c>
      <c r="S2810" s="29">
        <v>-0.45</v>
      </c>
      <c r="T2810" s="29">
        <v>-32.159999999999997</v>
      </c>
      <c r="U2810" s="41">
        <v>7110.8</v>
      </c>
    </row>
    <row r="2811" spans="1:21">
      <c r="A2811" s="29" t="s">
        <v>138</v>
      </c>
      <c r="B2811" s="32">
        <v>42213</v>
      </c>
      <c r="C2811" s="29">
        <v>98.5</v>
      </c>
      <c r="D2811" s="35">
        <v>98.5</v>
      </c>
      <c r="E2811" s="35">
        <v>97.900002000000001</v>
      </c>
      <c r="F2811" s="33">
        <v>97.900002000000001</v>
      </c>
      <c r="G2811" s="29">
        <v>1.03</v>
      </c>
      <c r="H2811" s="29">
        <v>1</v>
      </c>
      <c r="I2811" s="35">
        <v>96.900002000000001</v>
      </c>
      <c r="J2811" s="34">
        <v>22782</v>
      </c>
      <c r="K2811" s="34">
        <v>2237662</v>
      </c>
      <c r="M2811" s="29" t="s">
        <v>128</v>
      </c>
      <c r="N2811" s="30">
        <v>42276</v>
      </c>
      <c r="O2811" s="41">
        <v>7082.76</v>
      </c>
      <c r="P2811" s="41">
        <v>7099.47</v>
      </c>
      <c r="Q2811" s="41">
        <v>7082.05</v>
      </c>
      <c r="R2811" s="31">
        <v>7085.38</v>
      </c>
      <c r="S2811" s="29">
        <v>0.1</v>
      </c>
      <c r="T2811" s="29">
        <v>6.74</v>
      </c>
      <c r="U2811" s="41">
        <v>7078.64</v>
      </c>
    </row>
    <row r="2812" spans="1:21">
      <c r="A2812" s="29" t="s">
        <v>138</v>
      </c>
      <c r="B2812" s="32">
        <v>42214</v>
      </c>
      <c r="C2812" s="29">
        <v>98.1</v>
      </c>
      <c r="D2812" s="35">
        <v>100</v>
      </c>
      <c r="E2812" s="35">
        <v>97.099997999999999</v>
      </c>
      <c r="F2812" s="33">
        <v>99.699996999999996</v>
      </c>
      <c r="G2812" s="29">
        <v>2.15</v>
      </c>
      <c r="H2812" s="29">
        <v>2.1</v>
      </c>
      <c r="I2812" s="35">
        <v>97.900002000000001</v>
      </c>
      <c r="J2812" s="34">
        <v>248306</v>
      </c>
      <c r="K2812" s="34">
        <v>24573812</v>
      </c>
      <c r="M2812" s="29" t="s">
        <v>128</v>
      </c>
      <c r="N2812" s="30">
        <v>42277</v>
      </c>
      <c r="O2812" s="41">
        <v>7086.66</v>
      </c>
      <c r="P2812" s="41">
        <v>7095.75</v>
      </c>
      <c r="Q2812" s="41">
        <v>7050.87</v>
      </c>
      <c r="R2812" s="31">
        <v>7050.87</v>
      </c>
      <c r="S2812" s="29">
        <v>-0.49</v>
      </c>
      <c r="T2812" s="29">
        <v>-34.51</v>
      </c>
      <c r="U2812" s="41">
        <v>7085.38</v>
      </c>
    </row>
    <row r="2813" spans="1:21">
      <c r="A2813" s="29" t="s">
        <v>138</v>
      </c>
      <c r="B2813" s="32">
        <v>42215</v>
      </c>
      <c r="C2813" s="29">
        <v>101</v>
      </c>
      <c r="D2813" s="35">
        <v>103</v>
      </c>
      <c r="E2813" s="35">
        <v>101</v>
      </c>
      <c r="F2813" s="33">
        <v>102.099998</v>
      </c>
      <c r="G2813" s="29">
        <v>2.81</v>
      </c>
      <c r="H2813" s="29">
        <v>2.8</v>
      </c>
      <c r="I2813" s="35">
        <v>99.699996999999996</v>
      </c>
      <c r="J2813" s="34">
        <v>166286</v>
      </c>
      <c r="K2813" s="34">
        <v>16945786</v>
      </c>
      <c r="M2813" s="29" t="s">
        <v>128</v>
      </c>
      <c r="N2813" s="30">
        <v>42278</v>
      </c>
      <c r="O2813" s="41">
        <v>7053.33</v>
      </c>
      <c r="P2813" s="41">
        <v>7086.29</v>
      </c>
      <c r="Q2813" s="41">
        <v>7053.33</v>
      </c>
      <c r="R2813" s="31">
        <v>7080.48</v>
      </c>
      <c r="S2813" s="29">
        <v>0.42</v>
      </c>
      <c r="T2813" s="29">
        <v>29.61</v>
      </c>
      <c r="U2813" s="41">
        <v>7050.87</v>
      </c>
    </row>
    <row r="2814" spans="1:21">
      <c r="A2814" s="29" t="s">
        <v>138</v>
      </c>
      <c r="B2814" s="32">
        <v>42219</v>
      </c>
      <c r="C2814" s="29">
        <v>103</v>
      </c>
      <c r="D2814" s="35">
        <v>104</v>
      </c>
      <c r="E2814" s="35">
        <v>102.800003</v>
      </c>
      <c r="F2814" s="33">
        <v>103.400002</v>
      </c>
      <c r="G2814" s="29">
        <v>1.57</v>
      </c>
      <c r="H2814" s="29">
        <v>1.6</v>
      </c>
      <c r="I2814" s="35">
        <v>102.099998</v>
      </c>
      <c r="J2814" s="34">
        <v>88504</v>
      </c>
      <c r="K2814" s="34">
        <v>9143453</v>
      </c>
      <c r="M2814" s="29" t="s">
        <v>128</v>
      </c>
      <c r="N2814" s="30">
        <v>42279</v>
      </c>
      <c r="O2814" s="41">
        <v>7081.06</v>
      </c>
      <c r="P2814" s="41">
        <v>7115.44</v>
      </c>
      <c r="Q2814" s="41">
        <v>7076.51</v>
      </c>
      <c r="R2814" s="31">
        <v>7105.54</v>
      </c>
      <c r="S2814" s="29">
        <v>0.35</v>
      </c>
      <c r="T2814" s="29">
        <v>25.06</v>
      </c>
      <c r="U2814" s="41">
        <v>7080.48</v>
      </c>
    </row>
    <row r="2815" spans="1:21">
      <c r="A2815" s="29" t="s">
        <v>138</v>
      </c>
      <c r="B2815" s="32">
        <v>42220</v>
      </c>
      <c r="C2815" s="29">
        <v>104.5</v>
      </c>
      <c r="D2815" s="35">
        <v>106</v>
      </c>
      <c r="E2815" s="35">
        <v>104</v>
      </c>
      <c r="F2815" s="33">
        <v>105.199997</v>
      </c>
      <c r="G2815" s="29">
        <v>2.5099999999999998</v>
      </c>
      <c r="H2815" s="29">
        <v>2.6</v>
      </c>
      <c r="I2815" s="35">
        <v>103.400002</v>
      </c>
      <c r="J2815" s="34">
        <v>323709</v>
      </c>
      <c r="K2815" s="34">
        <v>33925800</v>
      </c>
      <c r="M2815" s="29" t="s">
        <v>128</v>
      </c>
      <c r="N2815" s="30">
        <v>42282</v>
      </c>
      <c r="O2815" s="41">
        <v>7109.06</v>
      </c>
      <c r="P2815" s="41">
        <v>7127.97</v>
      </c>
      <c r="Q2815" s="41">
        <v>7084.38</v>
      </c>
      <c r="R2815" s="31">
        <v>7089.06</v>
      </c>
      <c r="S2815" s="29">
        <v>-0.23</v>
      </c>
      <c r="T2815" s="29">
        <v>-16.48</v>
      </c>
      <c r="U2815" s="41">
        <v>7105.54</v>
      </c>
    </row>
    <row r="2816" spans="1:21">
      <c r="A2816" s="29" t="s">
        <v>138</v>
      </c>
      <c r="B2816" s="32">
        <v>42221</v>
      </c>
      <c r="C2816" s="29">
        <v>106.5</v>
      </c>
      <c r="D2816" s="35">
        <v>111</v>
      </c>
      <c r="E2816" s="35">
        <v>106.5</v>
      </c>
      <c r="F2816" s="33">
        <v>110</v>
      </c>
      <c r="G2816" s="29">
        <v>4.09</v>
      </c>
      <c r="H2816" s="29">
        <v>4.3</v>
      </c>
      <c r="I2816" s="35">
        <v>105.199997</v>
      </c>
      <c r="J2816" s="34">
        <v>447126</v>
      </c>
      <c r="K2816" s="34">
        <v>48876144</v>
      </c>
      <c r="M2816" s="29" t="s">
        <v>128</v>
      </c>
      <c r="N2816" s="30">
        <v>42283</v>
      </c>
      <c r="O2816" s="41">
        <v>7089.7</v>
      </c>
      <c r="P2816" s="41">
        <v>7105.08</v>
      </c>
      <c r="Q2816" s="41">
        <v>7079.24</v>
      </c>
      <c r="R2816" s="31">
        <v>7085.93</v>
      </c>
      <c r="S2816" s="29">
        <v>-0.04</v>
      </c>
      <c r="T2816" s="29">
        <v>-3.13</v>
      </c>
      <c r="U2816" s="41">
        <v>7089.06</v>
      </c>
    </row>
    <row r="2817" spans="1:21">
      <c r="A2817" s="29" t="s">
        <v>138</v>
      </c>
      <c r="B2817" s="32">
        <v>42222</v>
      </c>
      <c r="C2817" s="29">
        <v>110</v>
      </c>
      <c r="D2817" s="35">
        <v>113</v>
      </c>
      <c r="E2817" s="35">
        <v>107.199997</v>
      </c>
      <c r="F2817" s="33">
        <v>112.699997</v>
      </c>
      <c r="G2817" s="29">
        <v>2.73</v>
      </c>
      <c r="H2817" s="29">
        <v>3</v>
      </c>
      <c r="I2817" s="35">
        <v>110</v>
      </c>
      <c r="J2817" s="34">
        <v>475257</v>
      </c>
      <c r="K2817" s="34">
        <v>52663948</v>
      </c>
      <c r="M2817" s="29" t="s">
        <v>128</v>
      </c>
      <c r="N2817" s="30">
        <v>42284</v>
      </c>
      <c r="O2817" s="41">
        <v>7083.94</v>
      </c>
      <c r="P2817" s="41">
        <v>7094.97</v>
      </c>
      <c r="Q2817" s="41">
        <v>7082.81</v>
      </c>
      <c r="R2817" s="31">
        <v>7085.45</v>
      </c>
      <c r="S2817" s="29">
        <v>-0.01</v>
      </c>
      <c r="T2817" s="29">
        <v>-0.48</v>
      </c>
      <c r="U2817" s="41">
        <v>7085.93</v>
      </c>
    </row>
    <row r="2818" spans="1:21">
      <c r="A2818" s="29" t="s">
        <v>138</v>
      </c>
      <c r="B2818" s="32">
        <v>42223</v>
      </c>
      <c r="C2818" s="29">
        <v>113</v>
      </c>
      <c r="D2818" s="35">
        <v>113</v>
      </c>
      <c r="E2818" s="35">
        <v>109.199997</v>
      </c>
      <c r="F2818" s="33">
        <v>111</v>
      </c>
      <c r="G2818" s="29">
        <v>-1.51</v>
      </c>
      <c r="H2818" s="29">
        <v>-1.7</v>
      </c>
      <c r="I2818" s="35">
        <v>112.699997</v>
      </c>
      <c r="J2818" s="34">
        <v>59750</v>
      </c>
      <c r="K2818" s="34">
        <v>6640600</v>
      </c>
      <c r="M2818" s="29" t="s">
        <v>128</v>
      </c>
      <c r="N2818" s="30">
        <v>42285</v>
      </c>
      <c r="O2818" s="41">
        <v>7085.88</v>
      </c>
      <c r="P2818" s="41">
        <v>7097.08</v>
      </c>
      <c r="Q2818" s="41">
        <v>7072.59</v>
      </c>
      <c r="R2818" s="31">
        <v>7085.65</v>
      </c>
      <c r="S2818" s="29">
        <v>0</v>
      </c>
      <c r="T2818" s="29">
        <v>0.2</v>
      </c>
      <c r="U2818" s="41">
        <v>7085.45</v>
      </c>
    </row>
    <row r="2819" spans="1:21">
      <c r="A2819" s="29" t="s">
        <v>138</v>
      </c>
      <c r="B2819" s="32">
        <v>42226</v>
      </c>
      <c r="C2819" s="29">
        <v>110.1</v>
      </c>
      <c r="D2819" s="35">
        <v>111.5</v>
      </c>
      <c r="E2819" s="35">
        <v>110</v>
      </c>
      <c r="F2819" s="33">
        <v>110</v>
      </c>
      <c r="G2819" s="29">
        <v>-0.9</v>
      </c>
      <c r="H2819" s="29">
        <v>-1</v>
      </c>
      <c r="I2819" s="35">
        <v>111</v>
      </c>
      <c r="J2819" s="34">
        <v>126894</v>
      </c>
      <c r="K2819" s="34">
        <v>13967446</v>
      </c>
      <c r="M2819" s="29" t="s">
        <v>128</v>
      </c>
      <c r="N2819" s="30">
        <v>42286</v>
      </c>
      <c r="O2819" s="41">
        <v>7084.26</v>
      </c>
      <c r="P2819" s="41">
        <v>7112.36</v>
      </c>
      <c r="Q2819" s="41">
        <v>7084.26</v>
      </c>
      <c r="R2819" s="31">
        <v>7096.06</v>
      </c>
      <c r="S2819" s="29">
        <v>0.15</v>
      </c>
      <c r="T2819" s="29">
        <v>10.41</v>
      </c>
      <c r="U2819" s="41">
        <v>7085.65</v>
      </c>
    </row>
    <row r="2820" spans="1:21">
      <c r="A2820" s="29" t="s">
        <v>138</v>
      </c>
      <c r="B2820" s="32">
        <v>42227</v>
      </c>
      <c r="C2820" s="29">
        <v>110</v>
      </c>
      <c r="D2820" s="35">
        <v>115.5</v>
      </c>
      <c r="E2820" s="35">
        <v>110</v>
      </c>
      <c r="F2820" s="33">
        <v>114.900002</v>
      </c>
      <c r="G2820" s="29">
        <v>5</v>
      </c>
      <c r="H2820" s="29">
        <v>5.5</v>
      </c>
      <c r="I2820" s="35">
        <v>110</v>
      </c>
      <c r="J2820" s="34">
        <v>194508</v>
      </c>
      <c r="K2820" s="34">
        <v>22109420</v>
      </c>
      <c r="M2820" s="29" t="s">
        <v>128</v>
      </c>
      <c r="N2820" s="30">
        <v>42289</v>
      </c>
      <c r="O2820" s="41">
        <v>7103.45</v>
      </c>
      <c r="P2820" s="41">
        <v>7120.34</v>
      </c>
      <c r="Q2820" s="41">
        <v>7093.26</v>
      </c>
      <c r="R2820" s="31">
        <v>7100</v>
      </c>
      <c r="S2820" s="29">
        <v>0.06</v>
      </c>
      <c r="T2820" s="29">
        <v>3.94</v>
      </c>
      <c r="U2820" s="41">
        <v>7096.06</v>
      </c>
    </row>
    <row r="2821" spans="1:21">
      <c r="A2821" s="29" t="s">
        <v>138</v>
      </c>
      <c r="B2821" s="32">
        <v>42228</v>
      </c>
      <c r="C2821" s="29">
        <v>115.5</v>
      </c>
      <c r="D2821" s="35">
        <v>116</v>
      </c>
      <c r="E2821" s="35">
        <v>113.099998</v>
      </c>
      <c r="F2821" s="33">
        <v>114</v>
      </c>
      <c r="G2821" s="29">
        <v>-0.78</v>
      </c>
      <c r="H2821" s="29">
        <v>-0.9</v>
      </c>
      <c r="I2821" s="35">
        <v>114.900002</v>
      </c>
      <c r="J2821" s="34">
        <v>65981</v>
      </c>
      <c r="K2821" s="34">
        <v>7567935</v>
      </c>
      <c r="M2821" s="29" t="s">
        <v>128</v>
      </c>
      <c r="N2821" s="30">
        <v>42290</v>
      </c>
      <c r="O2821" s="41">
        <v>7094.71</v>
      </c>
      <c r="P2821" s="41">
        <v>7116.48</v>
      </c>
      <c r="Q2821" s="41">
        <v>7078.45</v>
      </c>
      <c r="R2821" s="31">
        <v>7078.45</v>
      </c>
      <c r="S2821" s="29">
        <v>-0.3</v>
      </c>
      <c r="T2821" s="29">
        <v>-21.55</v>
      </c>
      <c r="U2821" s="41">
        <v>7100</v>
      </c>
    </row>
    <row r="2822" spans="1:21">
      <c r="A2822" s="29" t="s">
        <v>138</v>
      </c>
      <c r="B2822" s="32">
        <v>42229</v>
      </c>
      <c r="C2822" s="29">
        <v>115.9</v>
      </c>
      <c r="D2822" s="35">
        <v>115.900002</v>
      </c>
      <c r="E2822" s="35">
        <v>111</v>
      </c>
      <c r="F2822" s="33">
        <v>112.099998</v>
      </c>
      <c r="G2822" s="29">
        <v>-0.88</v>
      </c>
      <c r="H2822" s="29">
        <v>-1</v>
      </c>
      <c r="I2822" s="35">
        <v>114</v>
      </c>
      <c r="J2822" s="34">
        <v>43827</v>
      </c>
      <c r="K2822" s="34">
        <v>4913332</v>
      </c>
      <c r="M2822" s="29" t="s">
        <v>128</v>
      </c>
      <c r="N2822" s="30">
        <v>42291</v>
      </c>
      <c r="O2822" s="41">
        <v>7080.31</v>
      </c>
      <c r="P2822" s="41">
        <v>7088.36</v>
      </c>
      <c r="Q2822" s="41">
        <v>7039.69</v>
      </c>
      <c r="R2822" s="31">
        <v>7040.32</v>
      </c>
      <c r="S2822" s="29">
        <v>-0.54</v>
      </c>
      <c r="T2822" s="29">
        <v>-38.130000000000003</v>
      </c>
      <c r="U2822" s="41">
        <v>7078.45</v>
      </c>
    </row>
    <row r="2823" spans="1:21">
      <c r="A2823" s="29" t="s">
        <v>138</v>
      </c>
      <c r="B2823" s="32">
        <v>42230</v>
      </c>
      <c r="C2823" s="29">
        <v>110.5</v>
      </c>
      <c r="D2823" s="35">
        <v>114</v>
      </c>
      <c r="E2823" s="35">
        <v>110.5</v>
      </c>
      <c r="F2823" s="33">
        <v>113.099998</v>
      </c>
      <c r="G2823" s="29">
        <v>0.8</v>
      </c>
      <c r="H2823" s="29">
        <v>0.9</v>
      </c>
      <c r="I2823" s="35">
        <v>112.099998</v>
      </c>
      <c r="J2823" s="34">
        <v>85990</v>
      </c>
      <c r="K2823" s="34">
        <v>9692777</v>
      </c>
      <c r="M2823" s="29" t="s">
        <v>128</v>
      </c>
      <c r="N2823" s="30">
        <v>42292</v>
      </c>
      <c r="O2823" s="41">
        <v>7041.21</v>
      </c>
      <c r="P2823" s="41">
        <v>7043.15</v>
      </c>
      <c r="Q2823" s="41">
        <v>7025.24</v>
      </c>
      <c r="R2823" s="31">
        <v>7030.45</v>
      </c>
      <c r="S2823" s="29">
        <v>-0.14000000000000001</v>
      </c>
      <c r="T2823" s="29">
        <v>-9.8699999999999992</v>
      </c>
      <c r="U2823" s="41">
        <v>7040.32</v>
      </c>
    </row>
    <row r="2824" spans="1:21">
      <c r="A2824" s="29" t="s">
        <v>138</v>
      </c>
      <c r="B2824" s="32">
        <v>42233</v>
      </c>
      <c r="C2824" s="29">
        <v>120</v>
      </c>
      <c r="D2824" s="35">
        <v>122.900002</v>
      </c>
      <c r="E2824" s="35">
        <v>118.199997</v>
      </c>
      <c r="F2824" s="33">
        <v>120.599998</v>
      </c>
      <c r="G2824" s="29">
        <v>7.87</v>
      </c>
      <c r="H2824" s="29">
        <v>8.9</v>
      </c>
      <c r="I2824" s="35">
        <v>113.099998</v>
      </c>
      <c r="J2824" s="34">
        <v>549569</v>
      </c>
      <c r="K2824" s="34">
        <v>66157368</v>
      </c>
      <c r="M2824" s="29" t="s">
        <v>128</v>
      </c>
      <c r="N2824" s="30">
        <v>42293</v>
      </c>
      <c r="O2824" s="41">
        <v>7032.82</v>
      </c>
      <c r="P2824" s="41">
        <v>7040.24</v>
      </c>
      <c r="Q2824" s="41">
        <v>7020.24</v>
      </c>
      <c r="R2824" s="31">
        <v>7020.74</v>
      </c>
      <c r="S2824" s="29">
        <v>-0.14000000000000001</v>
      </c>
      <c r="T2824" s="29">
        <v>-9.7100000000000009</v>
      </c>
      <c r="U2824" s="41">
        <v>7030.45</v>
      </c>
    </row>
    <row r="2825" spans="1:21">
      <c r="A2825" s="29" t="s">
        <v>138</v>
      </c>
      <c r="B2825" s="32">
        <v>42234</v>
      </c>
      <c r="C2825" s="29">
        <v>126</v>
      </c>
      <c r="D2825" s="35">
        <v>126</v>
      </c>
      <c r="E2825" s="35">
        <v>121.099998</v>
      </c>
      <c r="F2825" s="33">
        <v>123.599998</v>
      </c>
      <c r="G2825" s="29">
        <v>2.82</v>
      </c>
      <c r="H2825" s="29">
        <v>3.4</v>
      </c>
      <c r="I2825" s="35">
        <v>120.599998</v>
      </c>
      <c r="J2825" s="34">
        <v>138156</v>
      </c>
      <c r="K2825" s="34">
        <v>17156998</v>
      </c>
      <c r="M2825" s="29" t="s">
        <v>128</v>
      </c>
      <c r="N2825" s="30">
        <v>42296</v>
      </c>
      <c r="O2825" s="41">
        <v>7020.33</v>
      </c>
      <c r="P2825" s="41">
        <v>7022.2</v>
      </c>
      <c r="Q2825" s="41">
        <v>7012.22</v>
      </c>
      <c r="R2825" s="31">
        <v>7017.35</v>
      </c>
      <c r="S2825" s="29">
        <v>-0.05</v>
      </c>
      <c r="T2825" s="29">
        <v>-3.39</v>
      </c>
      <c r="U2825" s="41">
        <v>7020.74</v>
      </c>
    </row>
    <row r="2826" spans="1:21">
      <c r="A2826" s="29" t="s">
        <v>138</v>
      </c>
      <c r="B2826" s="32">
        <v>42235</v>
      </c>
      <c r="C2826" s="29">
        <v>124</v>
      </c>
      <c r="D2826" s="35">
        <v>124.5</v>
      </c>
      <c r="E2826" s="35">
        <v>120</v>
      </c>
      <c r="F2826" s="33">
        <v>120.099998</v>
      </c>
      <c r="G2826" s="29">
        <v>-2.91</v>
      </c>
      <c r="H2826" s="29">
        <v>-3.6</v>
      </c>
      <c r="I2826" s="35">
        <v>123.599998</v>
      </c>
      <c r="J2826" s="34">
        <v>62979</v>
      </c>
      <c r="K2826" s="34">
        <v>7798202</v>
      </c>
      <c r="M2826" s="29" t="s">
        <v>128</v>
      </c>
      <c r="N2826" s="30">
        <v>42297</v>
      </c>
      <c r="O2826" s="41">
        <v>7019.66</v>
      </c>
      <c r="P2826" s="41">
        <v>7053.68</v>
      </c>
      <c r="Q2826" s="41">
        <v>7014.51</v>
      </c>
      <c r="R2826" s="31">
        <v>7041.26</v>
      </c>
      <c r="S2826" s="29">
        <v>0.34</v>
      </c>
      <c r="T2826" s="29">
        <v>23.91</v>
      </c>
      <c r="U2826" s="41">
        <v>7017.35</v>
      </c>
    </row>
    <row r="2827" spans="1:21">
      <c r="A2827" s="29" t="s">
        <v>138</v>
      </c>
      <c r="B2827" s="32">
        <v>42236</v>
      </c>
      <c r="C2827" s="29">
        <v>121.5</v>
      </c>
      <c r="D2827" s="35">
        <v>121.5</v>
      </c>
      <c r="E2827" s="35">
        <v>118</v>
      </c>
      <c r="F2827" s="33">
        <v>118.800003</v>
      </c>
      <c r="G2827" s="29">
        <v>-1.08</v>
      </c>
      <c r="H2827" s="29">
        <v>-1.3</v>
      </c>
      <c r="I2827" s="35">
        <v>120.099998</v>
      </c>
      <c r="J2827" s="34">
        <v>99805</v>
      </c>
      <c r="K2827" s="34">
        <v>11875172</v>
      </c>
      <c r="M2827" s="29" t="s">
        <v>128</v>
      </c>
      <c r="N2827" s="30">
        <v>42298</v>
      </c>
      <c r="O2827" s="41">
        <v>7046.85</v>
      </c>
      <c r="P2827" s="41">
        <v>7064.98</v>
      </c>
      <c r="Q2827" s="41">
        <v>7045.98</v>
      </c>
      <c r="R2827" s="31">
        <v>7055.67</v>
      </c>
      <c r="S2827" s="29">
        <v>0.2</v>
      </c>
      <c r="T2827" s="29">
        <v>14.41</v>
      </c>
      <c r="U2827" s="41">
        <v>7041.26</v>
      </c>
    </row>
    <row r="2828" spans="1:21">
      <c r="A2828" s="29" t="s">
        <v>138</v>
      </c>
      <c r="B2828" s="32">
        <v>42237</v>
      </c>
      <c r="C2828" s="29">
        <v>118.8</v>
      </c>
      <c r="D2828" s="35">
        <v>120.599998</v>
      </c>
      <c r="E2828" s="35">
        <v>118.8</v>
      </c>
      <c r="F2828" s="33">
        <v>120</v>
      </c>
      <c r="G2828" s="29">
        <v>1.01</v>
      </c>
      <c r="H2828" s="29">
        <v>1.2</v>
      </c>
      <c r="I2828" s="35">
        <v>118.800003</v>
      </c>
      <c r="J2828" s="34">
        <v>50569</v>
      </c>
      <c r="K2828" s="34">
        <v>6058178</v>
      </c>
      <c r="M2828" s="29" t="s">
        <v>128</v>
      </c>
      <c r="N2828" s="30">
        <v>42299</v>
      </c>
      <c r="O2828" s="41">
        <v>7056.31</v>
      </c>
      <c r="P2828" s="41">
        <v>7083.67</v>
      </c>
      <c r="Q2828" s="41">
        <v>7056.31</v>
      </c>
      <c r="R2828" s="31">
        <v>7068.85</v>
      </c>
      <c r="S2828" s="29">
        <v>0.19</v>
      </c>
      <c r="T2828" s="29">
        <v>13.18</v>
      </c>
      <c r="U2828" s="41">
        <v>7055.67</v>
      </c>
    </row>
    <row r="2829" spans="1:21">
      <c r="A2829" s="29" t="s">
        <v>138</v>
      </c>
      <c r="B2829" s="32">
        <v>42240</v>
      </c>
      <c r="C2829" s="29">
        <v>120</v>
      </c>
      <c r="D2829" s="35">
        <v>120</v>
      </c>
      <c r="E2829" s="35">
        <v>111</v>
      </c>
      <c r="F2829" s="33">
        <v>115.199997</v>
      </c>
      <c r="G2829" s="29">
        <v>-4.92</v>
      </c>
      <c r="H2829" s="29">
        <v>-5.9</v>
      </c>
      <c r="I2829" s="35">
        <v>120</v>
      </c>
      <c r="J2829" s="34">
        <v>60715</v>
      </c>
      <c r="K2829" s="34">
        <v>6910392</v>
      </c>
      <c r="M2829" s="29" t="s">
        <v>128</v>
      </c>
      <c r="N2829" s="30">
        <v>42300</v>
      </c>
      <c r="O2829" s="41">
        <v>7069.04</v>
      </c>
      <c r="P2829" s="41">
        <v>7093.5</v>
      </c>
      <c r="Q2829" s="41">
        <v>7066.56</v>
      </c>
      <c r="R2829" s="31">
        <v>7081.49</v>
      </c>
      <c r="S2829" s="29">
        <v>0.18</v>
      </c>
      <c r="T2829" s="29">
        <v>12.64</v>
      </c>
      <c r="U2829" s="41">
        <v>7068.85</v>
      </c>
    </row>
    <row r="2830" spans="1:21">
      <c r="A2830" s="29" t="s">
        <v>138</v>
      </c>
      <c r="B2830" s="32">
        <v>42241</v>
      </c>
      <c r="C2830" s="29">
        <v>114.1</v>
      </c>
      <c r="D2830" s="35">
        <v>114.1</v>
      </c>
      <c r="E2830" s="35">
        <v>108</v>
      </c>
      <c r="F2830" s="33">
        <v>110.099998</v>
      </c>
      <c r="G2830" s="29">
        <v>-3.04</v>
      </c>
      <c r="H2830" s="29">
        <v>-3.5</v>
      </c>
      <c r="I2830" s="35">
        <v>115.199997</v>
      </c>
      <c r="J2830" s="34">
        <v>146067</v>
      </c>
      <c r="K2830" s="34">
        <v>16043038</v>
      </c>
      <c r="M2830" s="29" t="s">
        <v>128</v>
      </c>
      <c r="N2830" s="30">
        <v>42303</v>
      </c>
      <c r="O2830" s="41">
        <v>7084.2</v>
      </c>
      <c r="P2830" s="41">
        <v>7090.79</v>
      </c>
      <c r="Q2830" s="41">
        <v>7079</v>
      </c>
      <c r="R2830" s="31">
        <v>7083.48</v>
      </c>
      <c r="S2830" s="29">
        <v>0.03</v>
      </c>
      <c r="T2830" s="29">
        <v>1.99</v>
      </c>
      <c r="U2830" s="41">
        <v>7081.49</v>
      </c>
    </row>
    <row r="2831" spans="1:21">
      <c r="A2831" s="29" t="s">
        <v>138</v>
      </c>
      <c r="B2831" s="32">
        <v>42242</v>
      </c>
      <c r="C2831" s="29">
        <v>112.9</v>
      </c>
      <c r="D2831" s="35">
        <v>114.900002</v>
      </c>
      <c r="E2831" s="35">
        <v>109.099998</v>
      </c>
      <c r="F2831" s="33">
        <v>111.5</v>
      </c>
      <c r="G2831" s="29">
        <v>1.27</v>
      </c>
      <c r="H2831" s="29">
        <v>1.4</v>
      </c>
      <c r="I2831" s="35">
        <v>110.099998</v>
      </c>
      <c r="J2831" s="34">
        <v>19117</v>
      </c>
      <c r="K2831" s="34">
        <v>2121419</v>
      </c>
      <c r="M2831" s="29" t="s">
        <v>128</v>
      </c>
      <c r="N2831" s="30">
        <v>42305</v>
      </c>
      <c r="O2831" s="41">
        <v>7086.43</v>
      </c>
      <c r="P2831" s="41">
        <v>7101.8</v>
      </c>
      <c r="Q2831" s="41">
        <v>7086.43</v>
      </c>
      <c r="R2831" s="31">
        <v>7094.09</v>
      </c>
      <c r="S2831" s="29">
        <v>0.15</v>
      </c>
      <c r="T2831" s="29">
        <v>10.61</v>
      </c>
      <c r="U2831" s="41">
        <v>7083.48</v>
      </c>
    </row>
    <row r="2832" spans="1:21">
      <c r="A2832" s="29" t="s">
        <v>138</v>
      </c>
      <c r="B2832" s="32">
        <v>42243</v>
      </c>
      <c r="C2832" s="29">
        <v>113</v>
      </c>
      <c r="D2832" s="35">
        <v>115</v>
      </c>
      <c r="E2832" s="35">
        <v>113</v>
      </c>
      <c r="F2832" s="33">
        <v>114</v>
      </c>
      <c r="G2832" s="29">
        <v>2.2400000000000002</v>
      </c>
      <c r="H2832" s="29">
        <v>2.5</v>
      </c>
      <c r="I2832" s="35">
        <v>111.5</v>
      </c>
      <c r="J2832" s="34">
        <v>100303</v>
      </c>
      <c r="K2832" s="34">
        <v>11439480</v>
      </c>
      <c r="M2832" s="29" t="s">
        <v>128</v>
      </c>
      <c r="N2832" s="30">
        <v>42306</v>
      </c>
      <c r="O2832" s="41">
        <v>7096.31</v>
      </c>
      <c r="P2832" s="41">
        <v>7107.1</v>
      </c>
      <c r="Q2832" s="41">
        <v>7070.13</v>
      </c>
      <c r="R2832" s="31">
        <v>7070.13</v>
      </c>
      <c r="S2832" s="29">
        <v>-0.34</v>
      </c>
      <c r="T2832" s="29">
        <v>-23.96</v>
      </c>
      <c r="U2832" s="41">
        <v>7094.09</v>
      </c>
    </row>
    <row r="2833" spans="1:21">
      <c r="A2833" s="29" t="s">
        <v>138</v>
      </c>
      <c r="B2833" s="32">
        <v>42244</v>
      </c>
      <c r="C2833" s="29">
        <v>114</v>
      </c>
      <c r="D2833" s="35">
        <v>118</v>
      </c>
      <c r="E2833" s="35">
        <v>114</v>
      </c>
      <c r="F2833" s="33">
        <v>116.199997</v>
      </c>
      <c r="G2833" s="29">
        <v>3.51</v>
      </c>
      <c r="H2833" s="29">
        <v>4</v>
      </c>
      <c r="I2833" s="35">
        <v>114</v>
      </c>
      <c r="J2833" s="34">
        <v>167886</v>
      </c>
      <c r="K2833" s="34">
        <v>19382356</v>
      </c>
      <c r="M2833" s="29" t="s">
        <v>128</v>
      </c>
      <c r="N2833" s="30">
        <v>42307</v>
      </c>
      <c r="O2833" s="41">
        <v>7071.12</v>
      </c>
      <c r="P2833" s="41">
        <v>7071.62</v>
      </c>
      <c r="Q2833" s="41">
        <v>7042.06</v>
      </c>
      <c r="R2833" s="31">
        <v>7042.06</v>
      </c>
      <c r="S2833" s="29">
        <v>-0.4</v>
      </c>
      <c r="T2833" s="29">
        <v>-28.07</v>
      </c>
      <c r="U2833" s="41">
        <v>7070.13</v>
      </c>
    </row>
    <row r="2834" spans="1:21">
      <c r="A2834" s="29" t="s">
        <v>138</v>
      </c>
      <c r="B2834" s="32">
        <v>42247</v>
      </c>
      <c r="C2834" s="29">
        <v>118</v>
      </c>
      <c r="D2834" s="35">
        <v>118</v>
      </c>
      <c r="E2834" s="35">
        <v>114</v>
      </c>
      <c r="F2834" s="33">
        <v>114</v>
      </c>
      <c r="G2834" s="29">
        <v>-1.89</v>
      </c>
      <c r="H2834" s="29">
        <v>-2.2000000000000002</v>
      </c>
      <c r="I2834" s="35">
        <v>116.199997</v>
      </c>
      <c r="J2834" s="34">
        <v>65240</v>
      </c>
      <c r="K2834" s="34">
        <v>7469607</v>
      </c>
      <c r="M2834" s="29" t="s">
        <v>128</v>
      </c>
      <c r="N2834" s="30">
        <v>42310</v>
      </c>
      <c r="O2834" s="41">
        <v>7044.26</v>
      </c>
      <c r="P2834" s="41">
        <v>7050.42</v>
      </c>
      <c r="Q2834" s="41">
        <v>7029.07</v>
      </c>
      <c r="R2834" s="31">
        <v>7029.07</v>
      </c>
      <c r="S2834" s="29">
        <v>-0.18</v>
      </c>
      <c r="T2834" s="29">
        <v>-12.99</v>
      </c>
      <c r="U2834" s="41">
        <v>7042.06</v>
      </c>
    </row>
    <row r="2835" spans="1:21">
      <c r="A2835" s="29" t="s">
        <v>138</v>
      </c>
      <c r="B2835" s="32">
        <v>42248</v>
      </c>
      <c r="C2835" s="29">
        <v>114.5</v>
      </c>
      <c r="D2835" s="35">
        <v>117</v>
      </c>
      <c r="E2835" s="35">
        <v>114.199997</v>
      </c>
      <c r="F2835" s="33">
        <v>114.800003</v>
      </c>
      <c r="G2835" s="29">
        <v>0.18</v>
      </c>
      <c r="H2835" s="29">
        <v>0.2</v>
      </c>
      <c r="I2835" s="35">
        <v>114</v>
      </c>
      <c r="J2835" s="34">
        <v>177979</v>
      </c>
      <c r="K2835" s="34">
        <v>20466178</v>
      </c>
      <c r="M2835" s="29" t="s">
        <v>128</v>
      </c>
      <c r="N2835" s="30">
        <v>42311</v>
      </c>
      <c r="O2835" s="41">
        <v>7029.93</v>
      </c>
      <c r="P2835" s="41">
        <v>7037.15</v>
      </c>
      <c r="Q2835" s="41">
        <v>6998.39</v>
      </c>
      <c r="R2835" s="31">
        <v>7000.41</v>
      </c>
      <c r="S2835" s="29">
        <v>-0.41</v>
      </c>
      <c r="T2835" s="29">
        <v>-28.66</v>
      </c>
      <c r="U2835" s="41">
        <v>7029.07</v>
      </c>
    </row>
    <row r="2836" spans="1:21">
      <c r="A2836" s="29" t="s">
        <v>138</v>
      </c>
      <c r="B2836" s="32">
        <v>42249</v>
      </c>
      <c r="C2836" s="29">
        <v>114</v>
      </c>
      <c r="D2836" s="35">
        <v>114.099998</v>
      </c>
      <c r="E2836" s="35">
        <v>112.300003</v>
      </c>
      <c r="F2836" s="33">
        <v>112.5</v>
      </c>
      <c r="G2836" s="29">
        <v>-2</v>
      </c>
      <c r="H2836" s="29">
        <v>-2.2999999999999998</v>
      </c>
      <c r="I2836" s="35">
        <v>114.800003</v>
      </c>
      <c r="J2836" s="34">
        <v>66204</v>
      </c>
      <c r="K2836" s="34">
        <v>7544634</v>
      </c>
      <c r="M2836" s="29" t="s">
        <v>128</v>
      </c>
      <c r="N2836" s="30">
        <v>42312</v>
      </c>
      <c r="O2836" s="41">
        <v>7000.33</v>
      </c>
      <c r="P2836" s="41">
        <v>7007.56</v>
      </c>
      <c r="Q2836" s="41">
        <v>6984.16</v>
      </c>
      <c r="R2836" s="31">
        <v>7003.57</v>
      </c>
      <c r="S2836" s="29">
        <v>0.05</v>
      </c>
      <c r="T2836" s="29">
        <v>3.16</v>
      </c>
      <c r="U2836" s="41">
        <v>7000.41</v>
      </c>
    </row>
    <row r="2837" spans="1:21">
      <c r="A2837" s="29" t="s">
        <v>138</v>
      </c>
      <c r="B2837" s="32">
        <v>42250</v>
      </c>
      <c r="C2837" s="29">
        <v>112.5</v>
      </c>
      <c r="D2837" s="35">
        <v>114</v>
      </c>
      <c r="E2837" s="35">
        <v>112.5</v>
      </c>
      <c r="F2837" s="33">
        <v>114</v>
      </c>
      <c r="G2837" s="29">
        <v>1.33</v>
      </c>
      <c r="H2837" s="29">
        <v>1.5</v>
      </c>
      <c r="I2837" s="35">
        <v>112.5</v>
      </c>
      <c r="J2837" s="34">
        <v>14550</v>
      </c>
      <c r="K2837" s="34">
        <v>1645585</v>
      </c>
      <c r="M2837" s="29" t="s">
        <v>128</v>
      </c>
      <c r="N2837" s="30">
        <v>42313</v>
      </c>
      <c r="O2837" s="41">
        <v>7005.12</v>
      </c>
      <c r="P2837" s="41">
        <v>7025.35</v>
      </c>
      <c r="Q2837" s="41">
        <v>6997.51</v>
      </c>
      <c r="R2837" s="31">
        <v>7017.39</v>
      </c>
      <c r="S2837" s="29">
        <v>0.2</v>
      </c>
      <c r="T2837" s="29">
        <v>13.82</v>
      </c>
      <c r="U2837" s="41">
        <v>7003.57</v>
      </c>
    </row>
    <row r="2838" spans="1:21">
      <c r="A2838" s="29" t="s">
        <v>138</v>
      </c>
      <c r="B2838" s="32">
        <v>42251</v>
      </c>
      <c r="C2838" s="29">
        <v>114</v>
      </c>
      <c r="D2838" s="35">
        <v>114</v>
      </c>
      <c r="E2838" s="35">
        <v>111.099998</v>
      </c>
      <c r="F2838" s="33">
        <v>112.199997</v>
      </c>
      <c r="G2838" s="29">
        <v>-2.54</v>
      </c>
      <c r="H2838" s="29">
        <v>-2.9</v>
      </c>
      <c r="I2838" s="35">
        <v>114</v>
      </c>
      <c r="J2838" s="34">
        <v>8508</v>
      </c>
      <c r="K2838" s="34">
        <v>962310</v>
      </c>
      <c r="M2838" s="29" t="s">
        <v>128</v>
      </c>
      <c r="N2838" s="30">
        <v>42314</v>
      </c>
      <c r="O2838" s="41">
        <v>7033.46</v>
      </c>
      <c r="P2838" s="41">
        <v>7076.43</v>
      </c>
      <c r="Q2838" s="41">
        <v>7033.46</v>
      </c>
      <c r="R2838" s="31">
        <v>7059.48</v>
      </c>
      <c r="S2838" s="29">
        <v>0.6</v>
      </c>
      <c r="T2838" s="29">
        <v>42.09</v>
      </c>
      <c r="U2838" s="41">
        <v>7017.39</v>
      </c>
    </row>
    <row r="2839" spans="1:21">
      <c r="A2839" s="29" t="s">
        <v>138</v>
      </c>
      <c r="B2839" s="32">
        <v>42254</v>
      </c>
      <c r="C2839" s="29">
        <v>111.1</v>
      </c>
      <c r="D2839" s="35">
        <v>111.1</v>
      </c>
      <c r="E2839" s="35">
        <v>107</v>
      </c>
      <c r="F2839" s="33">
        <v>107.5</v>
      </c>
      <c r="G2839" s="29">
        <v>-4.1900000000000004</v>
      </c>
      <c r="H2839" s="29">
        <v>-4.7</v>
      </c>
      <c r="I2839" s="35">
        <v>112.199997</v>
      </c>
      <c r="J2839" s="34">
        <v>35628</v>
      </c>
      <c r="K2839" s="34">
        <v>3834228</v>
      </c>
      <c r="M2839" s="29" t="s">
        <v>128</v>
      </c>
      <c r="N2839" s="30">
        <v>42317</v>
      </c>
      <c r="O2839" s="41">
        <v>7059.68</v>
      </c>
      <c r="P2839" s="41">
        <v>7064.88</v>
      </c>
      <c r="Q2839" s="41">
        <v>7042.89</v>
      </c>
      <c r="R2839" s="31">
        <v>7050.21</v>
      </c>
      <c r="S2839" s="29">
        <v>-0.13</v>
      </c>
      <c r="T2839" s="29">
        <v>-9.27</v>
      </c>
      <c r="U2839" s="41">
        <v>7059.48</v>
      </c>
    </row>
    <row r="2840" spans="1:21">
      <c r="A2840" s="29" t="s">
        <v>138</v>
      </c>
      <c r="B2840" s="32">
        <v>42255</v>
      </c>
      <c r="C2840" s="29">
        <v>108</v>
      </c>
      <c r="D2840" s="35">
        <v>109.5</v>
      </c>
      <c r="E2840" s="35">
        <v>107</v>
      </c>
      <c r="F2840" s="33">
        <v>107.199997</v>
      </c>
      <c r="G2840" s="29">
        <v>-0.37</v>
      </c>
      <c r="H2840" s="29">
        <v>-0.4</v>
      </c>
      <c r="I2840" s="35">
        <v>107.5</v>
      </c>
      <c r="J2840" s="34">
        <v>35531</v>
      </c>
      <c r="K2840" s="34">
        <v>3820643</v>
      </c>
      <c r="M2840" s="29" t="s">
        <v>128</v>
      </c>
      <c r="N2840" s="30">
        <v>42319</v>
      </c>
      <c r="O2840" s="41">
        <v>7045.55</v>
      </c>
      <c r="P2840" s="41">
        <v>7049.18</v>
      </c>
      <c r="Q2840" s="41">
        <v>7014.5</v>
      </c>
      <c r="R2840" s="31">
        <v>7019.23</v>
      </c>
      <c r="S2840" s="29">
        <v>-0.44</v>
      </c>
      <c r="T2840" s="29">
        <v>-30.98</v>
      </c>
      <c r="U2840" s="41">
        <v>7050.21</v>
      </c>
    </row>
    <row r="2841" spans="1:21">
      <c r="A2841" s="29" t="s">
        <v>138</v>
      </c>
      <c r="B2841" s="32">
        <v>42256</v>
      </c>
      <c r="C2841" s="29">
        <v>108</v>
      </c>
      <c r="D2841" s="35">
        <v>112</v>
      </c>
      <c r="E2841" s="35">
        <v>108</v>
      </c>
      <c r="F2841" s="33">
        <v>110.900002</v>
      </c>
      <c r="G2841" s="29">
        <v>3.45</v>
      </c>
      <c r="H2841" s="29">
        <v>3.7</v>
      </c>
      <c r="I2841" s="35">
        <v>107.199997</v>
      </c>
      <c r="J2841" s="34">
        <v>17016</v>
      </c>
      <c r="K2841" s="34">
        <v>1880973</v>
      </c>
      <c r="M2841" s="29" t="s">
        <v>128</v>
      </c>
      <c r="N2841" s="30">
        <v>42320</v>
      </c>
      <c r="O2841" s="41">
        <v>7014.44</v>
      </c>
      <c r="P2841" s="41">
        <v>7015.21</v>
      </c>
      <c r="Q2841" s="41">
        <v>6997.07</v>
      </c>
      <c r="R2841" s="31">
        <v>7006.35</v>
      </c>
      <c r="S2841" s="29">
        <v>-0.18</v>
      </c>
      <c r="T2841" s="29">
        <v>-12.88</v>
      </c>
      <c r="U2841" s="41">
        <v>7019.23</v>
      </c>
    </row>
    <row r="2842" spans="1:21">
      <c r="A2842" s="29" t="s">
        <v>138</v>
      </c>
      <c r="B2842" s="32">
        <v>42257</v>
      </c>
      <c r="C2842" s="29">
        <v>111.5</v>
      </c>
      <c r="D2842" s="35">
        <v>111.5</v>
      </c>
      <c r="E2842" s="35">
        <v>108</v>
      </c>
      <c r="F2842" s="33">
        <v>108</v>
      </c>
      <c r="G2842" s="29">
        <v>-2.61</v>
      </c>
      <c r="H2842" s="29">
        <v>-2.9</v>
      </c>
      <c r="I2842" s="35">
        <v>110.900002</v>
      </c>
      <c r="J2842" s="34">
        <v>54009</v>
      </c>
      <c r="K2842" s="34">
        <v>5855748</v>
      </c>
      <c r="M2842" s="29" t="s">
        <v>128</v>
      </c>
      <c r="N2842" s="30">
        <v>42321</v>
      </c>
      <c r="O2842" s="41">
        <v>7003.47</v>
      </c>
      <c r="P2842" s="41">
        <v>7016.37</v>
      </c>
      <c r="Q2842" s="41">
        <v>6997.63</v>
      </c>
      <c r="R2842" s="31">
        <v>7001.81</v>
      </c>
      <c r="S2842" s="29">
        <v>-0.06</v>
      </c>
      <c r="T2842" s="29">
        <v>-4.54</v>
      </c>
      <c r="U2842" s="41">
        <v>7006.35</v>
      </c>
    </row>
    <row r="2843" spans="1:21">
      <c r="A2843" s="29" t="s">
        <v>138</v>
      </c>
      <c r="B2843" s="32">
        <v>42258</v>
      </c>
      <c r="C2843" s="29">
        <v>108</v>
      </c>
      <c r="D2843" s="35">
        <v>108.099998</v>
      </c>
      <c r="E2843" s="35">
        <v>107.599998</v>
      </c>
      <c r="F2843" s="33">
        <v>108</v>
      </c>
      <c r="G2843" s="29">
        <v>0</v>
      </c>
      <c r="H2843" s="29">
        <v>0</v>
      </c>
      <c r="I2843" s="35">
        <v>108</v>
      </c>
      <c r="J2843" s="34">
        <v>59943</v>
      </c>
      <c r="K2843" s="34">
        <v>6473668</v>
      </c>
      <c r="M2843" s="29" t="s">
        <v>128</v>
      </c>
      <c r="N2843" s="30">
        <v>42324</v>
      </c>
      <c r="O2843" s="41">
        <v>7005.67</v>
      </c>
      <c r="P2843" s="41">
        <v>7015</v>
      </c>
      <c r="Q2843" s="41">
        <v>6965.98</v>
      </c>
      <c r="R2843" s="31">
        <v>6965.98</v>
      </c>
      <c r="S2843" s="29">
        <v>-0.51</v>
      </c>
      <c r="T2843" s="29">
        <v>-35.83</v>
      </c>
      <c r="U2843" s="41">
        <v>7001.81</v>
      </c>
    </row>
    <row r="2844" spans="1:21">
      <c r="A2844" s="29" t="s">
        <v>138</v>
      </c>
      <c r="B2844" s="32">
        <v>42261</v>
      </c>
      <c r="C2844" s="29">
        <v>108</v>
      </c>
      <c r="D2844" s="35">
        <v>108</v>
      </c>
      <c r="E2844" s="35">
        <v>107.599998</v>
      </c>
      <c r="F2844" s="33">
        <v>108</v>
      </c>
      <c r="G2844" s="29">
        <v>0</v>
      </c>
      <c r="H2844" s="29">
        <v>0</v>
      </c>
      <c r="I2844" s="35">
        <v>108</v>
      </c>
      <c r="J2844" s="34">
        <v>68420</v>
      </c>
      <c r="K2844" s="34">
        <v>7388843</v>
      </c>
      <c r="M2844" s="29" t="s">
        <v>128</v>
      </c>
      <c r="N2844" s="30">
        <v>42325</v>
      </c>
      <c r="O2844" s="41">
        <v>6964.96</v>
      </c>
      <c r="P2844" s="41">
        <v>6982.7</v>
      </c>
      <c r="Q2844" s="41">
        <v>6960.85</v>
      </c>
      <c r="R2844" s="31">
        <v>6977.95</v>
      </c>
      <c r="S2844" s="29">
        <v>0.17</v>
      </c>
      <c r="T2844" s="29">
        <v>11.97</v>
      </c>
      <c r="U2844" s="41">
        <v>6965.98</v>
      </c>
    </row>
    <row r="2845" spans="1:21">
      <c r="A2845" s="29" t="s">
        <v>138</v>
      </c>
      <c r="B2845" s="32">
        <v>42262</v>
      </c>
      <c r="C2845" s="29">
        <v>109</v>
      </c>
      <c r="D2845" s="35">
        <v>109</v>
      </c>
      <c r="E2845" s="35">
        <v>108</v>
      </c>
      <c r="F2845" s="33">
        <v>109</v>
      </c>
      <c r="G2845" s="29">
        <v>0.93</v>
      </c>
      <c r="H2845" s="29">
        <v>1</v>
      </c>
      <c r="I2845" s="35">
        <v>108</v>
      </c>
      <c r="J2845" s="34">
        <v>77888</v>
      </c>
      <c r="K2845" s="34">
        <v>8460212</v>
      </c>
      <c r="M2845" s="29" t="s">
        <v>128</v>
      </c>
      <c r="N2845" s="30">
        <v>42326</v>
      </c>
      <c r="O2845" s="41">
        <v>6978.22</v>
      </c>
      <c r="P2845" s="41">
        <v>6983.17</v>
      </c>
      <c r="Q2845" s="41">
        <v>6974.75</v>
      </c>
      <c r="R2845" s="31">
        <v>6981.97</v>
      </c>
      <c r="S2845" s="29">
        <v>0.06</v>
      </c>
      <c r="T2845" s="29">
        <v>4.0199999999999996</v>
      </c>
      <c r="U2845" s="41">
        <v>6977.95</v>
      </c>
    </row>
    <row r="2846" spans="1:21">
      <c r="A2846" s="29" t="s">
        <v>138</v>
      </c>
      <c r="B2846" s="32">
        <v>42263</v>
      </c>
      <c r="C2846" s="29">
        <v>109</v>
      </c>
      <c r="D2846" s="35">
        <v>109</v>
      </c>
      <c r="E2846" s="35">
        <v>107.5</v>
      </c>
      <c r="F2846" s="33">
        <v>107.699997</v>
      </c>
      <c r="G2846" s="29">
        <v>-1.38</v>
      </c>
      <c r="H2846" s="29">
        <v>-1.5</v>
      </c>
      <c r="I2846" s="35">
        <v>109</v>
      </c>
      <c r="J2846" s="34">
        <v>58797</v>
      </c>
      <c r="K2846" s="34">
        <v>6370766</v>
      </c>
      <c r="M2846" s="29" t="s">
        <v>128</v>
      </c>
      <c r="N2846" s="30">
        <v>42327</v>
      </c>
      <c r="O2846" s="41">
        <v>6988.78</v>
      </c>
      <c r="P2846" s="41">
        <v>7033.11</v>
      </c>
      <c r="Q2846" s="41">
        <v>6982.09</v>
      </c>
      <c r="R2846" s="31">
        <v>7020.18</v>
      </c>
      <c r="S2846" s="29">
        <v>0.55000000000000004</v>
      </c>
      <c r="T2846" s="29">
        <v>38.21</v>
      </c>
      <c r="U2846" s="41">
        <v>6981.97</v>
      </c>
    </row>
    <row r="2847" spans="1:21">
      <c r="A2847" s="29" t="s">
        <v>138</v>
      </c>
      <c r="B2847" s="32">
        <v>42264</v>
      </c>
      <c r="C2847" s="29">
        <v>108</v>
      </c>
      <c r="D2847" s="35">
        <v>110</v>
      </c>
      <c r="E2847" s="35">
        <v>107.5</v>
      </c>
      <c r="F2847" s="33">
        <v>108.099998</v>
      </c>
      <c r="G2847" s="29">
        <v>2.14</v>
      </c>
      <c r="H2847" s="29">
        <v>2.2999999999999998</v>
      </c>
      <c r="I2847" s="35">
        <v>107.699997</v>
      </c>
      <c r="J2847" s="34">
        <v>419891</v>
      </c>
      <c r="K2847" s="34">
        <v>45336316</v>
      </c>
      <c r="M2847" s="29" t="s">
        <v>128</v>
      </c>
      <c r="N2847" s="30">
        <v>42328</v>
      </c>
      <c r="O2847" s="41">
        <v>7021.3</v>
      </c>
      <c r="P2847" s="41">
        <v>7024.68</v>
      </c>
      <c r="Q2847" s="41">
        <v>6997.05</v>
      </c>
      <c r="R2847" s="31">
        <v>7017.44</v>
      </c>
      <c r="S2847" s="29">
        <v>-0.04</v>
      </c>
      <c r="T2847" s="29">
        <v>-2.74</v>
      </c>
      <c r="U2847" s="41">
        <v>7020.18</v>
      </c>
    </row>
    <row r="2848" spans="1:21">
      <c r="A2848" s="29" t="s">
        <v>138</v>
      </c>
      <c r="B2848" s="32">
        <v>42265</v>
      </c>
      <c r="C2848" s="29">
        <v>108.6</v>
      </c>
      <c r="D2848" s="35">
        <v>110</v>
      </c>
      <c r="E2848" s="35">
        <v>108</v>
      </c>
      <c r="F2848" s="33">
        <v>108.800003</v>
      </c>
      <c r="G2848" s="29">
        <v>1.76</v>
      </c>
      <c r="H2848" s="29">
        <v>1.9</v>
      </c>
      <c r="I2848" s="35">
        <v>108.099998</v>
      </c>
      <c r="J2848" s="34">
        <v>8292</v>
      </c>
      <c r="K2848" s="34">
        <v>901639</v>
      </c>
      <c r="M2848" s="29" t="s">
        <v>128</v>
      </c>
      <c r="N2848" s="30">
        <v>42331</v>
      </c>
      <c r="O2848" s="41">
        <v>7025.55</v>
      </c>
      <c r="P2848" s="41">
        <v>7072.67</v>
      </c>
      <c r="Q2848" s="41">
        <v>7025.55</v>
      </c>
      <c r="R2848" s="31">
        <v>7055.84</v>
      </c>
      <c r="S2848" s="29">
        <v>0.55000000000000004</v>
      </c>
      <c r="T2848" s="29">
        <v>38.4</v>
      </c>
      <c r="U2848" s="41">
        <v>7017.44</v>
      </c>
    </row>
    <row r="2849" spans="1:21">
      <c r="A2849" s="29" t="s">
        <v>138</v>
      </c>
      <c r="B2849" s="32">
        <v>42268</v>
      </c>
      <c r="C2849" s="29">
        <v>110</v>
      </c>
      <c r="D2849" s="35">
        <v>110</v>
      </c>
      <c r="E2849" s="35">
        <v>109</v>
      </c>
      <c r="F2849" s="33">
        <v>109.900002</v>
      </c>
      <c r="G2849" s="29">
        <v>1.01</v>
      </c>
      <c r="H2849" s="29">
        <v>1.1000000000000001</v>
      </c>
      <c r="I2849" s="35">
        <v>108.800003</v>
      </c>
      <c r="J2849" s="34">
        <v>25625</v>
      </c>
      <c r="K2849" s="34">
        <v>2812420</v>
      </c>
      <c r="M2849" s="29" t="s">
        <v>128</v>
      </c>
      <c r="N2849" s="30">
        <v>42332</v>
      </c>
      <c r="O2849" s="41">
        <v>7056.83</v>
      </c>
      <c r="P2849" s="41">
        <v>7058.13</v>
      </c>
      <c r="Q2849" s="41">
        <v>7004.21</v>
      </c>
      <c r="R2849" s="31">
        <v>7009.99</v>
      </c>
      <c r="S2849" s="29">
        <v>-0.65</v>
      </c>
      <c r="T2849" s="29">
        <v>-45.85</v>
      </c>
      <c r="U2849" s="41">
        <v>7055.84</v>
      </c>
    </row>
    <row r="2850" spans="1:21">
      <c r="A2850" s="29" t="s">
        <v>138</v>
      </c>
      <c r="B2850" s="32">
        <v>42269</v>
      </c>
      <c r="C2850" s="29">
        <v>109.5</v>
      </c>
      <c r="D2850" s="35">
        <v>109.900002</v>
      </c>
      <c r="E2850" s="35">
        <v>109</v>
      </c>
      <c r="F2850" s="33">
        <v>109.099998</v>
      </c>
      <c r="G2850" s="29">
        <v>-0.36</v>
      </c>
      <c r="H2850" s="29">
        <v>-0.4</v>
      </c>
      <c r="I2850" s="35">
        <v>109.900002</v>
      </c>
      <c r="J2850" s="34">
        <v>18730</v>
      </c>
      <c r="K2850" s="34">
        <v>2043400</v>
      </c>
      <c r="M2850" s="29" t="s">
        <v>128</v>
      </c>
      <c r="N2850" s="30">
        <v>42334</v>
      </c>
      <c r="O2850" s="41">
        <v>7002.46</v>
      </c>
      <c r="P2850" s="41">
        <v>7002.46</v>
      </c>
      <c r="Q2850" s="41">
        <v>6961.45</v>
      </c>
      <c r="R2850" s="31">
        <v>6963.37</v>
      </c>
      <c r="S2850" s="29">
        <v>-0.67</v>
      </c>
      <c r="T2850" s="29">
        <v>-46.62</v>
      </c>
      <c r="U2850" s="41">
        <v>7009.99</v>
      </c>
    </row>
    <row r="2851" spans="1:21">
      <c r="A2851" s="29" t="s">
        <v>138</v>
      </c>
      <c r="B2851" s="32">
        <v>42270</v>
      </c>
      <c r="C2851" s="29">
        <v>109.4</v>
      </c>
      <c r="D2851" s="35">
        <v>109.400002</v>
      </c>
      <c r="E2851" s="35">
        <v>108.599998</v>
      </c>
      <c r="F2851" s="33">
        <v>108.900002</v>
      </c>
      <c r="G2851" s="29">
        <v>-0.18</v>
      </c>
      <c r="H2851" s="29">
        <v>-0.2</v>
      </c>
      <c r="I2851" s="35">
        <v>109.099998</v>
      </c>
      <c r="J2851" s="34">
        <v>7366</v>
      </c>
      <c r="K2851" s="34">
        <v>802534</v>
      </c>
      <c r="M2851" s="29" t="s">
        <v>128</v>
      </c>
      <c r="N2851" s="30">
        <v>42335</v>
      </c>
      <c r="O2851" s="41">
        <v>6964.3</v>
      </c>
      <c r="P2851" s="41">
        <v>6974.14</v>
      </c>
      <c r="Q2851" s="41">
        <v>6958.29</v>
      </c>
      <c r="R2851" s="31">
        <v>6961.41</v>
      </c>
      <c r="S2851" s="29">
        <v>-0.03</v>
      </c>
      <c r="T2851" s="29">
        <v>-1.96</v>
      </c>
      <c r="U2851" s="41">
        <v>6963.37</v>
      </c>
    </row>
    <row r="2852" spans="1:21">
      <c r="A2852" s="29" t="s">
        <v>138</v>
      </c>
      <c r="B2852" s="32">
        <v>42272</v>
      </c>
      <c r="C2852" s="29">
        <v>108.6</v>
      </c>
      <c r="D2852" s="35">
        <v>109</v>
      </c>
      <c r="E2852" s="35">
        <v>108</v>
      </c>
      <c r="F2852" s="33">
        <v>108.400002</v>
      </c>
      <c r="G2852" s="29">
        <v>0.09</v>
      </c>
      <c r="H2852" s="29">
        <v>0.1</v>
      </c>
      <c r="I2852" s="35">
        <v>108.900002</v>
      </c>
      <c r="J2852" s="34">
        <v>26580</v>
      </c>
      <c r="K2852" s="34">
        <v>2883056</v>
      </c>
      <c r="M2852" s="29" t="s">
        <v>128</v>
      </c>
      <c r="N2852" s="30">
        <v>42338</v>
      </c>
      <c r="O2852" s="41">
        <v>6954.29</v>
      </c>
      <c r="P2852" s="41">
        <v>6954.39</v>
      </c>
      <c r="Q2852" s="41">
        <v>6909.15</v>
      </c>
      <c r="R2852" s="31">
        <v>6909.15</v>
      </c>
      <c r="S2852" s="29">
        <v>-0.75</v>
      </c>
      <c r="T2852" s="29">
        <v>-52.26</v>
      </c>
      <c r="U2852" s="41">
        <v>6961.41</v>
      </c>
    </row>
    <row r="2853" spans="1:21">
      <c r="A2853" s="29" t="s">
        <v>138</v>
      </c>
      <c r="B2853" s="32">
        <v>42275</v>
      </c>
      <c r="C2853" s="29">
        <v>108.5</v>
      </c>
      <c r="D2853" s="35">
        <v>108.5</v>
      </c>
      <c r="E2853" s="35">
        <v>108</v>
      </c>
      <c r="F2853" s="33">
        <v>108</v>
      </c>
      <c r="G2853" s="29">
        <v>-0.37</v>
      </c>
      <c r="H2853" s="29">
        <v>-0.4</v>
      </c>
      <c r="I2853" s="35">
        <v>108.400002</v>
      </c>
      <c r="J2853" s="34">
        <v>22100</v>
      </c>
      <c r="K2853" s="34">
        <v>2388780</v>
      </c>
      <c r="M2853" s="29" t="s">
        <v>128</v>
      </c>
      <c r="N2853" s="30">
        <v>42339</v>
      </c>
      <c r="O2853" s="41">
        <v>6909.32</v>
      </c>
      <c r="P2853" s="41">
        <v>6920</v>
      </c>
      <c r="Q2853" s="41">
        <v>6895.19</v>
      </c>
      <c r="R2853" s="31">
        <v>6895.19</v>
      </c>
      <c r="S2853" s="29">
        <v>-0.2</v>
      </c>
      <c r="T2853" s="29">
        <v>-13.96</v>
      </c>
      <c r="U2853" s="41">
        <v>6909.15</v>
      </c>
    </row>
    <row r="2854" spans="1:21">
      <c r="A2854" s="29" t="s">
        <v>138</v>
      </c>
      <c r="B2854" s="32">
        <v>42276</v>
      </c>
      <c r="C2854" s="29">
        <v>108.1</v>
      </c>
      <c r="D2854" s="35">
        <v>109</v>
      </c>
      <c r="E2854" s="35">
        <v>108.099998</v>
      </c>
      <c r="F2854" s="33">
        <v>109</v>
      </c>
      <c r="G2854" s="29">
        <v>0.93</v>
      </c>
      <c r="H2854" s="29">
        <v>1</v>
      </c>
      <c r="I2854" s="35">
        <v>108</v>
      </c>
      <c r="J2854" s="34">
        <v>10007</v>
      </c>
      <c r="K2854" s="34">
        <v>1085683</v>
      </c>
      <c r="M2854" s="29" t="s">
        <v>128</v>
      </c>
      <c r="N2854" s="30">
        <v>42340</v>
      </c>
      <c r="O2854" s="41">
        <v>6891.22</v>
      </c>
      <c r="P2854" s="41">
        <v>6906.3</v>
      </c>
      <c r="Q2854" s="41">
        <v>6862.79</v>
      </c>
      <c r="R2854" s="31">
        <v>6862.79</v>
      </c>
      <c r="S2854" s="29">
        <v>-0.47</v>
      </c>
      <c r="T2854" s="29">
        <v>-32.4</v>
      </c>
      <c r="U2854" s="41">
        <v>6895.19</v>
      </c>
    </row>
    <row r="2855" spans="1:21">
      <c r="A2855" s="29" t="s">
        <v>138</v>
      </c>
      <c r="B2855" s="32">
        <v>42277</v>
      </c>
      <c r="C2855" s="29">
        <v>118.2</v>
      </c>
      <c r="D2855" s="35">
        <v>118.2</v>
      </c>
      <c r="E2855" s="35">
        <v>105</v>
      </c>
      <c r="F2855" s="33">
        <v>108.400002</v>
      </c>
      <c r="G2855" s="29">
        <v>0.73</v>
      </c>
      <c r="H2855" s="29">
        <v>0.8</v>
      </c>
      <c r="I2855" s="35">
        <v>109</v>
      </c>
      <c r="J2855" s="34">
        <v>16955</v>
      </c>
      <c r="K2855" s="34">
        <v>1840985</v>
      </c>
      <c r="M2855" s="29" t="s">
        <v>128</v>
      </c>
      <c r="N2855" s="30">
        <v>42341</v>
      </c>
      <c r="O2855" s="41">
        <v>6863.73</v>
      </c>
      <c r="P2855" s="41">
        <v>6881.99</v>
      </c>
      <c r="Q2855" s="41">
        <v>6863.73</v>
      </c>
      <c r="R2855" s="31">
        <v>6880.66</v>
      </c>
      <c r="S2855" s="29">
        <v>0.26</v>
      </c>
      <c r="T2855" s="29">
        <v>17.87</v>
      </c>
      <c r="U2855" s="41">
        <v>6862.79</v>
      </c>
    </row>
    <row r="2856" spans="1:21">
      <c r="A2856" s="29" t="s">
        <v>138</v>
      </c>
      <c r="B2856" s="32">
        <v>42278</v>
      </c>
      <c r="C2856" s="29">
        <v>108</v>
      </c>
      <c r="D2856" s="35">
        <v>109</v>
      </c>
      <c r="E2856" s="35">
        <v>108</v>
      </c>
      <c r="F2856" s="33">
        <v>108.900002</v>
      </c>
      <c r="G2856" s="29">
        <v>0.46</v>
      </c>
      <c r="H2856" s="29">
        <v>0.5</v>
      </c>
      <c r="I2856" s="35">
        <v>108.400002</v>
      </c>
      <c r="J2856" s="34">
        <v>4500</v>
      </c>
      <c r="K2856" s="34">
        <v>489947</v>
      </c>
      <c r="M2856" s="29" t="s">
        <v>128</v>
      </c>
      <c r="N2856" s="30">
        <v>42342</v>
      </c>
      <c r="O2856" s="41">
        <v>6880.79</v>
      </c>
      <c r="P2856" s="41">
        <v>6881.14</v>
      </c>
      <c r="Q2856" s="41">
        <v>6855.96</v>
      </c>
      <c r="R2856" s="31">
        <v>6869.56</v>
      </c>
      <c r="S2856" s="29">
        <v>-0.16</v>
      </c>
      <c r="T2856" s="29">
        <v>-11.1</v>
      </c>
      <c r="U2856" s="41">
        <v>6880.66</v>
      </c>
    </row>
    <row r="2857" spans="1:21">
      <c r="A2857" s="29" t="s">
        <v>138</v>
      </c>
      <c r="B2857" s="32">
        <v>42279</v>
      </c>
      <c r="C2857" s="29">
        <v>109.2</v>
      </c>
      <c r="D2857" s="35">
        <v>117</v>
      </c>
      <c r="E2857" s="35">
        <v>109</v>
      </c>
      <c r="F2857" s="33">
        <v>114.099998</v>
      </c>
      <c r="G2857" s="29">
        <v>5.42</v>
      </c>
      <c r="H2857" s="29">
        <v>5.9</v>
      </c>
      <c r="I2857" s="35">
        <v>108.900002</v>
      </c>
      <c r="J2857" s="34">
        <v>216003</v>
      </c>
      <c r="K2857" s="34">
        <v>24106476</v>
      </c>
      <c r="M2857" s="29" t="s">
        <v>128</v>
      </c>
      <c r="N2857" s="30">
        <v>42345</v>
      </c>
      <c r="O2857" s="41">
        <v>6870.79</v>
      </c>
      <c r="P2857" s="41">
        <v>6873.85</v>
      </c>
      <c r="Q2857" s="41">
        <v>6854.79</v>
      </c>
      <c r="R2857" s="31">
        <v>6858.63</v>
      </c>
      <c r="S2857" s="29">
        <v>-0.16</v>
      </c>
      <c r="T2857" s="29">
        <v>-10.93</v>
      </c>
      <c r="U2857" s="41">
        <v>6869.56</v>
      </c>
    </row>
    <row r="2858" spans="1:21">
      <c r="A2858" s="29" t="s">
        <v>138</v>
      </c>
      <c r="B2858" s="32">
        <v>42282</v>
      </c>
      <c r="C2858" s="29">
        <v>114.9</v>
      </c>
      <c r="D2858" s="35">
        <v>120</v>
      </c>
      <c r="E2858" s="35">
        <v>114.9</v>
      </c>
      <c r="F2858" s="33">
        <v>119.800003</v>
      </c>
      <c r="G2858" s="29">
        <v>5.17</v>
      </c>
      <c r="H2858" s="29">
        <v>5.9</v>
      </c>
      <c r="I2858" s="35">
        <v>114.099998</v>
      </c>
      <c r="J2858" s="34">
        <v>330564</v>
      </c>
      <c r="K2858" s="34">
        <v>39195272</v>
      </c>
      <c r="M2858" s="29" t="s">
        <v>128</v>
      </c>
      <c r="N2858" s="30">
        <v>42346</v>
      </c>
      <c r="O2858" s="41">
        <v>6858.66</v>
      </c>
      <c r="P2858" s="41">
        <v>6867.86</v>
      </c>
      <c r="Q2858" s="41">
        <v>6845.66</v>
      </c>
      <c r="R2858" s="31">
        <v>6849.09</v>
      </c>
      <c r="S2858" s="29">
        <v>-0.14000000000000001</v>
      </c>
      <c r="T2858" s="29">
        <v>-9.5399999999999991</v>
      </c>
      <c r="U2858" s="41">
        <v>6858.63</v>
      </c>
    </row>
    <row r="2859" spans="1:21">
      <c r="A2859" s="29" t="s">
        <v>138</v>
      </c>
      <c r="B2859" s="32">
        <v>42283</v>
      </c>
      <c r="C2859" s="29">
        <v>122</v>
      </c>
      <c r="D2859" s="35">
        <v>124</v>
      </c>
      <c r="E2859" s="35">
        <v>119.5</v>
      </c>
      <c r="F2859" s="33">
        <v>123.099998</v>
      </c>
      <c r="G2859" s="29">
        <v>3.01</v>
      </c>
      <c r="H2859" s="29">
        <v>3.6</v>
      </c>
      <c r="I2859" s="35">
        <v>119.800003</v>
      </c>
      <c r="J2859" s="34">
        <v>276998</v>
      </c>
      <c r="K2859" s="34">
        <v>33939020</v>
      </c>
      <c r="M2859" s="29" t="s">
        <v>128</v>
      </c>
      <c r="N2859" s="30">
        <v>42347</v>
      </c>
      <c r="O2859" s="41">
        <v>6849.43</v>
      </c>
      <c r="P2859" s="41">
        <v>6849.45</v>
      </c>
      <c r="Q2859" s="41">
        <v>6840.57</v>
      </c>
      <c r="R2859" s="31">
        <v>6841.55</v>
      </c>
      <c r="S2859" s="29">
        <v>-0.11</v>
      </c>
      <c r="T2859" s="29">
        <v>-7.54</v>
      </c>
      <c r="U2859" s="41">
        <v>6849.09</v>
      </c>
    </row>
    <row r="2860" spans="1:21">
      <c r="A2860" s="29" t="s">
        <v>138</v>
      </c>
      <c r="B2860" s="32">
        <v>42284</v>
      </c>
      <c r="C2860" s="29">
        <v>124</v>
      </c>
      <c r="D2860" s="35">
        <v>124</v>
      </c>
      <c r="E2860" s="35">
        <v>120.5</v>
      </c>
      <c r="F2860" s="33">
        <v>121.099998</v>
      </c>
      <c r="G2860" s="29">
        <v>-2.11</v>
      </c>
      <c r="H2860" s="29">
        <v>-2.6</v>
      </c>
      <c r="I2860" s="35">
        <v>123.099998</v>
      </c>
      <c r="J2860" s="34">
        <v>43917</v>
      </c>
      <c r="K2860" s="34">
        <v>5343747</v>
      </c>
      <c r="M2860" s="29" t="s">
        <v>128</v>
      </c>
      <c r="N2860" s="30">
        <v>42348</v>
      </c>
      <c r="O2860" s="41">
        <v>6841.59</v>
      </c>
      <c r="P2860" s="41">
        <v>6842.31</v>
      </c>
      <c r="Q2860" s="41">
        <v>6819.16</v>
      </c>
      <c r="R2860" s="31">
        <v>6823.91</v>
      </c>
      <c r="S2860" s="29">
        <v>-0.26</v>
      </c>
      <c r="T2860" s="29">
        <v>-17.64</v>
      </c>
      <c r="U2860" s="41">
        <v>6841.55</v>
      </c>
    </row>
    <row r="2861" spans="1:21">
      <c r="A2861" s="29" t="s">
        <v>138</v>
      </c>
      <c r="B2861" s="32">
        <v>42285</v>
      </c>
      <c r="C2861" s="29">
        <v>119.8</v>
      </c>
      <c r="D2861" s="35">
        <v>123</v>
      </c>
      <c r="E2861" s="35">
        <v>119.8</v>
      </c>
      <c r="F2861" s="33">
        <v>121.599998</v>
      </c>
      <c r="G2861" s="29">
        <v>-0.08</v>
      </c>
      <c r="H2861" s="29">
        <v>-0.1</v>
      </c>
      <c r="I2861" s="35">
        <v>121.099998</v>
      </c>
      <c r="J2861" s="34">
        <v>37279</v>
      </c>
      <c r="K2861" s="34">
        <v>4508508</v>
      </c>
      <c r="M2861" s="29" t="s">
        <v>128</v>
      </c>
      <c r="N2861" s="30">
        <v>42349</v>
      </c>
      <c r="O2861" s="41">
        <v>6823.95</v>
      </c>
      <c r="P2861" s="41">
        <v>6842.72</v>
      </c>
      <c r="Q2861" s="41">
        <v>6822.59</v>
      </c>
      <c r="R2861" s="31">
        <v>6832.35</v>
      </c>
      <c r="S2861" s="29">
        <v>0.12</v>
      </c>
      <c r="T2861" s="29">
        <v>8.44</v>
      </c>
      <c r="U2861" s="41">
        <v>6823.91</v>
      </c>
    </row>
    <row r="2862" spans="1:21">
      <c r="A2862" s="29" t="s">
        <v>138</v>
      </c>
      <c r="B2862" s="32">
        <v>42286</v>
      </c>
      <c r="C2862" s="29">
        <v>121</v>
      </c>
      <c r="D2862" s="35">
        <v>128</v>
      </c>
      <c r="E2862" s="35">
        <v>121</v>
      </c>
      <c r="F2862" s="33">
        <v>126.800003</v>
      </c>
      <c r="G2862" s="29">
        <v>4.4400000000000004</v>
      </c>
      <c r="H2862" s="29">
        <v>5.4</v>
      </c>
      <c r="I2862" s="35">
        <v>121.599998</v>
      </c>
      <c r="J2862" s="34">
        <v>501869</v>
      </c>
      <c r="K2862" s="34">
        <v>63132564</v>
      </c>
      <c r="M2862" s="29" t="s">
        <v>128</v>
      </c>
      <c r="N2862" s="30">
        <v>42352</v>
      </c>
      <c r="O2862" s="41">
        <v>6832.75</v>
      </c>
      <c r="P2862" s="41">
        <v>6839.36</v>
      </c>
      <c r="Q2862" s="41">
        <v>6802.38</v>
      </c>
      <c r="R2862" s="31">
        <v>6803.08</v>
      </c>
      <c r="S2862" s="29">
        <v>-0.43</v>
      </c>
      <c r="T2862" s="29">
        <v>-29.27</v>
      </c>
      <c r="U2862" s="41">
        <v>6832.35</v>
      </c>
    </row>
    <row r="2863" spans="1:21">
      <c r="A2863" s="29" t="s">
        <v>138</v>
      </c>
      <c r="B2863" s="32">
        <v>42289</v>
      </c>
      <c r="C2863" s="29">
        <v>128</v>
      </c>
      <c r="D2863" s="35">
        <v>128.699997</v>
      </c>
      <c r="E2863" s="35">
        <v>126.199997</v>
      </c>
      <c r="F2863" s="33">
        <v>126.699997</v>
      </c>
      <c r="G2863" s="29">
        <v>0.16</v>
      </c>
      <c r="H2863" s="29">
        <v>0.2</v>
      </c>
      <c r="I2863" s="35">
        <v>126.800003</v>
      </c>
      <c r="J2863" s="34">
        <v>56729</v>
      </c>
      <c r="K2863" s="34">
        <v>7221931</v>
      </c>
      <c r="M2863" s="29" t="s">
        <v>128</v>
      </c>
      <c r="N2863" s="30">
        <v>42353</v>
      </c>
      <c r="O2863" s="41">
        <v>6803.17</v>
      </c>
      <c r="P2863" s="41">
        <v>6827.12</v>
      </c>
      <c r="Q2863" s="41">
        <v>6803.16</v>
      </c>
      <c r="R2863" s="31">
        <v>6820.77</v>
      </c>
      <c r="S2863" s="29">
        <v>0.26</v>
      </c>
      <c r="T2863" s="29">
        <v>17.690000000000001</v>
      </c>
      <c r="U2863" s="41">
        <v>6803.08</v>
      </c>
    </row>
    <row r="2864" spans="1:21">
      <c r="A2864" s="29" t="s">
        <v>138</v>
      </c>
      <c r="B2864" s="32">
        <v>42290</v>
      </c>
      <c r="C2864" s="29">
        <v>126.7</v>
      </c>
      <c r="D2864" s="35">
        <v>126.7</v>
      </c>
      <c r="E2864" s="35">
        <v>121</v>
      </c>
      <c r="F2864" s="33">
        <v>124.199997</v>
      </c>
      <c r="G2864" s="29">
        <v>-2.92</v>
      </c>
      <c r="H2864" s="29">
        <v>-3.7</v>
      </c>
      <c r="I2864" s="35">
        <v>126.699997</v>
      </c>
      <c r="J2864" s="34">
        <v>274108</v>
      </c>
      <c r="K2864" s="34">
        <v>33680376</v>
      </c>
      <c r="M2864" s="29" t="s">
        <v>128</v>
      </c>
      <c r="N2864" s="30">
        <v>42354</v>
      </c>
      <c r="O2864" s="41">
        <v>6822.52</v>
      </c>
      <c r="P2864" s="41">
        <v>6844.4</v>
      </c>
      <c r="Q2864" s="41">
        <v>6820.51</v>
      </c>
      <c r="R2864" s="31">
        <v>6833.51</v>
      </c>
      <c r="S2864" s="29">
        <v>0.19</v>
      </c>
      <c r="T2864" s="29">
        <v>12.74</v>
      </c>
      <c r="U2864" s="41">
        <v>6820.77</v>
      </c>
    </row>
    <row r="2865" spans="1:21">
      <c r="A2865" s="29" t="s">
        <v>138</v>
      </c>
      <c r="B2865" s="32">
        <v>42291</v>
      </c>
      <c r="C2865" s="29">
        <v>125</v>
      </c>
      <c r="D2865" s="35">
        <v>125.900002</v>
      </c>
      <c r="E2865" s="35">
        <v>121.900002</v>
      </c>
      <c r="F2865" s="33">
        <v>122.099998</v>
      </c>
      <c r="G2865" s="29">
        <v>-1.85</v>
      </c>
      <c r="H2865" s="29">
        <v>-2.2999999999999998</v>
      </c>
      <c r="I2865" s="35">
        <v>124.199997</v>
      </c>
      <c r="J2865" s="34">
        <v>41915</v>
      </c>
      <c r="K2865" s="34">
        <v>5158688</v>
      </c>
      <c r="M2865" s="29" t="s">
        <v>128</v>
      </c>
      <c r="N2865" s="30">
        <v>42355</v>
      </c>
      <c r="O2865" s="41">
        <v>6834</v>
      </c>
      <c r="P2865" s="41">
        <v>6859.99</v>
      </c>
      <c r="Q2865" s="41">
        <v>6833.96</v>
      </c>
      <c r="R2865" s="31">
        <v>6859.99</v>
      </c>
      <c r="S2865" s="29">
        <v>0.39</v>
      </c>
      <c r="T2865" s="29">
        <v>26.48</v>
      </c>
      <c r="U2865" s="41">
        <v>6833.51</v>
      </c>
    </row>
    <row r="2866" spans="1:21">
      <c r="A2866" s="29" t="s">
        <v>138</v>
      </c>
      <c r="B2866" s="32">
        <v>42292</v>
      </c>
      <c r="C2866" s="29">
        <v>122.1</v>
      </c>
      <c r="D2866" s="35">
        <v>122.5</v>
      </c>
      <c r="E2866" s="35">
        <v>118.5</v>
      </c>
      <c r="F2866" s="33">
        <v>119.599998</v>
      </c>
      <c r="G2866" s="29">
        <v>-2.95</v>
      </c>
      <c r="H2866" s="29">
        <v>-3.6</v>
      </c>
      <c r="I2866" s="35">
        <v>122.099998</v>
      </c>
      <c r="J2866" s="34">
        <v>43376</v>
      </c>
      <c r="K2866" s="34">
        <v>5211670</v>
      </c>
      <c r="M2866" s="29" t="s">
        <v>128</v>
      </c>
      <c r="N2866" s="30">
        <v>42356</v>
      </c>
      <c r="O2866" s="41">
        <v>6859.14</v>
      </c>
      <c r="P2866" s="41">
        <v>6887.3</v>
      </c>
      <c r="Q2866" s="41">
        <v>6858.92</v>
      </c>
      <c r="R2866" s="31">
        <v>6884.69</v>
      </c>
      <c r="S2866" s="29">
        <v>0.36</v>
      </c>
      <c r="T2866" s="29">
        <v>24.7</v>
      </c>
      <c r="U2866" s="41">
        <v>6859.99</v>
      </c>
    </row>
    <row r="2867" spans="1:21">
      <c r="A2867" s="29" t="s">
        <v>138</v>
      </c>
      <c r="B2867" s="32">
        <v>42293</v>
      </c>
      <c r="C2867" s="29">
        <v>120.9</v>
      </c>
      <c r="D2867" s="35">
        <v>122</v>
      </c>
      <c r="E2867" s="35">
        <v>119.099998</v>
      </c>
      <c r="F2867" s="33">
        <v>119.5</v>
      </c>
      <c r="G2867" s="29">
        <v>0.33</v>
      </c>
      <c r="H2867" s="29">
        <v>0.4</v>
      </c>
      <c r="I2867" s="35">
        <v>119.599998</v>
      </c>
      <c r="J2867" s="34">
        <v>82355</v>
      </c>
      <c r="K2867" s="34">
        <v>10028818</v>
      </c>
      <c r="M2867" s="29" t="s">
        <v>128</v>
      </c>
      <c r="N2867" s="30">
        <v>42359</v>
      </c>
      <c r="O2867" s="41">
        <v>6885.12</v>
      </c>
      <c r="P2867" s="41">
        <v>6891.73</v>
      </c>
      <c r="Q2867" s="41">
        <v>6875.49</v>
      </c>
      <c r="R2867" s="31">
        <v>6881.75</v>
      </c>
      <c r="S2867" s="29">
        <v>-0.04</v>
      </c>
      <c r="T2867" s="29">
        <v>-2.94</v>
      </c>
      <c r="U2867" s="41">
        <v>6884.69</v>
      </c>
    </row>
    <row r="2868" spans="1:21">
      <c r="A2868" s="29" t="s">
        <v>138</v>
      </c>
      <c r="B2868" s="32">
        <v>42296</v>
      </c>
      <c r="C2868" s="29">
        <v>120.5</v>
      </c>
      <c r="D2868" s="35">
        <v>121</v>
      </c>
      <c r="E2868" s="35">
        <v>118.5</v>
      </c>
      <c r="F2868" s="33">
        <v>119.599998</v>
      </c>
      <c r="G2868" s="29">
        <v>0.42</v>
      </c>
      <c r="H2868" s="29">
        <v>0.5</v>
      </c>
      <c r="I2868" s="35">
        <v>119.5</v>
      </c>
      <c r="J2868" s="34">
        <v>42129</v>
      </c>
      <c r="K2868" s="34">
        <v>5038363</v>
      </c>
      <c r="M2868" s="29" t="s">
        <v>128</v>
      </c>
      <c r="N2868" s="30">
        <v>42360</v>
      </c>
      <c r="O2868" s="41">
        <v>6882.31</v>
      </c>
      <c r="P2868" s="41">
        <v>6883.7</v>
      </c>
      <c r="Q2868" s="41">
        <v>6854.57</v>
      </c>
      <c r="R2868" s="31">
        <v>6854.57</v>
      </c>
      <c r="S2868" s="29">
        <v>-0.39</v>
      </c>
      <c r="T2868" s="29">
        <v>-27.18</v>
      </c>
      <c r="U2868" s="41">
        <v>6881.75</v>
      </c>
    </row>
    <row r="2869" spans="1:21">
      <c r="A2869" s="29" t="s">
        <v>138</v>
      </c>
      <c r="B2869" s="32">
        <v>42297</v>
      </c>
      <c r="C2869" s="29">
        <v>119.9</v>
      </c>
      <c r="D2869" s="35">
        <v>122.5</v>
      </c>
      <c r="E2869" s="35">
        <v>119.9</v>
      </c>
      <c r="F2869" s="33">
        <v>120.5</v>
      </c>
      <c r="G2869" s="29">
        <v>0.42</v>
      </c>
      <c r="H2869" s="29">
        <v>0.5</v>
      </c>
      <c r="I2869" s="35">
        <v>119.599998</v>
      </c>
      <c r="J2869" s="34">
        <v>29095</v>
      </c>
      <c r="K2869" s="34">
        <v>3515002</v>
      </c>
      <c r="M2869" s="29" t="s">
        <v>128</v>
      </c>
      <c r="N2869" s="30">
        <v>42361</v>
      </c>
      <c r="O2869" s="41">
        <v>6854.33</v>
      </c>
      <c r="P2869" s="41">
        <v>6861.93</v>
      </c>
      <c r="Q2869" s="41">
        <v>6846.27</v>
      </c>
      <c r="R2869" s="31">
        <v>6858.64</v>
      </c>
      <c r="S2869" s="29">
        <v>0.06</v>
      </c>
      <c r="T2869" s="29">
        <v>4.07</v>
      </c>
      <c r="U2869" s="41">
        <v>6854.57</v>
      </c>
    </row>
    <row r="2870" spans="1:21">
      <c r="A2870" s="29" t="s">
        <v>138</v>
      </c>
      <c r="B2870" s="32">
        <v>42298</v>
      </c>
      <c r="C2870" s="29">
        <v>120.9</v>
      </c>
      <c r="D2870" s="35">
        <v>122.400002</v>
      </c>
      <c r="E2870" s="35">
        <v>120</v>
      </c>
      <c r="F2870" s="33">
        <v>122</v>
      </c>
      <c r="G2870" s="29">
        <v>1.58</v>
      </c>
      <c r="H2870" s="29">
        <v>1.9</v>
      </c>
      <c r="I2870" s="35">
        <v>120.5</v>
      </c>
      <c r="J2870" s="34">
        <v>29376</v>
      </c>
      <c r="K2870" s="34">
        <v>3545548</v>
      </c>
      <c r="M2870" s="29" t="s">
        <v>128</v>
      </c>
      <c r="N2870" s="30">
        <v>42366</v>
      </c>
      <c r="O2870" s="41">
        <v>6854.78</v>
      </c>
      <c r="P2870" s="41">
        <v>6859.09</v>
      </c>
      <c r="Q2870" s="41">
        <v>6828.51</v>
      </c>
      <c r="R2870" s="31">
        <v>6828.51</v>
      </c>
      <c r="S2870" s="29">
        <v>-0.44</v>
      </c>
      <c r="T2870" s="29">
        <v>-30.13</v>
      </c>
      <c r="U2870" s="41">
        <v>6858.64</v>
      </c>
    </row>
    <row r="2871" spans="1:21">
      <c r="A2871" s="29" t="s">
        <v>138</v>
      </c>
      <c r="B2871" s="32">
        <v>42299</v>
      </c>
      <c r="C2871" s="29">
        <v>120.1</v>
      </c>
      <c r="D2871" s="35">
        <v>121</v>
      </c>
      <c r="E2871" s="35">
        <v>119.5</v>
      </c>
      <c r="F2871" s="33">
        <v>119.800003</v>
      </c>
      <c r="G2871" s="29">
        <v>-2.0499999999999998</v>
      </c>
      <c r="H2871" s="29">
        <v>-2.5</v>
      </c>
      <c r="I2871" s="35">
        <v>122</v>
      </c>
      <c r="J2871" s="34">
        <v>35813</v>
      </c>
      <c r="K2871" s="34">
        <v>4323106</v>
      </c>
      <c r="M2871" s="29" t="s">
        <v>128</v>
      </c>
      <c r="N2871" s="30">
        <v>42367</v>
      </c>
      <c r="O2871" s="41">
        <v>6829.27</v>
      </c>
      <c r="P2871" s="41">
        <v>6847.74</v>
      </c>
      <c r="Q2871" s="41">
        <v>6829.01</v>
      </c>
      <c r="R2871" s="31">
        <v>6847.74</v>
      </c>
      <c r="S2871" s="29">
        <v>0.28000000000000003</v>
      </c>
      <c r="T2871" s="29">
        <v>19.23</v>
      </c>
      <c r="U2871" s="41">
        <v>6828.51</v>
      </c>
    </row>
    <row r="2872" spans="1:21">
      <c r="A2872" s="29" t="s">
        <v>138</v>
      </c>
      <c r="B2872" s="32">
        <v>42300</v>
      </c>
      <c r="C2872" s="29">
        <v>119.1</v>
      </c>
      <c r="D2872" s="35">
        <v>120.900002</v>
      </c>
      <c r="E2872" s="35">
        <v>119.099998</v>
      </c>
      <c r="F2872" s="33">
        <v>120.599998</v>
      </c>
      <c r="G2872" s="29">
        <v>0.57999999999999996</v>
      </c>
      <c r="H2872" s="29">
        <v>0.7</v>
      </c>
      <c r="I2872" s="35">
        <v>119.800003</v>
      </c>
      <c r="J2872" s="34">
        <v>75982</v>
      </c>
      <c r="K2872" s="34">
        <v>9130500</v>
      </c>
      <c r="M2872" s="29" t="s">
        <v>128</v>
      </c>
      <c r="N2872" s="30">
        <v>42368</v>
      </c>
      <c r="O2872" s="41">
        <v>6847.95</v>
      </c>
      <c r="P2872" s="41">
        <v>6870.63</v>
      </c>
      <c r="Q2872" s="41">
        <v>6839.95</v>
      </c>
      <c r="R2872" s="31">
        <v>6870.63</v>
      </c>
      <c r="S2872" s="29">
        <v>0.33</v>
      </c>
      <c r="T2872" s="29">
        <v>22.89</v>
      </c>
      <c r="U2872" s="41">
        <v>6847.74</v>
      </c>
    </row>
    <row r="2873" spans="1:21">
      <c r="A2873" s="29" t="s">
        <v>138</v>
      </c>
      <c r="B2873" s="32">
        <v>42303</v>
      </c>
      <c r="C2873" s="29">
        <v>120.7</v>
      </c>
      <c r="D2873" s="35">
        <v>122.300003</v>
      </c>
      <c r="E2873" s="35">
        <v>120</v>
      </c>
      <c r="F2873" s="33">
        <v>120.599998</v>
      </c>
      <c r="G2873" s="29">
        <v>1.1599999999999999</v>
      </c>
      <c r="H2873" s="29">
        <v>1.4</v>
      </c>
      <c r="I2873" s="35">
        <v>120.599998</v>
      </c>
      <c r="J2873" s="34">
        <v>42080</v>
      </c>
      <c r="K2873" s="34">
        <v>5094832</v>
      </c>
      <c r="M2873" s="29" t="s">
        <v>128</v>
      </c>
      <c r="N2873" s="30">
        <v>42369</v>
      </c>
      <c r="O2873" s="41">
        <v>6872.9</v>
      </c>
      <c r="P2873" s="41">
        <v>6894.5</v>
      </c>
      <c r="Q2873" s="41">
        <v>6843</v>
      </c>
      <c r="R2873" s="31">
        <v>6894.5</v>
      </c>
      <c r="S2873" s="29">
        <v>0.35</v>
      </c>
      <c r="T2873" s="29">
        <v>23.87</v>
      </c>
      <c r="U2873" s="41">
        <v>6870.63</v>
      </c>
    </row>
    <row r="2874" spans="1:21">
      <c r="A2874" s="29" t="s">
        <v>138</v>
      </c>
      <c r="B2874" s="32">
        <v>42305</v>
      </c>
      <c r="C2874" s="29">
        <v>120.1</v>
      </c>
      <c r="D2874" s="35">
        <v>120.5</v>
      </c>
      <c r="E2874" s="35">
        <v>120</v>
      </c>
      <c r="F2874" s="33">
        <v>120</v>
      </c>
      <c r="G2874" s="29">
        <v>-0.5</v>
      </c>
      <c r="H2874" s="29">
        <v>-0.6</v>
      </c>
      <c r="I2874" s="35">
        <v>120.599998</v>
      </c>
      <c r="J2874" s="34">
        <v>48540</v>
      </c>
      <c r="K2874" s="34">
        <v>5825441</v>
      </c>
      <c r="M2874" s="29" t="s">
        <v>128</v>
      </c>
      <c r="N2874" s="30">
        <v>42373</v>
      </c>
      <c r="O2874" s="41">
        <v>6894.81</v>
      </c>
      <c r="P2874" s="41">
        <v>6912.11</v>
      </c>
      <c r="Q2874" s="41">
        <v>6862.16</v>
      </c>
      <c r="R2874" s="31">
        <v>6867.62</v>
      </c>
      <c r="S2874" s="29">
        <v>-0.39</v>
      </c>
      <c r="T2874" s="29">
        <v>-26.88</v>
      </c>
      <c r="U2874" s="41">
        <v>6894.5</v>
      </c>
    </row>
    <row r="2875" spans="1:21">
      <c r="A2875" s="29" t="s">
        <v>138</v>
      </c>
      <c r="B2875" s="32">
        <v>42306</v>
      </c>
      <c r="C2875" s="29">
        <v>119.1</v>
      </c>
      <c r="D2875" s="35">
        <v>122</v>
      </c>
      <c r="E2875" s="35">
        <v>119</v>
      </c>
      <c r="F2875" s="33">
        <v>119.599998</v>
      </c>
      <c r="G2875" s="29">
        <v>1.67</v>
      </c>
      <c r="H2875" s="29">
        <v>2</v>
      </c>
      <c r="I2875" s="35">
        <v>120</v>
      </c>
      <c r="J2875" s="34">
        <v>22245</v>
      </c>
      <c r="K2875" s="34">
        <v>2659360</v>
      </c>
      <c r="M2875" s="29" t="s">
        <v>128</v>
      </c>
      <c r="N2875" s="30">
        <v>42374</v>
      </c>
      <c r="O2875" s="41">
        <v>6869.05</v>
      </c>
      <c r="P2875" s="41">
        <v>6870.74</v>
      </c>
      <c r="Q2875" s="41">
        <v>6842.77</v>
      </c>
      <c r="R2875" s="31">
        <v>6845.3</v>
      </c>
      <c r="S2875" s="29">
        <v>-0.33</v>
      </c>
      <c r="T2875" s="29">
        <v>-22.32</v>
      </c>
      <c r="U2875" s="41">
        <v>6867.62</v>
      </c>
    </row>
    <row r="2876" spans="1:21">
      <c r="A2876" s="29" t="s">
        <v>138</v>
      </c>
      <c r="B2876" s="32">
        <v>42307</v>
      </c>
      <c r="C2876" s="29">
        <v>119</v>
      </c>
      <c r="D2876" s="35">
        <v>119.800003</v>
      </c>
      <c r="E2876" s="35">
        <v>118.599998</v>
      </c>
      <c r="F2876" s="33">
        <v>119</v>
      </c>
      <c r="G2876" s="29">
        <v>-0.84</v>
      </c>
      <c r="H2876" s="29">
        <v>-1</v>
      </c>
      <c r="I2876" s="35">
        <v>119.599998</v>
      </c>
      <c r="J2876" s="34">
        <v>16210</v>
      </c>
      <c r="K2876" s="34">
        <v>1929141</v>
      </c>
      <c r="M2876" s="29" t="s">
        <v>128</v>
      </c>
      <c r="N2876" s="30">
        <v>42375</v>
      </c>
      <c r="O2876" s="41">
        <v>6846</v>
      </c>
      <c r="P2876" s="41">
        <v>6848.06</v>
      </c>
      <c r="Q2876" s="41">
        <v>6817.36</v>
      </c>
      <c r="R2876" s="31">
        <v>6817.65</v>
      </c>
      <c r="S2876" s="29">
        <v>-0.4</v>
      </c>
      <c r="T2876" s="29">
        <v>-27.65</v>
      </c>
      <c r="U2876" s="41">
        <v>6845.3</v>
      </c>
    </row>
    <row r="2877" spans="1:21">
      <c r="A2877" s="29" t="s">
        <v>138</v>
      </c>
      <c r="B2877" s="32">
        <v>42310</v>
      </c>
      <c r="C2877" s="29">
        <v>119</v>
      </c>
      <c r="D2877" s="35">
        <v>119</v>
      </c>
      <c r="E2877" s="35">
        <v>119</v>
      </c>
      <c r="F2877" s="33">
        <v>119</v>
      </c>
      <c r="G2877" s="29">
        <v>0</v>
      </c>
      <c r="H2877" s="29">
        <v>0</v>
      </c>
      <c r="I2877" s="35">
        <v>119</v>
      </c>
      <c r="J2877" s="34">
        <v>9220</v>
      </c>
      <c r="K2877" s="34">
        <v>1097180</v>
      </c>
      <c r="M2877" s="29" t="s">
        <v>128</v>
      </c>
      <c r="N2877" s="30">
        <v>42376</v>
      </c>
      <c r="O2877" s="41">
        <v>6818.2</v>
      </c>
      <c r="P2877" s="41">
        <v>6820.79</v>
      </c>
      <c r="Q2877" s="41">
        <v>6774.82</v>
      </c>
      <c r="R2877" s="31">
        <v>6775.27</v>
      </c>
      <c r="S2877" s="29">
        <v>-0.62</v>
      </c>
      <c r="T2877" s="29">
        <v>-42.38</v>
      </c>
      <c r="U2877" s="41">
        <v>6817.65</v>
      </c>
    </row>
    <row r="2878" spans="1:21">
      <c r="A2878" s="29" t="s">
        <v>138</v>
      </c>
      <c r="B2878" s="32">
        <v>42311</v>
      </c>
      <c r="C2878" s="29">
        <v>119</v>
      </c>
      <c r="D2878" s="35">
        <v>119.099998</v>
      </c>
      <c r="E2878" s="35">
        <v>118</v>
      </c>
      <c r="F2878" s="33">
        <v>118.699997</v>
      </c>
      <c r="G2878" s="29">
        <v>-0.84</v>
      </c>
      <c r="H2878" s="29">
        <v>-1</v>
      </c>
      <c r="I2878" s="35">
        <v>119</v>
      </c>
      <c r="J2878" s="34">
        <v>105647</v>
      </c>
      <c r="K2878" s="34">
        <v>12566083</v>
      </c>
      <c r="M2878" s="29" t="s">
        <v>128</v>
      </c>
      <c r="N2878" s="30">
        <v>42377</v>
      </c>
      <c r="O2878" s="41">
        <v>6775.28</v>
      </c>
      <c r="P2878" s="41">
        <v>6775.28</v>
      </c>
      <c r="Q2878" s="41">
        <v>6719.8</v>
      </c>
      <c r="R2878" s="31">
        <v>6726.28</v>
      </c>
      <c r="S2878" s="29">
        <v>-0.72</v>
      </c>
      <c r="T2878" s="29">
        <v>-48.99</v>
      </c>
      <c r="U2878" s="41">
        <v>6775.27</v>
      </c>
    </row>
    <row r="2879" spans="1:21">
      <c r="A2879" s="29" t="s">
        <v>138</v>
      </c>
      <c r="B2879" s="32">
        <v>42312</v>
      </c>
      <c r="C2879" s="29">
        <v>118.7</v>
      </c>
      <c r="D2879" s="35">
        <v>118.7</v>
      </c>
      <c r="E2879" s="35">
        <v>114</v>
      </c>
      <c r="F2879" s="33">
        <v>115</v>
      </c>
      <c r="G2879" s="29">
        <v>-3.12</v>
      </c>
      <c r="H2879" s="29">
        <v>-3.7</v>
      </c>
      <c r="I2879" s="35">
        <v>118.699997</v>
      </c>
      <c r="J2879" s="34">
        <v>53033</v>
      </c>
      <c r="K2879" s="34">
        <v>6112777</v>
      </c>
      <c r="M2879" s="29" t="s">
        <v>128</v>
      </c>
      <c r="N2879" s="30">
        <v>42380</v>
      </c>
      <c r="O2879" s="41">
        <v>6726.71</v>
      </c>
      <c r="P2879" s="41">
        <v>6726.71</v>
      </c>
      <c r="Q2879" s="41">
        <v>6649.07</v>
      </c>
      <c r="R2879" s="31">
        <v>6650.32</v>
      </c>
      <c r="S2879" s="29">
        <v>-1.1299999999999999</v>
      </c>
      <c r="T2879" s="29">
        <v>-75.959999999999994</v>
      </c>
      <c r="U2879" s="41">
        <v>6726.28</v>
      </c>
    </row>
    <row r="2880" spans="1:21">
      <c r="A2880" s="29" t="s">
        <v>138</v>
      </c>
      <c r="B2880" s="32">
        <v>42313</v>
      </c>
      <c r="C2880" s="29">
        <v>115</v>
      </c>
      <c r="D2880" s="35">
        <v>118</v>
      </c>
      <c r="E2880" s="35">
        <v>115</v>
      </c>
      <c r="F2880" s="33">
        <v>116.900002</v>
      </c>
      <c r="G2880" s="29">
        <v>1.74</v>
      </c>
      <c r="H2880" s="29">
        <v>2</v>
      </c>
      <c r="I2880" s="35">
        <v>115</v>
      </c>
      <c r="J2880" s="34">
        <v>8192</v>
      </c>
      <c r="K2880" s="34">
        <v>954664</v>
      </c>
      <c r="M2880" s="29" t="s">
        <v>128</v>
      </c>
      <c r="N2880" s="30">
        <v>42381</v>
      </c>
      <c r="O2880" s="41">
        <v>6649.95</v>
      </c>
      <c r="P2880" s="41">
        <v>6650.64</v>
      </c>
      <c r="Q2880" s="41">
        <v>6527.39</v>
      </c>
      <c r="R2880" s="31">
        <v>6534.35</v>
      </c>
      <c r="S2880" s="29">
        <v>-1.74</v>
      </c>
      <c r="T2880" s="29">
        <v>-115.97</v>
      </c>
      <c r="U2880" s="41">
        <v>6650.32</v>
      </c>
    </row>
    <row r="2881" spans="1:21">
      <c r="A2881" s="29" t="s">
        <v>138</v>
      </c>
      <c r="B2881" s="32">
        <v>42314</v>
      </c>
      <c r="C2881" s="29">
        <v>118</v>
      </c>
      <c r="D2881" s="35">
        <v>122</v>
      </c>
      <c r="E2881" s="35">
        <v>118</v>
      </c>
      <c r="F2881" s="33">
        <v>120</v>
      </c>
      <c r="G2881" s="29">
        <v>2.82</v>
      </c>
      <c r="H2881" s="29">
        <v>3.3</v>
      </c>
      <c r="I2881" s="35">
        <v>116.900002</v>
      </c>
      <c r="J2881" s="34">
        <v>9968</v>
      </c>
      <c r="K2881" s="34">
        <v>1191392</v>
      </c>
      <c r="M2881" s="29" t="s">
        <v>128</v>
      </c>
      <c r="N2881" s="30">
        <v>42382</v>
      </c>
      <c r="O2881" s="41">
        <v>6534.13</v>
      </c>
      <c r="P2881" s="41">
        <v>6587.24</v>
      </c>
      <c r="Q2881" s="41">
        <v>6532.26</v>
      </c>
      <c r="R2881" s="31">
        <v>6554.37</v>
      </c>
      <c r="S2881" s="29">
        <v>0.31</v>
      </c>
      <c r="T2881" s="29">
        <v>20.02</v>
      </c>
      <c r="U2881" s="41">
        <v>6534.35</v>
      </c>
    </row>
    <row r="2882" spans="1:21">
      <c r="A2882" s="29" t="s">
        <v>138</v>
      </c>
      <c r="B2882" s="32">
        <v>42317</v>
      </c>
      <c r="C2882" s="29">
        <v>120</v>
      </c>
      <c r="D2882" s="35">
        <v>120</v>
      </c>
      <c r="E2882" s="35">
        <v>120</v>
      </c>
      <c r="F2882" s="33">
        <v>120</v>
      </c>
      <c r="G2882" s="29">
        <v>0</v>
      </c>
      <c r="H2882" s="29">
        <v>0</v>
      </c>
      <c r="I2882" s="35">
        <v>120</v>
      </c>
      <c r="J2882" s="34">
        <v>1800</v>
      </c>
      <c r="K2882" s="34">
        <v>216000</v>
      </c>
      <c r="M2882" s="29" t="s">
        <v>128</v>
      </c>
      <c r="N2882" s="30">
        <v>42383</v>
      </c>
      <c r="O2882" s="41">
        <v>6556.17</v>
      </c>
      <c r="P2882" s="41">
        <v>6563.16</v>
      </c>
      <c r="Q2882" s="41">
        <v>6446.2</v>
      </c>
      <c r="R2882" s="31">
        <v>6446.2</v>
      </c>
      <c r="S2882" s="29">
        <v>-1.65</v>
      </c>
      <c r="T2882" s="29">
        <v>-108.17</v>
      </c>
      <c r="U2882" s="41">
        <v>6554.37</v>
      </c>
    </row>
    <row r="2883" spans="1:21">
      <c r="A2883" s="29" t="s">
        <v>138</v>
      </c>
      <c r="B2883" s="32">
        <v>42319</v>
      </c>
      <c r="C2883" s="29">
        <v>119.7</v>
      </c>
      <c r="D2883" s="35">
        <v>120</v>
      </c>
      <c r="E2883" s="35">
        <v>117.5</v>
      </c>
      <c r="F2883" s="33">
        <v>118.800003</v>
      </c>
      <c r="G2883" s="29">
        <v>-0.08</v>
      </c>
      <c r="H2883" s="29">
        <v>-0.1</v>
      </c>
      <c r="I2883" s="35">
        <v>120</v>
      </c>
      <c r="J2883" s="34">
        <v>17310</v>
      </c>
      <c r="K2883" s="34">
        <v>2065799</v>
      </c>
      <c r="M2883" s="29" t="s">
        <v>128</v>
      </c>
      <c r="N2883" s="30">
        <v>42387</v>
      </c>
      <c r="O2883" s="41">
        <v>6449.43</v>
      </c>
      <c r="P2883" s="41">
        <v>6466.47</v>
      </c>
      <c r="Q2883" s="41">
        <v>6321.89</v>
      </c>
      <c r="R2883" s="31">
        <v>6324.61</v>
      </c>
      <c r="S2883" s="29">
        <v>-1.89</v>
      </c>
      <c r="T2883" s="29">
        <v>-121.59</v>
      </c>
      <c r="U2883" s="41">
        <v>6446.2</v>
      </c>
    </row>
    <row r="2884" spans="1:21">
      <c r="A2884" s="29" t="s">
        <v>138</v>
      </c>
      <c r="B2884" s="32">
        <v>42320</v>
      </c>
      <c r="C2884" s="29">
        <v>119.9</v>
      </c>
      <c r="D2884" s="35">
        <v>120</v>
      </c>
      <c r="E2884" s="35">
        <v>118.400002</v>
      </c>
      <c r="F2884" s="33">
        <v>119.199997</v>
      </c>
      <c r="G2884" s="29">
        <v>0.34</v>
      </c>
      <c r="H2884" s="29">
        <v>0.4</v>
      </c>
      <c r="I2884" s="35">
        <v>118.800003</v>
      </c>
      <c r="J2884" s="34">
        <v>12890</v>
      </c>
      <c r="K2884" s="34">
        <v>1542661</v>
      </c>
      <c r="M2884" s="29" t="s">
        <v>128</v>
      </c>
      <c r="N2884" s="30">
        <v>42388</v>
      </c>
      <c r="O2884" s="41">
        <v>6324.19</v>
      </c>
      <c r="P2884" s="41">
        <v>6349.83</v>
      </c>
      <c r="Q2884" s="41">
        <v>6235.13</v>
      </c>
      <c r="R2884" s="31">
        <v>6283.24</v>
      </c>
      <c r="S2884" s="29">
        <v>-0.65</v>
      </c>
      <c r="T2884" s="29">
        <v>-41.37</v>
      </c>
      <c r="U2884" s="41">
        <v>6324.61</v>
      </c>
    </row>
    <row r="2885" spans="1:21">
      <c r="A2885" s="29" t="s">
        <v>138</v>
      </c>
      <c r="B2885" s="32">
        <v>42321</v>
      </c>
      <c r="C2885" s="29">
        <v>119.3</v>
      </c>
      <c r="D2885" s="35">
        <v>120</v>
      </c>
      <c r="E2885" s="35">
        <v>118.300003</v>
      </c>
      <c r="F2885" s="33">
        <v>119.800003</v>
      </c>
      <c r="G2885" s="29">
        <v>0.67</v>
      </c>
      <c r="H2885" s="29">
        <v>0.8</v>
      </c>
      <c r="I2885" s="35">
        <v>119.199997</v>
      </c>
      <c r="J2885" s="34">
        <v>12846</v>
      </c>
      <c r="K2885" s="34">
        <v>1537889</v>
      </c>
      <c r="M2885" s="29" t="s">
        <v>128</v>
      </c>
      <c r="N2885" s="30">
        <v>42389</v>
      </c>
      <c r="O2885" s="41">
        <v>6286.8</v>
      </c>
      <c r="P2885" s="41">
        <v>6319.71</v>
      </c>
      <c r="Q2885" s="41">
        <v>6261.18</v>
      </c>
      <c r="R2885" s="31">
        <v>6261.18</v>
      </c>
      <c r="S2885" s="29">
        <v>-0.35</v>
      </c>
      <c r="T2885" s="29">
        <v>-22.06</v>
      </c>
      <c r="U2885" s="41">
        <v>6283.24</v>
      </c>
    </row>
    <row r="2886" spans="1:21">
      <c r="A2886" s="29" t="s">
        <v>138</v>
      </c>
      <c r="B2886" s="32">
        <v>42324</v>
      </c>
      <c r="C2886" s="29">
        <v>120</v>
      </c>
      <c r="D2886" s="35">
        <v>120</v>
      </c>
      <c r="E2886" s="35">
        <v>116.199997</v>
      </c>
      <c r="F2886" s="33">
        <v>117.599998</v>
      </c>
      <c r="G2886" s="29">
        <v>-1.5</v>
      </c>
      <c r="H2886" s="29">
        <v>-1.8</v>
      </c>
      <c r="I2886" s="35">
        <v>119.800003</v>
      </c>
      <c r="J2886" s="34">
        <v>31630</v>
      </c>
      <c r="K2886" s="34">
        <v>3729337</v>
      </c>
      <c r="M2886" s="29" t="s">
        <v>128</v>
      </c>
      <c r="N2886" s="30">
        <v>42390</v>
      </c>
      <c r="O2886" s="41">
        <v>6263.82</v>
      </c>
      <c r="P2886" s="41">
        <v>6373.02</v>
      </c>
      <c r="Q2886" s="41">
        <v>6263.82</v>
      </c>
      <c r="R2886" s="31">
        <v>6349.71</v>
      </c>
      <c r="S2886" s="29">
        <v>1.41</v>
      </c>
      <c r="T2886" s="29">
        <v>88.53</v>
      </c>
      <c r="U2886" s="41">
        <v>6261.18</v>
      </c>
    </row>
    <row r="2887" spans="1:21">
      <c r="A2887" s="29" t="s">
        <v>138</v>
      </c>
      <c r="B2887" s="32">
        <v>42325</v>
      </c>
      <c r="C2887" s="29">
        <v>116.5</v>
      </c>
      <c r="D2887" s="35">
        <v>118</v>
      </c>
      <c r="E2887" s="35">
        <v>116</v>
      </c>
      <c r="F2887" s="33">
        <v>116.900002</v>
      </c>
      <c r="G2887" s="29">
        <v>0.34</v>
      </c>
      <c r="H2887" s="29">
        <v>0.4</v>
      </c>
      <c r="I2887" s="35">
        <v>117.599998</v>
      </c>
      <c r="J2887" s="34">
        <v>23832</v>
      </c>
      <c r="K2887" s="34">
        <v>2785182</v>
      </c>
      <c r="M2887" s="29" t="s">
        <v>128</v>
      </c>
      <c r="N2887" s="30">
        <v>42391</v>
      </c>
      <c r="O2887" s="41">
        <v>6354.81</v>
      </c>
      <c r="P2887" s="41">
        <v>6409.43</v>
      </c>
      <c r="Q2887" s="41">
        <v>6354.81</v>
      </c>
      <c r="R2887" s="31">
        <v>6382.24</v>
      </c>
      <c r="S2887" s="29">
        <v>0.51</v>
      </c>
      <c r="T2887" s="29">
        <v>32.53</v>
      </c>
      <c r="U2887" s="41">
        <v>6349.71</v>
      </c>
    </row>
    <row r="2888" spans="1:21">
      <c r="A2888" s="29" t="s">
        <v>138</v>
      </c>
      <c r="B2888" s="32">
        <v>42326</v>
      </c>
      <c r="C2888" s="29">
        <v>117</v>
      </c>
      <c r="D2888" s="35">
        <v>117.900002</v>
      </c>
      <c r="E2888" s="35">
        <v>117</v>
      </c>
      <c r="F2888" s="33">
        <v>117</v>
      </c>
      <c r="G2888" s="29">
        <v>0.09</v>
      </c>
      <c r="H2888" s="29">
        <v>0.1</v>
      </c>
      <c r="I2888" s="35">
        <v>116.900002</v>
      </c>
      <c r="J2888" s="34">
        <v>58189</v>
      </c>
      <c r="K2888" s="34">
        <v>6812920</v>
      </c>
      <c r="M2888" s="29" t="s">
        <v>128</v>
      </c>
      <c r="N2888" s="30">
        <v>42394</v>
      </c>
      <c r="O2888" s="41">
        <v>6393.6</v>
      </c>
      <c r="P2888" s="41">
        <v>6394.63</v>
      </c>
      <c r="Q2888" s="41">
        <v>6342.09</v>
      </c>
      <c r="R2888" s="31">
        <v>6354.83</v>
      </c>
      <c r="S2888" s="29">
        <v>-0.43</v>
      </c>
      <c r="T2888" s="29">
        <v>-27.41</v>
      </c>
      <c r="U2888" s="41">
        <v>6382.24</v>
      </c>
    </row>
    <row r="2889" spans="1:21">
      <c r="A2889" s="29" t="s">
        <v>138</v>
      </c>
      <c r="B2889" s="32">
        <v>42327</v>
      </c>
      <c r="C2889" s="29">
        <v>117</v>
      </c>
      <c r="D2889" s="35">
        <v>119.900002</v>
      </c>
      <c r="E2889" s="35">
        <v>116.800003</v>
      </c>
      <c r="F2889" s="33">
        <v>118.900002</v>
      </c>
      <c r="G2889" s="29">
        <v>2.48</v>
      </c>
      <c r="H2889" s="29">
        <v>2.9</v>
      </c>
      <c r="I2889" s="35">
        <v>117</v>
      </c>
      <c r="J2889" s="34">
        <v>132980</v>
      </c>
      <c r="K2889" s="34">
        <v>15722445</v>
      </c>
      <c r="M2889" s="29" t="s">
        <v>128</v>
      </c>
      <c r="N2889" s="30">
        <v>42395</v>
      </c>
      <c r="O2889" s="41">
        <v>6357.28</v>
      </c>
      <c r="P2889" s="41">
        <v>6372.23</v>
      </c>
      <c r="Q2889" s="41">
        <v>6322.87</v>
      </c>
      <c r="R2889" s="31">
        <v>6322.87</v>
      </c>
      <c r="S2889" s="29">
        <v>-0.5</v>
      </c>
      <c r="T2889" s="29">
        <v>-31.96</v>
      </c>
      <c r="U2889" s="41">
        <v>6354.83</v>
      </c>
    </row>
    <row r="2890" spans="1:21">
      <c r="A2890" s="29" t="s">
        <v>138</v>
      </c>
      <c r="B2890" s="32">
        <v>42328</v>
      </c>
      <c r="C2890" s="29">
        <v>119.5</v>
      </c>
      <c r="D2890" s="35">
        <v>120</v>
      </c>
      <c r="E2890" s="35">
        <v>118.099998</v>
      </c>
      <c r="F2890" s="33">
        <v>120</v>
      </c>
      <c r="G2890" s="29">
        <v>0.93</v>
      </c>
      <c r="H2890" s="29">
        <v>1.1000000000000001</v>
      </c>
      <c r="I2890" s="35">
        <v>118.900002</v>
      </c>
      <c r="J2890" s="34">
        <v>88662</v>
      </c>
      <c r="K2890" s="34">
        <v>10623472</v>
      </c>
      <c r="M2890" s="29" t="s">
        <v>128</v>
      </c>
      <c r="N2890" s="30">
        <v>42396</v>
      </c>
      <c r="O2890" s="41">
        <v>6329.11</v>
      </c>
      <c r="P2890" s="41">
        <v>6331.28</v>
      </c>
      <c r="Q2890" s="41">
        <v>6311.39</v>
      </c>
      <c r="R2890" s="31">
        <v>6316.46</v>
      </c>
      <c r="S2890" s="29">
        <v>-0.1</v>
      </c>
      <c r="T2890" s="29">
        <v>-6.41</v>
      </c>
      <c r="U2890" s="41">
        <v>6322.87</v>
      </c>
    </row>
    <row r="2891" spans="1:21">
      <c r="A2891" s="29" t="s">
        <v>138</v>
      </c>
      <c r="B2891" s="32">
        <v>42331</v>
      </c>
      <c r="C2891" s="29">
        <v>122</v>
      </c>
      <c r="D2891" s="35">
        <v>122</v>
      </c>
      <c r="E2891" s="35">
        <v>119.5</v>
      </c>
      <c r="F2891" s="33">
        <v>120</v>
      </c>
      <c r="G2891" s="29">
        <v>-0.42</v>
      </c>
      <c r="H2891" s="29">
        <v>-0.5</v>
      </c>
      <c r="I2891" s="35">
        <v>120</v>
      </c>
      <c r="J2891" s="34">
        <v>102842</v>
      </c>
      <c r="K2891" s="34">
        <v>12412200</v>
      </c>
      <c r="M2891" s="29" t="s">
        <v>128</v>
      </c>
      <c r="N2891" s="30">
        <v>42397</v>
      </c>
      <c r="O2891" s="41">
        <v>6316.79</v>
      </c>
      <c r="P2891" s="41">
        <v>6333.41</v>
      </c>
      <c r="Q2891" s="41">
        <v>6314.91</v>
      </c>
      <c r="R2891" s="31">
        <v>6319.89</v>
      </c>
      <c r="S2891" s="29">
        <v>0.05</v>
      </c>
      <c r="T2891" s="29">
        <v>3.43</v>
      </c>
      <c r="U2891" s="41">
        <v>6316.46</v>
      </c>
    </row>
    <row r="2892" spans="1:21">
      <c r="A2892" s="29" t="s">
        <v>138</v>
      </c>
      <c r="B2892" s="32">
        <v>42332</v>
      </c>
      <c r="C2892" s="29">
        <v>119.9</v>
      </c>
      <c r="D2892" s="35">
        <v>119.900002</v>
      </c>
      <c r="E2892" s="35">
        <v>117.5</v>
      </c>
      <c r="F2892" s="33">
        <v>119</v>
      </c>
      <c r="G2892" s="29">
        <v>-0.5</v>
      </c>
      <c r="H2892" s="29">
        <v>-0.6</v>
      </c>
      <c r="I2892" s="35">
        <v>120</v>
      </c>
      <c r="J2892" s="34">
        <v>2352</v>
      </c>
      <c r="K2892" s="34">
        <v>279024</v>
      </c>
      <c r="M2892" s="29" t="s">
        <v>128</v>
      </c>
      <c r="N2892" s="30">
        <v>42398</v>
      </c>
      <c r="O2892" s="41">
        <v>6319.86</v>
      </c>
      <c r="P2892" s="41">
        <v>6361.37</v>
      </c>
      <c r="Q2892" s="41">
        <v>6319.86</v>
      </c>
      <c r="R2892" s="31">
        <v>6340.05</v>
      </c>
      <c r="S2892" s="29">
        <v>0.32</v>
      </c>
      <c r="T2892" s="29">
        <v>20.16</v>
      </c>
      <c r="U2892" s="41">
        <v>6319.89</v>
      </c>
    </row>
    <row r="2893" spans="1:21">
      <c r="A2893" s="29" t="s">
        <v>138</v>
      </c>
      <c r="B2893" s="32">
        <v>42334</v>
      </c>
      <c r="C2893" s="29">
        <v>117.9</v>
      </c>
      <c r="D2893" s="35">
        <v>118</v>
      </c>
      <c r="E2893" s="35">
        <v>115.800003</v>
      </c>
      <c r="F2893" s="33">
        <v>116.800003</v>
      </c>
      <c r="G2893" s="29">
        <v>-1.68</v>
      </c>
      <c r="H2893" s="29">
        <v>-2</v>
      </c>
      <c r="I2893" s="35">
        <v>119</v>
      </c>
      <c r="J2893" s="34">
        <v>18512</v>
      </c>
      <c r="K2893" s="34">
        <v>2167217</v>
      </c>
      <c r="M2893" s="29" t="s">
        <v>128</v>
      </c>
      <c r="N2893" s="30">
        <v>42401</v>
      </c>
      <c r="O2893" s="41">
        <v>6343.14</v>
      </c>
      <c r="P2893" s="41">
        <v>6378.22</v>
      </c>
      <c r="Q2893" s="41">
        <v>6343.14</v>
      </c>
      <c r="R2893" s="31">
        <v>6363.18</v>
      </c>
      <c r="S2893" s="29">
        <v>0.36</v>
      </c>
      <c r="T2893" s="29">
        <v>23.13</v>
      </c>
      <c r="U2893" s="41">
        <v>6340.05</v>
      </c>
    </row>
    <row r="2894" spans="1:21">
      <c r="A2894" s="29" t="s">
        <v>138</v>
      </c>
      <c r="B2894" s="32">
        <v>42335</v>
      </c>
      <c r="C2894" s="29">
        <v>116.2</v>
      </c>
      <c r="D2894" s="35">
        <v>117.5</v>
      </c>
      <c r="E2894" s="35">
        <v>116</v>
      </c>
      <c r="F2894" s="33">
        <v>117.300003</v>
      </c>
      <c r="G2894" s="29">
        <v>0.17</v>
      </c>
      <c r="H2894" s="29">
        <v>0.2</v>
      </c>
      <c r="I2894" s="35">
        <v>116.800003</v>
      </c>
      <c r="J2894" s="34">
        <v>16465</v>
      </c>
      <c r="K2894" s="34">
        <v>1922185</v>
      </c>
      <c r="M2894" s="29" t="s">
        <v>128</v>
      </c>
      <c r="N2894" s="30">
        <v>42402</v>
      </c>
      <c r="O2894" s="41">
        <v>6363.75</v>
      </c>
      <c r="P2894" s="41">
        <v>6434.11</v>
      </c>
      <c r="Q2894" s="41">
        <v>6363.75</v>
      </c>
      <c r="R2894" s="31">
        <v>6425.96</v>
      </c>
      <c r="S2894" s="29">
        <v>0.99</v>
      </c>
      <c r="T2894" s="29">
        <v>62.78</v>
      </c>
      <c r="U2894" s="41">
        <v>6363.18</v>
      </c>
    </row>
    <row r="2895" spans="1:21">
      <c r="A2895" s="29" t="s">
        <v>138</v>
      </c>
      <c r="B2895" s="32">
        <v>42338</v>
      </c>
      <c r="C2895" s="29">
        <v>117</v>
      </c>
      <c r="D2895" s="35">
        <v>117.5</v>
      </c>
      <c r="E2895" s="35">
        <v>116.199997</v>
      </c>
      <c r="F2895" s="33">
        <v>117</v>
      </c>
      <c r="G2895" s="29">
        <v>0.17</v>
      </c>
      <c r="H2895" s="29">
        <v>0.2</v>
      </c>
      <c r="I2895" s="35">
        <v>117.300003</v>
      </c>
      <c r="J2895" s="34">
        <v>6200</v>
      </c>
      <c r="K2895" s="34">
        <v>724419</v>
      </c>
      <c r="M2895" s="29" t="s">
        <v>128</v>
      </c>
      <c r="N2895" s="30">
        <v>42403</v>
      </c>
      <c r="O2895" s="41">
        <v>6430.01</v>
      </c>
      <c r="P2895" s="41">
        <v>6438.62</v>
      </c>
      <c r="Q2895" s="41">
        <v>6398.97</v>
      </c>
      <c r="R2895" s="31">
        <v>6402.8</v>
      </c>
      <c r="S2895" s="29">
        <v>-0.36</v>
      </c>
      <c r="T2895" s="29">
        <v>-23.16</v>
      </c>
      <c r="U2895" s="41">
        <v>6425.96</v>
      </c>
    </row>
    <row r="2896" spans="1:21">
      <c r="A2896" s="29" t="s">
        <v>138</v>
      </c>
      <c r="B2896" s="32">
        <v>42339</v>
      </c>
      <c r="C2896" s="29">
        <v>117</v>
      </c>
      <c r="D2896" s="35">
        <v>120</v>
      </c>
      <c r="E2896" s="35">
        <v>117</v>
      </c>
      <c r="F2896" s="33">
        <v>119.099998</v>
      </c>
      <c r="G2896" s="29">
        <v>2.56</v>
      </c>
      <c r="H2896" s="29">
        <v>3</v>
      </c>
      <c r="I2896" s="35">
        <v>117</v>
      </c>
      <c r="J2896" s="34">
        <v>23000</v>
      </c>
      <c r="K2896" s="34">
        <v>2721033</v>
      </c>
      <c r="M2896" s="29" t="s">
        <v>128</v>
      </c>
      <c r="N2896" s="30">
        <v>42405</v>
      </c>
      <c r="O2896" s="41">
        <v>6396.35</v>
      </c>
      <c r="P2896" s="41">
        <v>6417.85</v>
      </c>
      <c r="Q2896" s="41">
        <v>6396.27</v>
      </c>
      <c r="R2896" s="31">
        <v>6404.64</v>
      </c>
      <c r="S2896" s="29">
        <v>0.03</v>
      </c>
      <c r="T2896" s="29">
        <v>1.84</v>
      </c>
      <c r="U2896" s="41">
        <v>6402.8</v>
      </c>
    </row>
    <row r="2897" spans="1:21">
      <c r="A2897" s="29" t="s">
        <v>138</v>
      </c>
      <c r="B2897" s="32">
        <v>42340</v>
      </c>
      <c r="C2897" s="29">
        <v>119</v>
      </c>
      <c r="D2897" s="35">
        <v>119</v>
      </c>
      <c r="E2897" s="35">
        <v>117</v>
      </c>
      <c r="F2897" s="33">
        <v>117.300003</v>
      </c>
      <c r="G2897" s="29">
        <v>-0.42</v>
      </c>
      <c r="H2897" s="29">
        <v>-0.5</v>
      </c>
      <c r="I2897" s="35">
        <v>119.099998</v>
      </c>
      <c r="J2897" s="34">
        <v>31538</v>
      </c>
      <c r="K2897" s="34">
        <v>3716699</v>
      </c>
      <c r="M2897" s="29" t="s">
        <v>128</v>
      </c>
      <c r="N2897" s="30">
        <v>42408</v>
      </c>
      <c r="O2897" s="41">
        <v>6405.36</v>
      </c>
      <c r="P2897" s="41">
        <v>6418.91</v>
      </c>
      <c r="Q2897" s="41">
        <v>6394.07</v>
      </c>
      <c r="R2897" s="31">
        <v>6401.66</v>
      </c>
      <c r="S2897" s="29">
        <v>-0.05</v>
      </c>
      <c r="T2897" s="29">
        <v>-2.98</v>
      </c>
      <c r="U2897" s="41">
        <v>6404.64</v>
      </c>
    </row>
    <row r="2898" spans="1:21">
      <c r="A2898" s="29" t="s">
        <v>138</v>
      </c>
      <c r="B2898" s="32">
        <v>42341</v>
      </c>
      <c r="C2898" s="29">
        <v>117.6</v>
      </c>
      <c r="D2898" s="35">
        <v>118.800003</v>
      </c>
      <c r="E2898" s="35">
        <v>117.5</v>
      </c>
      <c r="F2898" s="33">
        <v>118</v>
      </c>
      <c r="G2898" s="29">
        <v>0.6</v>
      </c>
      <c r="H2898" s="29">
        <v>0.7</v>
      </c>
      <c r="I2898" s="35">
        <v>117.300003</v>
      </c>
      <c r="J2898" s="34">
        <v>5136</v>
      </c>
      <c r="K2898" s="34">
        <v>604316</v>
      </c>
      <c r="M2898" s="29" t="s">
        <v>128</v>
      </c>
      <c r="N2898" s="30">
        <v>42409</v>
      </c>
      <c r="O2898" s="41">
        <v>6401.32</v>
      </c>
      <c r="P2898" s="41">
        <v>6401.32</v>
      </c>
      <c r="Q2898" s="41">
        <v>6372.71</v>
      </c>
      <c r="R2898" s="31">
        <v>6372.71</v>
      </c>
      <c r="S2898" s="29">
        <v>-0.45</v>
      </c>
      <c r="T2898" s="29">
        <v>-28.95</v>
      </c>
      <c r="U2898" s="41">
        <v>6401.66</v>
      </c>
    </row>
    <row r="2899" spans="1:21">
      <c r="A2899" s="29" t="s">
        <v>138</v>
      </c>
      <c r="B2899" s="32">
        <v>42342</v>
      </c>
      <c r="C2899" s="29">
        <v>118.9</v>
      </c>
      <c r="D2899" s="35">
        <v>118.900002</v>
      </c>
      <c r="E2899" s="35">
        <v>116.5</v>
      </c>
      <c r="F2899" s="33">
        <v>116.699997</v>
      </c>
      <c r="G2899" s="29">
        <v>-0.51</v>
      </c>
      <c r="H2899" s="29">
        <v>-0.6</v>
      </c>
      <c r="I2899" s="35">
        <v>118</v>
      </c>
      <c r="J2899" s="34">
        <v>12132</v>
      </c>
      <c r="K2899" s="34">
        <v>1418557</v>
      </c>
      <c r="M2899" s="29" t="s">
        <v>128</v>
      </c>
      <c r="N2899" s="30">
        <v>42410</v>
      </c>
      <c r="O2899" s="41">
        <v>6374.14</v>
      </c>
      <c r="P2899" s="41">
        <v>6380.1</v>
      </c>
      <c r="Q2899" s="41">
        <v>6364.4</v>
      </c>
      <c r="R2899" s="31">
        <v>6364.4</v>
      </c>
      <c r="S2899" s="29">
        <v>-0.13</v>
      </c>
      <c r="T2899" s="29">
        <v>-8.31</v>
      </c>
      <c r="U2899" s="41">
        <v>6372.71</v>
      </c>
    </row>
    <row r="2900" spans="1:21">
      <c r="A2900" s="29" t="s">
        <v>138</v>
      </c>
      <c r="B2900" s="32">
        <v>42345</v>
      </c>
      <c r="C2900" s="29">
        <v>117</v>
      </c>
      <c r="D2900" s="35">
        <v>117</v>
      </c>
      <c r="E2900" s="35">
        <v>115.599998</v>
      </c>
      <c r="F2900" s="33">
        <v>116.300003</v>
      </c>
      <c r="G2900" s="29">
        <v>-0.17</v>
      </c>
      <c r="H2900" s="29">
        <v>-0.2</v>
      </c>
      <c r="I2900" s="35">
        <v>116.699997</v>
      </c>
      <c r="J2900" s="34">
        <v>21910</v>
      </c>
      <c r="K2900" s="34">
        <v>2548030</v>
      </c>
      <c r="M2900" s="29" t="s">
        <v>128</v>
      </c>
      <c r="N2900" s="30">
        <v>42411</v>
      </c>
      <c r="O2900" s="41">
        <v>6369.55</v>
      </c>
      <c r="P2900" s="41">
        <v>6370.85</v>
      </c>
      <c r="Q2900" s="41">
        <v>6313.59</v>
      </c>
      <c r="R2900" s="31">
        <v>6314.82</v>
      </c>
      <c r="S2900" s="29">
        <v>-0.78</v>
      </c>
      <c r="T2900" s="29">
        <v>-49.58</v>
      </c>
      <c r="U2900" s="41">
        <v>6364.4</v>
      </c>
    </row>
    <row r="2901" spans="1:21">
      <c r="A2901" s="29" t="s">
        <v>138</v>
      </c>
      <c r="B2901" s="32">
        <v>42346</v>
      </c>
      <c r="C2901" s="29">
        <v>115.5</v>
      </c>
      <c r="D2901" s="35">
        <v>116.900002</v>
      </c>
      <c r="E2901" s="35">
        <v>115.199997</v>
      </c>
      <c r="F2901" s="33">
        <v>116.900002</v>
      </c>
      <c r="G2901" s="29">
        <v>0.52</v>
      </c>
      <c r="H2901" s="29">
        <v>0.6</v>
      </c>
      <c r="I2901" s="35">
        <v>116.300003</v>
      </c>
      <c r="J2901" s="34">
        <v>66540</v>
      </c>
      <c r="K2901" s="34">
        <v>7719428</v>
      </c>
      <c r="M2901" s="29" t="s">
        <v>128</v>
      </c>
      <c r="N2901" s="30">
        <v>42412</v>
      </c>
      <c r="O2901" s="41">
        <v>6315.1</v>
      </c>
      <c r="P2901" s="41">
        <v>6322.65</v>
      </c>
      <c r="Q2901" s="41">
        <v>6280.14</v>
      </c>
      <c r="R2901" s="31">
        <v>6283</v>
      </c>
      <c r="S2901" s="29">
        <v>-0.5</v>
      </c>
      <c r="T2901" s="29">
        <v>-31.82</v>
      </c>
      <c r="U2901" s="41">
        <v>6314.82</v>
      </c>
    </row>
    <row r="2902" spans="1:21">
      <c r="A2902" s="29" t="s">
        <v>138</v>
      </c>
      <c r="B2902" s="32">
        <v>42347</v>
      </c>
      <c r="C2902" s="29">
        <v>116.9</v>
      </c>
      <c r="D2902" s="35">
        <v>117</v>
      </c>
      <c r="E2902" s="35">
        <v>115.099998</v>
      </c>
      <c r="F2902" s="33">
        <v>115.599998</v>
      </c>
      <c r="G2902" s="29">
        <v>-0.77</v>
      </c>
      <c r="H2902" s="29">
        <v>-0.9</v>
      </c>
      <c r="I2902" s="35">
        <v>116.900002</v>
      </c>
      <c r="J2902" s="34">
        <v>11751</v>
      </c>
      <c r="K2902" s="34">
        <v>1361036</v>
      </c>
      <c r="M2902" s="29" t="s">
        <v>128</v>
      </c>
      <c r="N2902" s="30">
        <v>42415</v>
      </c>
      <c r="O2902" s="41">
        <v>6297.61</v>
      </c>
      <c r="P2902" s="41">
        <v>6302.63</v>
      </c>
      <c r="Q2902" s="41">
        <v>6265.71</v>
      </c>
      <c r="R2902" s="31">
        <v>6266.17</v>
      </c>
      <c r="S2902" s="29">
        <v>-0.27</v>
      </c>
      <c r="T2902" s="29">
        <v>-16.829999999999998</v>
      </c>
      <c r="U2902" s="41">
        <v>6283</v>
      </c>
    </row>
    <row r="2903" spans="1:21">
      <c r="A2903" s="29" t="s">
        <v>138</v>
      </c>
      <c r="B2903" s="32">
        <v>42348</v>
      </c>
      <c r="C2903" s="29">
        <v>115.1</v>
      </c>
      <c r="D2903" s="35">
        <v>116.5</v>
      </c>
      <c r="E2903" s="35">
        <v>114</v>
      </c>
      <c r="F2903" s="33">
        <v>115.5</v>
      </c>
      <c r="G2903" s="29">
        <v>-0.09</v>
      </c>
      <c r="H2903" s="29">
        <v>-0.1</v>
      </c>
      <c r="I2903" s="35">
        <v>115.599998</v>
      </c>
      <c r="J2903" s="34">
        <v>60792</v>
      </c>
      <c r="K2903" s="34">
        <v>7008398</v>
      </c>
      <c r="M2903" s="29" t="s">
        <v>128</v>
      </c>
      <c r="N2903" s="30">
        <v>42416</v>
      </c>
      <c r="O2903" s="41">
        <v>6270.15</v>
      </c>
      <c r="P2903" s="41">
        <v>6282.35</v>
      </c>
      <c r="Q2903" s="41">
        <v>6252.62</v>
      </c>
      <c r="R2903" s="31">
        <v>6254.16</v>
      </c>
      <c r="S2903" s="29">
        <v>-0.19</v>
      </c>
      <c r="T2903" s="29">
        <v>-12.01</v>
      </c>
      <c r="U2903" s="41">
        <v>6266.17</v>
      </c>
    </row>
    <row r="2904" spans="1:21">
      <c r="A2904" s="29" t="s">
        <v>138</v>
      </c>
      <c r="B2904" s="32">
        <v>42349</v>
      </c>
      <c r="C2904" s="29">
        <v>115.2</v>
      </c>
      <c r="D2904" s="35">
        <v>117.900002</v>
      </c>
      <c r="E2904" s="35">
        <v>115.199997</v>
      </c>
      <c r="F2904" s="33">
        <v>116.900002</v>
      </c>
      <c r="G2904" s="29">
        <v>2.08</v>
      </c>
      <c r="H2904" s="29">
        <v>2.4</v>
      </c>
      <c r="I2904" s="35">
        <v>115.5</v>
      </c>
      <c r="J2904" s="34">
        <v>28726</v>
      </c>
      <c r="K2904" s="34">
        <v>3329893</v>
      </c>
      <c r="M2904" s="29" t="s">
        <v>128</v>
      </c>
      <c r="N2904" s="30">
        <v>42417</v>
      </c>
      <c r="O2904" s="41">
        <v>6254.15</v>
      </c>
      <c r="P2904" s="41">
        <v>6258.85</v>
      </c>
      <c r="Q2904" s="41">
        <v>6220.82</v>
      </c>
      <c r="R2904" s="31">
        <v>6220.82</v>
      </c>
      <c r="S2904" s="29">
        <v>-0.53</v>
      </c>
      <c r="T2904" s="29">
        <v>-33.340000000000003</v>
      </c>
      <c r="U2904" s="41">
        <v>6254.16</v>
      </c>
    </row>
    <row r="2905" spans="1:21">
      <c r="A2905" s="29" t="s">
        <v>138</v>
      </c>
      <c r="B2905" s="32">
        <v>42352</v>
      </c>
      <c r="C2905" s="29">
        <v>115.9</v>
      </c>
      <c r="D2905" s="35">
        <v>116.900002</v>
      </c>
      <c r="E2905" s="35">
        <v>115.800003</v>
      </c>
      <c r="F2905" s="33">
        <v>116.699997</v>
      </c>
      <c r="G2905" s="29">
        <v>0</v>
      </c>
      <c r="H2905" s="29">
        <v>0</v>
      </c>
      <c r="I2905" s="35">
        <v>116.900002</v>
      </c>
      <c r="J2905" s="34">
        <v>22550</v>
      </c>
      <c r="K2905" s="34">
        <v>2623810</v>
      </c>
      <c r="M2905" s="29" t="s">
        <v>128</v>
      </c>
      <c r="N2905" s="30">
        <v>42418</v>
      </c>
      <c r="O2905" s="41">
        <v>6226.84</v>
      </c>
      <c r="P2905" s="41">
        <v>6239.98</v>
      </c>
      <c r="Q2905" s="41">
        <v>6205.71</v>
      </c>
      <c r="R2905" s="31">
        <v>6208.89</v>
      </c>
      <c r="S2905" s="29">
        <v>-0.19</v>
      </c>
      <c r="T2905" s="29">
        <v>-11.93</v>
      </c>
      <c r="U2905" s="41">
        <v>6220.82</v>
      </c>
    </row>
    <row r="2906" spans="1:21">
      <c r="A2906" s="29" t="s">
        <v>138</v>
      </c>
      <c r="B2906" s="32">
        <v>42353</v>
      </c>
      <c r="C2906" s="29">
        <v>117.2</v>
      </c>
      <c r="D2906" s="35">
        <v>117.2</v>
      </c>
      <c r="E2906" s="35">
        <v>115.800003</v>
      </c>
      <c r="F2906" s="33">
        <v>116.300003</v>
      </c>
      <c r="G2906" s="29">
        <v>0.26</v>
      </c>
      <c r="H2906" s="29">
        <v>0.3</v>
      </c>
      <c r="I2906" s="35">
        <v>116.699997</v>
      </c>
      <c r="J2906" s="34">
        <v>23465</v>
      </c>
      <c r="K2906" s="34">
        <v>2736776</v>
      </c>
      <c r="M2906" s="29" t="s">
        <v>128</v>
      </c>
      <c r="N2906" s="30">
        <v>42419</v>
      </c>
      <c r="O2906" s="41">
        <v>6209.99</v>
      </c>
      <c r="P2906" s="41">
        <v>6250.78</v>
      </c>
      <c r="Q2906" s="41">
        <v>6209.28</v>
      </c>
      <c r="R2906" s="31">
        <v>6250.78</v>
      </c>
      <c r="S2906" s="29">
        <v>0.67</v>
      </c>
      <c r="T2906" s="29">
        <v>41.89</v>
      </c>
      <c r="U2906" s="41">
        <v>6208.89</v>
      </c>
    </row>
    <row r="2907" spans="1:21">
      <c r="A2907" s="29" t="s">
        <v>138</v>
      </c>
      <c r="B2907" s="32">
        <v>42354</v>
      </c>
      <c r="C2907" s="29">
        <v>116</v>
      </c>
      <c r="D2907" s="35">
        <v>117</v>
      </c>
      <c r="E2907" s="35">
        <v>116</v>
      </c>
      <c r="F2907" s="33">
        <v>116.5</v>
      </c>
      <c r="G2907" s="29">
        <v>0.17</v>
      </c>
      <c r="H2907" s="29">
        <v>0.2</v>
      </c>
      <c r="I2907" s="35">
        <v>116.300003</v>
      </c>
      <c r="J2907" s="34">
        <v>20260</v>
      </c>
      <c r="K2907" s="34">
        <v>2359463</v>
      </c>
      <c r="M2907" s="29" t="s">
        <v>128</v>
      </c>
      <c r="N2907" s="30">
        <v>42423</v>
      </c>
      <c r="O2907" s="41">
        <v>6253.88</v>
      </c>
      <c r="P2907" s="41">
        <v>6259.29</v>
      </c>
      <c r="Q2907" s="41">
        <v>6228.32</v>
      </c>
      <c r="R2907" s="31">
        <v>6228.99</v>
      </c>
      <c r="S2907" s="29">
        <v>-0.35</v>
      </c>
      <c r="T2907" s="29">
        <v>-21.79</v>
      </c>
      <c r="U2907" s="41">
        <v>6250.78</v>
      </c>
    </row>
    <row r="2908" spans="1:21">
      <c r="A2908" s="29" t="s">
        <v>138</v>
      </c>
      <c r="B2908" s="32">
        <v>42355</v>
      </c>
      <c r="C2908" s="29">
        <v>116.1</v>
      </c>
      <c r="D2908" s="35">
        <v>119.900002</v>
      </c>
      <c r="E2908" s="35">
        <v>116</v>
      </c>
      <c r="F2908" s="33">
        <v>119.400002</v>
      </c>
      <c r="G2908" s="29">
        <v>2.92</v>
      </c>
      <c r="H2908" s="29">
        <v>3.4</v>
      </c>
      <c r="I2908" s="35">
        <v>116.5</v>
      </c>
      <c r="J2908" s="34">
        <v>10134</v>
      </c>
      <c r="K2908" s="34">
        <v>1196976</v>
      </c>
      <c r="M2908" s="29" t="s">
        <v>128</v>
      </c>
      <c r="N2908" s="30">
        <v>42424</v>
      </c>
      <c r="O2908" s="41">
        <v>6227.87</v>
      </c>
      <c r="P2908" s="41">
        <v>6230.98</v>
      </c>
      <c r="Q2908" s="41">
        <v>6208.2</v>
      </c>
      <c r="R2908" s="31">
        <v>6217.64</v>
      </c>
      <c r="S2908" s="29">
        <v>-0.18</v>
      </c>
      <c r="T2908" s="29">
        <v>-11.35</v>
      </c>
      <c r="U2908" s="41">
        <v>6228.99</v>
      </c>
    </row>
    <row r="2909" spans="1:21">
      <c r="A2909" s="29" t="s">
        <v>138</v>
      </c>
      <c r="B2909" s="32">
        <v>42356</v>
      </c>
      <c r="C2909" s="29">
        <v>119</v>
      </c>
      <c r="D2909" s="35">
        <v>121.900002</v>
      </c>
      <c r="E2909" s="35">
        <v>119</v>
      </c>
      <c r="F2909" s="33">
        <v>119.800003</v>
      </c>
      <c r="G2909" s="29">
        <v>0.5</v>
      </c>
      <c r="H2909" s="29">
        <v>0.6</v>
      </c>
      <c r="I2909" s="35">
        <v>119.400002</v>
      </c>
      <c r="J2909" s="34">
        <v>130304</v>
      </c>
      <c r="K2909" s="34">
        <v>15632879</v>
      </c>
      <c r="M2909" s="29" t="s">
        <v>128</v>
      </c>
      <c r="N2909" s="30">
        <v>42425</v>
      </c>
      <c r="O2909" s="41">
        <v>6217.29</v>
      </c>
      <c r="P2909" s="41">
        <v>6229.83</v>
      </c>
      <c r="Q2909" s="41">
        <v>6201.42</v>
      </c>
      <c r="R2909" s="31">
        <v>6202.64</v>
      </c>
      <c r="S2909" s="29">
        <v>-0.24</v>
      </c>
      <c r="T2909" s="29">
        <v>-15</v>
      </c>
      <c r="U2909" s="41">
        <v>6217.64</v>
      </c>
    </row>
    <row r="2910" spans="1:21">
      <c r="A2910" s="29" t="s">
        <v>138</v>
      </c>
      <c r="B2910" s="32">
        <v>42359</v>
      </c>
      <c r="C2910" s="29">
        <v>119.1</v>
      </c>
      <c r="D2910" s="35">
        <v>119.800003</v>
      </c>
      <c r="E2910" s="35">
        <v>119</v>
      </c>
      <c r="F2910" s="33">
        <v>119.300003</v>
      </c>
      <c r="G2910" s="29">
        <v>-0.17</v>
      </c>
      <c r="H2910" s="29">
        <v>-0.2</v>
      </c>
      <c r="I2910" s="35">
        <v>119.800003</v>
      </c>
      <c r="J2910" s="34">
        <v>4500</v>
      </c>
      <c r="K2910" s="34">
        <v>537193</v>
      </c>
      <c r="M2910" s="29" t="s">
        <v>128</v>
      </c>
      <c r="N2910" s="30">
        <v>42426</v>
      </c>
      <c r="O2910" s="41">
        <v>6203.65</v>
      </c>
      <c r="P2910" s="41">
        <v>6209.13</v>
      </c>
      <c r="Q2910" s="41">
        <v>6200.21</v>
      </c>
      <c r="R2910" s="31">
        <v>6203.98</v>
      </c>
      <c r="S2910" s="29">
        <v>0.02</v>
      </c>
      <c r="T2910" s="29">
        <v>1.34</v>
      </c>
      <c r="U2910" s="41">
        <v>6202.64</v>
      </c>
    </row>
    <row r="2911" spans="1:21">
      <c r="A2911" s="29" t="s">
        <v>138</v>
      </c>
      <c r="B2911" s="32">
        <v>42360</v>
      </c>
      <c r="C2911" s="29">
        <v>119</v>
      </c>
      <c r="D2911" s="35">
        <v>119.900002</v>
      </c>
      <c r="E2911" s="35">
        <v>119</v>
      </c>
      <c r="F2911" s="33">
        <v>119.300003</v>
      </c>
      <c r="G2911" s="29">
        <v>0.17</v>
      </c>
      <c r="H2911" s="29">
        <v>0.2</v>
      </c>
      <c r="I2911" s="35">
        <v>119.300003</v>
      </c>
      <c r="J2911" s="34">
        <v>10710</v>
      </c>
      <c r="K2911" s="34">
        <v>1277251</v>
      </c>
      <c r="M2911" s="29" t="s">
        <v>128</v>
      </c>
      <c r="N2911" s="30">
        <v>42429</v>
      </c>
      <c r="O2911" s="41">
        <v>6205.34</v>
      </c>
      <c r="P2911" s="41">
        <v>6215.14</v>
      </c>
      <c r="Q2911" s="41">
        <v>6191.81</v>
      </c>
      <c r="R2911" s="31">
        <v>6191.81</v>
      </c>
      <c r="S2911" s="29">
        <v>-0.2</v>
      </c>
      <c r="T2911" s="29">
        <v>-12.17</v>
      </c>
      <c r="U2911" s="41">
        <v>6203.98</v>
      </c>
    </row>
    <row r="2912" spans="1:21">
      <c r="A2912" s="29" t="s">
        <v>138</v>
      </c>
      <c r="B2912" s="32">
        <v>42361</v>
      </c>
      <c r="C2912" s="29">
        <v>119.4</v>
      </c>
      <c r="D2912" s="35">
        <v>119.400002</v>
      </c>
      <c r="E2912" s="35">
        <v>119.4</v>
      </c>
      <c r="F2912" s="33">
        <v>119.400002</v>
      </c>
      <c r="G2912" s="29">
        <v>0.08</v>
      </c>
      <c r="H2912" s="29">
        <v>0.1</v>
      </c>
      <c r="I2912" s="35">
        <v>119.300003</v>
      </c>
      <c r="J2912" s="34">
        <v>501</v>
      </c>
      <c r="K2912" s="34">
        <v>59819</v>
      </c>
      <c r="M2912" s="29" t="s">
        <v>128</v>
      </c>
      <c r="N2912" s="30">
        <v>42430</v>
      </c>
      <c r="O2912" s="41">
        <v>6190.07</v>
      </c>
      <c r="P2912" s="41">
        <v>6197.73</v>
      </c>
      <c r="Q2912" s="41">
        <v>6113.4</v>
      </c>
      <c r="R2912" s="31">
        <v>6113.4</v>
      </c>
      <c r="S2912" s="29">
        <v>-1.27</v>
      </c>
      <c r="T2912" s="29">
        <v>-78.41</v>
      </c>
      <c r="U2912" s="41">
        <v>6191.81</v>
      </c>
    </row>
    <row r="2913" spans="1:21">
      <c r="A2913" s="29" t="s">
        <v>138</v>
      </c>
      <c r="B2913" s="32">
        <v>42366</v>
      </c>
      <c r="C2913" s="29">
        <v>119</v>
      </c>
      <c r="D2913" s="35">
        <v>119</v>
      </c>
      <c r="E2913" s="35">
        <v>118</v>
      </c>
      <c r="F2913" s="33">
        <v>118.599998</v>
      </c>
      <c r="G2913" s="29">
        <v>-1.17</v>
      </c>
      <c r="H2913" s="29">
        <v>-1.4</v>
      </c>
      <c r="I2913" s="35">
        <v>119.400002</v>
      </c>
      <c r="J2913" s="34">
        <v>8325</v>
      </c>
      <c r="K2913" s="34">
        <v>987697</v>
      </c>
      <c r="M2913" s="29" t="s">
        <v>128</v>
      </c>
      <c r="N2913" s="30">
        <v>42431</v>
      </c>
      <c r="O2913" s="41">
        <v>6113.35</v>
      </c>
      <c r="P2913" s="41">
        <v>6115.17</v>
      </c>
      <c r="Q2913" s="41">
        <v>6075.59</v>
      </c>
      <c r="R2913" s="31">
        <v>6078.41</v>
      </c>
      <c r="S2913" s="29">
        <v>-0.56999999999999995</v>
      </c>
      <c r="T2913" s="29">
        <v>-34.99</v>
      </c>
      <c r="U2913" s="41">
        <v>6113.4</v>
      </c>
    </row>
    <row r="2914" spans="1:21">
      <c r="A2914" s="29" t="s">
        <v>138</v>
      </c>
      <c r="B2914" s="32">
        <v>42367</v>
      </c>
      <c r="C2914" s="29">
        <v>119.5</v>
      </c>
      <c r="D2914" s="35">
        <v>119.900002</v>
      </c>
      <c r="E2914" s="35">
        <v>119.5</v>
      </c>
      <c r="F2914" s="33">
        <v>119.599998</v>
      </c>
      <c r="G2914" s="29">
        <v>1.1000000000000001</v>
      </c>
      <c r="H2914" s="29">
        <v>1.3</v>
      </c>
      <c r="I2914" s="35">
        <v>118.599998</v>
      </c>
      <c r="J2914" s="34">
        <v>2500</v>
      </c>
      <c r="K2914" s="34">
        <v>299087</v>
      </c>
      <c r="M2914" s="29" t="s">
        <v>128</v>
      </c>
      <c r="N2914" s="30">
        <v>42432</v>
      </c>
      <c r="O2914" s="41">
        <v>6078.13</v>
      </c>
      <c r="P2914" s="41">
        <v>6083.39</v>
      </c>
      <c r="Q2914" s="41">
        <v>6049.91</v>
      </c>
      <c r="R2914" s="31">
        <v>6060.91</v>
      </c>
      <c r="S2914" s="29">
        <v>-0.28999999999999998</v>
      </c>
      <c r="T2914" s="29">
        <v>-17.5</v>
      </c>
      <c r="U2914" s="41">
        <v>6078.41</v>
      </c>
    </row>
    <row r="2915" spans="1:21">
      <c r="A2915" s="29" t="s">
        <v>138</v>
      </c>
      <c r="B2915" s="32">
        <v>42368</v>
      </c>
      <c r="C2915" s="29">
        <v>119.5</v>
      </c>
      <c r="D2915" s="35">
        <v>121</v>
      </c>
      <c r="E2915" s="35">
        <v>119.5</v>
      </c>
      <c r="F2915" s="33">
        <v>120.199997</v>
      </c>
      <c r="G2915" s="29">
        <v>1</v>
      </c>
      <c r="H2915" s="29">
        <v>1.2</v>
      </c>
      <c r="I2915" s="35">
        <v>119.599998</v>
      </c>
      <c r="J2915" s="34">
        <v>25825</v>
      </c>
      <c r="K2915" s="34">
        <v>3101924</v>
      </c>
      <c r="M2915" s="29" t="s">
        <v>128</v>
      </c>
      <c r="N2915" s="30">
        <v>42433</v>
      </c>
      <c r="O2915" s="41">
        <v>6053.71</v>
      </c>
      <c r="P2915" s="41">
        <v>6065.35</v>
      </c>
      <c r="Q2915" s="41">
        <v>6050.42</v>
      </c>
      <c r="R2915" s="31">
        <v>6057.22</v>
      </c>
      <c r="S2915" s="29">
        <v>-0.06</v>
      </c>
      <c r="T2915" s="29">
        <v>-3.69</v>
      </c>
      <c r="U2915" s="41">
        <v>6060.91</v>
      </c>
    </row>
    <row r="2916" spans="1:21">
      <c r="A2916" s="29" t="s">
        <v>138</v>
      </c>
      <c r="B2916" s="32">
        <v>42369</v>
      </c>
      <c r="C2916" s="29">
        <v>120.8</v>
      </c>
      <c r="D2916" s="35">
        <v>121.5</v>
      </c>
      <c r="E2916" s="35">
        <v>120</v>
      </c>
      <c r="F2916" s="33">
        <v>120.900002</v>
      </c>
      <c r="G2916" s="29">
        <v>0.67</v>
      </c>
      <c r="H2916" s="29">
        <v>0.8</v>
      </c>
      <c r="I2916" s="35">
        <v>120.199997</v>
      </c>
      <c r="J2916" s="34">
        <v>15100</v>
      </c>
      <c r="K2916" s="34">
        <v>1826300</v>
      </c>
      <c r="M2916" s="29" t="s">
        <v>128</v>
      </c>
      <c r="N2916" s="30">
        <v>42437</v>
      </c>
      <c r="O2916" s="41">
        <v>6058.52</v>
      </c>
      <c r="P2916" s="41">
        <v>6058.52</v>
      </c>
      <c r="Q2916" s="41">
        <v>5932.54</v>
      </c>
      <c r="R2916" s="31">
        <v>5934.72</v>
      </c>
      <c r="S2916" s="29">
        <v>-2.02</v>
      </c>
      <c r="T2916" s="29">
        <v>-122.5</v>
      </c>
      <c r="U2916" s="41">
        <v>6057.22</v>
      </c>
    </row>
    <row r="2917" spans="1:21">
      <c r="A2917" s="29" t="s">
        <v>138</v>
      </c>
      <c r="B2917" s="32">
        <v>42373</v>
      </c>
      <c r="C2917" s="29">
        <v>122</v>
      </c>
      <c r="D2917" s="35">
        <v>122</v>
      </c>
      <c r="E2917" s="35">
        <v>119.599998</v>
      </c>
      <c r="F2917" s="33">
        <v>120.5</v>
      </c>
      <c r="G2917" s="29">
        <v>-0.08</v>
      </c>
      <c r="H2917" s="29">
        <v>-0.1</v>
      </c>
      <c r="I2917" s="35">
        <v>120.900002</v>
      </c>
      <c r="J2917" s="34">
        <v>41256</v>
      </c>
      <c r="K2917" s="34">
        <v>4960340</v>
      </c>
      <c r="M2917" s="29" t="s">
        <v>128</v>
      </c>
      <c r="N2917" s="30">
        <v>42438</v>
      </c>
      <c r="O2917" s="41">
        <v>5933.22</v>
      </c>
      <c r="P2917" s="41">
        <v>5933.22</v>
      </c>
      <c r="Q2917" s="41">
        <v>5802.02</v>
      </c>
      <c r="R2917" s="31">
        <v>5862.35</v>
      </c>
      <c r="S2917" s="29">
        <v>-1.22</v>
      </c>
      <c r="T2917" s="29">
        <v>-72.37</v>
      </c>
      <c r="U2917" s="41">
        <v>5934.72</v>
      </c>
    </row>
    <row r="2918" spans="1:21">
      <c r="A2918" s="29" t="s">
        <v>138</v>
      </c>
      <c r="B2918" s="32">
        <v>42374</v>
      </c>
      <c r="C2918" s="29">
        <v>119.6</v>
      </c>
      <c r="D2918" s="35">
        <v>119.800003</v>
      </c>
      <c r="E2918" s="35">
        <v>119</v>
      </c>
      <c r="F2918" s="33">
        <v>119.199997</v>
      </c>
      <c r="G2918" s="29">
        <v>-0.83</v>
      </c>
      <c r="H2918" s="29">
        <v>-1</v>
      </c>
      <c r="I2918" s="35">
        <v>120.5</v>
      </c>
      <c r="J2918" s="34">
        <v>19623</v>
      </c>
      <c r="K2918" s="34">
        <v>2341659</v>
      </c>
      <c r="M2918" s="29" t="s">
        <v>128</v>
      </c>
      <c r="N2918" s="30">
        <v>42439</v>
      </c>
      <c r="O2918" s="41">
        <v>5862.51</v>
      </c>
      <c r="P2918" s="41">
        <v>5956.47</v>
      </c>
      <c r="Q2918" s="41">
        <v>5858.04</v>
      </c>
      <c r="R2918" s="31">
        <v>5948.23</v>
      </c>
      <c r="S2918" s="29">
        <v>1.46</v>
      </c>
      <c r="T2918" s="29">
        <v>85.88</v>
      </c>
      <c r="U2918" s="41">
        <v>5862.35</v>
      </c>
    </row>
    <row r="2919" spans="1:21">
      <c r="A2919" s="29" t="s">
        <v>138</v>
      </c>
      <c r="B2919" s="32">
        <v>42375</v>
      </c>
      <c r="C2919" s="29">
        <v>118</v>
      </c>
      <c r="D2919" s="35">
        <v>119.599998</v>
      </c>
      <c r="E2919" s="35">
        <v>117.5</v>
      </c>
      <c r="F2919" s="33">
        <v>119.099998</v>
      </c>
      <c r="G2919" s="29">
        <v>0.34</v>
      </c>
      <c r="H2919" s="29">
        <v>0.4</v>
      </c>
      <c r="I2919" s="35">
        <v>119.199997</v>
      </c>
      <c r="J2919" s="34">
        <v>13255</v>
      </c>
      <c r="K2919" s="34">
        <v>1575710</v>
      </c>
      <c r="M2919" s="29" t="s">
        <v>128</v>
      </c>
      <c r="N2919" s="30">
        <v>42440</v>
      </c>
      <c r="O2919" s="41">
        <v>5952.36</v>
      </c>
      <c r="P2919" s="41">
        <v>6028.24</v>
      </c>
      <c r="Q2919" s="41">
        <v>5952.33</v>
      </c>
      <c r="R2919" s="31">
        <v>6019.95</v>
      </c>
      <c r="S2919" s="29">
        <v>1.21</v>
      </c>
      <c r="T2919" s="29">
        <v>71.72</v>
      </c>
      <c r="U2919" s="41">
        <v>5948.23</v>
      </c>
    </row>
    <row r="2920" spans="1:21">
      <c r="A2920" s="29" t="s">
        <v>138</v>
      </c>
      <c r="B2920" s="32">
        <v>42376</v>
      </c>
      <c r="C2920" s="29">
        <v>118.1</v>
      </c>
      <c r="D2920" s="35">
        <v>119</v>
      </c>
      <c r="E2920" s="35">
        <v>117.5</v>
      </c>
      <c r="F2920" s="33">
        <v>118.5</v>
      </c>
      <c r="G2920" s="29">
        <v>-1.26</v>
      </c>
      <c r="H2920" s="29">
        <v>-1.5</v>
      </c>
      <c r="I2920" s="35">
        <v>119.099998</v>
      </c>
      <c r="J2920" s="34">
        <v>10852</v>
      </c>
      <c r="K2920" s="34">
        <v>1279114</v>
      </c>
      <c r="M2920" s="29" t="s">
        <v>128</v>
      </c>
      <c r="N2920" s="30">
        <v>42443</v>
      </c>
      <c r="O2920" s="41">
        <v>6020.39</v>
      </c>
      <c r="P2920" s="41">
        <v>6029.24</v>
      </c>
      <c r="Q2920" s="41">
        <v>5975.16</v>
      </c>
      <c r="R2920" s="31">
        <v>5979.43</v>
      </c>
      <c r="S2920" s="29">
        <v>-0.67</v>
      </c>
      <c r="T2920" s="29">
        <v>-40.520000000000003</v>
      </c>
      <c r="U2920" s="41">
        <v>6019.95</v>
      </c>
    </row>
    <row r="2921" spans="1:21">
      <c r="A2921" s="29" t="s">
        <v>138</v>
      </c>
      <c r="B2921" s="32">
        <v>42377</v>
      </c>
      <c r="C2921" s="29">
        <v>117.1</v>
      </c>
      <c r="D2921" s="35">
        <v>117.1</v>
      </c>
      <c r="E2921" s="35">
        <v>115</v>
      </c>
      <c r="F2921" s="33">
        <v>116.400002</v>
      </c>
      <c r="G2921" s="29">
        <v>-1.69</v>
      </c>
      <c r="H2921" s="29">
        <v>-2</v>
      </c>
      <c r="I2921" s="35">
        <v>118.5</v>
      </c>
      <c r="J2921" s="34">
        <v>28375</v>
      </c>
      <c r="K2921" s="34">
        <v>3286586</v>
      </c>
      <c r="M2921" s="29" t="s">
        <v>128</v>
      </c>
      <c r="N2921" s="32">
        <v>42444</v>
      </c>
      <c r="R2921" s="31">
        <v>5970.4</v>
      </c>
    </row>
    <row r="2922" spans="1:21">
      <c r="A2922" s="29" t="s">
        <v>138</v>
      </c>
      <c r="B2922" s="32">
        <v>42380</v>
      </c>
      <c r="C2922" s="29">
        <v>115.5</v>
      </c>
      <c r="D2922" s="35">
        <v>115.5</v>
      </c>
      <c r="E2922" s="35">
        <v>111.099998</v>
      </c>
      <c r="F2922" s="33">
        <v>114</v>
      </c>
      <c r="G2922" s="29">
        <v>-2.06</v>
      </c>
      <c r="H2922" s="29">
        <v>-2.4</v>
      </c>
      <c r="I2922" s="35">
        <v>116.400002</v>
      </c>
      <c r="J2922" s="34">
        <v>29426</v>
      </c>
      <c r="K2922" s="34">
        <v>3330141</v>
      </c>
      <c r="M2922" s="29" t="s">
        <v>128</v>
      </c>
      <c r="N2922" s="32">
        <v>42445</v>
      </c>
      <c r="R2922" s="31">
        <v>6021.37</v>
      </c>
    </row>
    <row r="2923" spans="1:21">
      <c r="A2923" s="29" t="s">
        <v>138</v>
      </c>
      <c r="B2923" s="32">
        <v>42381</v>
      </c>
      <c r="C2923" s="29">
        <v>113.5</v>
      </c>
      <c r="D2923" s="35">
        <v>113.5</v>
      </c>
      <c r="E2923" s="35">
        <v>111.599998</v>
      </c>
      <c r="F2923" s="33">
        <v>111.900002</v>
      </c>
      <c r="G2923" s="29">
        <v>-1.75</v>
      </c>
      <c r="H2923" s="29">
        <v>-2</v>
      </c>
      <c r="I2923" s="35">
        <v>114</v>
      </c>
      <c r="J2923" s="34">
        <v>148935</v>
      </c>
      <c r="K2923" s="34">
        <v>16805646</v>
      </c>
      <c r="M2923" s="29" t="s">
        <v>128</v>
      </c>
      <c r="N2923" s="32">
        <v>42446</v>
      </c>
      <c r="R2923" s="31">
        <v>6068.17</v>
      </c>
    </row>
    <row r="2924" spans="1:21">
      <c r="A2924" s="29" t="s">
        <v>138</v>
      </c>
      <c r="B2924" s="32">
        <v>42382</v>
      </c>
      <c r="C2924" s="29">
        <v>111.9</v>
      </c>
      <c r="D2924" s="35">
        <v>114</v>
      </c>
      <c r="E2924" s="35">
        <v>111.9</v>
      </c>
      <c r="F2924" s="33">
        <v>112.400002</v>
      </c>
      <c r="G2924" s="29">
        <v>0.18</v>
      </c>
      <c r="H2924" s="29">
        <v>0.2</v>
      </c>
      <c r="I2924" s="35">
        <v>111.900002</v>
      </c>
      <c r="J2924" s="34">
        <v>49047</v>
      </c>
      <c r="K2924" s="34">
        <v>5506583</v>
      </c>
      <c r="M2924" s="29" t="s">
        <v>128</v>
      </c>
      <c r="N2924" s="32">
        <v>42447</v>
      </c>
      <c r="O2924" s="29"/>
      <c r="P2924" s="29"/>
      <c r="Q2924" s="29"/>
      <c r="R2924" s="31">
        <v>6057.79</v>
      </c>
    </row>
    <row r="2925" spans="1:21">
      <c r="A2925" s="29" t="s">
        <v>138</v>
      </c>
      <c r="B2925" s="32">
        <v>42383</v>
      </c>
      <c r="C2925" s="29">
        <v>111.3</v>
      </c>
      <c r="D2925" s="35">
        <v>112</v>
      </c>
      <c r="E2925" s="35">
        <v>110</v>
      </c>
      <c r="F2925" s="33">
        <v>111</v>
      </c>
      <c r="G2925" s="29">
        <v>-2.14</v>
      </c>
      <c r="H2925" s="29">
        <v>-2.4</v>
      </c>
      <c r="I2925" s="35">
        <v>112.400002</v>
      </c>
      <c r="J2925" s="34">
        <v>38034</v>
      </c>
      <c r="K2925" s="34">
        <v>4211355</v>
      </c>
      <c r="M2925" s="29" t="s">
        <v>128</v>
      </c>
      <c r="N2925" s="32">
        <v>42450</v>
      </c>
      <c r="O2925" s="29"/>
      <c r="P2925" s="29"/>
      <c r="Q2925" s="29"/>
      <c r="R2925" s="31">
        <v>6088.57</v>
      </c>
    </row>
    <row r="2926" spans="1:21">
      <c r="A2926" s="29" t="s">
        <v>138</v>
      </c>
      <c r="B2926" s="32">
        <v>42387</v>
      </c>
      <c r="C2926" s="29">
        <v>109.1</v>
      </c>
      <c r="D2926" s="35">
        <v>109.1</v>
      </c>
      <c r="E2926" s="35">
        <v>103.099998</v>
      </c>
      <c r="F2926" s="33">
        <v>103.699997</v>
      </c>
      <c r="G2926" s="29">
        <v>-7.12</v>
      </c>
      <c r="H2926" s="29">
        <v>-7.9</v>
      </c>
      <c r="I2926" s="35">
        <v>111</v>
      </c>
      <c r="J2926" s="34">
        <v>20257</v>
      </c>
      <c r="K2926" s="34">
        <v>2125538</v>
      </c>
      <c r="M2926" s="29" t="s">
        <v>128</v>
      </c>
      <c r="N2926" s="32">
        <v>42452</v>
      </c>
      <c r="O2926" s="29"/>
      <c r="P2926" s="29"/>
      <c r="Q2926" s="29"/>
      <c r="R2926" s="31">
        <v>6073.5</v>
      </c>
    </row>
    <row r="2927" spans="1:21">
      <c r="A2927" s="29" t="s">
        <v>138</v>
      </c>
      <c r="B2927" s="32">
        <v>42388</v>
      </c>
      <c r="C2927" s="29">
        <v>105</v>
      </c>
      <c r="D2927" s="35">
        <v>106</v>
      </c>
      <c r="E2927" s="35">
        <v>98</v>
      </c>
      <c r="F2927" s="33">
        <v>104.300003</v>
      </c>
      <c r="G2927" s="29">
        <v>0.28999999999999998</v>
      </c>
      <c r="H2927" s="29">
        <v>0.3</v>
      </c>
      <c r="I2927" s="35">
        <v>103.699997</v>
      </c>
      <c r="J2927" s="34">
        <v>177886</v>
      </c>
      <c r="K2927" s="34">
        <v>17886892</v>
      </c>
      <c r="M2927" s="29" t="s">
        <v>128</v>
      </c>
      <c r="N2927" s="32">
        <v>42453</v>
      </c>
      <c r="R2927" s="31">
        <v>6092.45</v>
      </c>
    </row>
    <row r="2928" spans="1:21">
      <c r="A2928" s="29" t="s">
        <v>138</v>
      </c>
      <c r="B2928" s="32">
        <v>42389</v>
      </c>
      <c r="C2928" s="29">
        <v>106</v>
      </c>
      <c r="D2928" s="35">
        <v>107.900002</v>
      </c>
      <c r="E2928" s="35">
        <v>102</v>
      </c>
      <c r="F2928" s="33">
        <v>105.400002</v>
      </c>
      <c r="G2928" s="29">
        <v>2.4900000000000002</v>
      </c>
      <c r="H2928" s="29">
        <v>2.6</v>
      </c>
      <c r="I2928" s="35">
        <v>104.300003</v>
      </c>
      <c r="J2928" s="34">
        <v>15799</v>
      </c>
      <c r="K2928" s="34">
        <v>1646003</v>
      </c>
      <c r="M2928" s="29" t="s">
        <v>128</v>
      </c>
      <c r="N2928" s="32">
        <v>42457</v>
      </c>
      <c r="R2928" s="31">
        <v>6062.05</v>
      </c>
    </row>
    <row r="2929" spans="1:18">
      <c r="A2929" s="29" t="s">
        <v>138</v>
      </c>
      <c r="B2929" s="32">
        <v>42390</v>
      </c>
      <c r="C2929" s="29">
        <v>103</v>
      </c>
      <c r="D2929" s="35">
        <v>110</v>
      </c>
      <c r="E2929" s="35">
        <v>102.5</v>
      </c>
      <c r="F2929" s="33">
        <v>109.400002</v>
      </c>
      <c r="G2929" s="29">
        <v>1.99</v>
      </c>
      <c r="H2929" s="29">
        <v>2.1</v>
      </c>
      <c r="I2929" s="35">
        <v>105.400002</v>
      </c>
      <c r="J2929" s="34">
        <v>24052</v>
      </c>
      <c r="K2929" s="34">
        <v>2572727</v>
      </c>
      <c r="M2929" s="29" t="s">
        <v>128</v>
      </c>
      <c r="N2929" s="32">
        <v>42458</v>
      </c>
      <c r="R2929" s="31">
        <v>6031.85</v>
      </c>
    </row>
    <row r="2930" spans="1:18">
      <c r="A2930" s="29" t="s">
        <v>138</v>
      </c>
      <c r="B2930" s="32">
        <v>42391</v>
      </c>
      <c r="C2930" s="29">
        <v>110</v>
      </c>
      <c r="D2930" s="35">
        <v>111</v>
      </c>
      <c r="E2930" s="35">
        <v>109.800003</v>
      </c>
      <c r="F2930" s="33">
        <v>109.900002</v>
      </c>
      <c r="G2930" s="29">
        <v>0.46</v>
      </c>
      <c r="H2930" s="29">
        <v>0.5</v>
      </c>
      <c r="I2930" s="35">
        <v>109.400002</v>
      </c>
      <c r="J2930" s="34">
        <v>44937</v>
      </c>
      <c r="K2930" s="34">
        <v>4965750</v>
      </c>
      <c r="N2930" s="32">
        <v>42459</v>
      </c>
      <c r="R2930" s="31">
        <v>6040.99</v>
      </c>
    </row>
    <row r="2931" spans="1:18">
      <c r="A2931" s="29" t="s">
        <v>138</v>
      </c>
      <c r="B2931" s="32">
        <v>42394</v>
      </c>
      <c r="C2931" s="29">
        <v>109.9</v>
      </c>
      <c r="D2931" s="35">
        <v>112</v>
      </c>
      <c r="E2931" s="35">
        <v>108</v>
      </c>
      <c r="F2931" s="33">
        <v>111.300003</v>
      </c>
      <c r="G2931" s="29">
        <v>-1.55</v>
      </c>
      <c r="H2931" s="29">
        <v>-1.7</v>
      </c>
      <c r="I2931" s="35">
        <v>109.900002</v>
      </c>
      <c r="J2931" s="34">
        <v>5713</v>
      </c>
      <c r="K2931" s="34">
        <v>626343</v>
      </c>
      <c r="N2931" s="32">
        <v>42460</v>
      </c>
      <c r="O2931" s="29"/>
      <c r="P2931" s="29"/>
      <c r="Q2931" s="29"/>
      <c r="R2931" s="31">
        <v>6071.88</v>
      </c>
    </row>
    <row r="2932" spans="1:18">
      <c r="A2932" s="29" t="s">
        <v>138</v>
      </c>
      <c r="B2932" s="32">
        <v>42395</v>
      </c>
      <c r="C2932" s="29">
        <v>108.1</v>
      </c>
      <c r="D2932" s="35">
        <v>110</v>
      </c>
      <c r="E2932" s="35">
        <v>108</v>
      </c>
      <c r="F2932" s="33">
        <v>109.5</v>
      </c>
      <c r="G2932" s="29">
        <v>-1.26</v>
      </c>
      <c r="H2932" s="29">
        <v>-1.4</v>
      </c>
      <c r="I2932" s="35">
        <v>111.300003</v>
      </c>
      <c r="J2932" s="34">
        <v>2291</v>
      </c>
      <c r="K2932" s="34">
        <v>249220</v>
      </c>
      <c r="O2932" s="29"/>
      <c r="P2932" s="29"/>
      <c r="Q2932" s="29"/>
      <c r="R2932" s="31"/>
    </row>
    <row r="2933" spans="1:18">
      <c r="A2933" s="29" t="s">
        <v>138</v>
      </c>
      <c r="B2933" s="32">
        <v>42396</v>
      </c>
      <c r="C2933" s="29">
        <v>109.9</v>
      </c>
      <c r="D2933" s="35">
        <v>112</v>
      </c>
      <c r="E2933" s="35">
        <v>109.9</v>
      </c>
      <c r="F2933" s="33">
        <v>111.400002</v>
      </c>
      <c r="G2933" s="29">
        <v>2.1</v>
      </c>
      <c r="H2933" s="29">
        <v>2.2999999999999998</v>
      </c>
      <c r="I2933" s="35">
        <v>109.5</v>
      </c>
      <c r="J2933" s="34">
        <v>16530</v>
      </c>
      <c r="K2933" s="34">
        <v>1823557</v>
      </c>
      <c r="O2933" s="29"/>
      <c r="P2933" s="29"/>
      <c r="Q2933" s="29"/>
    </row>
    <row r="2934" spans="1:18">
      <c r="A2934" s="29" t="s">
        <v>138</v>
      </c>
      <c r="B2934" s="32">
        <v>42397</v>
      </c>
      <c r="C2934" s="29">
        <v>110</v>
      </c>
      <c r="D2934" s="35">
        <v>112</v>
      </c>
      <c r="E2934" s="35">
        <v>110</v>
      </c>
      <c r="F2934" s="33">
        <v>110.699997</v>
      </c>
      <c r="G2934" s="29">
        <v>0.54</v>
      </c>
      <c r="H2934" s="29">
        <v>0.6</v>
      </c>
      <c r="I2934" s="35">
        <v>111.400002</v>
      </c>
      <c r="J2934" s="34">
        <v>13260</v>
      </c>
      <c r="K2934" s="34">
        <v>1468392</v>
      </c>
      <c r="O2934" s="29"/>
      <c r="P2934" s="29"/>
      <c r="Q2934" s="29"/>
    </row>
    <row r="2935" spans="1:18">
      <c r="A2935" s="29" t="s">
        <v>138</v>
      </c>
      <c r="B2935" s="32">
        <v>42398</v>
      </c>
      <c r="C2935" s="29">
        <v>112.4</v>
      </c>
      <c r="D2935" s="35">
        <v>113.900002</v>
      </c>
      <c r="E2935" s="35">
        <v>110.099998</v>
      </c>
      <c r="F2935" s="33">
        <v>112</v>
      </c>
      <c r="G2935" s="29">
        <v>1.17</v>
      </c>
      <c r="H2935" s="29">
        <v>1.3</v>
      </c>
      <c r="I2935" s="35">
        <v>110.699997</v>
      </c>
      <c r="J2935" s="34">
        <v>1670</v>
      </c>
      <c r="K2935" s="34">
        <v>187347</v>
      </c>
    </row>
    <row r="2936" spans="1:18">
      <c r="A2936" s="29" t="s">
        <v>138</v>
      </c>
      <c r="B2936" s="32">
        <v>42401</v>
      </c>
      <c r="C2936" s="29">
        <v>113</v>
      </c>
      <c r="D2936" s="35">
        <v>114.900002</v>
      </c>
      <c r="E2936" s="35">
        <v>113</v>
      </c>
      <c r="F2936" s="33">
        <v>114.599998</v>
      </c>
      <c r="G2936" s="29">
        <v>2.41</v>
      </c>
      <c r="H2936" s="29">
        <v>2.7</v>
      </c>
      <c r="I2936" s="35">
        <v>112</v>
      </c>
      <c r="J2936" s="34">
        <v>10014</v>
      </c>
      <c r="K2936" s="34">
        <v>1143512</v>
      </c>
      <c r="O2936" s="35" t="s">
        <v>139</v>
      </c>
      <c r="P2936" s="35" t="s">
        <v>140</v>
      </c>
      <c r="Q2936" s="35" t="s">
        <v>141</v>
      </c>
    </row>
    <row r="2937" spans="1:18">
      <c r="A2937" s="29" t="s">
        <v>138</v>
      </c>
      <c r="B2937" s="32">
        <v>42402</v>
      </c>
      <c r="C2937" s="29">
        <v>113.8</v>
      </c>
      <c r="D2937" s="35">
        <v>116</v>
      </c>
      <c r="E2937" s="35">
        <v>113.8</v>
      </c>
      <c r="F2937" s="33">
        <v>115.800003</v>
      </c>
      <c r="G2937" s="29">
        <v>1.22</v>
      </c>
      <c r="H2937" s="29">
        <v>1.4</v>
      </c>
      <c r="I2937" s="35">
        <v>114.599998</v>
      </c>
      <c r="J2937" s="34">
        <v>46051</v>
      </c>
      <c r="K2937" s="34">
        <v>5313640</v>
      </c>
      <c r="N2937" s="29" t="s">
        <v>128</v>
      </c>
      <c r="O2937" s="42">
        <f>+$R$2931/R2911-1</f>
        <v>-1.9369134388813602E-2</v>
      </c>
      <c r="P2937" s="42">
        <f>+$R$2931/R2873-1</f>
        <v>-0.11931539633040833</v>
      </c>
      <c r="Q2937" s="42">
        <f>+$R$2931/R2691-1</f>
        <v>-0.12206336537460527</v>
      </c>
    </row>
    <row r="2938" spans="1:18">
      <c r="A2938" s="29" t="s">
        <v>138</v>
      </c>
      <c r="B2938" s="32">
        <v>42403</v>
      </c>
      <c r="C2938" s="29">
        <v>116</v>
      </c>
      <c r="D2938" s="35">
        <v>116</v>
      </c>
      <c r="E2938" s="35">
        <v>114.800003</v>
      </c>
      <c r="F2938" s="33">
        <v>115.300003</v>
      </c>
      <c r="G2938" s="29">
        <v>-0.69</v>
      </c>
      <c r="H2938" s="29">
        <v>-0.8</v>
      </c>
      <c r="I2938" s="35">
        <v>115.800003</v>
      </c>
      <c r="J2938" s="34">
        <v>7262</v>
      </c>
      <c r="K2938" s="34">
        <v>836608</v>
      </c>
      <c r="N2938" s="29" t="s">
        <v>127</v>
      </c>
      <c r="O2938" s="42">
        <f>+$F$2972/F2954-1</f>
        <v>-1.0784294117647031E-2</v>
      </c>
      <c r="P2938" s="42">
        <f>+$F$2972/F2916-1</f>
        <v>-0.1654259691410096</v>
      </c>
      <c r="Q2938" s="42">
        <f>+$F$2972/F2735-1</f>
        <v>0.31380205805460704</v>
      </c>
    </row>
    <row r="2939" spans="1:18">
      <c r="A2939" s="29" t="s">
        <v>138</v>
      </c>
      <c r="B2939" s="32">
        <v>42405</v>
      </c>
      <c r="C2939" s="29">
        <v>113</v>
      </c>
      <c r="D2939" s="35">
        <v>116.900002</v>
      </c>
      <c r="E2939" s="35">
        <v>113</v>
      </c>
      <c r="F2939" s="33">
        <v>116.800003</v>
      </c>
      <c r="G2939" s="29">
        <v>1.39</v>
      </c>
      <c r="H2939" s="29">
        <v>1.6</v>
      </c>
      <c r="I2939" s="35">
        <v>115.300003</v>
      </c>
      <c r="J2939" s="34">
        <v>11082</v>
      </c>
      <c r="K2939" s="34">
        <v>1281611</v>
      </c>
    </row>
    <row r="2940" spans="1:18">
      <c r="A2940" s="29" t="s">
        <v>138</v>
      </c>
      <c r="B2940" s="32">
        <v>42408</v>
      </c>
      <c r="C2940" s="29">
        <v>114</v>
      </c>
      <c r="D2940" s="35">
        <v>116</v>
      </c>
      <c r="E2940" s="35">
        <v>114</v>
      </c>
      <c r="F2940" s="33">
        <v>115.699997</v>
      </c>
      <c r="G2940" s="29">
        <v>-0.86</v>
      </c>
      <c r="H2940" s="29">
        <v>-1</v>
      </c>
      <c r="I2940" s="35">
        <v>116.800003</v>
      </c>
      <c r="J2940" s="34">
        <v>7868</v>
      </c>
      <c r="K2940" s="34">
        <v>906741</v>
      </c>
    </row>
    <row r="2941" spans="1:18">
      <c r="A2941" s="29" t="s">
        <v>138</v>
      </c>
      <c r="B2941" s="32">
        <v>42409</v>
      </c>
      <c r="C2941" s="29">
        <v>115.8</v>
      </c>
      <c r="D2941" s="35">
        <v>115.800003</v>
      </c>
      <c r="E2941" s="35">
        <v>114</v>
      </c>
      <c r="F2941" s="33">
        <v>114.900002</v>
      </c>
      <c r="G2941" s="29">
        <v>-0.61</v>
      </c>
      <c r="H2941" s="29">
        <v>-0.7</v>
      </c>
      <c r="I2941" s="35">
        <v>115.699997</v>
      </c>
      <c r="J2941" s="34">
        <v>5050</v>
      </c>
      <c r="K2941" s="34">
        <v>580165</v>
      </c>
    </row>
    <row r="2942" spans="1:18">
      <c r="A2942" s="29" t="s">
        <v>138</v>
      </c>
      <c r="B2942" s="32">
        <v>42410</v>
      </c>
      <c r="C2942" s="29">
        <v>114.8</v>
      </c>
      <c r="D2942" s="35">
        <v>116.5</v>
      </c>
      <c r="E2942" s="35">
        <v>112.5</v>
      </c>
      <c r="F2942" s="33">
        <v>115.300003</v>
      </c>
      <c r="G2942" s="29">
        <v>1.39</v>
      </c>
      <c r="H2942" s="29">
        <v>1.6</v>
      </c>
      <c r="I2942" s="35">
        <v>114.900002</v>
      </c>
      <c r="J2942" s="34">
        <v>6300</v>
      </c>
      <c r="K2942" s="34">
        <v>724632</v>
      </c>
    </row>
    <row r="2943" spans="1:18">
      <c r="A2943" s="29" t="s">
        <v>138</v>
      </c>
      <c r="B2943" s="32">
        <v>42411</v>
      </c>
      <c r="C2943" s="29">
        <v>115</v>
      </c>
      <c r="D2943" s="35">
        <v>115</v>
      </c>
      <c r="E2943" s="35">
        <v>110.099998</v>
      </c>
      <c r="F2943" s="33">
        <v>114</v>
      </c>
      <c r="G2943" s="29">
        <v>-1.1299999999999999</v>
      </c>
      <c r="H2943" s="29">
        <v>-1.3</v>
      </c>
      <c r="I2943" s="35">
        <v>115.300003</v>
      </c>
      <c r="J2943" s="34">
        <v>5177</v>
      </c>
      <c r="K2943" s="34">
        <v>591770</v>
      </c>
    </row>
    <row r="2944" spans="1:18">
      <c r="A2944" s="29" t="s">
        <v>138</v>
      </c>
      <c r="B2944" s="32">
        <v>42412</v>
      </c>
      <c r="C2944" s="29">
        <v>110.2</v>
      </c>
      <c r="D2944" s="35">
        <v>113.900002</v>
      </c>
      <c r="E2944" s="35">
        <v>109.5</v>
      </c>
      <c r="F2944" s="33">
        <v>111.400002</v>
      </c>
      <c r="G2944" s="29">
        <v>-0.09</v>
      </c>
      <c r="H2944" s="29">
        <v>-0.1</v>
      </c>
      <c r="I2944" s="35">
        <v>114</v>
      </c>
      <c r="J2944" s="34">
        <v>8480</v>
      </c>
      <c r="K2944" s="34">
        <v>937318</v>
      </c>
    </row>
    <row r="2945" spans="1:11">
      <c r="A2945" s="29" t="s">
        <v>138</v>
      </c>
      <c r="B2945" s="32">
        <v>42415</v>
      </c>
      <c r="C2945" s="29">
        <v>110</v>
      </c>
      <c r="D2945" s="35">
        <v>110</v>
      </c>
      <c r="E2945" s="35">
        <v>109</v>
      </c>
      <c r="F2945" s="33">
        <v>109.099998</v>
      </c>
      <c r="G2945" s="29">
        <v>-1.71</v>
      </c>
      <c r="H2945" s="29">
        <v>-1.9</v>
      </c>
      <c r="I2945" s="35">
        <v>111.400002</v>
      </c>
      <c r="J2945" s="34">
        <v>9380</v>
      </c>
      <c r="K2945" s="34">
        <v>1027068</v>
      </c>
    </row>
    <row r="2946" spans="1:11">
      <c r="A2946" s="29" t="s">
        <v>138</v>
      </c>
      <c r="B2946" s="32">
        <v>42416</v>
      </c>
      <c r="C2946" s="29">
        <v>111.9</v>
      </c>
      <c r="D2946" s="35">
        <v>111.900002</v>
      </c>
      <c r="E2946" s="35">
        <v>107</v>
      </c>
      <c r="F2946" s="33">
        <v>107.099998</v>
      </c>
      <c r="G2946" s="29">
        <v>-1.83</v>
      </c>
      <c r="H2946" s="29">
        <v>-2</v>
      </c>
      <c r="I2946" s="35">
        <v>109.099998</v>
      </c>
      <c r="J2946" s="34">
        <v>10945</v>
      </c>
      <c r="K2946" s="34">
        <v>1185760</v>
      </c>
    </row>
    <row r="2947" spans="1:11">
      <c r="A2947" s="29" t="s">
        <v>138</v>
      </c>
      <c r="B2947" s="32">
        <v>42417</v>
      </c>
      <c r="C2947" s="29">
        <v>110</v>
      </c>
      <c r="D2947" s="35">
        <v>110</v>
      </c>
      <c r="E2947" s="35">
        <v>104</v>
      </c>
      <c r="F2947" s="33">
        <v>104.900002</v>
      </c>
      <c r="G2947" s="29">
        <v>-1.96</v>
      </c>
      <c r="H2947" s="29">
        <v>-2.1</v>
      </c>
      <c r="I2947" s="35">
        <v>107.099998</v>
      </c>
      <c r="J2947" s="34">
        <v>17022</v>
      </c>
      <c r="K2947" s="34">
        <v>1815969</v>
      </c>
    </row>
    <row r="2948" spans="1:11">
      <c r="A2948" s="29" t="s">
        <v>138</v>
      </c>
      <c r="B2948" s="32">
        <v>42418</v>
      </c>
      <c r="C2948" s="29">
        <v>105</v>
      </c>
      <c r="D2948" s="35">
        <v>107.5</v>
      </c>
      <c r="E2948" s="35">
        <v>103</v>
      </c>
      <c r="F2948" s="33">
        <v>103</v>
      </c>
      <c r="G2948" s="29">
        <v>-1.81</v>
      </c>
      <c r="H2948" s="29">
        <v>-1.9</v>
      </c>
      <c r="I2948" s="35">
        <v>104.900002</v>
      </c>
      <c r="J2948" s="34">
        <v>56591</v>
      </c>
      <c r="K2948" s="34">
        <v>5837131</v>
      </c>
    </row>
    <row r="2949" spans="1:11">
      <c r="A2949" s="29" t="s">
        <v>138</v>
      </c>
      <c r="B2949" s="32">
        <v>42419</v>
      </c>
      <c r="C2949" s="29">
        <v>103</v>
      </c>
      <c r="D2949" s="35">
        <v>105</v>
      </c>
      <c r="E2949" s="35">
        <v>103</v>
      </c>
      <c r="F2949" s="33">
        <v>103.099998</v>
      </c>
      <c r="G2949" s="29">
        <v>0.19</v>
      </c>
      <c r="H2949" s="29">
        <v>0.2</v>
      </c>
      <c r="I2949" s="35">
        <v>103</v>
      </c>
      <c r="J2949" s="34">
        <v>37096</v>
      </c>
      <c r="K2949" s="34">
        <v>3823593</v>
      </c>
    </row>
    <row r="2950" spans="1:11">
      <c r="A2950" s="29" t="s">
        <v>138</v>
      </c>
      <c r="B2950" s="32">
        <v>42423</v>
      </c>
      <c r="C2950" s="29">
        <v>103.2</v>
      </c>
      <c r="D2950" s="35">
        <v>103.2</v>
      </c>
      <c r="E2950" s="35">
        <v>102</v>
      </c>
      <c r="F2950" s="33">
        <v>102.900002</v>
      </c>
      <c r="G2950" s="29">
        <v>-1.07</v>
      </c>
      <c r="H2950" s="29">
        <v>-1.1000000000000001</v>
      </c>
      <c r="I2950" s="35">
        <v>103.099998</v>
      </c>
      <c r="J2950" s="34">
        <v>55547</v>
      </c>
      <c r="K2950" s="34">
        <v>5715342</v>
      </c>
    </row>
    <row r="2951" spans="1:11">
      <c r="A2951" s="29" t="s">
        <v>138</v>
      </c>
      <c r="B2951" s="32">
        <v>42424</v>
      </c>
      <c r="C2951" s="29">
        <v>102</v>
      </c>
      <c r="D2951" s="35">
        <v>102.900002</v>
      </c>
      <c r="E2951" s="35">
        <v>102</v>
      </c>
      <c r="F2951" s="33">
        <v>102.400002</v>
      </c>
      <c r="G2951" s="29">
        <v>-0.39</v>
      </c>
      <c r="H2951" s="29">
        <v>-0.4</v>
      </c>
      <c r="I2951" s="35">
        <v>102.900002</v>
      </c>
      <c r="J2951" s="34">
        <v>18192</v>
      </c>
      <c r="K2951" s="34">
        <v>1860834</v>
      </c>
    </row>
    <row r="2952" spans="1:11">
      <c r="A2952" s="29" t="s">
        <v>138</v>
      </c>
      <c r="B2952" s="32">
        <v>42425</v>
      </c>
      <c r="C2952" s="29">
        <v>102.5</v>
      </c>
      <c r="D2952" s="35">
        <v>103</v>
      </c>
      <c r="E2952" s="35">
        <v>101.599998</v>
      </c>
      <c r="F2952" s="33">
        <v>103</v>
      </c>
      <c r="G2952" s="29">
        <v>0.59</v>
      </c>
      <c r="H2952" s="29">
        <v>0.6</v>
      </c>
      <c r="I2952" s="35">
        <v>102.400002</v>
      </c>
      <c r="J2952" s="34">
        <v>1156</v>
      </c>
      <c r="K2952" s="34">
        <v>118835</v>
      </c>
    </row>
    <row r="2953" spans="1:11">
      <c r="A2953" s="29" t="s">
        <v>138</v>
      </c>
      <c r="B2953" s="32">
        <v>42426</v>
      </c>
      <c r="C2953" s="29">
        <v>103</v>
      </c>
      <c r="D2953" s="35">
        <v>103</v>
      </c>
      <c r="E2953" s="35">
        <v>102</v>
      </c>
      <c r="F2953" s="33">
        <v>102.5</v>
      </c>
      <c r="G2953" s="29">
        <v>-0.49</v>
      </c>
      <c r="H2953" s="29">
        <v>-0.5</v>
      </c>
      <c r="I2953" s="35">
        <v>103</v>
      </c>
      <c r="J2953" s="34">
        <v>284951</v>
      </c>
      <c r="K2953" s="34">
        <v>29205818</v>
      </c>
    </row>
    <row r="2954" spans="1:11">
      <c r="A2954" s="29" t="s">
        <v>138</v>
      </c>
      <c r="B2954" s="32">
        <v>42429</v>
      </c>
      <c r="C2954" s="29">
        <v>102</v>
      </c>
      <c r="D2954" s="35">
        <v>102.099998</v>
      </c>
      <c r="E2954" s="35">
        <v>101.900002</v>
      </c>
      <c r="F2954" s="33">
        <v>102</v>
      </c>
      <c r="G2954" s="29">
        <v>-0.49</v>
      </c>
      <c r="H2954" s="29">
        <v>-0.5</v>
      </c>
      <c r="I2954" s="35">
        <v>102.5</v>
      </c>
      <c r="J2954" s="34">
        <v>96100</v>
      </c>
      <c r="K2954" s="34">
        <v>9801250</v>
      </c>
    </row>
    <row r="2955" spans="1:11">
      <c r="A2955" s="29" t="s">
        <v>138</v>
      </c>
      <c r="B2955" s="32">
        <v>42430</v>
      </c>
      <c r="C2955" s="29">
        <v>101.6</v>
      </c>
      <c r="D2955" s="35">
        <v>101.6</v>
      </c>
      <c r="E2955" s="35">
        <v>98</v>
      </c>
      <c r="F2955" s="33">
        <v>100</v>
      </c>
      <c r="G2955" s="29">
        <v>-1.96</v>
      </c>
      <c r="H2955" s="29">
        <v>-2</v>
      </c>
      <c r="I2955" s="35">
        <v>102</v>
      </c>
      <c r="J2955" s="34">
        <v>29145</v>
      </c>
      <c r="K2955" s="34">
        <v>2913083</v>
      </c>
    </row>
    <row r="2956" spans="1:11">
      <c r="A2956" s="29" t="s">
        <v>138</v>
      </c>
      <c r="B2956" s="32">
        <v>42431</v>
      </c>
      <c r="C2956" s="29">
        <v>100</v>
      </c>
      <c r="D2956" s="35">
        <v>100</v>
      </c>
      <c r="E2956" s="35">
        <v>98.199996999999996</v>
      </c>
      <c r="F2956" s="33">
        <v>100</v>
      </c>
      <c r="G2956" s="29">
        <v>0</v>
      </c>
      <c r="H2956" s="29">
        <v>0</v>
      </c>
      <c r="I2956" s="35">
        <v>100</v>
      </c>
      <c r="J2956" s="34">
        <v>32250</v>
      </c>
      <c r="K2956" s="34">
        <v>3224955</v>
      </c>
    </row>
    <row r="2957" spans="1:11">
      <c r="A2957" s="29" t="s">
        <v>138</v>
      </c>
      <c r="B2957" s="32">
        <v>42432</v>
      </c>
      <c r="C2957" s="29">
        <v>98</v>
      </c>
      <c r="D2957" s="35">
        <v>101</v>
      </c>
      <c r="E2957" s="35">
        <v>98</v>
      </c>
      <c r="F2957" s="33">
        <v>100.599998</v>
      </c>
      <c r="G2957" s="29">
        <v>1</v>
      </c>
      <c r="H2957" s="29">
        <v>1</v>
      </c>
      <c r="I2957" s="35">
        <v>100</v>
      </c>
      <c r="J2957" s="34">
        <v>27975</v>
      </c>
      <c r="K2957" s="34">
        <v>2750055</v>
      </c>
    </row>
    <row r="2958" spans="1:11">
      <c r="A2958" s="29" t="s">
        <v>138</v>
      </c>
      <c r="B2958" s="32">
        <v>42433</v>
      </c>
      <c r="C2958" s="29">
        <v>101.8</v>
      </c>
      <c r="D2958" s="35">
        <v>101.800003</v>
      </c>
      <c r="E2958" s="35">
        <v>100</v>
      </c>
      <c r="F2958" s="33">
        <v>101.599998</v>
      </c>
      <c r="G2958" s="29">
        <v>1.0900000000000001</v>
      </c>
      <c r="H2958" s="29">
        <v>1.1000000000000001</v>
      </c>
      <c r="I2958" s="35">
        <v>100.599998</v>
      </c>
      <c r="J2958" s="34">
        <v>3201</v>
      </c>
      <c r="K2958" s="34">
        <v>323575</v>
      </c>
    </row>
    <row r="2959" spans="1:11">
      <c r="A2959" s="29" t="s">
        <v>138</v>
      </c>
      <c r="B2959" s="32">
        <v>42437</v>
      </c>
      <c r="C2959" s="29">
        <v>99.2</v>
      </c>
      <c r="D2959" s="35">
        <v>99.2</v>
      </c>
      <c r="E2959" s="35">
        <v>95</v>
      </c>
      <c r="F2959" s="33">
        <v>96.699996999999996</v>
      </c>
      <c r="G2959" s="29">
        <v>-3.54</v>
      </c>
      <c r="H2959" s="29">
        <v>-3.6</v>
      </c>
      <c r="I2959" s="35">
        <v>101.599998</v>
      </c>
      <c r="J2959" s="34">
        <v>14242</v>
      </c>
      <c r="K2959" s="34">
        <v>1393491</v>
      </c>
    </row>
    <row r="2960" spans="1:11">
      <c r="A2960" s="29" t="s">
        <v>138</v>
      </c>
      <c r="B2960" s="32">
        <v>42438</v>
      </c>
      <c r="C2960" s="29">
        <v>96</v>
      </c>
      <c r="D2960" s="35">
        <v>96</v>
      </c>
      <c r="E2960" s="35">
        <v>88</v>
      </c>
      <c r="F2960" s="33">
        <v>93.800003000000004</v>
      </c>
      <c r="G2960" s="29">
        <v>-2.79</v>
      </c>
      <c r="H2960" s="29">
        <v>-2.7</v>
      </c>
      <c r="I2960" s="35">
        <v>96.699996999999996</v>
      </c>
      <c r="J2960" s="34">
        <v>13989</v>
      </c>
      <c r="K2960" s="34">
        <v>1305353</v>
      </c>
    </row>
    <row r="2961" spans="1:11">
      <c r="A2961" s="29" t="s">
        <v>138</v>
      </c>
      <c r="B2961" s="32">
        <v>42439</v>
      </c>
      <c r="C2961" s="29">
        <v>95</v>
      </c>
      <c r="D2961" s="35">
        <v>99.900002000000001</v>
      </c>
      <c r="E2961" s="35">
        <v>95</v>
      </c>
      <c r="F2961" s="33">
        <v>98.199996999999996</v>
      </c>
      <c r="G2961" s="29">
        <v>6.5</v>
      </c>
      <c r="H2961" s="29">
        <v>6.1</v>
      </c>
      <c r="I2961" s="35">
        <v>93.800003000000004</v>
      </c>
      <c r="J2961" s="34">
        <v>46306</v>
      </c>
      <c r="K2961" s="34">
        <v>4455761</v>
      </c>
    </row>
    <row r="2962" spans="1:11">
      <c r="A2962" s="29" t="s">
        <v>138</v>
      </c>
      <c r="B2962" s="32">
        <v>42440</v>
      </c>
      <c r="C2962" s="29">
        <v>98.2</v>
      </c>
      <c r="D2962" s="35">
        <v>100.900002</v>
      </c>
      <c r="E2962" s="35">
        <v>98.199996999999996</v>
      </c>
      <c r="F2962" s="33">
        <v>100.699997</v>
      </c>
      <c r="G2962" s="29">
        <v>2.75</v>
      </c>
      <c r="H2962" s="29">
        <v>2.7</v>
      </c>
      <c r="I2962" s="35">
        <v>98.199996999999996</v>
      </c>
      <c r="J2962" s="34">
        <v>5550</v>
      </c>
      <c r="K2962" s="34">
        <v>550523</v>
      </c>
    </row>
    <row r="2963" spans="1:11">
      <c r="A2963" s="29" t="s">
        <v>138</v>
      </c>
      <c r="B2963" s="32">
        <v>42443</v>
      </c>
      <c r="C2963" s="29">
        <v>98.1</v>
      </c>
      <c r="D2963" s="35">
        <v>100</v>
      </c>
      <c r="E2963" s="35">
        <v>95</v>
      </c>
      <c r="F2963" s="33">
        <v>99.699996999999996</v>
      </c>
      <c r="G2963" s="29">
        <v>-0.99</v>
      </c>
      <c r="H2963" s="29">
        <v>-1</v>
      </c>
      <c r="I2963" s="35">
        <v>100.699997</v>
      </c>
      <c r="J2963" s="34">
        <v>4600</v>
      </c>
      <c r="K2963" s="34">
        <v>456629</v>
      </c>
    </row>
    <row r="2964" spans="1:11">
      <c r="A2964" s="29" t="s">
        <v>138</v>
      </c>
      <c r="B2964" s="32">
        <v>42444</v>
      </c>
      <c r="C2964" s="29">
        <v>99.8</v>
      </c>
      <c r="D2964" s="35">
        <v>100</v>
      </c>
      <c r="E2964" s="35">
        <v>95.099997999999999</v>
      </c>
      <c r="F2964" s="33">
        <v>99.599997999999999</v>
      </c>
      <c r="G2964" s="29">
        <v>0.2</v>
      </c>
      <c r="H2964" s="29">
        <v>0.2</v>
      </c>
      <c r="I2964" s="35">
        <v>99.699996999999996</v>
      </c>
      <c r="J2964" s="34">
        <v>4367</v>
      </c>
      <c r="K2964" s="34">
        <v>427687</v>
      </c>
    </row>
    <row r="2965" spans="1:11">
      <c r="A2965" s="29" t="s">
        <v>138</v>
      </c>
      <c r="B2965" s="32">
        <v>42445</v>
      </c>
      <c r="C2965" s="29">
        <v>99</v>
      </c>
      <c r="D2965" s="35">
        <v>108</v>
      </c>
      <c r="E2965" s="35">
        <v>99</v>
      </c>
      <c r="F2965" s="33">
        <v>102.300003</v>
      </c>
      <c r="G2965" s="29">
        <v>8.43</v>
      </c>
      <c r="H2965" s="29">
        <v>8.4</v>
      </c>
      <c r="I2965" s="35">
        <v>99.599997999999999</v>
      </c>
      <c r="J2965" s="34">
        <v>12420</v>
      </c>
      <c r="K2965" s="34">
        <v>1266580</v>
      </c>
    </row>
    <row r="2966" spans="1:11">
      <c r="A2966" s="29" t="s">
        <v>138</v>
      </c>
      <c r="B2966" s="32">
        <v>42446</v>
      </c>
      <c r="C2966" s="29">
        <v>105</v>
      </c>
      <c r="D2966" s="35">
        <v>106.5</v>
      </c>
      <c r="E2966" s="35">
        <v>103.5</v>
      </c>
      <c r="F2966" s="33">
        <v>105</v>
      </c>
      <c r="G2966" s="29">
        <v>3.13</v>
      </c>
      <c r="H2966" s="29">
        <v>3.2</v>
      </c>
      <c r="I2966" s="35">
        <v>102.300003</v>
      </c>
      <c r="J2966" s="34">
        <v>6507</v>
      </c>
      <c r="K2966" s="34">
        <v>685165</v>
      </c>
    </row>
    <row r="2967" spans="1:11">
      <c r="A2967" s="29" t="s">
        <v>138</v>
      </c>
      <c r="B2967" s="32">
        <v>42447</v>
      </c>
      <c r="C2967" s="29">
        <v>103</v>
      </c>
      <c r="D2967" s="35">
        <v>105</v>
      </c>
      <c r="E2967" s="35">
        <v>103</v>
      </c>
      <c r="F2967" s="33">
        <v>105</v>
      </c>
      <c r="G2967" s="29">
        <v>0</v>
      </c>
      <c r="H2967" s="29">
        <v>0</v>
      </c>
      <c r="I2967" s="35">
        <v>105</v>
      </c>
      <c r="J2967" s="34">
        <v>600</v>
      </c>
      <c r="K2967" s="34">
        <v>62797</v>
      </c>
    </row>
    <row r="2968" spans="1:11">
      <c r="A2968" s="29" t="s">
        <v>138</v>
      </c>
      <c r="B2968" s="32">
        <v>42450</v>
      </c>
      <c r="C2968" s="29">
        <v>104</v>
      </c>
      <c r="D2968" s="35">
        <v>104</v>
      </c>
      <c r="E2968" s="35">
        <v>103</v>
      </c>
      <c r="F2968" s="33">
        <v>103.400002</v>
      </c>
      <c r="G2968" s="29">
        <v>-1.9</v>
      </c>
      <c r="H2968" s="29">
        <v>-2</v>
      </c>
      <c r="I2968" s="35">
        <v>105</v>
      </c>
      <c r="J2968" s="34">
        <v>1000</v>
      </c>
      <c r="K2968" s="34">
        <v>103700</v>
      </c>
    </row>
    <row r="2969" spans="1:11">
      <c r="A2969" s="29" t="s">
        <v>138</v>
      </c>
      <c r="B2969" s="32">
        <v>42457</v>
      </c>
      <c r="C2969" s="29">
        <v>103.5</v>
      </c>
      <c r="D2969" s="35">
        <v>103.5</v>
      </c>
      <c r="E2969" s="35">
        <v>103.400002</v>
      </c>
      <c r="F2969" s="33">
        <v>103.400002</v>
      </c>
      <c r="G2969" s="29">
        <v>0.1</v>
      </c>
      <c r="H2969" s="29">
        <v>0.1</v>
      </c>
      <c r="I2969" s="35">
        <v>103.400002</v>
      </c>
      <c r="J2969" s="34">
        <v>1</v>
      </c>
      <c r="K2969" s="34">
        <v>103</v>
      </c>
    </row>
    <row r="2970" spans="1:11">
      <c r="A2970" s="29" t="s">
        <v>138</v>
      </c>
      <c r="B2970" s="32">
        <v>42458</v>
      </c>
      <c r="C2970" s="29">
        <v>101</v>
      </c>
      <c r="D2970" s="35">
        <v>101</v>
      </c>
      <c r="E2970" s="35">
        <v>95.099997999999999</v>
      </c>
      <c r="F2970" s="33">
        <v>98.099997999999999</v>
      </c>
      <c r="G2970" s="29">
        <v>-5.13</v>
      </c>
      <c r="H2970" s="29">
        <v>-5.3</v>
      </c>
      <c r="I2970" s="35">
        <v>103.400002</v>
      </c>
      <c r="J2970" s="34">
        <v>19859</v>
      </c>
      <c r="K2970" s="34">
        <v>1952744</v>
      </c>
    </row>
    <row r="2971" spans="1:11">
      <c r="A2971" s="29" t="s">
        <v>138</v>
      </c>
      <c r="B2971" s="32">
        <v>42459</v>
      </c>
      <c r="C2971" s="29">
        <v>101</v>
      </c>
      <c r="D2971" s="35">
        <v>101</v>
      </c>
      <c r="E2971" s="35">
        <v>101</v>
      </c>
      <c r="F2971" s="33">
        <v>101</v>
      </c>
      <c r="G2971" s="29">
        <v>2.96</v>
      </c>
      <c r="H2971" s="29">
        <v>2.9</v>
      </c>
      <c r="I2971" s="35">
        <v>98.099997999999999</v>
      </c>
      <c r="J2971" s="34">
        <v>300</v>
      </c>
      <c r="K2971" s="34">
        <v>30300</v>
      </c>
    </row>
    <row r="2972" spans="1:11">
      <c r="A2972" s="29" t="s">
        <v>138</v>
      </c>
      <c r="B2972" s="32">
        <v>42460</v>
      </c>
      <c r="C2972" s="29">
        <v>101</v>
      </c>
      <c r="D2972" s="35">
        <v>101.5</v>
      </c>
      <c r="E2972" s="35">
        <v>100</v>
      </c>
      <c r="F2972" s="33">
        <v>100.900002</v>
      </c>
      <c r="G2972" s="29">
        <v>-0.99</v>
      </c>
      <c r="H2972" s="29">
        <v>-1</v>
      </c>
      <c r="I2972" s="35">
        <v>101</v>
      </c>
      <c r="J2972" s="34">
        <v>10677</v>
      </c>
      <c r="K2972" s="34">
        <v>1076279</v>
      </c>
    </row>
    <row r="2973" spans="1:11">
      <c r="A2973" s="29" t="s">
        <v>138</v>
      </c>
      <c r="B2973" s="32">
        <v>42461</v>
      </c>
      <c r="F2973" s="33">
        <v>100.1</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P2572"/>
  <sheetViews>
    <sheetView zoomScaleNormal="100" workbookViewId="0">
      <selection activeCell="H16" sqref="H16"/>
    </sheetView>
  </sheetViews>
  <sheetFormatPr defaultRowHeight="14.4"/>
  <cols>
    <col min="1" max="1" width="10.6640625" bestFit="1" customWidth="1"/>
    <col min="3" max="3" width="9.109375" style="75"/>
    <col min="4" max="4" width="9.109375" style="76"/>
    <col min="5" max="5" width="7" style="75" bestFit="1" customWidth="1"/>
    <col min="6" max="8" width="9.109375" style="75"/>
    <col min="9" max="9" width="10.88671875" style="75" bestFit="1" customWidth="1"/>
    <col min="10" max="10" width="10.33203125" style="75" customWidth="1"/>
    <col min="11" max="15" width="9.109375" style="75"/>
    <col min="16" max="16" width="9.109375" style="77"/>
  </cols>
  <sheetData>
    <row r="1" spans="1:16" ht="15" customHeight="1">
      <c r="A1" s="3" t="s">
        <v>0</v>
      </c>
      <c r="B1" s="68"/>
      <c r="C1" s="148" t="str">
        <f>Summary!$A$31</f>
        <v>DDM</v>
      </c>
      <c r="D1" s="148" t="str">
        <f>Summary!$A$32</f>
        <v>FCFE</v>
      </c>
      <c r="E1" s="148" t="str">
        <f>Summary!$A$33</f>
        <v>PER</v>
      </c>
      <c r="F1" s="148" t="str">
        <f>Summary!$A$34</f>
        <v>PBV</v>
      </c>
      <c r="G1" s="148" t="str">
        <f>Summary!$A$35</f>
        <v>EV/EBITDA</v>
      </c>
      <c r="H1" s="682" t="str">
        <f ca="1">Summary!$J$45</f>
        <v>SELL</v>
      </c>
      <c r="I1" s="682"/>
      <c r="J1" s="148" t="str">
        <f>Summary!A41</f>
        <v>Fair value</v>
      </c>
      <c r="K1" s="2"/>
      <c r="L1"/>
      <c r="M1"/>
      <c r="N1"/>
      <c r="O1"/>
      <c r="P1"/>
    </row>
    <row r="2" spans="1:16" ht="15" customHeight="1">
      <c r="A2" s="3" t="s">
        <v>308</v>
      </c>
      <c r="B2" s="69"/>
      <c r="C2" s="149"/>
      <c r="D2" s="149">
        <f>Summary!J32</f>
        <v>32.51756655746712</v>
      </c>
      <c r="E2" s="149">
        <f>Summary!J33</f>
        <v>86.898258961539284</v>
      </c>
      <c r="F2" s="149"/>
      <c r="G2" s="149"/>
      <c r="H2" s="682"/>
      <c r="I2" s="682"/>
      <c r="J2" s="149">
        <f>Summary!$J$41</f>
        <v>59.707912759503202</v>
      </c>
      <c r="K2" s="6"/>
      <c r="L2"/>
      <c r="M2"/>
      <c r="N2"/>
      <c r="O2"/>
      <c r="P2"/>
    </row>
    <row r="3" spans="1:16" ht="15.6">
      <c r="A3" t="s">
        <v>124</v>
      </c>
      <c r="B3" t="s">
        <v>133</v>
      </c>
      <c r="E3" s="77" t="s">
        <v>351</v>
      </c>
      <c r="F3" s="80">
        <v>0</v>
      </c>
      <c r="G3" s="78"/>
      <c r="H3" s="79"/>
      <c r="I3" s="75" t="s">
        <v>15</v>
      </c>
      <c r="K3" s="673">
        <f>L3-2</f>
        <v>4</v>
      </c>
      <c r="L3" s="673">
        <f>M3-2</f>
        <v>6</v>
      </c>
      <c r="M3" s="673">
        <v>8</v>
      </c>
      <c r="N3" s="673">
        <f>M3+2</f>
        <v>10</v>
      </c>
      <c r="O3" s="673">
        <f>N3+2</f>
        <v>12</v>
      </c>
      <c r="P3" s="160" t="s">
        <v>108</v>
      </c>
    </row>
    <row r="4" spans="1:16">
      <c r="E4" s="77"/>
      <c r="F4" s="80"/>
      <c r="G4" s="78"/>
      <c r="H4" s="79"/>
      <c r="K4" s="76"/>
      <c r="L4" s="76"/>
      <c r="M4" s="76"/>
      <c r="N4" s="76"/>
      <c r="O4" s="76"/>
      <c r="P4" s="76"/>
    </row>
    <row r="5" spans="1:16">
      <c r="E5" s="77"/>
      <c r="F5" s="80"/>
      <c r="G5" s="78"/>
      <c r="H5" s="79"/>
      <c r="K5" s="76"/>
      <c r="L5" s="76"/>
      <c r="M5" s="76"/>
      <c r="N5" s="76"/>
      <c r="O5" s="76"/>
      <c r="P5" s="76"/>
    </row>
    <row r="6" spans="1:16">
      <c r="E6" s="77"/>
      <c r="F6" s="80"/>
      <c r="G6" s="78"/>
      <c r="H6" s="79"/>
      <c r="K6" s="76"/>
      <c r="L6" s="76"/>
      <c r="M6" s="76"/>
      <c r="N6" s="76"/>
      <c r="O6" s="76"/>
      <c r="P6" s="76"/>
    </row>
    <row r="7" spans="1:16">
      <c r="A7" s="647">
        <v>43075</v>
      </c>
      <c r="B7">
        <v>42.5</v>
      </c>
      <c r="D7" s="80"/>
      <c r="E7" s="77"/>
      <c r="F7" s="80"/>
      <c r="G7" s="82"/>
      <c r="H7" s="83">
        <v>2005</v>
      </c>
      <c r="I7" s="79"/>
      <c r="J7" s="76"/>
      <c r="K7" s="84"/>
      <c r="L7" s="84"/>
      <c r="M7" s="84"/>
      <c r="N7" s="84"/>
      <c r="O7" s="84"/>
      <c r="P7" s="85"/>
    </row>
    <row r="8" spans="1:16">
      <c r="A8" s="647">
        <v>43074</v>
      </c>
      <c r="B8">
        <v>42.7</v>
      </c>
      <c r="D8" s="80"/>
      <c r="E8" s="77"/>
      <c r="F8" s="80"/>
      <c r="G8" s="82"/>
      <c r="H8" s="83"/>
      <c r="I8" s="79"/>
      <c r="J8" s="76"/>
      <c r="K8" s="84"/>
      <c r="L8" s="84"/>
      <c r="M8" s="84"/>
      <c r="N8" s="84"/>
      <c r="O8" s="84"/>
      <c r="P8" s="85"/>
    </row>
    <row r="9" spans="1:16">
      <c r="A9" s="647">
        <v>43073</v>
      </c>
      <c r="B9">
        <v>42.5</v>
      </c>
      <c r="D9" s="80"/>
      <c r="E9" s="77"/>
      <c r="F9" s="80"/>
      <c r="G9" s="82"/>
      <c r="H9" s="83"/>
      <c r="I9" s="79"/>
      <c r="J9" s="76"/>
      <c r="K9" s="84"/>
      <c r="L9" s="84"/>
      <c r="M9" s="84"/>
      <c r="N9" s="84"/>
      <c r="O9" s="84"/>
      <c r="P9" s="85"/>
    </row>
    <row r="10" spans="1:16">
      <c r="A10" s="647">
        <v>43069</v>
      </c>
      <c r="B10">
        <v>42.5</v>
      </c>
      <c r="D10" s="80"/>
      <c r="E10" s="77"/>
      <c r="F10" s="80"/>
      <c r="G10" s="82"/>
      <c r="H10" s="83"/>
      <c r="I10" s="79"/>
      <c r="J10" s="76"/>
      <c r="K10" s="84"/>
      <c r="L10" s="84"/>
      <c r="M10" s="84"/>
      <c r="N10" s="84"/>
      <c r="O10" s="84"/>
      <c r="P10" s="85"/>
    </row>
    <row r="11" spans="1:16">
      <c r="A11" s="647">
        <v>43068</v>
      </c>
      <c r="B11">
        <v>42.5</v>
      </c>
      <c r="D11" s="80"/>
      <c r="E11" s="77"/>
      <c r="F11" s="80"/>
      <c r="G11" s="82"/>
      <c r="H11" s="83">
        <v>2006</v>
      </c>
      <c r="I11" s="79"/>
      <c r="J11" s="76"/>
      <c r="K11" s="84"/>
      <c r="L11" s="84"/>
      <c r="M11" s="84"/>
      <c r="N11" s="84"/>
      <c r="O11" s="84"/>
      <c r="P11" s="85"/>
    </row>
    <row r="12" spans="1:16">
      <c r="A12" s="647">
        <v>43067</v>
      </c>
      <c r="B12">
        <v>42.2</v>
      </c>
      <c r="D12" s="80"/>
      <c r="E12" s="77"/>
      <c r="F12" s="80"/>
      <c r="G12" s="82"/>
      <c r="H12" s="83">
        <v>2007</v>
      </c>
      <c r="I12" s="79"/>
      <c r="J12" s="76"/>
      <c r="K12" s="84"/>
      <c r="L12" s="84"/>
      <c r="M12" s="84"/>
      <c r="N12" s="84"/>
      <c r="O12" s="84"/>
      <c r="P12" s="85"/>
    </row>
    <row r="13" spans="1:16">
      <c r="A13" s="647">
        <v>43066</v>
      </c>
      <c r="B13">
        <v>43</v>
      </c>
      <c r="D13" s="80"/>
      <c r="E13" s="77"/>
      <c r="F13" s="80"/>
      <c r="G13" s="82"/>
      <c r="H13" s="83">
        <v>2008</v>
      </c>
      <c r="I13" s="79"/>
      <c r="J13" s="76"/>
      <c r="K13" s="84"/>
      <c r="L13" s="84"/>
      <c r="M13" s="84"/>
      <c r="N13" s="84"/>
      <c r="O13" s="84"/>
      <c r="P13" s="85"/>
    </row>
    <row r="14" spans="1:16">
      <c r="A14" s="647">
        <v>43063</v>
      </c>
      <c r="B14">
        <v>43.9</v>
      </c>
      <c r="D14" s="80"/>
      <c r="E14" s="77"/>
      <c r="F14" s="80"/>
      <c r="G14" s="82"/>
      <c r="H14" s="83">
        <v>2009</v>
      </c>
      <c r="I14" s="79"/>
      <c r="J14" s="76"/>
      <c r="K14" s="84"/>
      <c r="L14" s="84"/>
      <c r="M14" s="84"/>
      <c r="N14" s="84"/>
      <c r="O14" s="84"/>
      <c r="P14" s="85"/>
    </row>
    <row r="15" spans="1:16">
      <c r="A15" s="647">
        <v>43062</v>
      </c>
      <c r="B15">
        <v>43.9</v>
      </c>
      <c r="D15" s="80"/>
      <c r="E15" s="77"/>
      <c r="F15" s="80"/>
      <c r="G15" s="82"/>
      <c r="H15" s="83">
        <v>2010</v>
      </c>
      <c r="I15" s="77"/>
      <c r="J15" s="76"/>
      <c r="K15" s="84"/>
      <c r="L15" s="84"/>
      <c r="M15" s="84"/>
      <c r="N15" s="84"/>
      <c r="O15" s="84"/>
      <c r="P15" s="85"/>
    </row>
    <row r="16" spans="1:16">
      <c r="A16" s="647">
        <v>43061</v>
      </c>
      <c r="B16">
        <v>44.2</v>
      </c>
      <c r="D16" s="80"/>
      <c r="E16" s="77"/>
      <c r="F16" s="80"/>
      <c r="G16" s="87"/>
      <c r="H16" s="83">
        <v>2011</v>
      </c>
      <c r="I16" s="77">
        <f>'IS &amp; BS'!B20</f>
        <v>1.9413303957946759</v>
      </c>
      <c r="J16" s="76"/>
      <c r="K16" s="84"/>
      <c r="L16" s="84"/>
      <c r="M16" s="84"/>
      <c r="N16" s="84"/>
      <c r="O16" s="84"/>
      <c r="P16" s="85"/>
    </row>
    <row r="17" spans="1:16">
      <c r="A17" s="647">
        <v>43060</v>
      </c>
      <c r="B17">
        <v>44.6</v>
      </c>
      <c r="D17" s="80"/>
      <c r="E17" s="77"/>
      <c r="F17" s="80"/>
      <c r="G17" s="82"/>
      <c r="H17" s="83">
        <v>2012</v>
      </c>
      <c r="I17" s="77">
        <f>'IS &amp; BS'!C20</f>
        <v>4.0851622491721971</v>
      </c>
      <c r="J17" s="76"/>
      <c r="K17" s="84"/>
      <c r="L17" s="84"/>
      <c r="M17" s="84"/>
      <c r="N17" s="84"/>
      <c r="O17" s="84"/>
      <c r="P17" s="85"/>
    </row>
    <row r="18" spans="1:16">
      <c r="A18" s="647">
        <v>43059</v>
      </c>
      <c r="B18">
        <v>44</v>
      </c>
      <c r="D18" s="80"/>
      <c r="E18" s="77"/>
      <c r="F18" s="80"/>
      <c r="G18" s="87"/>
      <c r="H18" s="83">
        <v>2013</v>
      </c>
      <c r="I18" s="77">
        <f>'IS &amp; BS'!D20</f>
        <v>4.4632818270642245</v>
      </c>
      <c r="J18" s="76"/>
      <c r="K18" s="84"/>
      <c r="L18" s="84"/>
      <c r="M18" s="84"/>
      <c r="N18" s="84"/>
      <c r="O18" s="84"/>
      <c r="P18" s="85"/>
    </row>
    <row r="19" spans="1:16">
      <c r="A19" s="647">
        <v>43056</v>
      </c>
      <c r="B19">
        <v>43.8</v>
      </c>
      <c r="D19" s="80"/>
      <c r="E19" s="77"/>
      <c r="F19" s="80"/>
      <c r="G19" s="87"/>
      <c r="H19" s="83">
        <v>2014</v>
      </c>
      <c r="I19" s="77">
        <f>'IS &amp; BS'!E20</f>
        <v>3.6856559824007986</v>
      </c>
      <c r="J19" s="76"/>
      <c r="K19" s="84"/>
      <c r="L19" s="84"/>
      <c r="M19" s="84"/>
      <c r="N19" s="84"/>
      <c r="O19" s="84"/>
      <c r="P19" s="85"/>
    </row>
    <row r="20" spans="1:16">
      <c r="A20" s="647">
        <v>43055</v>
      </c>
      <c r="B20">
        <v>45.5</v>
      </c>
      <c r="D20" s="80"/>
      <c r="E20" s="77"/>
      <c r="F20" s="80"/>
      <c r="G20" s="82">
        <f>(I17-I16)/I16</f>
        <v>1.1043106614008134</v>
      </c>
      <c r="H20" s="83">
        <v>2015</v>
      </c>
      <c r="I20" s="77">
        <f>'IS &amp; BS'!F20</f>
        <v>7.1758155451459968</v>
      </c>
      <c r="J20" s="76"/>
      <c r="K20" s="84"/>
      <c r="L20" s="84"/>
      <c r="M20" s="84"/>
      <c r="N20" s="84"/>
      <c r="O20" s="84"/>
      <c r="P20" s="85"/>
    </row>
    <row r="21" spans="1:16">
      <c r="A21" s="647">
        <v>43054</v>
      </c>
      <c r="B21">
        <v>43</v>
      </c>
      <c r="D21" s="80"/>
      <c r="E21" s="77"/>
      <c r="F21" s="80"/>
      <c r="G21" s="82">
        <f>(I18-I17)/I17</f>
        <v>9.2559255870106077E-2</v>
      </c>
      <c r="H21" s="83">
        <v>2016</v>
      </c>
      <c r="I21" s="77">
        <f>'IS &amp; BS'!G20</f>
        <v>9.1296110040324709</v>
      </c>
      <c r="J21" s="76"/>
      <c r="K21" s="84"/>
      <c r="L21" s="84"/>
      <c r="M21" s="84"/>
      <c r="N21" s="84"/>
      <c r="O21" s="84"/>
      <c r="P21" s="85"/>
    </row>
    <row r="22" spans="1:16">
      <c r="A22" s="647">
        <v>43053</v>
      </c>
      <c r="B22">
        <v>44.1</v>
      </c>
      <c r="D22" s="80"/>
      <c r="E22" s="77"/>
      <c r="F22" s="80"/>
      <c r="G22" s="82">
        <f>(I19-I18)/I18</f>
        <v>-0.17422736784132636</v>
      </c>
      <c r="H22" s="83">
        <v>2017</v>
      </c>
      <c r="I22" s="77">
        <f>'IS &amp; BS'!H20</f>
        <v>9.3319695834351677</v>
      </c>
      <c r="J22" s="76"/>
      <c r="K22" s="84"/>
      <c r="L22" s="84"/>
      <c r="M22" s="84"/>
      <c r="N22" s="84"/>
      <c r="O22" s="84"/>
      <c r="P22" s="85"/>
    </row>
    <row r="23" spans="1:16">
      <c r="A23" s="647">
        <v>43052</v>
      </c>
      <c r="B23">
        <v>45</v>
      </c>
      <c r="D23" s="80"/>
      <c r="E23" s="77"/>
      <c r="F23" s="80"/>
      <c r="G23" s="82"/>
      <c r="H23" s="83" t="s">
        <v>253</v>
      </c>
      <c r="I23" s="77">
        <f>'IS &amp; BS'!I20</f>
        <v>6.3399745980733222</v>
      </c>
      <c r="J23" s="76"/>
      <c r="K23" s="84"/>
      <c r="L23" s="84"/>
      <c r="M23" s="84"/>
      <c r="N23" s="84"/>
      <c r="O23" s="84"/>
      <c r="P23" s="85"/>
    </row>
    <row r="24" spans="1:16">
      <c r="A24" s="647">
        <v>43049</v>
      </c>
      <c r="B24">
        <v>45.5</v>
      </c>
      <c r="D24" s="80"/>
      <c r="E24" s="77"/>
      <c r="F24" s="80"/>
      <c r="G24" s="82"/>
      <c r="H24" s="83" t="s">
        <v>254</v>
      </c>
      <c r="I24" s="77">
        <f>'IS &amp; BS'!J20</f>
        <v>10.86228237019241</v>
      </c>
      <c r="J24" s="76"/>
      <c r="K24" s="84"/>
      <c r="L24" s="84"/>
      <c r="M24" s="84"/>
      <c r="N24" s="84"/>
      <c r="O24" s="84"/>
      <c r="P24" s="85"/>
    </row>
    <row r="25" spans="1:16">
      <c r="A25" s="647">
        <v>43048</v>
      </c>
      <c r="B25">
        <v>44.1</v>
      </c>
      <c r="D25" s="80"/>
      <c r="E25" s="77"/>
      <c r="F25" s="80"/>
      <c r="G25" s="82"/>
      <c r="H25" s="83" t="s">
        <v>402</v>
      </c>
      <c r="I25" s="88">
        <f>'IS &amp; BS'!K20</f>
        <v>13.142359207071195</v>
      </c>
      <c r="J25" s="76"/>
      <c r="K25" s="84"/>
      <c r="L25" s="84"/>
      <c r="M25" s="84"/>
      <c r="N25" s="84"/>
      <c r="O25" s="84"/>
      <c r="P25" s="85"/>
    </row>
    <row r="26" spans="1:16">
      <c r="A26" s="647">
        <v>43047</v>
      </c>
      <c r="B26">
        <v>45</v>
      </c>
      <c r="D26" s="80"/>
      <c r="E26" s="77"/>
      <c r="F26" s="80"/>
      <c r="G26" s="82"/>
      <c r="J26" s="76"/>
      <c r="K26" s="84"/>
      <c r="L26" s="84"/>
      <c r="M26" s="84"/>
      <c r="N26" s="84"/>
      <c r="O26" s="84"/>
      <c r="P26" s="85"/>
    </row>
    <row r="27" spans="1:16">
      <c r="A27" s="647">
        <v>43046</v>
      </c>
      <c r="B27">
        <v>44</v>
      </c>
      <c r="D27" s="80"/>
      <c r="E27" s="77"/>
      <c r="F27" s="80"/>
      <c r="G27" s="82"/>
      <c r="J27" s="76"/>
      <c r="K27" s="84"/>
      <c r="L27" s="84"/>
      <c r="M27" s="84"/>
      <c r="N27" s="84"/>
      <c r="O27" s="84"/>
      <c r="P27" s="85"/>
    </row>
    <row r="28" spans="1:16">
      <c r="A28" s="647">
        <v>43045</v>
      </c>
      <c r="B28">
        <v>44.1</v>
      </c>
      <c r="D28" s="80"/>
      <c r="E28" s="77"/>
      <c r="F28" s="80"/>
      <c r="G28" s="88"/>
      <c r="H28" s="83"/>
      <c r="I28" s="79"/>
      <c r="J28" s="76"/>
      <c r="K28" s="84"/>
      <c r="L28" s="84"/>
      <c r="M28" s="84"/>
      <c r="N28" s="84"/>
      <c r="O28" s="84"/>
      <c r="P28" s="85"/>
    </row>
    <row r="29" spans="1:16">
      <c r="A29" s="647">
        <v>43041</v>
      </c>
      <c r="B29">
        <v>44.7</v>
      </c>
      <c r="D29" s="80"/>
      <c r="E29" s="77"/>
      <c r="F29" s="80"/>
      <c r="G29" s="88"/>
      <c r="H29" s="83"/>
      <c r="I29" s="79"/>
      <c r="J29" s="76"/>
      <c r="K29" s="84"/>
      <c r="L29" s="84"/>
      <c r="M29" s="84"/>
      <c r="N29" s="84"/>
      <c r="O29" s="84"/>
      <c r="P29" s="85"/>
    </row>
    <row r="30" spans="1:16">
      <c r="A30" s="647">
        <v>43040</v>
      </c>
      <c r="B30">
        <v>44.4</v>
      </c>
      <c r="D30" s="80"/>
      <c r="E30" s="77"/>
      <c r="F30" s="80"/>
      <c r="G30" s="88"/>
      <c r="H30" s="83"/>
      <c r="I30" s="79"/>
      <c r="J30" s="76"/>
      <c r="K30" s="84"/>
      <c r="L30" s="84"/>
      <c r="M30" s="84"/>
      <c r="N30" s="84"/>
      <c r="O30" s="84"/>
      <c r="P30" s="85"/>
    </row>
    <row r="31" spans="1:16">
      <c r="A31" s="647">
        <v>43039</v>
      </c>
      <c r="B31">
        <v>44.5</v>
      </c>
      <c r="D31" s="80"/>
      <c r="E31" s="77"/>
      <c r="F31" s="80"/>
      <c r="G31" s="88"/>
      <c r="H31" s="83"/>
      <c r="I31" s="79"/>
      <c r="J31" s="76"/>
      <c r="K31" s="84"/>
      <c r="L31" s="84"/>
      <c r="M31" s="84"/>
      <c r="N31" s="84"/>
      <c r="O31" s="84"/>
      <c r="P31" s="85"/>
    </row>
    <row r="32" spans="1:16">
      <c r="A32" s="647">
        <v>43038</v>
      </c>
      <c r="B32">
        <v>44</v>
      </c>
      <c r="D32" s="80"/>
      <c r="E32" s="77"/>
      <c r="F32" s="80"/>
      <c r="G32" s="88"/>
      <c r="H32" s="83"/>
      <c r="I32" s="79"/>
      <c r="J32" s="76"/>
      <c r="K32" s="84"/>
      <c r="L32" s="84"/>
      <c r="M32" s="84"/>
      <c r="N32" s="84"/>
      <c r="O32" s="84"/>
      <c r="P32" s="85"/>
    </row>
    <row r="33" spans="1:16">
      <c r="A33" s="647">
        <v>43035</v>
      </c>
      <c r="B33">
        <v>44.5</v>
      </c>
      <c r="D33" s="80">
        <v>40268</v>
      </c>
      <c r="E33" s="77">
        <v>40.5</v>
      </c>
      <c r="F33" s="86">
        <f>I15</f>
        <v>0</v>
      </c>
      <c r="G33" s="88"/>
      <c r="H33" s="89"/>
      <c r="J33" s="76"/>
      <c r="K33" s="84"/>
      <c r="L33" s="84"/>
      <c r="M33" s="84"/>
      <c r="N33" s="84"/>
      <c r="O33" s="84"/>
      <c r="P33" s="85"/>
    </row>
    <row r="34" spans="1:16">
      <c r="A34" s="647">
        <v>43034</v>
      </c>
      <c r="B34">
        <v>46</v>
      </c>
      <c r="D34" s="80">
        <v>40298</v>
      </c>
      <c r="E34" s="77">
        <f t="shared" ref="E34:E65" si="0">VLOOKUP(D34,$A$330:$B$2862,2,FALSE)</f>
        <v>40.5</v>
      </c>
      <c r="F34" s="81">
        <f t="shared" ref="F34:F44" si="1">F33+(($F$45-$F$33)/12)</f>
        <v>0.16177753298288966</v>
      </c>
      <c r="G34" s="88"/>
      <c r="H34" s="88"/>
      <c r="J34" s="76">
        <f t="shared" ref="J34:J65" si="2">D34</f>
        <v>40298</v>
      </c>
      <c r="K34" s="84"/>
      <c r="L34" s="84"/>
      <c r="M34" s="84"/>
      <c r="N34" s="84"/>
      <c r="O34" s="84"/>
      <c r="P34" s="85">
        <f t="shared" ref="P34:P65" si="3">E34</f>
        <v>40.5</v>
      </c>
    </row>
    <row r="35" spans="1:16">
      <c r="A35" s="647">
        <v>43033</v>
      </c>
      <c r="B35">
        <v>46.7</v>
      </c>
      <c r="D35" s="80">
        <v>40329</v>
      </c>
      <c r="E35" s="77">
        <f t="shared" si="0"/>
        <v>39.375</v>
      </c>
      <c r="F35" s="81">
        <f t="shared" si="1"/>
        <v>0.32355506596577932</v>
      </c>
      <c r="G35" s="88"/>
      <c r="H35" s="88"/>
      <c r="J35" s="76">
        <f t="shared" si="2"/>
        <v>40329</v>
      </c>
      <c r="K35" s="84"/>
      <c r="L35" s="84"/>
      <c r="M35" s="84"/>
      <c r="N35" s="84"/>
      <c r="O35" s="84"/>
      <c r="P35" s="85">
        <f t="shared" si="3"/>
        <v>39.375</v>
      </c>
    </row>
    <row r="36" spans="1:16">
      <c r="A36" s="647">
        <v>43032</v>
      </c>
      <c r="B36">
        <v>43.7</v>
      </c>
      <c r="D36" s="80">
        <v>40359</v>
      </c>
      <c r="E36" s="77">
        <f t="shared" si="0"/>
        <v>47</v>
      </c>
      <c r="F36" s="81">
        <f t="shared" si="1"/>
        <v>0.48533259894866898</v>
      </c>
      <c r="G36" s="89"/>
      <c r="H36" s="88"/>
      <c r="J36" s="76">
        <f t="shared" si="2"/>
        <v>40359</v>
      </c>
      <c r="K36" s="84"/>
      <c r="L36" s="84"/>
      <c r="M36" s="84"/>
      <c r="N36" s="84"/>
      <c r="O36" s="84"/>
      <c r="P36" s="85">
        <f t="shared" si="3"/>
        <v>47</v>
      </c>
    </row>
    <row r="37" spans="1:16">
      <c r="A37" s="647">
        <v>43031</v>
      </c>
      <c r="B37">
        <v>43.8</v>
      </c>
      <c r="D37" s="80">
        <v>40389</v>
      </c>
      <c r="E37" s="77">
        <f t="shared" si="0"/>
        <v>47</v>
      </c>
      <c r="F37" s="81">
        <f t="shared" si="1"/>
        <v>0.64711013193155864</v>
      </c>
      <c r="G37" s="88"/>
      <c r="H37" s="88"/>
      <c r="J37" s="76">
        <f t="shared" si="2"/>
        <v>40389</v>
      </c>
      <c r="K37" s="84"/>
      <c r="L37" s="84"/>
      <c r="M37" s="84"/>
      <c r="N37" s="84"/>
      <c r="O37" s="84"/>
      <c r="P37" s="85">
        <f t="shared" si="3"/>
        <v>47</v>
      </c>
    </row>
    <row r="38" spans="1:16">
      <c r="A38" s="647">
        <v>43028</v>
      </c>
      <c r="B38">
        <v>42</v>
      </c>
      <c r="D38" s="80">
        <v>40421</v>
      </c>
      <c r="E38" s="77">
        <f t="shared" si="0"/>
        <v>45.35</v>
      </c>
      <c r="F38" s="81">
        <f t="shared" si="1"/>
        <v>0.8088876649144483</v>
      </c>
      <c r="G38" s="88"/>
      <c r="H38" s="88"/>
      <c r="J38" s="76">
        <f t="shared" si="2"/>
        <v>40421</v>
      </c>
      <c r="K38" s="84"/>
      <c r="L38" s="84"/>
      <c r="M38" s="84"/>
      <c r="N38" s="84"/>
      <c r="O38" s="84"/>
      <c r="P38" s="85">
        <f t="shared" si="3"/>
        <v>45.35</v>
      </c>
    </row>
    <row r="39" spans="1:16">
      <c r="A39" s="647">
        <v>43027</v>
      </c>
      <c r="B39">
        <v>42</v>
      </c>
      <c r="D39" s="80">
        <v>40451</v>
      </c>
      <c r="E39" s="77">
        <f t="shared" si="0"/>
        <v>49.85</v>
      </c>
      <c r="F39" s="81">
        <f t="shared" si="1"/>
        <v>0.97066519789733796</v>
      </c>
      <c r="G39" s="88"/>
      <c r="H39" s="88"/>
      <c r="J39" s="76">
        <f t="shared" si="2"/>
        <v>40451</v>
      </c>
      <c r="K39" s="84"/>
      <c r="L39" s="84"/>
      <c r="M39" s="84"/>
      <c r="N39" s="84"/>
      <c r="O39" s="84"/>
      <c r="P39" s="85">
        <f t="shared" si="3"/>
        <v>49.85</v>
      </c>
    </row>
    <row r="40" spans="1:16">
      <c r="A40" s="647">
        <v>43025</v>
      </c>
      <c r="B40">
        <v>42</v>
      </c>
      <c r="D40" s="80">
        <v>40480</v>
      </c>
      <c r="E40" s="77">
        <f t="shared" si="0"/>
        <v>44.3</v>
      </c>
      <c r="F40" s="81">
        <f t="shared" si="1"/>
        <v>1.1324427308802276</v>
      </c>
      <c r="G40" s="88"/>
      <c r="H40" s="88"/>
      <c r="J40" s="76">
        <f t="shared" si="2"/>
        <v>40480</v>
      </c>
      <c r="K40" s="84"/>
      <c r="L40" s="84"/>
      <c r="M40" s="84"/>
      <c r="N40" s="84"/>
      <c r="O40" s="84"/>
      <c r="P40" s="85">
        <f t="shared" si="3"/>
        <v>44.3</v>
      </c>
    </row>
    <row r="41" spans="1:16">
      <c r="A41" s="647">
        <v>43024</v>
      </c>
      <c r="B41">
        <v>42</v>
      </c>
      <c r="D41" s="80">
        <v>40512</v>
      </c>
      <c r="E41" s="77">
        <f t="shared" si="0"/>
        <v>41.5</v>
      </c>
      <c r="F41" s="81">
        <f t="shared" si="1"/>
        <v>1.2942202638631173</v>
      </c>
      <c r="G41" s="88"/>
      <c r="H41" s="88"/>
      <c r="J41" s="76">
        <f t="shared" si="2"/>
        <v>40512</v>
      </c>
      <c r="K41" s="84"/>
      <c r="L41" s="84"/>
      <c r="M41" s="84"/>
      <c r="N41" s="84"/>
      <c r="O41" s="84"/>
      <c r="P41" s="85">
        <f t="shared" si="3"/>
        <v>41.5</v>
      </c>
    </row>
    <row r="42" spans="1:16">
      <c r="A42" s="647">
        <v>43021</v>
      </c>
      <c r="B42">
        <v>42.1</v>
      </c>
      <c r="D42" s="80">
        <v>40543</v>
      </c>
      <c r="E42" s="77">
        <f t="shared" si="0"/>
        <v>42.55</v>
      </c>
      <c r="F42" s="81">
        <f t="shared" si="1"/>
        <v>1.4559977968460069</v>
      </c>
      <c r="G42" s="88"/>
      <c r="H42" s="88"/>
      <c r="J42" s="76">
        <f t="shared" si="2"/>
        <v>40543</v>
      </c>
      <c r="K42" s="84"/>
      <c r="L42" s="84"/>
      <c r="M42" s="84"/>
      <c r="N42" s="84"/>
      <c r="O42" s="84"/>
      <c r="P42" s="85">
        <f t="shared" si="3"/>
        <v>42.55</v>
      </c>
    </row>
    <row r="43" spans="1:16">
      <c r="A43" s="647">
        <v>43020</v>
      </c>
      <c r="B43">
        <v>42.1</v>
      </c>
      <c r="D43" s="80">
        <v>40574</v>
      </c>
      <c r="E43" s="77">
        <f t="shared" si="0"/>
        <v>44.85</v>
      </c>
      <c r="F43" s="81">
        <f t="shared" si="1"/>
        <v>1.6177753298288966</v>
      </c>
      <c r="G43" s="88"/>
      <c r="H43" s="88"/>
      <c r="J43" s="76">
        <f t="shared" si="2"/>
        <v>40574</v>
      </c>
      <c r="K43" s="159"/>
      <c r="L43" s="84"/>
      <c r="M43" s="84"/>
      <c r="N43" s="84"/>
      <c r="O43" s="84"/>
      <c r="P43" s="85">
        <f t="shared" si="3"/>
        <v>44.85</v>
      </c>
    </row>
    <row r="44" spans="1:16">
      <c r="A44" s="647">
        <v>43019</v>
      </c>
      <c r="B44">
        <v>42.2</v>
      </c>
      <c r="D44" s="80">
        <v>40602</v>
      </c>
      <c r="E44" s="77">
        <f t="shared" si="0"/>
        <v>46.85</v>
      </c>
      <c r="F44" s="81">
        <f t="shared" si="1"/>
        <v>1.7795528628117863</v>
      </c>
      <c r="G44" s="88"/>
      <c r="H44" s="88"/>
      <c r="J44" s="76">
        <f t="shared" si="2"/>
        <v>40602</v>
      </c>
      <c r="K44" s="159"/>
      <c r="L44" s="84"/>
      <c r="M44" s="84"/>
      <c r="N44" s="84"/>
      <c r="O44" s="84"/>
      <c r="P44" s="85">
        <f t="shared" si="3"/>
        <v>46.85</v>
      </c>
    </row>
    <row r="45" spans="1:16">
      <c r="A45" s="647">
        <v>43018</v>
      </c>
      <c r="B45">
        <v>42.5</v>
      </c>
      <c r="D45" s="80">
        <v>40633</v>
      </c>
      <c r="E45" s="77">
        <f t="shared" si="0"/>
        <v>47</v>
      </c>
      <c r="F45" s="86">
        <f>I16</f>
        <v>1.9413303957946759</v>
      </c>
      <c r="G45" s="88"/>
      <c r="H45" s="89"/>
      <c r="J45" s="76">
        <f t="shared" si="2"/>
        <v>40633</v>
      </c>
      <c r="K45" s="159">
        <f t="shared" ref="K45:K76" si="4">$F45*$K$3</f>
        <v>7.7653215831787037</v>
      </c>
      <c r="L45" s="84">
        <f t="shared" ref="L45:L76" si="5">$F45*$L$3</f>
        <v>11.647982374768056</v>
      </c>
      <c r="M45" s="84">
        <f t="shared" ref="M45:M76" si="6">$F45*$M$3</f>
        <v>15.530643166357407</v>
      </c>
      <c r="N45" s="84">
        <f t="shared" ref="N45:N76" si="7">$F45*$N$3</f>
        <v>19.413303957946759</v>
      </c>
      <c r="O45" s="84">
        <f t="shared" ref="O45:O76" si="8">$F45*$O$3</f>
        <v>23.295964749536111</v>
      </c>
      <c r="P45" s="85">
        <f t="shared" si="3"/>
        <v>47</v>
      </c>
    </row>
    <row r="46" spans="1:16">
      <c r="A46" s="647">
        <v>43017</v>
      </c>
      <c r="B46">
        <v>42.7</v>
      </c>
      <c r="D46" s="80">
        <v>40662</v>
      </c>
      <c r="E46" s="77">
        <f t="shared" si="0"/>
        <v>48.15</v>
      </c>
      <c r="F46" s="81">
        <f t="shared" ref="F46:F56" si="9">F45+(($F$57-$F$45)/12)</f>
        <v>2.1199830502428028</v>
      </c>
      <c r="G46" s="88"/>
      <c r="H46" s="88"/>
      <c r="J46" s="76">
        <f t="shared" si="2"/>
        <v>40662</v>
      </c>
      <c r="K46" s="159">
        <f t="shared" si="4"/>
        <v>8.479932200971211</v>
      </c>
      <c r="L46" s="84">
        <f t="shared" si="5"/>
        <v>12.719898301456816</v>
      </c>
      <c r="M46" s="84">
        <f t="shared" si="6"/>
        <v>16.959864401942422</v>
      </c>
      <c r="N46" s="84">
        <f t="shared" si="7"/>
        <v>21.199830502428028</v>
      </c>
      <c r="O46" s="84">
        <f t="shared" si="8"/>
        <v>25.439796602913631</v>
      </c>
      <c r="P46" s="85">
        <f t="shared" si="3"/>
        <v>48.15</v>
      </c>
    </row>
    <row r="47" spans="1:16">
      <c r="A47" s="647">
        <v>43014</v>
      </c>
      <c r="B47">
        <v>43</v>
      </c>
      <c r="D47" s="80">
        <v>40694</v>
      </c>
      <c r="E47" s="77">
        <f t="shared" si="0"/>
        <v>45.75</v>
      </c>
      <c r="F47" s="81">
        <f t="shared" si="9"/>
        <v>2.2986357046909296</v>
      </c>
      <c r="G47" s="88"/>
      <c r="H47" s="88"/>
      <c r="J47" s="76">
        <f t="shared" si="2"/>
        <v>40694</v>
      </c>
      <c r="K47" s="159">
        <f t="shared" si="4"/>
        <v>9.1945428187637184</v>
      </c>
      <c r="L47" s="84">
        <f t="shared" si="5"/>
        <v>13.791814228145578</v>
      </c>
      <c r="M47" s="84">
        <f t="shared" si="6"/>
        <v>18.389085637527437</v>
      </c>
      <c r="N47" s="84">
        <f t="shared" si="7"/>
        <v>22.986357046909298</v>
      </c>
      <c r="O47" s="84">
        <f t="shared" si="8"/>
        <v>27.583628456291155</v>
      </c>
      <c r="P47" s="85">
        <f t="shared" si="3"/>
        <v>45.75</v>
      </c>
    </row>
    <row r="48" spans="1:16">
      <c r="A48" s="647">
        <v>43012</v>
      </c>
      <c r="B48">
        <v>43</v>
      </c>
      <c r="D48" s="80">
        <v>40724</v>
      </c>
      <c r="E48" s="77">
        <f t="shared" si="0"/>
        <v>40.1</v>
      </c>
      <c r="F48" s="81">
        <f t="shared" si="9"/>
        <v>2.4772883591390564</v>
      </c>
      <c r="G48" s="89"/>
      <c r="H48" s="88"/>
      <c r="J48" s="76">
        <f t="shared" si="2"/>
        <v>40724</v>
      </c>
      <c r="K48" s="159">
        <f t="shared" si="4"/>
        <v>9.9091534365562257</v>
      </c>
      <c r="L48" s="84">
        <f t="shared" si="5"/>
        <v>14.863730154834339</v>
      </c>
      <c r="M48" s="84">
        <f t="shared" si="6"/>
        <v>19.818306873112451</v>
      </c>
      <c r="N48" s="84">
        <f t="shared" si="7"/>
        <v>24.772883591390563</v>
      </c>
      <c r="O48" s="84">
        <f t="shared" si="8"/>
        <v>29.727460309668679</v>
      </c>
      <c r="P48" s="85">
        <f t="shared" si="3"/>
        <v>40.1</v>
      </c>
    </row>
    <row r="49" spans="1:16">
      <c r="A49" s="647">
        <v>43011</v>
      </c>
      <c r="B49">
        <v>42.9</v>
      </c>
      <c r="D49" s="80">
        <v>40753</v>
      </c>
      <c r="E49" s="77">
        <f t="shared" si="0"/>
        <v>40</v>
      </c>
      <c r="F49" s="81">
        <f t="shared" si="9"/>
        <v>2.6559410135871833</v>
      </c>
      <c r="G49" s="88"/>
      <c r="H49" s="88"/>
      <c r="J49" s="76">
        <f t="shared" si="2"/>
        <v>40753</v>
      </c>
      <c r="K49" s="159">
        <f t="shared" si="4"/>
        <v>10.623764054348733</v>
      </c>
      <c r="L49" s="84">
        <f t="shared" si="5"/>
        <v>15.9356460815231</v>
      </c>
      <c r="M49" s="84">
        <f t="shared" si="6"/>
        <v>21.247528108697466</v>
      </c>
      <c r="N49" s="84">
        <f t="shared" si="7"/>
        <v>26.559410135871833</v>
      </c>
      <c r="O49" s="84">
        <f t="shared" si="8"/>
        <v>31.871292163046199</v>
      </c>
      <c r="P49" s="85">
        <f t="shared" si="3"/>
        <v>40</v>
      </c>
    </row>
    <row r="50" spans="1:16">
      <c r="A50" s="647">
        <v>43010</v>
      </c>
      <c r="B50">
        <v>44.5</v>
      </c>
      <c r="D50" s="80">
        <v>40785</v>
      </c>
      <c r="E50" s="77">
        <f t="shared" si="0"/>
        <v>39.25</v>
      </c>
      <c r="F50" s="81">
        <f t="shared" si="9"/>
        <v>2.8345936680353101</v>
      </c>
      <c r="G50" s="88"/>
      <c r="H50" s="88"/>
      <c r="J50" s="76">
        <f t="shared" si="2"/>
        <v>40785</v>
      </c>
      <c r="K50" s="159">
        <f t="shared" si="4"/>
        <v>11.33837467214124</v>
      </c>
      <c r="L50" s="84">
        <f t="shared" si="5"/>
        <v>17.00756200821186</v>
      </c>
      <c r="M50" s="84">
        <f t="shared" si="6"/>
        <v>22.676749344282481</v>
      </c>
      <c r="N50" s="84">
        <f t="shared" si="7"/>
        <v>28.345936680353102</v>
      </c>
      <c r="O50" s="84">
        <f t="shared" si="8"/>
        <v>34.015124016423719</v>
      </c>
      <c r="P50" s="85">
        <f t="shared" si="3"/>
        <v>39.25</v>
      </c>
    </row>
    <row r="51" spans="1:16">
      <c r="A51" s="647">
        <v>43007</v>
      </c>
      <c r="B51">
        <v>45.1</v>
      </c>
      <c r="D51" s="80">
        <v>40816</v>
      </c>
      <c r="E51" s="77">
        <f t="shared" si="0"/>
        <v>38.5</v>
      </c>
      <c r="F51" s="81">
        <f t="shared" si="9"/>
        <v>3.0132463224834369</v>
      </c>
      <c r="G51" s="88"/>
      <c r="H51" s="88"/>
      <c r="J51" s="76">
        <f t="shared" si="2"/>
        <v>40816</v>
      </c>
      <c r="K51" s="159">
        <f t="shared" si="4"/>
        <v>12.052985289933748</v>
      </c>
      <c r="L51" s="84">
        <f t="shared" si="5"/>
        <v>18.079477934900623</v>
      </c>
      <c r="M51" s="84">
        <f t="shared" si="6"/>
        <v>24.105970579867495</v>
      </c>
      <c r="N51" s="84">
        <f t="shared" si="7"/>
        <v>30.132463224834368</v>
      </c>
      <c r="O51" s="84">
        <f t="shared" si="8"/>
        <v>36.158955869801247</v>
      </c>
      <c r="P51" s="85">
        <f t="shared" si="3"/>
        <v>38.5</v>
      </c>
    </row>
    <row r="52" spans="1:16">
      <c r="A52" s="647">
        <v>43006</v>
      </c>
      <c r="B52">
        <v>45</v>
      </c>
      <c r="D52" s="80">
        <v>40847</v>
      </c>
      <c r="E52" s="77">
        <f t="shared" si="0"/>
        <v>37.5</v>
      </c>
      <c r="F52" s="81">
        <f t="shared" si="9"/>
        <v>3.1918989769315638</v>
      </c>
      <c r="G52" s="88"/>
      <c r="H52" s="88"/>
      <c r="J52" s="76">
        <f t="shared" si="2"/>
        <v>40847</v>
      </c>
      <c r="K52" s="159">
        <f t="shared" si="4"/>
        <v>12.767595907726255</v>
      </c>
      <c r="L52" s="84">
        <f t="shared" si="5"/>
        <v>19.151393861589384</v>
      </c>
      <c r="M52" s="84">
        <f t="shared" si="6"/>
        <v>25.53519181545251</v>
      </c>
      <c r="N52" s="84">
        <f t="shared" si="7"/>
        <v>31.918989769315637</v>
      </c>
      <c r="O52" s="84">
        <f t="shared" si="8"/>
        <v>38.302787723178767</v>
      </c>
      <c r="P52" s="85">
        <f t="shared" si="3"/>
        <v>37.5</v>
      </c>
    </row>
    <row r="53" spans="1:16">
      <c r="A53" s="647">
        <v>43005</v>
      </c>
      <c r="B53">
        <v>45.1</v>
      </c>
      <c r="D53" s="80">
        <v>40877</v>
      </c>
      <c r="E53" s="77">
        <f t="shared" si="0"/>
        <v>37.200000000000003</v>
      </c>
      <c r="F53" s="81">
        <f t="shared" si="9"/>
        <v>3.3705516313796906</v>
      </c>
      <c r="G53" s="88"/>
      <c r="H53" s="88"/>
      <c r="J53" s="76">
        <f t="shared" si="2"/>
        <v>40877</v>
      </c>
      <c r="K53" s="159">
        <f t="shared" si="4"/>
        <v>13.482206525518762</v>
      </c>
      <c r="L53" s="84">
        <f t="shared" si="5"/>
        <v>20.223309788278144</v>
      </c>
      <c r="M53" s="84">
        <f t="shared" si="6"/>
        <v>26.964413051037525</v>
      </c>
      <c r="N53" s="84">
        <f t="shared" si="7"/>
        <v>33.705516313796906</v>
      </c>
      <c r="O53" s="84">
        <f t="shared" si="8"/>
        <v>40.446619576556287</v>
      </c>
      <c r="P53" s="85">
        <f t="shared" si="3"/>
        <v>37.200000000000003</v>
      </c>
    </row>
    <row r="54" spans="1:16">
      <c r="A54" s="647">
        <v>43004</v>
      </c>
      <c r="B54">
        <v>45.3</v>
      </c>
      <c r="D54" s="80">
        <v>40907</v>
      </c>
      <c r="E54" s="77">
        <f t="shared" si="0"/>
        <v>37</v>
      </c>
      <c r="F54" s="81">
        <f t="shared" si="9"/>
        <v>3.5492042858278174</v>
      </c>
      <c r="G54" s="88"/>
      <c r="H54" s="88"/>
      <c r="J54" s="76">
        <f t="shared" si="2"/>
        <v>40907</v>
      </c>
      <c r="K54" s="159">
        <f t="shared" si="4"/>
        <v>14.19681714331127</v>
      </c>
      <c r="L54" s="84">
        <f t="shared" si="5"/>
        <v>21.295225714966904</v>
      </c>
      <c r="M54" s="84">
        <f t="shared" si="6"/>
        <v>28.39363428662254</v>
      </c>
      <c r="N54" s="84">
        <f t="shared" si="7"/>
        <v>35.492042858278175</v>
      </c>
      <c r="O54" s="84">
        <f t="shared" si="8"/>
        <v>42.590451429933808</v>
      </c>
      <c r="P54" s="85">
        <f t="shared" si="3"/>
        <v>37</v>
      </c>
    </row>
    <row r="55" spans="1:16">
      <c r="A55" s="647">
        <v>43003</v>
      </c>
      <c r="B55">
        <v>45.5</v>
      </c>
      <c r="D55" s="80">
        <v>40939</v>
      </c>
      <c r="E55" s="77">
        <f t="shared" si="0"/>
        <v>34.85</v>
      </c>
      <c r="F55" s="81">
        <f t="shared" si="9"/>
        <v>3.7278569402759443</v>
      </c>
      <c r="G55" s="88"/>
      <c r="H55" s="88"/>
      <c r="J55" s="76">
        <f t="shared" si="2"/>
        <v>40939</v>
      </c>
      <c r="K55" s="159">
        <f t="shared" si="4"/>
        <v>14.911427761103777</v>
      </c>
      <c r="L55" s="84">
        <f t="shared" si="5"/>
        <v>22.367141641655664</v>
      </c>
      <c r="M55" s="84">
        <f t="shared" si="6"/>
        <v>29.822855522207554</v>
      </c>
      <c r="N55" s="84">
        <f t="shared" si="7"/>
        <v>37.278569402759445</v>
      </c>
      <c r="O55" s="84">
        <f t="shared" si="8"/>
        <v>44.734283283311328</v>
      </c>
      <c r="P55" s="85">
        <f t="shared" si="3"/>
        <v>34.85</v>
      </c>
    </row>
    <row r="56" spans="1:16">
      <c r="A56" s="647">
        <v>43000</v>
      </c>
      <c r="B56">
        <v>46</v>
      </c>
      <c r="D56" s="80">
        <v>40967</v>
      </c>
      <c r="E56" s="77">
        <f t="shared" si="0"/>
        <v>31</v>
      </c>
      <c r="F56" s="81">
        <f t="shared" si="9"/>
        <v>3.9065095947240711</v>
      </c>
      <c r="G56" s="88"/>
      <c r="H56" s="88"/>
      <c r="J56" s="76">
        <f t="shared" si="2"/>
        <v>40967</v>
      </c>
      <c r="K56" s="159">
        <f t="shared" si="4"/>
        <v>15.626038378896284</v>
      </c>
      <c r="L56" s="84">
        <f t="shared" si="5"/>
        <v>23.439057568344428</v>
      </c>
      <c r="M56" s="84">
        <f t="shared" si="6"/>
        <v>31.252076757792569</v>
      </c>
      <c r="N56" s="84">
        <f t="shared" si="7"/>
        <v>39.065095947240714</v>
      </c>
      <c r="O56" s="84">
        <f t="shared" si="8"/>
        <v>46.878115136688855</v>
      </c>
      <c r="P56" s="85">
        <f t="shared" si="3"/>
        <v>31</v>
      </c>
    </row>
    <row r="57" spans="1:16">
      <c r="A57" s="647">
        <v>42999</v>
      </c>
      <c r="B57">
        <v>46.2</v>
      </c>
      <c r="D57" s="80">
        <v>40998</v>
      </c>
      <c r="E57" s="77">
        <f t="shared" si="0"/>
        <v>31.3</v>
      </c>
      <c r="F57" s="86">
        <f>I17</f>
        <v>4.0851622491721971</v>
      </c>
      <c r="G57" s="88"/>
      <c r="H57" s="88"/>
      <c r="J57" s="76">
        <f t="shared" si="2"/>
        <v>40998</v>
      </c>
      <c r="K57" s="159">
        <f t="shared" si="4"/>
        <v>16.340648996688788</v>
      </c>
      <c r="L57" s="84">
        <f t="shared" si="5"/>
        <v>24.510973495033184</v>
      </c>
      <c r="M57" s="84">
        <f t="shared" si="6"/>
        <v>32.681297993377576</v>
      </c>
      <c r="N57" s="84">
        <f t="shared" si="7"/>
        <v>40.851622491721969</v>
      </c>
      <c r="O57" s="84">
        <f t="shared" si="8"/>
        <v>49.021946990066368</v>
      </c>
      <c r="P57" s="85">
        <f t="shared" si="3"/>
        <v>31.3</v>
      </c>
    </row>
    <row r="58" spans="1:16">
      <c r="A58" s="647">
        <v>42998</v>
      </c>
      <c r="B58">
        <v>47</v>
      </c>
      <c r="D58" s="80">
        <v>41029</v>
      </c>
      <c r="E58" s="77">
        <f t="shared" si="0"/>
        <v>30.5</v>
      </c>
      <c r="F58" s="81">
        <f t="shared" ref="F58:F68" si="10">F57+(($F$69-$F$57)/12)</f>
        <v>4.1166722139965328</v>
      </c>
      <c r="G58" s="88"/>
      <c r="H58" s="88"/>
      <c r="J58" s="76">
        <f t="shared" si="2"/>
        <v>41029</v>
      </c>
      <c r="K58" s="159">
        <f t="shared" si="4"/>
        <v>16.466688855986131</v>
      </c>
      <c r="L58" s="84">
        <f t="shared" si="5"/>
        <v>24.700033283979195</v>
      </c>
      <c r="M58" s="84">
        <f t="shared" si="6"/>
        <v>32.933377711972263</v>
      </c>
      <c r="N58" s="84">
        <f t="shared" si="7"/>
        <v>41.16672213996533</v>
      </c>
      <c r="O58" s="84">
        <f t="shared" si="8"/>
        <v>49.40006656795839</v>
      </c>
      <c r="P58" s="85">
        <f t="shared" si="3"/>
        <v>30.5</v>
      </c>
    </row>
    <row r="59" spans="1:16">
      <c r="A59" s="647">
        <v>42997</v>
      </c>
      <c r="B59">
        <v>46.9</v>
      </c>
      <c r="D59" s="80">
        <v>41060</v>
      </c>
      <c r="E59" s="77">
        <f t="shared" si="0"/>
        <v>27</v>
      </c>
      <c r="F59" s="81">
        <f t="shared" si="10"/>
        <v>4.1481821788208686</v>
      </c>
      <c r="G59" s="88"/>
      <c r="H59" s="88"/>
      <c r="J59" s="76">
        <f t="shared" si="2"/>
        <v>41060</v>
      </c>
      <c r="K59" s="159">
        <f t="shared" si="4"/>
        <v>16.592728715283474</v>
      </c>
      <c r="L59" s="84">
        <f t="shared" si="5"/>
        <v>24.889093072925213</v>
      </c>
      <c r="M59" s="84">
        <f t="shared" si="6"/>
        <v>33.185457430566949</v>
      </c>
      <c r="N59" s="84">
        <f t="shared" si="7"/>
        <v>41.481821788208684</v>
      </c>
      <c r="O59" s="84">
        <f t="shared" si="8"/>
        <v>49.778186145850427</v>
      </c>
      <c r="P59" s="85">
        <f t="shared" si="3"/>
        <v>27</v>
      </c>
    </row>
    <row r="60" spans="1:16">
      <c r="A60" s="647">
        <v>42996</v>
      </c>
      <c r="B60">
        <v>47</v>
      </c>
      <c r="D60" s="80">
        <v>41089</v>
      </c>
      <c r="E60" s="77">
        <f t="shared" si="0"/>
        <v>27.65</v>
      </c>
      <c r="F60" s="81">
        <f t="shared" si="10"/>
        <v>4.1796921436452044</v>
      </c>
      <c r="G60" s="88"/>
      <c r="H60" s="88"/>
      <c r="J60" s="76">
        <f t="shared" si="2"/>
        <v>41089</v>
      </c>
      <c r="K60" s="159">
        <f t="shared" si="4"/>
        <v>16.718768574580817</v>
      </c>
      <c r="L60" s="84">
        <f t="shared" si="5"/>
        <v>25.078152861871224</v>
      </c>
      <c r="M60" s="84">
        <f t="shared" si="6"/>
        <v>33.437537149161635</v>
      </c>
      <c r="N60" s="84">
        <f t="shared" si="7"/>
        <v>41.796921436452045</v>
      </c>
      <c r="O60" s="84">
        <f t="shared" si="8"/>
        <v>50.156305723742449</v>
      </c>
      <c r="P60" s="85">
        <f t="shared" si="3"/>
        <v>27.65</v>
      </c>
    </row>
    <row r="61" spans="1:16">
      <c r="A61" s="647">
        <v>42993</v>
      </c>
      <c r="B61">
        <v>46.2</v>
      </c>
      <c r="D61" s="80">
        <v>41121</v>
      </c>
      <c r="E61" s="77">
        <f t="shared" si="0"/>
        <v>25.95</v>
      </c>
      <c r="F61" s="81">
        <f t="shared" si="10"/>
        <v>4.2112021084695401</v>
      </c>
      <c r="G61" s="88"/>
      <c r="H61" s="88"/>
      <c r="J61" s="76">
        <f t="shared" si="2"/>
        <v>41121</v>
      </c>
      <c r="K61" s="159">
        <f t="shared" si="4"/>
        <v>16.844808433878161</v>
      </c>
      <c r="L61" s="84">
        <f t="shared" si="5"/>
        <v>25.267212650817243</v>
      </c>
      <c r="M61" s="84">
        <f t="shared" si="6"/>
        <v>33.689616867756321</v>
      </c>
      <c r="N61" s="84">
        <f t="shared" si="7"/>
        <v>42.1120210846954</v>
      </c>
      <c r="O61" s="84">
        <f t="shared" si="8"/>
        <v>50.534425301634485</v>
      </c>
      <c r="P61" s="85">
        <f t="shared" si="3"/>
        <v>25.95</v>
      </c>
    </row>
    <row r="62" spans="1:16">
      <c r="A62" s="647">
        <v>42992</v>
      </c>
      <c r="B62">
        <v>46.7</v>
      </c>
      <c r="D62" s="80">
        <v>41151</v>
      </c>
      <c r="E62" s="77">
        <f t="shared" si="0"/>
        <v>30.35</v>
      </c>
      <c r="F62" s="81">
        <f t="shared" si="10"/>
        <v>4.2427120732938759</v>
      </c>
      <c r="G62" s="88"/>
      <c r="H62" s="88"/>
      <c r="J62" s="76">
        <f t="shared" si="2"/>
        <v>41151</v>
      </c>
      <c r="K62" s="159">
        <f t="shared" si="4"/>
        <v>16.970848293175504</v>
      </c>
      <c r="L62" s="84">
        <f t="shared" si="5"/>
        <v>25.456272439763254</v>
      </c>
      <c r="M62" s="84">
        <f t="shared" si="6"/>
        <v>33.941696586351007</v>
      </c>
      <c r="N62" s="84">
        <f t="shared" si="7"/>
        <v>42.427120732938761</v>
      </c>
      <c r="O62" s="84">
        <f t="shared" si="8"/>
        <v>50.912544879526507</v>
      </c>
      <c r="P62" s="85">
        <f t="shared" si="3"/>
        <v>30.35</v>
      </c>
    </row>
    <row r="63" spans="1:16">
      <c r="A63" s="647">
        <v>42991</v>
      </c>
      <c r="B63">
        <v>46.1</v>
      </c>
      <c r="D63" s="80">
        <v>41180</v>
      </c>
      <c r="E63" s="77">
        <f t="shared" si="0"/>
        <v>37.5</v>
      </c>
      <c r="F63" s="81">
        <f t="shared" si="10"/>
        <v>4.2742220381182117</v>
      </c>
      <c r="G63" s="88"/>
      <c r="H63" s="88"/>
      <c r="J63" s="76">
        <f t="shared" si="2"/>
        <v>41180</v>
      </c>
      <c r="K63" s="159">
        <f t="shared" si="4"/>
        <v>17.096888152472847</v>
      </c>
      <c r="L63" s="84">
        <f t="shared" si="5"/>
        <v>25.645332228709272</v>
      </c>
      <c r="M63" s="84">
        <f t="shared" si="6"/>
        <v>34.193776304945693</v>
      </c>
      <c r="N63" s="84">
        <f t="shared" si="7"/>
        <v>42.742220381182115</v>
      </c>
      <c r="O63" s="84">
        <f t="shared" si="8"/>
        <v>51.290664457418544</v>
      </c>
      <c r="P63" s="85">
        <f t="shared" si="3"/>
        <v>37.5</v>
      </c>
    </row>
    <row r="64" spans="1:16">
      <c r="A64" s="647">
        <v>42990</v>
      </c>
      <c r="B64">
        <v>46.1</v>
      </c>
      <c r="D64" s="80">
        <v>41213</v>
      </c>
      <c r="E64" s="77">
        <f t="shared" si="0"/>
        <v>34</v>
      </c>
      <c r="F64" s="81">
        <f t="shared" si="10"/>
        <v>4.3057320029425474</v>
      </c>
      <c r="G64" s="88"/>
      <c r="H64" s="88"/>
      <c r="J64" s="76">
        <f t="shared" si="2"/>
        <v>41213</v>
      </c>
      <c r="K64" s="159">
        <f t="shared" si="4"/>
        <v>17.22292801177019</v>
      </c>
      <c r="L64" s="84">
        <f t="shared" si="5"/>
        <v>25.834392017655283</v>
      </c>
      <c r="M64" s="84">
        <f t="shared" si="6"/>
        <v>34.445856023540379</v>
      </c>
      <c r="N64" s="84">
        <f t="shared" si="7"/>
        <v>43.057320029425476</v>
      </c>
      <c r="O64" s="84">
        <f t="shared" si="8"/>
        <v>51.668784035310566</v>
      </c>
      <c r="P64" s="85">
        <f t="shared" si="3"/>
        <v>34</v>
      </c>
    </row>
    <row r="65" spans="1:16">
      <c r="A65" s="647">
        <v>42989</v>
      </c>
      <c r="B65">
        <v>47.5</v>
      </c>
      <c r="D65" s="80">
        <v>41243</v>
      </c>
      <c r="E65" s="77">
        <f t="shared" si="0"/>
        <v>33</v>
      </c>
      <c r="F65" s="81">
        <f t="shared" si="10"/>
        <v>4.3372419677668832</v>
      </c>
      <c r="G65" s="88"/>
      <c r="H65" s="88"/>
      <c r="J65" s="76">
        <f t="shared" si="2"/>
        <v>41243</v>
      </c>
      <c r="K65" s="159">
        <f t="shared" si="4"/>
        <v>17.348967871067533</v>
      </c>
      <c r="L65" s="84">
        <f t="shared" si="5"/>
        <v>26.023451806601301</v>
      </c>
      <c r="M65" s="84">
        <f t="shared" si="6"/>
        <v>34.697935742135066</v>
      </c>
      <c r="N65" s="84">
        <f t="shared" si="7"/>
        <v>43.37241967766883</v>
      </c>
      <c r="O65" s="84">
        <f t="shared" si="8"/>
        <v>52.046903613202602</v>
      </c>
      <c r="P65" s="85">
        <f t="shared" si="3"/>
        <v>33</v>
      </c>
    </row>
    <row r="66" spans="1:16">
      <c r="A66" s="647">
        <v>42986</v>
      </c>
      <c r="B66">
        <v>47.9</v>
      </c>
      <c r="D66" s="80">
        <v>41274</v>
      </c>
      <c r="E66" s="77">
        <f t="shared" ref="E66:E97" si="11">VLOOKUP(D66,$A$330:$B$2862,2,FALSE)</f>
        <v>33.700000000000003</v>
      </c>
      <c r="F66" s="81">
        <f t="shared" si="10"/>
        <v>4.368751932591219</v>
      </c>
      <c r="G66" s="88"/>
      <c r="H66" s="88"/>
      <c r="J66" s="76">
        <f t="shared" ref="J66:J97" si="12">D66</f>
        <v>41274</v>
      </c>
      <c r="K66" s="159">
        <f t="shared" si="4"/>
        <v>17.475007730364876</v>
      </c>
      <c r="L66" s="84">
        <f t="shared" si="5"/>
        <v>26.212511595547312</v>
      </c>
      <c r="M66" s="84">
        <f t="shared" si="6"/>
        <v>34.950015460729752</v>
      </c>
      <c r="N66" s="84">
        <f t="shared" si="7"/>
        <v>43.687519325912191</v>
      </c>
      <c r="O66" s="84">
        <f t="shared" si="8"/>
        <v>52.425023191094624</v>
      </c>
      <c r="P66" s="85">
        <f t="shared" ref="P66:P97" si="13">E66</f>
        <v>33.700000000000003</v>
      </c>
    </row>
    <row r="67" spans="1:16">
      <c r="A67" s="647">
        <v>42985</v>
      </c>
      <c r="B67">
        <v>48</v>
      </c>
      <c r="D67" s="80">
        <v>41305</v>
      </c>
      <c r="E67" s="77">
        <f t="shared" si="11"/>
        <v>33.5</v>
      </c>
      <c r="F67" s="81">
        <f t="shared" si="10"/>
        <v>4.4002618974155547</v>
      </c>
      <c r="G67" s="88"/>
      <c r="H67" s="88"/>
      <c r="J67" s="76">
        <f t="shared" si="12"/>
        <v>41305</v>
      </c>
      <c r="K67" s="159">
        <f t="shared" si="4"/>
        <v>17.601047589662219</v>
      </c>
      <c r="L67" s="84">
        <f t="shared" si="5"/>
        <v>26.40157138449333</v>
      </c>
      <c r="M67" s="84">
        <f t="shared" si="6"/>
        <v>35.202095179324438</v>
      </c>
      <c r="N67" s="84">
        <f t="shared" si="7"/>
        <v>44.002618974155546</v>
      </c>
      <c r="O67" s="84">
        <f t="shared" si="8"/>
        <v>52.80314276898666</v>
      </c>
      <c r="P67" s="85">
        <f t="shared" si="13"/>
        <v>33.5</v>
      </c>
    </row>
    <row r="68" spans="1:16">
      <c r="A68" s="647">
        <v>42984</v>
      </c>
      <c r="B68">
        <v>48.1</v>
      </c>
      <c r="D68" s="80">
        <v>41333</v>
      </c>
      <c r="E68" s="77">
        <f t="shared" si="11"/>
        <v>32.450000000000003</v>
      </c>
      <c r="F68" s="81">
        <f t="shared" si="10"/>
        <v>4.4317718622398905</v>
      </c>
      <c r="G68" s="88"/>
      <c r="H68" s="88"/>
      <c r="J68" s="76">
        <f t="shared" si="12"/>
        <v>41333</v>
      </c>
      <c r="K68" s="159">
        <f t="shared" si="4"/>
        <v>17.727087448959562</v>
      </c>
      <c r="L68" s="84">
        <f t="shared" si="5"/>
        <v>26.590631173439341</v>
      </c>
      <c r="M68" s="84">
        <f t="shared" si="6"/>
        <v>35.454174897919124</v>
      </c>
      <c r="N68" s="84">
        <f t="shared" si="7"/>
        <v>44.317718622398907</v>
      </c>
      <c r="O68" s="84">
        <f t="shared" si="8"/>
        <v>53.181262346878682</v>
      </c>
      <c r="P68" s="85">
        <f t="shared" si="13"/>
        <v>32.450000000000003</v>
      </c>
    </row>
    <row r="69" spans="1:16">
      <c r="A69" s="647">
        <v>42982</v>
      </c>
      <c r="B69">
        <v>49</v>
      </c>
      <c r="D69" s="80">
        <v>41361</v>
      </c>
      <c r="E69" s="77">
        <f t="shared" si="11"/>
        <v>32.75</v>
      </c>
      <c r="F69" s="86">
        <f>I18</f>
        <v>4.4632818270642245</v>
      </c>
      <c r="G69" s="88"/>
      <c r="H69" s="88"/>
      <c r="J69" s="76">
        <f t="shared" si="12"/>
        <v>41361</v>
      </c>
      <c r="K69" s="159">
        <f t="shared" si="4"/>
        <v>17.853127308256898</v>
      </c>
      <c r="L69" s="84">
        <f t="shared" si="5"/>
        <v>26.779690962385345</v>
      </c>
      <c r="M69" s="84">
        <f t="shared" si="6"/>
        <v>35.706254616513796</v>
      </c>
      <c r="N69" s="84">
        <f t="shared" si="7"/>
        <v>44.632818270642247</v>
      </c>
      <c r="O69" s="84">
        <f t="shared" si="8"/>
        <v>53.55938192477069</v>
      </c>
      <c r="P69" s="85">
        <f t="shared" si="13"/>
        <v>32.75</v>
      </c>
    </row>
    <row r="70" spans="1:16">
      <c r="A70" s="647">
        <v>42978</v>
      </c>
      <c r="B70">
        <v>50</v>
      </c>
      <c r="D70" s="80">
        <v>41394</v>
      </c>
      <c r="E70" s="77">
        <f t="shared" si="11"/>
        <v>34.5</v>
      </c>
      <c r="F70" s="81">
        <f t="shared" ref="F70:F80" si="14">F69+(($F$81-$F$69)/12)</f>
        <v>4.3984796733422726</v>
      </c>
      <c r="G70" s="88"/>
      <c r="H70" s="88"/>
      <c r="J70" s="76">
        <f t="shared" si="12"/>
        <v>41394</v>
      </c>
      <c r="K70" s="159">
        <f t="shared" si="4"/>
        <v>17.593918693369091</v>
      </c>
      <c r="L70" s="84">
        <f t="shared" si="5"/>
        <v>26.390878040053636</v>
      </c>
      <c r="M70" s="84">
        <f t="shared" si="6"/>
        <v>35.187837386738181</v>
      </c>
      <c r="N70" s="84">
        <f t="shared" si="7"/>
        <v>43.984796733422726</v>
      </c>
      <c r="O70" s="84">
        <f t="shared" si="8"/>
        <v>52.781756080107272</v>
      </c>
      <c r="P70" s="85">
        <f t="shared" si="13"/>
        <v>34.5</v>
      </c>
    </row>
    <row r="71" spans="1:16">
      <c r="A71" s="647">
        <v>42977</v>
      </c>
      <c r="B71">
        <v>50</v>
      </c>
      <c r="D71" s="80">
        <v>41425</v>
      </c>
      <c r="E71" s="77">
        <f t="shared" si="11"/>
        <v>38.4</v>
      </c>
      <c r="F71" s="81">
        <f t="shared" si="14"/>
        <v>4.3336775196203208</v>
      </c>
      <c r="G71" s="88"/>
      <c r="H71" s="88"/>
      <c r="J71" s="76">
        <f t="shared" si="12"/>
        <v>41425</v>
      </c>
      <c r="K71" s="159">
        <f t="shared" si="4"/>
        <v>17.334710078481283</v>
      </c>
      <c r="L71" s="84">
        <f t="shared" si="5"/>
        <v>26.002065117721926</v>
      </c>
      <c r="M71" s="84">
        <f t="shared" si="6"/>
        <v>34.669420156962566</v>
      </c>
      <c r="N71" s="84">
        <f t="shared" si="7"/>
        <v>43.336775196203206</v>
      </c>
      <c r="O71" s="84">
        <f t="shared" si="8"/>
        <v>52.004130235443853</v>
      </c>
      <c r="P71" s="85">
        <f t="shared" si="13"/>
        <v>38.4</v>
      </c>
    </row>
    <row r="72" spans="1:16">
      <c r="A72" s="647">
        <v>42976</v>
      </c>
      <c r="B72">
        <v>49.1</v>
      </c>
      <c r="D72" s="80">
        <v>41453</v>
      </c>
      <c r="E72" s="77">
        <f t="shared" si="11"/>
        <v>34.25</v>
      </c>
      <c r="F72" s="81">
        <f t="shared" si="14"/>
        <v>4.2688753658983689</v>
      </c>
      <c r="G72" s="88"/>
      <c r="H72" s="88"/>
      <c r="J72" s="76">
        <f t="shared" si="12"/>
        <v>41453</v>
      </c>
      <c r="K72" s="159">
        <f t="shared" si="4"/>
        <v>17.075501463593476</v>
      </c>
      <c r="L72" s="84">
        <f t="shared" si="5"/>
        <v>25.613252195390213</v>
      </c>
      <c r="M72" s="84">
        <f t="shared" si="6"/>
        <v>34.151002927186951</v>
      </c>
      <c r="N72" s="84">
        <f t="shared" si="7"/>
        <v>42.688753658983686</v>
      </c>
      <c r="O72" s="84">
        <f t="shared" si="8"/>
        <v>51.226504390780427</v>
      </c>
      <c r="P72" s="85">
        <f t="shared" si="13"/>
        <v>34.25</v>
      </c>
    </row>
    <row r="73" spans="1:16">
      <c r="A73" s="647">
        <v>42975</v>
      </c>
      <c r="B73">
        <v>50</v>
      </c>
      <c r="D73" s="80">
        <v>41486</v>
      </c>
      <c r="E73" s="77">
        <f t="shared" si="11"/>
        <v>33.5</v>
      </c>
      <c r="F73" s="81">
        <f t="shared" si="14"/>
        <v>4.2040732121764171</v>
      </c>
      <c r="G73" s="88"/>
      <c r="H73" s="88"/>
      <c r="J73" s="76">
        <f t="shared" si="12"/>
        <v>41486</v>
      </c>
      <c r="K73" s="159">
        <f t="shared" si="4"/>
        <v>16.816292848705668</v>
      </c>
      <c r="L73" s="84">
        <f t="shared" si="5"/>
        <v>25.224439273058501</v>
      </c>
      <c r="M73" s="84">
        <f t="shared" si="6"/>
        <v>33.632585697411336</v>
      </c>
      <c r="N73" s="84">
        <f t="shared" si="7"/>
        <v>42.040732121764172</v>
      </c>
      <c r="O73" s="84">
        <f t="shared" si="8"/>
        <v>50.448878546117001</v>
      </c>
      <c r="P73" s="85">
        <f t="shared" si="13"/>
        <v>33.5</v>
      </c>
    </row>
    <row r="74" spans="1:16">
      <c r="A74" s="647">
        <v>42972</v>
      </c>
      <c r="B74">
        <v>50.1</v>
      </c>
      <c r="D74" s="80">
        <v>41516</v>
      </c>
      <c r="E74" s="77">
        <f t="shared" si="11"/>
        <v>34.200000000000003</v>
      </c>
      <c r="F74" s="81">
        <f t="shared" si="14"/>
        <v>4.1392710584544652</v>
      </c>
      <c r="G74" s="88"/>
      <c r="H74" s="88"/>
      <c r="J74" s="76">
        <f t="shared" si="12"/>
        <v>41516</v>
      </c>
      <c r="K74" s="159">
        <f t="shared" si="4"/>
        <v>16.557084233817861</v>
      </c>
      <c r="L74" s="84">
        <f t="shared" si="5"/>
        <v>24.835626350726791</v>
      </c>
      <c r="M74" s="84">
        <f t="shared" si="6"/>
        <v>33.114168467635722</v>
      </c>
      <c r="N74" s="84">
        <f t="shared" si="7"/>
        <v>41.392710584544652</v>
      </c>
      <c r="O74" s="84">
        <f t="shared" si="8"/>
        <v>49.671252701453582</v>
      </c>
      <c r="P74" s="85">
        <f t="shared" si="13"/>
        <v>34.200000000000003</v>
      </c>
    </row>
    <row r="75" spans="1:16">
      <c r="A75" s="647">
        <v>42971</v>
      </c>
      <c r="B75">
        <v>50</v>
      </c>
      <c r="D75" s="80">
        <v>41547</v>
      </c>
      <c r="E75" s="77">
        <f t="shared" si="11"/>
        <v>32.6</v>
      </c>
      <c r="F75" s="81">
        <f t="shared" si="14"/>
        <v>4.0744689047325133</v>
      </c>
      <c r="G75" s="88"/>
      <c r="H75" s="88"/>
      <c r="J75" s="76">
        <f t="shared" si="12"/>
        <v>41547</v>
      </c>
      <c r="K75" s="159">
        <f t="shared" si="4"/>
        <v>16.297875618930053</v>
      </c>
      <c r="L75" s="84">
        <f t="shared" si="5"/>
        <v>24.446813428395082</v>
      </c>
      <c r="M75" s="84">
        <f t="shared" si="6"/>
        <v>32.595751237860107</v>
      </c>
      <c r="N75" s="84">
        <f t="shared" si="7"/>
        <v>40.744689047325132</v>
      </c>
      <c r="O75" s="84">
        <f t="shared" si="8"/>
        <v>48.893626856790164</v>
      </c>
      <c r="P75" s="85">
        <f t="shared" si="13"/>
        <v>32.6</v>
      </c>
    </row>
    <row r="76" spans="1:16">
      <c r="A76" s="647">
        <v>42971</v>
      </c>
      <c r="B76">
        <v>50</v>
      </c>
      <c r="D76" s="80">
        <v>41578</v>
      </c>
      <c r="E76" s="77">
        <f t="shared" si="11"/>
        <v>34.4</v>
      </c>
      <c r="F76" s="81">
        <f t="shared" si="14"/>
        <v>4.0096667510105615</v>
      </c>
      <c r="G76" s="88"/>
      <c r="H76" s="88"/>
      <c r="J76" s="76">
        <f t="shared" si="12"/>
        <v>41578</v>
      </c>
      <c r="K76" s="159">
        <f t="shared" si="4"/>
        <v>16.038667004042246</v>
      </c>
      <c r="L76" s="84">
        <f t="shared" si="5"/>
        <v>24.058000506063369</v>
      </c>
      <c r="M76" s="84">
        <f t="shared" si="6"/>
        <v>32.077334008084492</v>
      </c>
      <c r="N76" s="84">
        <f t="shared" si="7"/>
        <v>40.096667510105618</v>
      </c>
      <c r="O76" s="84">
        <f t="shared" si="8"/>
        <v>48.116001012126738</v>
      </c>
      <c r="P76" s="85">
        <f t="shared" si="13"/>
        <v>34.4</v>
      </c>
    </row>
    <row r="77" spans="1:16">
      <c r="A77" s="647">
        <v>42970</v>
      </c>
      <c r="B77">
        <v>49.8</v>
      </c>
      <c r="D77" s="80">
        <v>41607</v>
      </c>
      <c r="E77" s="77">
        <f t="shared" si="11"/>
        <v>31</v>
      </c>
      <c r="F77" s="81">
        <f t="shared" si="14"/>
        <v>3.9448645972886092</v>
      </c>
      <c r="G77" s="88"/>
      <c r="H77" s="88"/>
      <c r="J77" s="76">
        <f t="shared" si="12"/>
        <v>41607</v>
      </c>
      <c r="K77" s="159">
        <f t="shared" ref="K77:K108" si="15">$F77*$K$3</f>
        <v>15.779458389154437</v>
      </c>
      <c r="L77" s="84">
        <f t="shared" ref="L77:L108" si="16">$F77*$L$3</f>
        <v>23.669187583731656</v>
      </c>
      <c r="M77" s="84">
        <f t="shared" ref="M77:M108" si="17">$F77*$M$3</f>
        <v>31.558916778308873</v>
      </c>
      <c r="N77" s="84">
        <f t="shared" ref="N77:N108" si="18">$F77*$N$3</f>
        <v>39.448645972886091</v>
      </c>
      <c r="O77" s="84">
        <f t="shared" ref="O77:O108" si="19">$F77*$O$3</f>
        <v>47.338375167463312</v>
      </c>
      <c r="P77" s="85">
        <f t="shared" si="13"/>
        <v>31</v>
      </c>
    </row>
    <row r="78" spans="1:16">
      <c r="A78" s="647">
        <v>42969</v>
      </c>
      <c r="B78">
        <v>49</v>
      </c>
      <c r="D78" s="80">
        <v>41639</v>
      </c>
      <c r="E78" s="77">
        <f t="shared" si="11"/>
        <v>32.450000000000003</v>
      </c>
      <c r="F78" s="81">
        <f t="shared" si="14"/>
        <v>3.8800624435666569</v>
      </c>
      <c r="G78" s="88"/>
      <c r="H78" s="88"/>
      <c r="J78" s="76">
        <f t="shared" si="12"/>
        <v>41639</v>
      </c>
      <c r="K78" s="159">
        <f t="shared" si="15"/>
        <v>15.520249774266627</v>
      </c>
      <c r="L78" s="84">
        <f t="shared" si="16"/>
        <v>23.280374661399939</v>
      </c>
      <c r="M78" s="84">
        <f t="shared" si="17"/>
        <v>31.040499548533255</v>
      </c>
      <c r="N78" s="84">
        <f t="shared" si="18"/>
        <v>38.80062443566657</v>
      </c>
      <c r="O78" s="84">
        <f t="shared" si="19"/>
        <v>46.560749322799879</v>
      </c>
      <c r="P78" s="85">
        <f t="shared" si="13"/>
        <v>32.450000000000003</v>
      </c>
    </row>
    <row r="79" spans="1:16">
      <c r="A79" s="647">
        <v>42968</v>
      </c>
      <c r="B79">
        <v>49</v>
      </c>
      <c r="D79" s="80">
        <v>41670</v>
      </c>
      <c r="E79" s="77">
        <f t="shared" si="11"/>
        <v>34.5</v>
      </c>
      <c r="F79" s="81">
        <f t="shared" si="14"/>
        <v>3.8152602898447046</v>
      </c>
      <c r="G79" s="88"/>
      <c r="H79" s="88"/>
      <c r="J79" s="76">
        <f t="shared" si="12"/>
        <v>41670</v>
      </c>
      <c r="K79" s="159">
        <f t="shared" si="15"/>
        <v>15.261041159378818</v>
      </c>
      <c r="L79" s="84">
        <f t="shared" si="16"/>
        <v>22.891561739068226</v>
      </c>
      <c r="M79" s="84">
        <f t="shared" si="17"/>
        <v>30.522082318757636</v>
      </c>
      <c r="N79" s="84">
        <f t="shared" si="18"/>
        <v>38.152602898447043</v>
      </c>
      <c r="O79" s="84">
        <f t="shared" si="19"/>
        <v>45.783123478136453</v>
      </c>
      <c r="P79" s="85">
        <f t="shared" si="13"/>
        <v>34.5</v>
      </c>
    </row>
    <row r="80" spans="1:16">
      <c r="A80" s="647">
        <v>42965</v>
      </c>
      <c r="B80">
        <v>49.6</v>
      </c>
      <c r="C80" s="157"/>
      <c r="D80" s="80">
        <v>41698</v>
      </c>
      <c r="E80" s="77">
        <f t="shared" si="11"/>
        <v>31.95</v>
      </c>
      <c r="F80" s="81">
        <f t="shared" si="14"/>
        <v>3.7504581361227523</v>
      </c>
      <c r="G80" s="88"/>
      <c r="H80" s="88"/>
      <c r="J80" s="76">
        <f t="shared" si="12"/>
        <v>41698</v>
      </c>
      <c r="K80" s="159">
        <f t="shared" si="15"/>
        <v>15.001832544491009</v>
      </c>
      <c r="L80" s="84">
        <f t="shared" si="16"/>
        <v>22.502748816736514</v>
      </c>
      <c r="M80" s="84">
        <f t="shared" si="17"/>
        <v>30.003665088982018</v>
      </c>
      <c r="N80" s="84">
        <f t="shared" si="18"/>
        <v>37.504581361227523</v>
      </c>
      <c r="O80" s="84">
        <f t="shared" si="19"/>
        <v>45.005497633473027</v>
      </c>
      <c r="P80" s="85">
        <f t="shared" si="13"/>
        <v>31.95</v>
      </c>
    </row>
    <row r="81" spans="1:16">
      <c r="A81" s="647">
        <v>42964</v>
      </c>
      <c r="B81">
        <v>49.5</v>
      </c>
      <c r="D81" s="80">
        <v>41729</v>
      </c>
      <c r="E81" s="77">
        <f t="shared" si="11"/>
        <v>30.5</v>
      </c>
      <c r="F81" s="86">
        <f>I19</f>
        <v>3.6856559824007986</v>
      </c>
      <c r="G81" s="88"/>
      <c r="H81" s="88"/>
      <c r="J81" s="76">
        <f t="shared" si="12"/>
        <v>41729</v>
      </c>
      <c r="K81" s="159">
        <f t="shared" si="15"/>
        <v>14.742623929603194</v>
      </c>
      <c r="L81" s="84">
        <f t="shared" si="16"/>
        <v>22.11393589440479</v>
      </c>
      <c r="M81" s="84">
        <f t="shared" si="17"/>
        <v>29.485247859206389</v>
      </c>
      <c r="N81" s="84">
        <f t="shared" si="18"/>
        <v>36.856559824007988</v>
      </c>
      <c r="O81" s="84">
        <f t="shared" si="19"/>
        <v>44.22787178880958</v>
      </c>
      <c r="P81" s="85">
        <f t="shared" si="13"/>
        <v>30.5</v>
      </c>
    </row>
    <row r="82" spans="1:16">
      <c r="A82" s="647">
        <v>42963</v>
      </c>
      <c r="B82">
        <v>50</v>
      </c>
      <c r="D82" s="80">
        <v>41759</v>
      </c>
      <c r="E82" s="77">
        <f t="shared" si="11"/>
        <v>32.25</v>
      </c>
      <c r="F82" s="81">
        <f t="shared" ref="F82:F92" si="20">F81+(($F$93-$F$81)/12)</f>
        <v>3.9765026126295653</v>
      </c>
      <c r="G82" s="88"/>
      <c r="H82" s="88"/>
      <c r="J82" s="76">
        <f t="shared" si="12"/>
        <v>41759</v>
      </c>
      <c r="K82" s="159">
        <f t="shared" si="15"/>
        <v>15.906010450518261</v>
      </c>
      <c r="L82" s="84">
        <f t="shared" si="16"/>
        <v>23.859015675777393</v>
      </c>
      <c r="M82" s="84">
        <f t="shared" si="17"/>
        <v>31.812020901036522</v>
      </c>
      <c r="N82" s="84">
        <f t="shared" si="18"/>
        <v>39.765026126295652</v>
      </c>
      <c r="O82" s="84">
        <f t="shared" si="19"/>
        <v>47.718031351554785</v>
      </c>
      <c r="P82" s="85">
        <f t="shared" si="13"/>
        <v>32.25</v>
      </c>
    </row>
    <row r="83" spans="1:16">
      <c r="A83" s="647">
        <v>42962</v>
      </c>
      <c r="B83">
        <v>52.1</v>
      </c>
      <c r="D83" s="80">
        <v>41789</v>
      </c>
      <c r="E83" s="77">
        <f t="shared" si="11"/>
        <v>32.4</v>
      </c>
      <c r="F83" s="81">
        <f t="shared" si="20"/>
        <v>4.2673492428583319</v>
      </c>
      <c r="G83" s="88"/>
      <c r="J83" s="76">
        <f t="shared" si="12"/>
        <v>41789</v>
      </c>
      <c r="K83" s="159">
        <f t="shared" si="15"/>
        <v>17.069396971433328</v>
      </c>
      <c r="L83" s="84">
        <f t="shared" si="16"/>
        <v>25.604095457149992</v>
      </c>
      <c r="M83" s="84">
        <f t="shared" si="17"/>
        <v>34.138793942866656</v>
      </c>
      <c r="N83" s="84">
        <f t="shared" si="18"/>
        <v>42.673492428583316</v>
      </c>
      <c r="O83" s="84">
        <f t="shared" si="19"/>
        <v>51.208190914299983</v>
      </c>
      <c r="P83" s="85">
        <f t="shared" si="13"/>
        <v>32.4</v>
      </c>
    </row>
    <row r="84" spans="1:16">
      <c r="A84" s="647">
        <v>42961</v>
      </c>
      <c r="B84">
        <v>54.1</v>
      </c>
      <c r="D84" s="80">
        <v>41820</v>
      </c>
      <c r="E84" s="77">
        <f t="shared" si="11"/>
        <v>33</v>
      </c>
      <c r="F84" s="81">
        <f t="shared" si="20"/>
        <v>4.5581958730870982</v>
      </c>
      <c r="G84" s="88"/>
      <c r="J84" s="76">
        <f t="shared" si="12"/>
        <v>41820</v>
      </c>
      <c r="K84" s="159">
        <f t="shared" si="15"/>
        <v>18.232783492348393</v>
      </c>
      <c r="L84" s="84">
        <f t="shared" si="16"/>
        <v>27.349175238522591</v>
      </c>
      <c r="M84" s="84">
        <f t="shared" si="17"/>
        <v>36.465566984696785</v>
      </c>
      <c r="N84" s="84">
        <f t="shared" si="18"/>
        <v>45.58195873087098</v>
      </c>
      <c r="O84" s="84">
        <f t="shared" si="19"/>
        <v>54.698350477045182</v>
      </c>
      <c r="P84" s="85">
        <f t="shared" si="13"/>
        <v>33</v>
      </c>
    </row>
    <row r="85" spans="1:16">
      <c r="A85" s="647">
        <v>42958</v>
      </c>
      <c r="B85">
        <v>54</v>
      </c>
      <c r="D85" s="80">
        <v>41851</v>
      </c>
      <c r="E85" s="77">
        <f t="shared" si="11"/>
        <v>35.5</v>
      </c>
      <c r="F85" s="81">
        <f t="shared" si="20"/>
        <v>4.8490425033158644</v>
      </c>
      <c r="G85" s="88"/>
      <c r="J85" s="76">
        <f t="shared" si="12"/>
        <v>41851</v>
      </c>
      <c r="K85" s="159">
        <f t="shared" si="15"/>
        <v>19.396170013263458</v>
      </c>
      <c r="L85" s="84">
        <f t="shared" si="16"/>
        <v>29.094255019895186</v>
      </c>
      <c r="M85" s="84">
        <f t="shared" si="17"/>
        <v>38.792340026526915</v>
      </c>
      <c r="N85" s="84">
        <f t="shared" si="18"/>
        <v>48.490425033158644</v>
      </c>
      <c r="O85" s="84">
        <f t="shared" si="19"/>
        <v>58.188510039790373</v>
      </c>
      <c r="P85" s="85">
        <f t="shared" si="13"/>
        <v>35.5</v>
      </c>
    </row>
    <row r="86" spans="1:16">
      <c r="A86" s="647">
        <v>42957</v>
      </c>
      <c r="B86">
        <v>56.1</v>
      </c>
      <c r="D86" s="80">
        <v>41880</v>
      </c>
      <c r="E86" s="77">
        <f t="shared" si="11"/>
        <v>35.9</v>
      </c>
      <c r="F86" s="81">
        <f t="shared" si="20"/>
        <v>5.1398891335446306</v>
      </c>
      <c r="J86" s="76">
        <f t="shared" si="12"/>
        <v>41880</v>
      </c>
      <c r="K86" s="159">
        <f t="shared" si="15"/>
        <v>20.559556534178522</v>
      </c>
      <c r="L86" s="84">
        <f t="shared" si="16"/>
        <v>30.839334801267782</v>
      </c>
      <c r="M86" s="84">
        <f t="shared" si="17"/>
        <v>41.119113068357045</v>
      </c>
      <c r="N86" s="84">
        <f t="shared" si="18"/>
        <v>51.398891335446308</v>
      </c>
      <c r="O86" s="84">
        <f t="shared" si="19"/>
        <v>61.678669602535564</v>
      </c>
      <c r="P86" s="85">
        <f t="shared" si="13"/>
        <v>35.9</v>
      </c>
    </row>
    <row r="87" spans="1:16">
      <c r="A87" s="647">
        <v>42956</v>
      </c>
      <c r="B87">
        <v>56.1</v>
      </c>
      <c r="D87" s="80">
        <v>41912</v>
      </c>
      <c r="E87" s="77">
        <f t="shared" si="11"/>
        <v>38.5</v>
      </c>
      <c r="F87" s="81">
        <f t="shared" si="20"/>
        <v>5.4307357637733968</v>
      </c>
      <c r="J87" s="76">
        <f t="shared" si="12"/>
        <v>41912</v>
      </c>
      <c r="K87" s="159">
        <f t="shared" si="15"/>
        <v>21.722943055093587</v>
      </c>
      <c r="L87" s="84">
        <f t="shared" si="16"/>
        <v>32.584414582640377</v>
      </c>
      <c r="M87" s="84">
        <f t="shared" si="17"/>
        <v>43.445886110187175</v>
      </c>
      <c r="N87" s="84">
        <f t="shared" si="18"/>
        <v>54.307357637733972</v>
      </c>
      <c r="O87" s="84">
        <f t="shared" si="19"/>
        <v>65.168829165280755</v>
      </c>
      <c r="P87" s="85">
        <f t="shared" si="13"/>
        <v>38.5</v>
      </c>
    </row>
    <row r="88" spans="1:16">
      <c r="A88" s="647">
        <v>42955</v>
      </c>
      <c r="B88">
        <v>56.4</v>
      </c>
      <c r="D88" s="80">
        <v>41943</v>
      </c>
      <c r="E88" s="77">
        <f t="shared" si="11"/>
        <v>37.299999999999997</v>
      </c>
      <c r="F88" s="81">
        <f t="shared" si="20"/>
        <v>5.7215823940021631</v>
      </c>
      <c r="J88" s="76">
        <f t="shared" si="12"/>
        <v>41943</v>
      </c>
      <c r="K88" s="159">
        <f t="shared" si="15"/>
        <v>22.886329576008652</v>
      </c>
      <c r="L88" s="84">
        <f t="shared" si="16"/>
        <v>34.32949436401298</v>
      </c>
      <c r="M88" s="84">
        <f t="shared" si="17"/>
        <v>45.772659152017305</v>
      </c>
      <c r="N88" s="84">
        <f t="shared" si="18"/>
        <v>57.215823940021629</v>
      </c>
      <c r="O88" s="84">
        <f t="shared" si="19"/>
        <v>68.65898872802596</v>
      </c>
      <c r="P88" s="85">
        <f t="shared" si="13"/>
        <v>37.299999999999997</v>
      </c>
    </row>
    <row r="89" spans="1:16">
      <c r="A89" s="647">
        <v>42951</v>
      </c>
      <c r="B89">
        <v>56.4</v>
      </c>
      <c r="D89" s="80">
        <v>41971</v>
      </c>
      <c r="E89" s="77">
        <f t="shared" si="11"/>
        <v>38.549999999999997</v>
      </c>
      <c r="F89" s="81">
        <f t="shared" si="20"/>
        <v>6.0124290242309293</v>
      </c>
      <c r="J89" s="76">
        <f t="shared" si="12"/>
        <v>41971</v>
      </c>
      <c r="K89" s="159">
        <f t="shared" si="15"/>
        <v>24.049716096923717</v>
      </c>
      <c r="L89" s="84">
        <f t="shared" si="16"/>
        <v>36.074574145385576</v>
      </c>
      <c r="M89" s="84">
        <f t="shared" si="17"/>
        <v>48.099432193847434</v>
      </c>
      <c r="N89" s="84">
        <f t="shared" si="18"/>
        <v>60.124290242309293</v>
      </c>
      <c r="O89" s="84">
        <f t="shared" si="19"/>
        <v>72.149148290771151</v>
      </c>
      <c r="P89" s="85">
        <f t="shared" si="13"/>
        <v>38.549999999999997</v>
      </c>
    </row>
    <row r="90" spans="1:16">
      <c r="A90" s="647">
        <v>42950</v>
      </c>
      <c r="B90">
        <v>56.6</v>
      </c>
      <c r="D90" s="80">
        <v>42004</v>
      </c>
      <c r="E90" s="77">
        <f t="shared" si="11"/>
        <v>38.200000000000003</v>
      </c>
      <c r="F90" s="81">
        <f t="shared" si="20"/>
        <v>6.3032756544596955</v>
      </c>
      <c r="J90" s="76">
        <f t="shared" si="12"/>
        <v>42004</v>
      </c>
      <c r="K90" s="159">
        <f t="shared" si="15"/>
        <v>25.213102617838782</v>
      </c>
      <c r="L90" s="84">
        <f t="shared" si="16"/>
        <v>37.819653926758171</v>
      </c>
      <c r="M90" s="84">
        <f t="shared" si="17"/>
        <v>50.426205235677564</v>
      </c>
      <c r="N90" s="84">
        <f t="shared" si="18"/>
        <v>63.032756544596957</v>
      </c>
      <c r="O90" s="84">
        <f t="shared" si="19"/>
        <v>75.639307853516343</v>
      </c>
      <c r="P90" s="85">
        <f t="shared" si="13"/>
        <v>38.200000000000003</v>
      </c>
    </row>
    <row r="91" spans="1:16">
      <c r="A91" s="647">
        <v>42949</v>
      </c>
      <c r="B91">
        <v>56.6</v>
      </c>
      <c r="D91" s="80">
        <v>42034</v>
      </c>
      <c r="E91" s="77">
        <f t="shared" si="11"/>
        <v>39.9</v>
      </c>
      <c r="F91" s="81">
        <f t="shared" si="20"/>
        <v>6.5941222846884617</v>
      </c>
      <c r="J91" s="76">
        <f t="shared" si="12"/>
        <v>42034</v>
      </c>
      <c r="K91" s="159">
        <f t="shared" si="15"/>
        <v>26.376489138753847</v>
      </c>
      <c r="L91" s="84">
        <f t="shared" si="16"/>
        <v>39.564733708130774</v>
      </c>
      <c r="M91" s="84">
        <f t="shared" si="17"/>
        <v>52.752978277507694</v>
      </c>
      <c r="N91" s="84">
        <f t="shared" si="18"/>
        <v>65.941222846884614</v>
      </c>
      <c r="O91" s="84">
        <f t="shared" si="19"/>
        <v>79.129467416261548</v>
      </c>
      <c r="P91" s="85">
        <f t="shared" si="13"/>
        <v>39.9</v>
      </c>
    </row>
    <row r="92" spans="1:16">
      <c r="A92" s="647">
        <v>42948</v>
      </c>
      <c r="B92">
        <v>57</v>
      </c>
      <c r="D92" s="80">
        <v>42062</v>
      </c>
      <c r="E92" s="77">
        <f t="shared" si="11"/>
        <v>40.65</v>
      </c>
      <c r="F92" s="81">
        <f t="shared" si="20"/>
        <v>6.884968914917228</v>
      </c>
      <c r="J92" s="76">
        <f t="shared" si="12"/>
        <v>42062</v>
      </c>
      <c r="K92" s="159">
        <f t="shared" si="15"/>
        <v>27.539875659668912</v>
      </c>
      <c r="L92" s="84">
        <f t="shared" si="16"/>
        <v>41.30981348950337</v>
      </c>
      <c r="M92" s="84">
        <f t="shared" si="17"/>
        <v>55.079751319337824</v>
      </c>
      <c r="N92" s="84">
        <f t="shared" si="18"/>
        <v>68.849689149172278</v>
      </c>
      <c r="O92" s="84">
        <f t="shared" si="19"/>
        <v>82.619626979006739</v>
      </c>
      <c r="P92" s="85">
        <f t="shared" si="13"/>
        <v>40.65</v>
      </c>
    </row>
    <row r="93" spans="1:16">
      <c r="A93" s="647">
        <v>42947</v>
      </c>
      <c r="B93">
        <v>57.2</v>
      </c>
      <c r="D93" s="80">
        <v>42094</v>
      </c>
      <c r="E93" s="77">
        <f t="shared" si="11"/>
        <v>38</v>
      </c>
      <c r="F93" s="86">
        <f>I20</f>
        <v>7.1758155451459968</v>
      </c>
      <c r="J93" s="76">
        <f t="shared" si="12"/>
        <v>42094</v>
      </c>
      <c r="K93" s="159">
        <f t="shared" si="15"/>
        <v>28.703262180583987</v>
      </c>
      <c r="L93" s="84">
        <f t="shared" si="16"/>
        <v>43.054893270875979</v>
      </c>
      <c r="M93" s="84">
        <f t="shared" si="17"/>
        <v>57.406524361167975</v>
      </c>
      <c r="N93" s="84">
        <f t="shared" si="18"/>
        <v>71.75815545145997</v>
      </c>
      <c r="O93" s="84">
        <f t="shared" si="19"/>
        <v>86.109786541751959</v>
      </c>
      <c r="P93" s="85">
        <f t="shared" si="13"/>
        <v>38</v>
      </c>
    </row>
    <row r="94" spans="1:16">
      <c r="A94" s="647">
        <v>42944</v>
      </c>
      <c r="B94">
        <v>57</v>
      </c>
      <c r="D94" s="80">
        <v>42124</v>
      </c>
      <c r="E94" s="77">
        <f t="shared" si="11"/>
        <v>43</v>
      </c>
      <c r="F94" s="81">
        <f t="shared" ref="F94:F104" si="21">F93+(($F$105-$F$93)/12)</f>
        <v>7.3386318333865361</v>
      </c>
      <c r="J94" s="76">
        <f t="shared" si="12"/>
        <v>42124</v>
      </c>
      <c r="K94" s="159">
        <f t="shared" si="15"/>
        <v>29.354527333546145</v>
      </c>
      <c r="L94" s="84">
        <f t="shared" si="16"/>
        <v>44.031791000319217</v>
      </c>
      <c r="M94" s="84">
        <f t="shared" si="17"/>
        <v>58.709054667092289</v>
      </c>
      <c r="N94" s="84">
        <f t="shared" si="18"/>
        <v>73.386318333865361</v>
      </c>
      <c r="O94" s="84">
        <f t="shared" si="19"/>
        <v>88.063582000638434</v>
      </c>
      <c r="P94" s="85">
        <f t="shared" si="13"/>
        <v>43</v>
      </c>
    </row>
    <row r="95" spans="1:16">
      <c r="A95" s="647">
        <v>42943</v>
      </c>
      <c r="B95">
        <v>57.1</v>
      </c>
      <c r="D95" s="80">
        <v>42153</v>
      </c>
      <c r="E95" s="77">
        <f t="shared" si="11"/>
        <v>44.5</v>
      </c>
      <c r="F95" s="81">
        <f t="shared" si="21"/>
        <v>7.5014481216270754</v>
      </c>
      <c r="J95" s="76">
        <f t="shared" si="12"/>
        <v>42153</v>
      </c>
      <c r="K95" s="159">
        <f t="shared" si="15"/>
        <v>30.005792486508302</v>
      </c>
      <c r="L95" s="84">
        <f t="shared" si="16"/>
        <v>45.008688729762454</v>
      </c>
      <c r="M95" s="84">
        <f t="shared" si="17"/>
        <v>60.011584973016603</v>
      </c>
      <c r="N95" s="84">
        <f t="shared" si="18"/>
        <v>75.014481216270752</v>
      </c>
      <c r="O95" s="84">
        <f t="shared" si="19"/>
        <v>90.017377459524909</v>
      </c>
      <c r="P95" s="85">
        <f t="shared" si="13"/>
        <v>44.5</v>
      </c>
    </row>
    <row r="96" spans="1:16">
      <c r="A96" s="647">
        <v>42942</v>
      </c>
      <c r="B96">
        <v>57</v>
      </c>
      <c r="D96" s="80">
        <v>42185</v>
      </c>
      <c r="E96" s="77">
        <f t="shared" si="11"/>
        <v>45.5</v>
      </c>
      <c r="F96" s="81">
        <f t="shared" si="21"/>
        <v>7.6642644098676147</v>
      </c>
      <c r="J96" s="76">
        <f t="shared" si="12"/>
        <v>42185</v>
      </c>
      <c r="K96" s="159">
        <f t="shared" si="15"/>
        <v>30.657057639470459</v>
      </c>
      <c r="L96" s="84">
        <f t="shared" si="16"/>
        <v>45.985586459205692</v>
      </c>
      <c r="M96" s="84">
        <f t="shared" si="17"/>
        <v>61.314115278940918</v>
      </c>
      <c r="N96" s="84">
        <f t="shared" si="18"/>
        <v>76.642644098676143</v>
      </c>
      <c r="O96" s="84">
        <f t="shared" si="19"/>
        <v>91.971172918411384</v>
      </c>
      <c r="P96" s="85">
        <f t="shared" si="13"/>
        <v>45.5</v>
      </c>
    </row>
    <row r="97" spans="1:16">
      <c r="A97" s="647">
        <v>42941</v>
      </c>
      <c r="B97">
        <v>56.9</v>
      </c>
      <c r="D97" s="80">
        <v>42215</v>
      </c>
      <c r="E97" s="77">
        <f t="shared" si="11"/>
        <v>51.05</v>
      </c>
      <c r="F97" s="81">
        <f t="shared" si="21"/>
        <v>7.827080698108154</v>
      </c>
      <c r="J97" s="76">
        <f t="shared" si="12"/>
        <v>42215</v>
      </c>
      <c r="K97" s="159">
        <f t="shared" si="15"/>
        <v>31.308322792432616</v>
      </c>
      <c r="L97" s="84">
        <f t="shared" si="16"/>
        <v>46.962484188648922</v>
      </c>
      <c r="M97" s="84">
        <f t="shared" si="17"/>
        <v>62.616645584865232</v>
      </c>
      <c r="N97" s="84">
        <f t="shared" si="18"/>
        <v>78.270806981081535</v>
      </c>
      <c r="O97" s="84">
        <f t="shared" si="19"/>
        <v>93.924968377297844</v>
      </c>
      <c r="P97" s="85">
        <f t="shared" si="13"/>
        <v>51.05</v>
      </c>
    </row>
    <row r="98" spans="1:16">
      <c r="A98" s="647">
        <v>42940</v>
      </c>
      <c r="B98">
        <v>56.6</v>
      </c>
      <c r="D98" s="80">
        <v>42247</v>
      </c>
      <c r="E98" s="77">
        <f t="shared" ref="E98" si="22">VLOOKUP(D98,$A$330:$B$2862,2,FALSE)</f>
        <v>57</v>
      </c>
      <c r="F98" s="81">
        <f t="shared" si="21"/>
        <v>7.9898969863486933</v>
      </c>
      <c r="J98" s="76">
        <f t="shared" ref="J98:J129" si="23">D98</f>
        <v>42247</v>
      </c>
      <c r="K98" s="159">
        <f t="shared" si="15"/>
        <v>31.959587945394773</v>
      </c>
      <c r="L98" s="84">
        <f t="shared" si="16"/>
        <v>47.93938191809216</v>
      </c>
      <c r="M98" s="84">
        <f t="shared" si="17"/>
        <v>63.919175890789546</v>
      </c>
      <c r="N98" s="84">
        <f t="shared" si="18"/>
        <v>79.89896986348694</v>
      </c>
      <c r="O98" s="84">
        <f t="shared" si="19"/>
        <v>95.878763836184319</v>
      </c>
      <c r="P98" s="85">
        <f t="shared" ref="P98:P135" si="24">E98</f>
        <v>57</v>
      </c>
    </row>
    <row r="99" spans="1:16">
      <c r="A99" s="647">
        <v>42937</v>
      </c>
      <c r="B99">
        <v>57.6</v>
      </c>
      <c r="D99" s="80">
        <v>42277</v>
      </c>
      <c r="E99" s="77">
        <f t="shared" ref="E99:E105" si="25">VLOOKUP(D99,$A$330:$B$3102,2,FALSE)</f>
        <v>54.2</v>
      </c>
      <c r="F99" s="81">
        <f t="shared" si="21"/>
        <v>8.1527132745892334</v>
      </c>
      <c r="J99" s="76">
        <f t="shared" si="23"/>
        <v>42277</v>
      </c>
      <c r="K99" s="159">
        <f t="shared" si="15"/>
        <v>32.610853098356934</v>
      </c>
      <c r="L99" s="84">
        <f t="shared" si="16"/>
        <v>48.916279647535404</v>
      </c>
      <c r="M99" s="84">
        <f t="shared" si="17"/>
        <v>65.221706196713868</v>
      </c>
      <c r="N99" s="84">
        <f t="shared" si="18"/>
        <v>81.527132745892331</v>
      </c>
      <c r="O99" s="84">
        <f t="shared" si="19"/>
        <v>97.832559295070809</v>
      </c>
      <c r="P99" s="85">
        <f t="shared" si="24"/>
        <v>54.2</v>
      </c>
    </row>
    <row r="100" spans="1:16">
      <c r="A100" s="647">
        <v>42936</v>
      </c>
      <c r="B100">
        <v>57.6</v>
      </c>
      <c r="D100" s="80">
        <v>42307</v>
      </c>
      <c r="E100" s="77">
        <f t="shared" si="25"/>
        <v>59.5</v>
      </c>
      <c r="F100" s="81">
        <f t="shared" si="21"/>
        <v>8.3155295628297736</v>
      </c>
      <c r="J100" s="76">
        <f t="shared" si="23"/>
        <v>42307</v>
      </c>
      <c r="K100" s="159">
        <f t="shared" si="15"/>
        <v>33.262118251319094</v>
      </c>
      <c r="L100" s="84">
        <f t="shared" si="16"/>
        <v>49.893177376978642</v>
      </c>
      <c r="M100" s="84">
        <f t="shared" si="17"/>
        <v>66.524236502638189</v>
      </c>
      <c r="N100" s="84">
        <f t="shared" si="18"/>
        <v>83.155295628297736</v>
      </c>
      <c r="O100" s="84">
        <f t="shared" si="19"/>
        <v>99.786354753957283</v>
      </c>
      <c r="P100" s="85">
        <f t="shared" si="24"/>
        <v>59.5</v>
      </c>
    </row>
    <row r="101" spans="1:16">
      <c r="A101" s="647">
        <v>42935</v>
      </c>
      <c r="B101">
        <v>57.2</v>
      </c>
      <c r="D101" s="80">
        <v>42338</v>
      </c>
      <c r="E101" s="77">
        <f t="shared" si="25"/>
        <v>58.5</v>
      </c>
      <c r="F101" s="81">
        <f t="shared" si="21"/>
        <v>8.4783458510703138</v>
      </c>
      <c r="J101" s="76">
        <f t="shared" si="23"/>
        <v>42338</v>
      </c>
      <c r="K101" s="159">
        <f t="shared" si="15"/>
        <v>33.913383404281255</v>
      </c>
      <c r="L101" s="84">
        <f t="shared" si="16"/>
        <v>50.870075106421879</v>
      </c>
      <c r="M101" s="84">
        <f t="shared" si="17"/>
        <v>67.82676680856251</v>
      </c>
      <c r="N101" s="84">
        <f t="shared" si="18"/>
        <v>84.783458510703142</v>
      </c>
      <c r="O101" s="84">
        <f t="shared" si="19"/>
        <v>101.74015021284376</v>
      </c>
      <c r="P101" s="85">
        <f t="shared" si="24"/>
        <v>58.5</v>
      </c>
    </row>
    <row r="102" spans="1:16">
      <c r="A102" s="647">
        <v>42934</v>
      </c>
      <c r="B102">
        <v>58.5</v>
      </c>
      <c r="D102" s="80">
        <v>42369</v>
      </c>
      <c r="E102" s="77">
        <f t="shared" si="25"/>
        <v>60.45</v>
      </c>
      <c r="F102" s="81">
        <f t="shared" si="21"/>
        <v>8.641162139310854</v>
      </c>
      <c r="J102" s="76">
        <f t="shared" si="23"/>
        <v>42369</v>
      </c>
      <c r="K102" s="159">
        <f t="shared" si="15"/>
        <v>34.564648557243416</v>
      </c>
      <c r="L102" s="84">
        <f t="shared" si="16"/>
        <v>51.846972835865124</v>
      </c>
      <c r="M102" s="84">
        <f t="shared" si="17"/>
        <v>69.129297114486832</v>
      </c>
      <c r="N102" s="84">
        <f t="shared" si="18"/>
        <v>86.411621393108533</v>
      </c>
      <c r="O102" s="84">
        <f t="shared" si="19"/>
        <v>103.69394567173025</v>
      </c>
      <c r="P102" s="85">
        <f t="shared" si="24"/>
        <v>60.45</v>
      </c>
    </row>
    <row r="103" spans="1:16">
      <c r="A103" s="647">
        <v>42933</v>
      </c>
      <c r="B103">
        <v>58</v>
      </c>
      <c r="D103" s="80">
        <v>42398</v>
      </c>
      <c r="E103" s="77">
        <f t="shared" si="25"/>
        <v>56</v>
      </c>
      <c r="F103" s="81">
        <f t="shared" si="21"/>
        <v>8.8039784275513941</v>
      </c>
      <c r="J103" s="76">
        <f t="shared" si="23"/>
        <v>42398</v>
      </c>
      <c r="K103" s="159">
        <f t="shared" si="15"/>
        <v>35.215913710205577</v>
      </c>
      <c r="L103" s="84">
        <f t="shared" si="16"/>
        <v>52.823870565308368</v>
      </c>
      <c r="M103" s="84">
        <f t="shared" si="17"/>
        <v>70.431827420411153</v>
      </c>
      <c r="N103" s="84">
        <f t="shared" si="18"/>
        <v>88.039784275513938</v>
      </c>
      <c r="O103" s="84">
        <f t="shared" si="19"/>
        <v>105.64774113061674</v>
      </c>
      <c r="P103" s="85">
        <f t="shared" si="24"/>
        <v>56</v>
      </c>
    </row>
    <row r="104" spans="1:16">
      <c r="A104" s="647">
        <v>42930</v>
      </c>
      <c r="B104">
        <v>58</v>
      </c>
      <c r="D104" s="80">
        <v>42429</v>
      </c>
      <c r="E104" s="77">
        <f t="shared" si="25"/>
        <v>51</v>
      </c>
      <c r="F104" s="81">
        <f t="shared" si="21"/>
        <v>8.9667947157919343</v>
      </c>
      <c r="J104" s="76">
        <f t="shared" si="23"/>
        <v>42429</v>
      </c>
      <c r="K104" s="159">
        <f t="shared" si="15"/>
        <v>35.867178863167737</v>
      </c>
      <c r="L104" s="84">
        <f t="shared" si="16"/>
        <v>53.800768294751606</v>
      </c>
      <c r="M104" s="84">
        <f t="shared" si="17"/>
        <v>71.734357726335475</v>
      </c>
      <c r="N104" s="84">
        <f t="shared" si="18"/>
        <v>89.667947157919343</v>
      </c>
      <c r="O104" s="84">
        <f t="shared" si="19"/>
        <v>107.60153658950321</v>
      </c>
      <c r="P104" s="85">
        <f t="shared" si="24"/>
        <v>51</v>
      </c>
    </row>
    <row r="105" spans="1:16">
      <c r="A105" s="647">
        <v>42929</v>
      </c>
      <c r="B105">
        <v>58</v>
      </c>
      <c r="D105" s="80">
        <v>42460</v>
      </c>
      <c r="E105" s="77">
        <f t="shared" si="25"/>
        <v>50.45</v>
      </c>
      <c r="F105" s="86">
        <f>I21</f>
        <v>9.1296110040324709</v>
      </c>
      <c r="J105" s="76">
        <f t="shared" si="23"/>
        <v>42460</v>
      </c>
      <c r="K105" s="159">
        <f t="shared" si="15"/>
        <v>36.518444016129884</v>
      </c>
      <c r="L105" s="84">
        <f t="shared" si="16"/>
        <v>54.777666024194829</v>
      </c>
      <c r="M105" s="84">
        <f t="shared" si="17"/>
        <v>73.036888032259768</v>
      </c>
      <c r="N105" s="84">
        <f t="shared" si="18"/>
        <v>91.296110040324706</v>
      </c>
      <c r="O105" s="84">
        <f t="shared" si="19"/>
        <v>109.55533204838966</v>
      </c>
      <c r="P105" s="85">
        <f t="shared" si="24"/>
        <v>50.45</v>
      </c>
    </row>
    <row r="106" spans="1:16">
      <c r="A106" s="647">
        <v>42928</v>
      </c>
      <c r="B106">
        <v>58.3</v>
      </c>
      <c r="D106" s="80">
        <v>42489</v>
      </c>
      <c r="E106" s="77">
        <f t="shared" ref="E106:E116" si="26">VLOOKUP(D106,$A$196:$B$3102,2,FALSE)</f>
        <v>56.5</v>
      </c>
      <c r="F106" s="81">
        <f t="shared" ref="F106:F116" si="27">F105+(($F$117-$F$105)/12)</f>
        <v>9.1464742189826964</v>
      </c>
      <c r="J106" s="76">
        <f t="shared" si="23"/>
        <v>42489</v>
      </c>
      <c r="K106" s="159">
        <f t="shared" si="15"/>
        <v>36.585896875930786</v>
      </c>
      <c r="L106" s="84">
        <f t="shared" si="16"/>
        <v>54.878845313896178</v>
      </c>
      <c r="M106" s="84">
        <f t="shared" si="17"/>
        <v>73.171793751861571</v>
      </c>
      <c r="N106" s="84">
        <f t="shared" si="18"/>
        <v>91.464742189826964</v>
      </c>
      <c r="O106" s="84">
        <f t="shared" si="19"/>
        <v>109.75769062779236</v>
      </c>
      <c r="P106" s="85">
        <f t="shared" si="24"/>
        <v>56.5</v>
      </c>
    </row>
    <row r="107" spans="1:16">
      <c r="A107" s="647">
        <v>42927</v>
      </c>
      <c r="B107">
        <v>57.5</v>
      </c>
      <c r="D107" s="80">
        <v>42521</v>
      </c>
      <c r="E107" s="77">
        <f t="shared" si="26"/>
        <v>58.85</v>
      </c>
      <c r="F107" s="81">
        <f t="shared" si="27"/>
        <v>9.1633374339329219</v>
      </c>
      <c r="J107" s="76">
        <f t="shared" si="23"/>
        <v>42521</v>
      </c>
      <c r="K107" s="159">
        <f t="shared" si="15"/>
        <v>36.653349735731688</v>
      </c>
      <c r="L107" s="84">
        <f t="shared" si="16"/>
        <v>54.980024603597528</v>
      </c>
      <c r="M107" s="84">
        <f t="shared" si="17"/>
        <v>73.306699471463375</v>
      </c>
      <c r="N107" s="84">
        <f t="shared" si="18"/>
        <v>91.633374339329222</v>
      </c>
      <c r="O107" s="84">
        <f t="shared" si="19"/>
        <v>109.96004920719506</v>
      </c>
      <c r="P107" s="85">
        <f t="shared" si="24"/>
        <v>58.85</v>
      </c>
    </row>
    <row r="108" spans="1:16">
      <c r="A108" s="647">
        <v>42926</v>
      </c>
      <c r="B108">
        <v>57</v>
      </c>
      <c r="D108" s="80">
        <v>42549</v>
      </c>
      <c r="E108" s="77">
        <f t="shared" si="26"/>
        <v>57.5</v>
      </c>
      <c r="F108" s="81">
        <f t="shared" si="27"/>
        <v>9.1802006488831474</v>
      </c>
      <c r="J108" s="76">
        <f t="shared" si="23"/>
        <v>42549</v>
      </c>
      <c r="K108" s="159">
        <f t="shared" si="15"/>
        <v>36.720802595532589</v>
      </c>
      <c r="L108" s="84">
        <f t="shared" si="16"/>
        <v>55.081203893298884</v>
      </c>
      <c r="M108" s="84">
        <f t="shared" si="17"/>
        <v>73.441605191065179</v>
      </c>
      <c r="N108" s="84">
        <f t="shared" si="18"/>
        <v>91.802006488831466</v>
      </c>
      <c r="O108" s="84">
        <f t="shared" si="19"/>
        <v>110.16240778659777</v>
      </c>
      <c r="P108" s="85">
        <f t="shared" si="24"/>
        <v>57.5</v>
      </c>
    </row>
    <row r="109" spans="1:16">
      <c r="A109" s="647">
        <v>42923</v>
      </c>
      <c r="B109">
        <v>57</v>
      </c>
      <c r="D109" s="80">
        <v>42582</v>
      </c>
      <c r="E109" s="77">
        <f t="shared" si="26"/>
        <v>59.4</v>
      </c>
      <c r="F109" s="81">
        <f t="shared" si="27"/>
        <v>9.1970638638333728</v>
      </c>
      <c r="J109" s="76">
        <f t="shared" si="23"/>
        <v>42582</v>
      </c>
      <c r="K109" s="159">
        <f t="shared" ref="K109:K140" si="28">$F109*$K$3</f>
        <v>36.788255455333491</v>
      </c>
      <c r="L109" s="84">
        <f t="shared" ref="L109:L140" si="29">$F109*$L$3</f>
        <v>55.18238318300024</v>
      </c>
      <c r="M109" s="84">
        <f t="shared" ref="M109:M140" si="30">$F109*$M$3</f>
        <v>73.576510910666983</v>
      </c>
      <c r="N109" s="84">
        <f t="shared" ref="N109:N140" si="31">$F109*$N$3</f>
        <v>91.970638638333725</v>
      </c>
      <c r="O109" s="84">
        <f t="shared" ref="O109:O140" si="32">$F109*$O$3</f>
        <v>110.36476636600048</v>
      </c>
      <c r="P109" s="85">
        <f t="shared" si="24"/>
        <v>59.4</v>
      </c>
    </row>
    <row r="110" spans="1:16">
      <c r="A110" s="647">
        <v>42922</v>
      </c>
      <c r="B110">
        <v>56.8</v>
      </c>
      <c r="D110" s="80">
        <v>42612</v>
      </c>
      <c r="E110" s="77">
        <f t="shared" si="26"/>
        <v>62.2</v>
      </c>
      <c r="F110" s="81">
        <f t="shared" si="27"/>
        <v>9.2139270787835983</v>
      </c>
      <c r="J110" s="76">
        <f t="shared" si="23"/>
        <v>42612</v>
      </c>
      <c r="K110" s="159">
        <f t="shared" si="28"/>
        <v>36.855708315134393</v>
      </c>
      <c r="L110" s="84">
        <f t="shared" si="29"/>
        <v>55.28356247270159</v>
      </c>
      <c r="M110" s="84">
        <f t="shared" si="30"/>
        <v>73.711416630268786</v>
      </c>
      <c r="N110" s="84">
        <f t="shared" si="31"/>
        <v>92.139270787835983</v>
      </c>
      <c r="O110" s="84">
        <f t="shared" si="32"/>
        <v>110.56712494540318</v>
      </c>
      <c r="P110" s="85">
        <f t="shared" si="24"/>
        <v>62.2</v>
      </c>
    </row>
    <row r="111" spans="1:16">
      <c r="A111" s="647">
        <v>42922</v>
      </c>
      <c r="B111">
        <v>56.8</v>
      </c>
      <c r="D111" s="80">
        <v>42643</v>
      </c>
      <c r="E111" s="77">
        <f t="shared" si="26"/>
        <v>64.5</v>
      </c>
      <c r="F111" s="81">
        <f t="shared" si="27"/>
        <v>9.2307902937338238</v>
      </c>
      <c r="J111" s="76">
        <f t="shared" si="23"/>
        <v>42643</v>
      </c>
      <c r="K111" s="159">
        <f t="shared" si="28"/>
        <v>36.923161174935295</v>
      </c>
      <c r="L111" s="84">
        <f t="shared" si="29"/>
        <v>55.384741762402939</v>
      </c>
      <c r="M111" s="84">
        <f t="shared" si="30"/>
        <v>73.84632234987059</v>
      </c>
      <c r="N111" s="84">
        <f t="shared" si="31"/>
        <v>92.307902937338241</v>
      </c>
      <c r="O111" s="84">
        <f t="shared" si="32"/>
        <v>110.76948352480588</v>
      </c>
      <c r="P111" s="85">
        <f t="shared" si="24"/>
        <v>64.5</v>
      </c>
    </row>
    <row r="112" spans="1:16">
      <c r="A112" s="647">
        <v>42921</v>
      </c>
      <c r="B112">
        <v>57</v>
      </c>
      <c r="D112" s="80">
        <v>42674</v>
      </c>
      <c r="E112" s="77">
        <f t="shared" si="26"/>
        <v>63.3</v>
      </c>
      <c r="F112" s="81">
        <f t="shared" si="27"/>
        <v>9.2476535086840492</v>
      </c>
      <c r="J112" s="76">
        <f t="shared" si="23"/>
        <v>42674</v>
      </c>
      <c r="K112" s="159">
        <f t="shared" si="28"/>
        <v>36.990614034736197</v>
      </c>
      <c r="L112" s="84">
        <f t="shared" si="29"/>
        <v>55.485921052104295</v>
      </c>
      <c r="M112" s="84">
        <f t="shared" si="30"/>
        <v>73.981228069472394</v>
      </c>
      <c r="N112" s="84">
        <f t="shared" si="31"/>
        <v>92.476535086840499</v>
      </c>
      <c r="O112" s="84">
        <f t="shared" si="32"/>
        <v>110.97184210420859</v>
      </c>
      <c r="P112" s="85">
        <f t="shared" si="24"/>
        <v>63.3</v>
      </c>
    </row>
    <row r="113" spans="1:16">
      <c r="A113" s="647">
        <v>42920</v>
      </c>
      <c r="B113">
        <v>56.7</v>
      </c>
      <c r="D113" s="80">
        <v>42704</v>
      </c>
      <c r="E113" s="77">
        <f t="shared" si="26"/>
        <v>60</v>
      </c>
      <c r="F113" s="81">
        <f t="shared" si="27"/>
        <v>9.2645167236342747</v>
      </c>
      <c r="J113" s="76">
        <f t="shared" si="23"/>
        <v>42704</v>
      </c>
      <c r="K113" s="159">
        <f t="shared" si="28"/>
        <v>37.058066894537099</v>
      </c>
      <c r="L113" s="84">
        <f t="shared" si="29"/>
        <v>55.587100341805652</v>
      </c>
      <c r="M113" s="84">
        <f t="shared" si="30"/>
        <v>74.116133789074198</v>
      </c>
      <c r="N113" s="84">
        <f t="shared" si="31"/>
        <v>92.645167236342743</v>
      </c>
      <c r="O113" s="84">
        <f t="shared" si="32"/>
        <v>111.1742006836113</v>
      </c>
      <c r="P113" s="85">
        <f t="shared" si="24"/>
        <v>60</v>
      </c>
    </row>
    <row r="114" spans="1:16">
      <c r="A114" s="647">
        <v>42919</v>
      </c>
      <c r="B114">
        <v>56.3</v>
      </c>
      <c r="D114" s="80">
        <v>42734</v>
      </c>
      <c r="E114" s="77">
        <f t="shared" si="26"/>
        <v>61.5</v>
      </c>
      <c r="F114" s="81">
        <f t="shared" si="27"/>
        <v>9.2813799385845002</v>
      </c>
      <c r="J114" s="76">
        <f t="shared" si="23"/>
        <v>42734</v>
      </c>
      <c r="K114" s="159">
        <f t="shared" si="28"/>
        <v>37.125519754338001</v>
      </c>
      <c r="L114" s="84">
        <f t="shared" si="29"/>
        <v>55.688279631507001</v>
      </c>
      <c r="M114" s="84">
        <f t="shared" si="30"/>
        <v>74.251039508676001</v>
      </c>
      <c r="N114" s="84">
        <f t="shared" si="31"/>
        <v>92.813799385845002</v>
      </c>
      <c r="O114" s="84">
        <f t="shared" si="32"/>
        <v>111.376559263014</v>
      </c>
      <c r="P114" s="85">
        <f t="shared" si="24"/>
        <v>61.5</v>
      </c>
    </row>
    <row r="115" spans="1:16">
      <c r="A115" s="647">
        <v>42916</v>
      </c>
      <c r="B115">
        <v>56.5</v>
      </c>
      <c r="D115" s="80">
        <v>42766</v>
      </c>
      <c r="E115" s="77">
        <f t="shared" si="26"/>
        <v>59</v>
      </c>
      <c r="F115" s="81">
        <f t="shared" si="27"/>
        <v>9.2982431535347256</v>
      </c>
      <c r="J115" s="76">
        <f t="shared" si="23"/>
        <v>42766</v>
      </c>
      <c r="K115" s="159">
        <f t="shared" si="28"/>
        <v>37.192972614138903</v>
      </c>
      <c r="L115" s="84">
        <f t="shared" si="29"/>
        <v>55.78945892120835</v>
      </c>
      <c r="M115" s="84">
        <f t="shared" si="30"/>
        <v>74.385945228277805</v>
      </c>
      <c r="N115" s="84">
        <f t="shared" si="31"/>
        <v>92.98243153534726</v>
      </c>
      <c r="O115" s="84">
        <f t="shared" si="32"/>
        <v>111.5789178424167</v>
      </c>
      <c r="P115" s="85">
        <f t="shared" si="24"/>
        <v>59</v>
      </c>
    </row>
    <row r="116" spans="1:16">
      <c r="A116" s="647">
        <v>42915</v>
      </c>
      <c r="B116">
        <v>57</v>
      </c>
      <c r="D116" s="80">
        <v>42789</v>
      </c>
      <c r="E116" s="77">
        <f t="shared" si="26"/>
        <v>59</v>
      </c>
      <c r="F116" s="81">
        <f t="shared" si="27"/>
        <v>9.3151063684849511</v>
      </c>
      <c r="J116" s="76">
        <f t="shared" si="23"/>
        <v>42789</v>
      </c>
      <c r="K116" s="159">
        <f t="shared" si="28"/>
        <v>37.260425473939804</v>
      </c>
      <c r="L116" s="84">
        <f t="shared" si="29"/>
        <v>55.890638210909707</v>
      </c>
      <c r="M116" s="84">
        <f t="shared" si="30"/>
        <v>74.520850947879609</v>
      </c>
      <c r="N116" s="84">
        <f t="shared" si="31"/>
        <v>93.151063684849504</v>
      </c>
      <c r="O116" s="84">
        <f t="shared" si="32"/>
        <v>111.78127642181941</v>
      </c>
      <c r="P116" s="85">
        <f t="shared" si="24"/>
        <v>59</v>
      </c>
    </row>
    <row r="117" spans="1:16">
      <c r="A117" s="647">
        <v>42914</v>
      </c>
      <c r="B117">
        <v>57</v>
      </c>
      <c r="D117" s="80">
        <v>42822</v>
      </c>
      <c r="E117" s="77">
        <f>VLOOKUP(D117,A:B,2,FALSE)</f>
        <v>54</v>
      </c>
      <c r="F117" s="86">
        <f>I22</f>
        <v>9.3319695834351677</v>
      </c>
      <c r="J117" s="76">
        <f t="shared" si="23"/>
        <v>42822</v>
      </c>
      <c r="K117" s="159">
        <f t="shared" si="28"/>
        <v>37.327878333740671</v>
      </c>
      <c r="L117" s="84">
        <f t="shared" si="29"/>
        <v>55.991817500611006</v>
      </c>
      <c r="M117" s="84">
        <f t="shared" si="30"/>
        <v>74.655756667481342</v>
      </c>
      <c r="N117" s="84">
        <f t="shared" si="31"/>
        <v>93.319695834351677</v>
      </c>
      <c r="O117" s="84">
        <f t="shared" si="32"/>
        <v>111.98363500122201</v>
      </c>
      <c r="P117" s="85">
        <f t="shared" si="24"/>
        <v>54</v>
      </c>
    </row>
    <row r="118" spans="1:16">
      <c r="A118" s="647">
        <v>42913</v>
      </c>
      <c r="B118">
        <v>57</v>
      </c>
      <c r="D118" s="80">
        <v>42853</v>
      </c>
      <c r="E118" s="77">
        <f t="shared" ref="E118:E135" si="33">VLOOKUP(D118,A:B,2,FALSE)</f>
        <v>59.5</v>
      </c>
      <c r="F118" s="81">
        <f t="shared" ref="F118:F128" si="34">F117+(($F$129-$F$117)/12)</f>
        <v>9.0826366679883463</v>
      </c>
      <c r="J118" s="76">
        <f t="shared" si="23"/>
        <v>42853</v>
      </c>
      <c r="K118" s="159">
        <f t="shared" si="28"/>
        <v>36.330546671953385</v>
      </c>
      <c r="L118" s="84">
        <f t="shared" si="29"/>
        <v>54.495820007930078</v>
      </c>
      <c r="M118" s="84">
        <f t="shared" si="30"/>
        <v>72.661093343906771</v>
      </c>
      <c r="N118" s="84">
        <f t="shared" si="31"/>
        <v>90.826366679883463</v>
      </c>
      <c r="O118" s="84">
        <f t="shared" si="32"/>
        <v>108.99164001586016</v>
      </c>
      <c r="P118" s="85">
        <f t="shared" si="24"/>
        <v>59.5</v>
      </c>
    </row>
    <row r="119" spans="1:16">
      <c r="A119" s="647">
        <v>42909</v>
      </c>
      <c r="B119">
        <v>56.8</v>
      </c>
      <c r="D119" s="80">
        <v>42886</v>
      </c>
      <c r="E119" s="77">
        <f t="shared" si="33"/>
        <v>58.1</v>
      </c>
      <c r="F119" s="81">
        <f t="shared" si="34"/>
        <v>8.833303752541525</v>
      </c>
      <c r="J119" s="76">
        <f t="shared" si="23"/>
        <v>42886</v>
      </c>
      <c r="K119" s="159">
        <f t="shared" si="28"/>
        <v>35.3332150101661</v>
      </c>
      <c r="L119" s="84">
        <f t="shared" si="29"/>
        <v>52.99982251524915</v>
      </c>
      <c r="M119" s="84">
        <f t="shared" si="30"/>
        <v>70.6664300203322</v>
      </c>
      <c r="N119" s="84">
        <f t="shared" si="31"/>
        <v>88.33303752541525</v>
      </c>
      <c r="O119" s="84">
        <f t="shared" si="32"/>
        <v>105.9996450304983</v>
      </c>
      <c r="P119" s="85">
        <f t="shared" si="24"/>
        <v>58.1</v>
      </c>
    </row>
    <row r="120" spans="1:16">
      <c r="A120" s="647">
        <v>42908</v>
      </c>
      <c r="B120">
        <v>56.9</v>
      </c>
      <c r="D120" s="80">
        <v>42916</v>
      </c>
      <c r="E120" s="77">
        <f t="shared" si="33"/>
        <v>56.5</v>
      </c>
      <c r="F120" s="81">
        <f t="shared" si="34"/>
        <v>8.5839708370947037</v>
      </c>
      <c r="J120" s="76">
        <f t="shared" si="23"/>
        <v>42916</v>
      </c>
      <c r="K120" s="159">
        <f t="shared" si="28"/>
        <v>34.335883348378815</v>
      </c>
      <c r="L120" s="84">
        <f t="shared" si="29"/>
        <v>51.503825022568222</v>
      </c>
      <c r="M120" s="84">
        <f t="shared" si="30"/>
        <v>68.671766696757629</v>
      </c>
      <c r="N120" s="84">
        <f t="shared" si="31"/>
        <v>85.839708370947037</v>
      </c>
      <c r="O120" s="84">
        <f t="shared" si="32"/>
        <v>103.00765004513644</v>
      </c>
      <c r="P120" s="85">
        <f t="shared" si="24"/>
        <v>56.5</v>
      </c>
    </row>
    <row r="121" spans="1:16">
      <c r="A121" s="647">
        <v>42907</v>
      </c>
      <c r="B121">
        <v>57</v>
      </c>
      <c r="D121" s="80">
        <v>42947</v>
      </c>
      <c r="E121" s="77">
        <f t="shared" si="33"/>
        <v>57.2</v>
      </c>
      <c r="F121" s="81">
        <f t="shared" si="34"/>
        <v>8.3346379216478823</v>
      </c>
      <c r="J121" s="76">
        <f t="shared" si="23"/>
        <v>42947</v>
      </c>
      <c r="K121" s="159">
        <f t="shared" si="28"/>
        <v>33.338551686591529</v>
      </c>
      <c r="L121" s="84">
        <f t="shared" si="29"/>
        <v>50.007827529887294</v>
      </c>
      <c r="M121" s="84">
        <f t="shared" si="30"/>
        <v>66.677103373183058</v>
      </c>
      <c r="N121" s="84">
        <f t="shared" si="31"/>
        <v>83.346379216478823</v>
      </c>
      <c r="O121" s="84">
        <f t="shared" si="32"/>
        <v>100.01565505977459</v>
      </c>
      <c r="P121" s="85">
        <f t="shared" si="24"/>
        <v>57.2</v>
      </c>
    </row>
    <row r="122" spans="1:16">
      <c r="A122" s="647">
        <v>42906</v>
      </c>
      <c r="B122">
        <v>57</v>
      </c>
      <c r="D122" s="80">
        <v>42978</v>
      </c>
      <c r="E122" s="77">
        <f t="shared" si="33"/>
        <v>50</v>
      </c>
      <c r="F122" s="81">
        <f t="shared" si="34"/>
        <v>8.085305006201061</v>
      </c>
      <c r="J122" s="76">
        <f t="shared" si="23"/>
        <v>42978</v>
      </c>
      <c r="K122" s="159">
        <f t="shared" si="28"/>
        <v>32.341220024804244</v>
      </c>
      <c r="L122" s="84">
        <f t="shared" si="29"/>
        <v>48.511830037206366</v>
      </c>
      <c r="M122" s="84">
        <f t="shared" si="30"/>
        <v>64.682440049608488</v>
      </c>
      <c r="N122" s="84">
        <f t="shared" si="31"/>
        <v>80.85305006201061</v>
      </c>
      <c r="O122" s="84">
        <f t="shared" si="32"/>
        <v>97.023660074412732</v>
      </c>
      <c r="P122" s="85">
        <f t="shared" si="24"/>
        <v>50</v>
      </c>
    </row>
    <row r="123" spans="1:16">
      <c r="A123" s="647">
        <v>42905</v>
      </c>
      <c r="B123">
        <v>57</v>
      </c>
      <c r="D123" s="80">
        <v>43007</v>
      </c>
      <c r="E123" s="77">
        <f t="shared" si="33"/>
        <v>45.1</v>
      </c>
      <c r="F123" s="81">
        <f t="shared" si="34"/>
        <v>7.8359720907542405</v>
      </c>
      <c r="J123" s="76">
        <f t="shared" si="23"/>
        <v>43007</v>
      </c>
      <c r="K123" s="159">
        <f t="shared" si="28"/>
        <v>31.343888363016962</v>
      </c>
      <c r="L123" s="84">
        <f t="shared" si="29"/>
        <v>47.015832544525445</v>
      </c>
      <c r="M123" s="84">
        <f t="shared" si="30"/>
        <v>62.687776726033924</v>
      </c>
      <c r="N123" s="84">
        <f t="shared" si="31"/>
        <v>78.35972090754241</v>
      </c>
      <c r="O123" s="84">
        <f t="shared" si="32"/>
        <v>94.03166508905089</v>
      </c>
      <c r="P123" s="85">
        <f t="shared" si="24"/>
        <v>45.1</v>
      </c>
    </row>
    <row r="124" spans="1:16">
      <c r="A124" s="647">
        <v>42902</v>
      </c>
      <c r="B124">
        <v>57</v>
      </c>
      <c r="D124" s="80">
        <v>43039</v>
      </c>
      <c r="E124" s="77">
        <f t="shared" si="33"/>
        <v>44.5</v>
      </c>
      <c r="F124" s="81">
        <f t="shared" si="34"/>
        <v>7.58663917530742</v>
      </c>
      <c r="J124" s="76">
        <f t="shared" si="23"/>
        <v>43039</v>
      </c>
      <c r="K124" s="159">
        <f t="shared" si="28"/>
        <v>30.34655670122968</v>
      </c>
      <c r="L124" s="84">
        <f t="shared" si="29"/>
        <v>45.519835051844524</v>
      </c>
      <c r="M124" s="84">
        <f t="shared" si="30"/>
        <v>60.69311340245936</v>
      </c>
      <c r="N124" s="84">
        <f t="shared" si="31"/>
        <v>75.866391753074197</v>
      </c>
      <c r="O124" s="84">
        <f t="shared" si="32"/>
        <v>91.039670103689048</v>
      </c>
      <c r="P124" s="85">
        <f t="shared" si="24"/>
        <v>44.5</v>
      </c>
    </row>
    <row r="125" spans="1:16">
      <c r="A125" s="647">
        <v>42901</v>
      </c>
      <c r="B125">
        <v>58</v>
      </c>
      <c r="D125" s="80">
        <v>43069</v>
      </c>
      <c r="E125" s="77">
        <f t="shared" si="33"/>
        <v>42.5</v>
      </c>
      <c r="F125" s="81">
        <f t="shared" si="34"/>
        <v>7.3373062598605996</v>
      </c>
      <c r="J125" s="76">
        <f t="shared" si="23"/>
        <v>43069</v>
      </c>
      <c r="K125" s="159">
        <f t="shared" si="28"/>
        <v>29.349225039442398</v>
      </c>
      <c r="L125" s="84">
        <f t="shared" si="29"/>
        <v>44.023837559163596</v>
      </c>
      <c r="M125" s="84">
        <f t="shared" si="30"/>
        <v>58.698450078884797</v>
      </c>
      <c r="N125" s="84">
        <f t="shared" si="31"/>
        <v>73.373062598605998</v>
      </c>
      <c r="O125" s="84">
        <f t="shared" si="32"/>
        <v>88.047675118327192</v>
      </c>
      <c r="P125" s="85">
        <f t="shared" si="24"/>
        <v>42.5</v>
      </c>
    </row>
    <row r="126" spans="1:16">
      <c r="A126" s="647">
        <v>42900</v>
      </c>
      <c r="B126">
        <v>57.6</v>
      </c>
      <c r="D126" s="80">
        <v>43075</v>
      </c>
      <c r="E126" s="77">
        <f t="shared" si="33"/>
        <v>42.5</v>
      </c>
      <c r="F126" s="81">
        <f t="shared" si="34"/>
        <v>7.0879733444137791</v>
      </c>
      <c r="J126" s="76">
        <f t="shared" si="23"/>
        <v>43075</v>
      </c>
      <c r="K126" s="159">
        <f t="shared" si="28"/>
        <v>28.351893377655117</v>
      </c>
      <c r="L126" s="84">
        <f t="shared" si="29"/>
        <v>42.527840066482675</v>
      </c>
      <c r="M126" s="84">
        <f t="shared" si="30"/>
        <v>56.703786755310233</v>
      </c>
      <c r="N126" s="84">
        <f t="shared" si="31"/>
        <v>70.879733444137798</v>
      </c>
      <c r="O126" s="84">
        <f t="shared" si="32"/>
        <v>85.05568013296535</v>
      </c>
      <c r="P126" s="85">
        <f t="shared" si="24"/>
        <v>42.5</v>
      </c>
    </row>
    <row r="127" spans="1:16">
      <c r="A127" s="647">
        <v>42899</v>
      </c>
      <c r="B127">
        <v>58</v>
      </c>
      <c r="D127" s="80">
        <v>43131</v>
      </c>
      <c r="E127" s="77" t="e">
        <f t="shared" si="33"/>
        <v>#N/A</v>
      </c>
      <c r="F127" s="81">
        <f t="shared" si="34"/>
        <v>6.8386404289669587</v>
      </c>
      <c r="J127" s="76">
        <f t="shared" si="23"/>
        <v>43131</v>
      </c>
      <c r="K127" s="159">
        <f t="shared" si="28"/>
        <v>27.354561715867835</v>
      </c>
      <c r="L127" s="84">
        <f t="shared" si="29"/>
        <v>41.031842573801754</v>
      </c>
      <c r="M127" s="84">
        <f t="shared" si="30"/>
        <v>54.709123431735669</v>
      </c>
      <c r="N127" s="84">
        <f t="shared" si="31"/>
        <v>68.386404289669585</v>
      </c>
      <c r="O127" s="84">
        <f t="shared" si="32"/>
        <v>82.063685147603508</v>
      </c>
      <c r="P127" s="85" t="e">
        <f t="shared" si="24"/>
        <v>#N/A</v>
      </c>
    </row>
    <row r="128" spans="1:16">
      <c r="A128" s="647">
        <v>42898</v>
      </c>
      <c r="B128">
        <v>58</v>
      </c>
      <c r="D128" s="80">
        <v>43159</v>
      </c>
      <c r="E128" s="77" t="e">
        <f t="shared" si="33"/>
        <v>#N/A</v>
      </c>
      <c r="F128" s="81">
        <f t="shared" si="34"/>
        <v>6.5893075135201382</v>
      </c>
      <c r="J128" s="76">
        <f t="shared" si="23"/>
        <v>43159</v>
      </c>
      <c r="K128" s="159">
        <f t="shared" si="28"/>
        <v>26.357230054080553</v>
      </c>
      <c r="L128" s="84">
        <f t="shared" si="29"/>
        <v>39.535845081120826</v>
      </c>
      <c r="M128" s="84">
        <f t="shared" si="30"/>
        <v>52.714460108161106</v>
      </c>
      <c r="N128" s="84">
        <f t="shared" si="31"/>
        <v>65.893075135201386</v>
      </c>
      <c r="O128" s="84">
        <f t="shared" si="32"/>
        <v>79.071690162241651</v>
      </c>
      <c r="P128" s="85" t="e">
        <f t="shared" si="24"/>
        <v>#N/A</v>
      </c>
    </row>
    <row r="129" spans="1:16">
      <c r="A129" s="647">
        <v>42895</v>
      </c>
      <c r="B129">
        <v>58.5</v>
      </c>
      <c r="D129" s="80">
        <v>43190</v>
      </c>
      <c r="E129" s="77" t="e">
        <f t="shared" si="33"/>
        <v>#N/A</v>
      </c>
      <c r="F129" s="86">
        <f>I23</f>
        <v>6.3399745980733222</v>
      </c>
      <c r="J129" s="76">
        <f t="shared" si="23"/>
        <v>43190</v>
      </c>
      <c r="K129" s="159">
        <f t="shared" si="28"/>
        <v>25.359898392293289</v>
      </c>
      <c r="L129" s="84">
        <f t="shared" si="29"/>
        <v>38.039847588439933</v>
      </c>
      <c r="M129" s="84">
        <f t="shared" si="30"/>
        <v>50.719796784586578</v>
      </c>
      <c r="N129" s="84">
        <f t="shared" si="31"/>
        <v>63.399745980733222</v>
      </c>
      <c r="O129" s="84">
        <f t="shared" si="32"/>
        <v>76.079695176879866</v>
      </c>
      <c r="P129" s="85" t="e">
        <f t="shared" si="24"/>
        <v>#N/A</v>
      </c>
    </row>
    <row r="130" spans="1:16">
      <c r="A130" s="647">
        <v>42893</v>
      </c>
      <c r="B130">
        <v>59.4</v>
      </c>
      <c r="D130" s="80">
        <v>43220</v>
      </c>
      <c r="E130" s="77" t="e">
        <f t="shared" si="33"/>
        <v>#N/A</v>
      </c>
      <c r="F130" s="81">
        <f t="shared" ref="F130:F140" si="35">F129+(($F$141-$F$129)/12)</f>
        <v>6.7168335790832465</v>
      </c>
      <c r="J130" s="76">
        <f t="shared" ref="J130:J161" si="36">D130</f>
        <v>43220</v>
      </c>
      <c r="K130" s="159">
        <f t="shared" si="28"/>
        <v>26.867334316332986</v>
      </c>
      <c r="L130" s="84">
        <f t="shared" si="29"/>
        <v>40.301001474499479</v>
      </c>
      <c r="M130" s="84">
        <f t="shared" si="30"/>
        <v>53.734668632665972</v>
      </c>
      <c r="N130" s="84">
        <f t="shared" si="31"/>
        <v>67.168335790832458</v>
      </c>
      <c r="O130" s="84">
        <f t="shared" si="32"/>
        <v>80.602002948998958</v>
      </c>
      <c r="P130" s="85" t="e">
        <f t="shared" si="24"/>
        <v>#N/A</v>
      </c>
    </row>
    <row r="131" spans="1:16">
      <c r="A131" s="647">
        <v>42892</v>
      </c>
      <c r="B131">
        <v>58</v>
      </c>
      <c r="D131" s="80">
        <v>43251</v>
      </c>
      <c r="E131" s="77" t="e">
        <f t="shared" si="33"/>
        <v>#N/A</v>
      </c>
      <c r="F131" s="81">
        <f t="shared" si="35"/>
        <v>7.0936925600931708</v>
      </c>
      <c r="J131" s="76">
        <f t="shared" si="36"/>
        <v>43251</v>
      </c>
      <c r="K131" s="159">
        <f t="shared" si="28"/>
        <v>28.374770240372683</v>
      </c>
      <c r="L131" s="84">
        <f t="shared" si="29"/>
        <v>42.562155360559025</v>
      </c>
      <c r="M131" s="84">
        <f t="shared" si="30"/>
        <v>56.749540480745367</v>
      </c>
      <c r="N131" s="84">
        <f t="shared" si="31"/>
        <v>70.936925600931716</v>
      </c>
      <c r="O131" s="84">
        <f t="shared" si="32"/>
        <v>85.12431072111805</v>
      </c>
      <c r="P131" s="85" t="e">
        <f t="shared" si="24"/>
        <v>#N/A</v>
      </c>
    </row>
    <row r="132" spans="1:16">
      <c r="A132" s="647">
        <v>42891</v>
      </c>
      <c r="B132">
        <v>58.1</v>
      </c>
      <c r="D132" s="80">
        <v>43281</v>
      </c>
      <c r="E132" s="77" t="e">
        <f t="shared" si="33"/>
        <v>#N/A</v>
      </c>
      <c r="F132" s="81">
        <f t="shared" si="35"/>
        <v>7.4705515411030952</v>
      </c>
      <c r="J132" s="76">
        <f t="shared" si="36"/>
        <v>43281</v>
      </c>
      <c r="K132" s="159">
        <f t="shared" si="28"/>
        <v>29.882206164412381</v>
      </c>
      <c r="L132" s="84">
        <f t="shared" si="29"/>
        <v>44.823309246618571</v>
      </c>
      <c r="M132" s="84">
        <f t="shared" si="30"/>
        <v>59.764412328824761</v>
      </c>
      <c r="N132" s="84">
        <f t="shared" si="31"/>
        <v>74.705515411030945</v>
      </c>
      <c r="O132" s="84">
        <f t="shared" si="32"/>
        <v>89.646618493237142</v>
      </c>
      <c r="P132" s="85" t="e">
        <f t="shared" si="24"/>
        <v>#N/A</v>
      </c>
    </row>
    <row r="133" spans="1:16">
      <c r="A133" s="647">
        <v>42888</v>
      </c>
      <c r="B133">
        <v>58.6</v>
      </c>
      <c r="D133" s="80">
        <v>43312</v>
      </c>
      <c r="E133" s="77" t="e">
        <f t="shared" si="33"/>
        <v>#N/A</v>
      </c>
      <c r="F133" s="81">
        <f t="shared" si="35"/>
        <v>7.8474105221130195</v>
      </c>
      <c r="J133" s="76">
        <f t="shared" si="36"/>
        <v>43312</v>
      </c>
      <c r="K133" s="159">
        <f t="shared" si="28"/>
        <v>31.389642088452078</v>
      </c>
      <c r="L133" s="84">
        <f t="shared" si="29"/>
        <v>47.084463132678117</v>
      </c>
      <c r="M133" s="84">
        <f t="shared" si="30"/>
        <v>62.779284176904156</v>
      </c>
      <c r="N133" s="84">
        <f t="shared" si="31"/>
        <v>78.474105221130202</v>
      </c>
      <c r="O133" s="84">
        <f t="shared" si="32"/>
        <v>94.168926265356234</v>
      </c>
      <c r="P133" s="85" t="e">
        <f t="shared" si="24"/>
        <v>#N/A</v>
      </c>
    </row>
    <row r="134" spans="1:16">
      <c r="A134" s="647">
        <v>42887</v>
      </c>
      <c r="B134">
        <v>58.9</v>
      </c>
      <c r="D134" s="80">
        <v>43343</v>
      </c>
      <c r="E134" s="77" t="e">
        <f t="shared" si="33"/>
        <v>#N/A</v>
      </c>
      <c r="F134" s="81">
        <f t="shared" si="35"/>
        <v>8.2242695031229438</v>
      </c>
      <c r="J134" s="76">
        <f t="shared" si="36"/>
        <v>43343</v>
      </c>
      <c r="K134" s="159">
        <f t="shared" si="28"/>
        <v>32.897078012491775</v>
      </c>
      <c r="L134" s="84">
        <f t="shared" si="29"/>
        <v>49.345617018737663</v>
      </c>
      <c r="M134" s="84">
        <f t="shared" si="30"/>
        <v>65.79415602498355</v>
      </c>
      <c r="N134" s="84">
        <f t="shared" si="31"/>
        <v>82.242695031229431</v>
      </c>
      <c r="O134" s="84">
        <f t="shared" si="32"/>
        <v>98.691234037475326</v>
      </c>
      <c r="P134" s="85" t="e">
        <f t="shared" si="24"/>
        <v>#N/A</v>
      </c>
    </row>
    <row r="135" spans="1:16">
      <c r="A135" s="647">
        <v>42886</v>
      </c>
      <c r="B135">
        <v>58.1</v>
      </c>
      <c r="D135" s="80">
        <v>43373</v>
      </c>
      <c r="E135" s="77" t="e">
        <f t="shared" si="33"/>
        <v>#N/A</v>
      </c>
      <c r="F135" s="81">
        <f t="shared" si="35"/>
        <v>8.6011284841328681</v>
      </c>
      <c r="J135" s="76">
        <f t="shared" si="36"/>
        <v>43373</v>
      </c>
      <c r="K135" s="159">
        <f t="shared" si="28"/>
        <v>34.404513936531472</v>
      </c>
      <c r="L135" s="84">
        <f t="shared" si="29"/>
        <v>51.606770904797209</v>
      </c>
      <c r="M135" s="84">
        <f t="shared" si="30"/>
        <v>68.809027873062945</v>
      </c>
      <c r="N135" s="84">
        <f t="shared" si="31"/>
        <v>86.011284841328688</v>
      </c>
      <c r="O135" s="84">
        <f t="shared" si="32"/>
        <v>103.21354180959442</v>
      </c>
      <c r="P135" s="85" t="e">
        <f t="shared" si="24"/>
        <v>#N/A</v>
      </c>
    </row>
    <row r="136" spans="1:16">
      <c r="A136" s="647">
        <v>42885</v>
      </c>
      <c r="B136">
        <v>62.2</v>
      </c>
      <c r="D136" s="80">
        <v>43404</v>
      </c>
      <c r="E136" s="77"/>
      <c r="F136" s="81">
        <f t="shared" si="35"/>
        <v>8.9779874651427924</v>
      </c>
      <c r="J136" s="76">
        <f t="shared" si="36"/>
        <v>43404</v>
      </c>
      <c r="K136" s="159">
        <f t="shared" si="28"/>
        <v>35.91194986057117</v>
      </c>
      <c r="L136" s="84">
        <f t="shared" si="29"/>
        <v>53.867924790856755</v>
      </c>
      <c r="M136" s="84">
        <f t="shared" si="30"/>
        <v>71.82389972114234</v>
      </c>
      <c r="N136" s="84">
        <f t="shared" si="31"/>
        <v>89.779874651427917</v>
      </c>
      <c r="O136" s="84">
        <f t="shared" si="32"/>
        <v>107.73584958171351</v>
      </c>
      <c r="P136" s="85"/>
    </row>
    <row r="137" spans="1:16">
      <c r="A137" s="647">
        <v>42884</v>
      </c>
      <c r="B137">
        <v>62.5</v>
      </c>
      <c r="D137" s="80">
        <v>43434</v>
      </c>
      <c r="E137" s="77"/>
      <c r="F137" s="81">
        <f t="shared" si="35"/>
        <v>9.3548464461527168</v>
      </c>
      <c r="J137" s="76">
        <f t="shared" si="36"/>
        <v>43434</v>
      </c>
      <c r="K137" s="159">
        <f t="shared" si="28"/>
        <v>37.419385784610867</v>
      </c>
      <c r="L137" s="84">
        <f t="shared" si="29"/>
        <v>56.129078676916301</v>
      </c>
      <c r="M137" s="84">
        <f t="shared" si="30"/>
        <v>74.838771569221734</v>
      </c>
      <c r="N137" s="84">
        <f t="shared" si="31"/>
        <v>93.548464461527175</v>
      </c>
      <c r="O137" s="84">
        <f t="shared" si="32"/>
        <v>112.2581573538326</v>
      </c>
      <c r="P137" s="85"/>
    </row>
    <row r="138" spans="1:16">
      <c r="A138" s="647">
        <v>42881</v>
      </c>
      <c r="B138">
        <v>62.5</v>
      </c>
      <c r="D138" s="80">
        <v>43465</v>
      </c>
      <c r="E138" s="77"/>
      <c r="F138" s="81">
        <f t="shared" si="35"/>
        <v>9.7317054271626411</v>
      </c>
      <c r="J138" s="76">
        <f t="shared" si="36"/>
        <v>43465</v>
      </c>
      <c r="K138" s="159">
        <f t="shared" si="28"/>
        <v>38.926821708650564</v>
      </c>
      <c r="L138" s="84">
        <f t="shared" si="29"/>
        <v>58.390232562975847</v>
      </c>
      <c r="M138" s="84">
        <f t="shared" si="30"/>
        <v>77.853643417301129</v>
      </c>
      <c r="N138" s="84">
        <f t="shared" si="31"/>
        <v>97.317054271626404</v>
      </c>
      <c r="O138" s="84">
        <f t="shared" si="32"/>
        <v>116.78046512595169</v>
      </c>
      <c r="P138" s="85"/>
    </row>
    <row r="139" spans="1:16">
      <c r="A139" s="647">
        <v>42880</v>
      </c>
      <c r="B139">
        <v>63</v>
      </c>
      <c r="D139" s="80">
        <v>43496</v>
      </c>
      <c r="E139" s="77"/>
      <c r="F139" s="81">
        <f t="shared" si="35"/>
        <v>10.108564408172565</v>
      </c>
      <c r="J139" s="76">
        <f t="shared" si="36"/>
        <v>43496</v>
      </c>
      <c r="K139" s="159">
        <f t="shared" si="28"/>
        <v>40.434257632690262</v>
      </c>
      <c r="L139" s="84">
        <f t="shared" si="29"/>
        <v>60.651386449035392</v>
      </c>
      <c r="M139" s="84">
        <f t="shared" si="30"/>
        <v>80.868515265380523</v>
      </c>
      <c r="N139" s="84">
        <f t="shared" si="31"/>
        <v>101.08564408172566</v>
      </c>
      <c r="O139" s="84">
        <f t="shared" si="32"/>
        <v>121.30277289807078</v>
      </c>
      <c r="P139" s="85"/>
    </row>
    <row r="140" spans="1:16">
      <c r="A140" s="647">
        <v>42879</v>
      </c>
      <c r="B140">
        <v>63</v>
      </c>
      <c r="D140" s="80">
        <v>43524</v>
      </c>
      <c r="E140" s="77"/>
      <c r="F140" s="81">
        <f t="shared" si="35"/>
        <v>10.48542338918249</v>
      </c>
      <c r="J140" s="76">
        <f t="shared" si="36"/>
        <v>43524</v>
      </c>
      <c r="K140" s="159">
        <f t="shared" si="28"/>
        <v>41.941693556729959</v>
      </c>
      <c r="L140" s="84">
        <f t="shared" si="29"/>
        <v>62.912540335094938</v>
      </c>
      <c r="M140" s="84">
        <f t="shared" si="30"/>
        <v>83.883387113459918</v>
      </c>
      <c r="N140" s="84">
        <f t="shared" si="31"/>
        <v>104.85423389182489</v>
      </c>
      <c r="O140" s="84">
        <f t="shared" si="32"/>
        <v>125.82508067018988</v>
      </c>
      <c r="P140" s="85"/>
    </row>
    <row r="141" spans="1:16">
      <c r="A141" s="647">
        <v>42878</v>
      </c>
      <c r="B141">
        <v>62.7</v>
      </c>
      <c r="D141" s="80">
        <v>43555</v>
      </c>
      <c r="E141" s="77"/>
      <c r="F141" s="86">
        <f>I24</f>
        <v>10.86228237019241</v>
      </c>
      <c r="J141" s="76">
        <f t="shared" si="36"/>
        <v>43555</v>
      </c>
      <c r="K141" s="159">
        <f t="shared" ref="K141:K153" si="37">$F141*$K$3</f>
        <v>43.449129480769642</v>
      </c>
      <c r="L141" s="84">
        <f t="shared" ref="L141:L153" si="38">$F141*$L$3</f>
        <v>65.173694221154463</v>
      </c>
      <c r="M141" s="84">
        <f t="shared" ref="M141:M153" si="39">$F141*$M$3</f>
        <v>86.898258961539284</v>
      </c>
      <c r="N141" s="84">
        <f t="shared" ref="N141:N153" si="40">$F141*$N$3</f>
        <v>108.6228237019241</v>
      </c>
      <c r="O141" s="84">
        <f t="shared" ref="O141:O153" si="41">$F141*$O$3</f>
        <v>130.34738844230893</v>
      </c>
      <c r="P141" s="85"/>
    </row>
    <row r="142" spans="1:16">
      <c r="A142" s="647">
        <v>42877</v>
      </c>
      <c r="B142">
        <v>62.8</v>
      </c>
      <c r="D142" s="80">
        <v>43585</v>
      </c>
      <c r="E142" s="77"/>
      <c r="F142" s="81">
        <f t="shared" ref="F142:F152" si="42">(F141+(($F$153-$F$141)/12))</f>
        <v>11.052288773265643</v>
      </c>
      <c r="J142" s="76">
        <f t="shared" si="36"/>
        <v>43585</v>
      </c>
      <c r="K142" s="159">
        <f t="shared" si="37"/>
        <v>44.20915509306257</v>
      </c>
      <c r="L142" s="84">
        <f t="shared" si="38"/>
        <v>66.313732639593852</v>
      </c>
      <c r="M142" s="84">
        <f t="shared" si="39"/>
        <v>88.41831018612514</v>
      </c>
      <c r="N142" s="84">
        <f t="shared" si="40"/>
        <v>110.52288773265643</v>
      </c>
      <c r="O142" s="84">
        <f t="shared" si="41"/>
        <v>132.6274652791877</v>
      </c>
      <c r="P142" s="85"/>
    </row>
    <row r="143" spans="1:16">
      <c r="A143" s="647">
        <v>42874</v>
      </c>
      <c r="B143">
        <v>62.7</v>
      </c>
      <c r="D143" s="80">
        <v>43616</v>
      </c>
      <c r="E143" s="77"/>
      <c r="F143" s="81">
        <f t="shared" si="42"/>
        <v>11.242295176338875</v>
      </c>
      <c r="J143" s="76">
        <f t="shared" si="36"/>
        <v>43616</v>
      </c>
      <c r="K143" s="159">
        <f t="shared" si="37"/>
        <v>44.969180705355498</v>
      </c>
      <c r="L143" s="84">
        <f t="shared" si="38"/>
        <v>67.453771058033254</v>
      </c>
      <c r="M143" s="84">
        <f t="shared" si="39"/>
        <v>89.938361410710996</v>
      </c>
      <c r="N143" s="84">
        <f t="shared" si="40"/>
        <v>112.42295176338874</v>
      </c>
      <c r="O143" s="84">
        <f t="shared" si="41"/>
        <v>134.90754211606651</v>
      </c>
      <c r="P143" s="85"/>
    </row>
    <row r="144" spans="1:16">
      <c r="A144" s="647">
        <v>42873</v>
      </c>
      <c r="B144">
        <v>63</v>
      </c>
      <c r="D144" s="80">
        <v>43646</v>
      </c>
      <c r="E144" s="77"/>
      <c r="F144" s="81">
        <f t="shared" si="42"/>
        <v>11.432301579412107</v>
      </c>
      <c r="J144" s="76">
        <f t="shared" si="36"/>
        <v>43646</v>
      </c>
      <c r="K144" s="159">
        <f t="shared" si="37"/>
        <v>45.729206317648426</v>
      </c>
      <c r="L144" s="84">
        <f t="shared" si="38"/>
        <v>68.593809476472643</v>
      </c>
      <c r="M144" s="84">
        <f t="shared" si="39"/>
        <v>91.458412635296852</v>
      </c>
      <c r="N144" s="84">
        <f t="shared" si="40"/>
        <v>114.32301579412106</v>
      </c>
      <c r="O144" s="84">
        <f t="shared" si="41"/>
        <v>137.18761895294529</v>
      </c>
      <c r="P144" s="85"/>
    </row>
    <row r="145" spans="1:16">
      <c r="A145" s="647">
        <v>42872</v>
      </c>
      <c r="B145">
        <v>62</v>
      </c>
      <c r="D145" s="80">
        <v>43677</v>
      </c>
      <c r="E145" s="77"/>
      <c r="F145" s="81">
        <f t="shared" si="42"/>
        <v>11.622307982485339</v>
      </c>
      <c r="J145" s="76">
        <f t="shared" si="36"/>
        <v>43677</v>
      </c>
      <c r="K145" s="159">
        <f t="shared" si="37"/>
        <v>46.489231929941354</v>
      </c>
      <c r="L145" s="84">
        <f t="shared" si="38"/>
        <v>69.733847894912032</v>
      </c>
      <c r="M145" s="84">
        <f t="shared" si="39"/>
        <v>92.978463859882709</v>
      </c>
      <c r="N145" s="84">
        <f t="shared" si="40"/>
        <v>116.22307982485339</v>
      </c>
      <c r="O145" s="84">
        <f t="shared" si="41"/>
        <v>139.46769578982406</v>
      </c>
    </row>
    <row r="146" spans="1:16">
      <c r="A146" s="647">
        <v>42871</v>
      </c>
      <c r="B146">
        <v>61.5</v>
      </c>
      <c r="D146" s="80">
        <v>43708</v>
      </c>
      <c r="E146" s="77"/>
      <c r="F146" s="81">
        <f t="shared" si="42"/>
        <v>11.812314385558571</v>
      </c>
      <c r="J146" s="76">
        <f t="shared" si="36"/>
        <v>43708</v>
      </c>
      <c r="K146" s="159">
        <f t="shared" si="37"/>
        <v>47.249257542234282</v>
      </c>
      <c r="L146" s="84">
        <f t="shared" si="38"/>
        <v>70.87388631335142</v>
      </c>
      <c r="M146" s="84">
        <f t="shared" si="39"/>
        <v>94.498515084468565</v>
      </c>
      <c r="N146" s="84">
        <f t="shared" si="40"/>
        <v>118.12314385558571</v>
      </c>
      <c r="O146" s="84">
        <f t="shared" si="41"/>
        <v>141.74777262670284</v>
      </c>
    </row>
    <row r="147" spans="1:16">
      <c r="A147" s="647">
        <v>42870</v>
      </c>
      <c r="B147">
        <v>62.4</v>
      </c>
      <c r="D147" s="80">
        <v>43738</v>
      </c>
      <c r="E147" s="77"/>
      <c r="F147" s="81">
        <f t="shared" si="42"/>
        <v>12.002320788631803</v>
      </c>
      <c r="J147" s="76">
        <f t="shared" si="36"/>
        <v>43738</v>
      </c>
      <c r="K147" s="159">
        <f t="shared" si="37"/>
        <v>48.009283154527211</v>
      </c>
      <c r="L147" s="84">
        <f t="shared" si="38"/>
        <v>72.013924731790809</v>
      </c>
      <c r="M147" s="84">
        <f t="shared" si="39"/>
        <v>96.018566309054421</v>
      </c>
      <c r="N147" s="84">
        <f t="shared" si="40"/>
        <v>120.02320788631803</v>
      </c>
      <c r="O147" s="84">
        <f t="shared" si="41"/>
        <v>144.02784946358162</v>
      </c>
    </row>
    <row r="148" spans="1:16">
      <c r="A148" s="647">
        <v>42867</v>
      </c>
      <c r="B148">
        <v>63</v>
      </c>
      <c r="D148" s="80">
        <v>43769</v>
      </c>
      <c r="E148" s="77"/>
      <c r="F148" s="81">
        <f t="shared" si="42"/>
        <v>12.192327191705035</v>
      </c>
      <c r="J148" s="76">
        <f t="shared" si="36"/>
        <v>43769</v>
      </c>
      <c r="K148" s="159">
        <f t="shared" si="37"/>
        <v>48.769308766820139</v>
      </c>
      <c r="L148" s="84">
        <f t="shared" si="38"/>
        <v>73.153963150230211</v>
      </c>
      <c r="M148" s="84">
        <f t="shared" si="39"/>
        <v>97.538617533640277</v>
      </c>
      <c r="N148" s="84">
        <f t="shared" si="40"/>
        <v>121.92327191705034</v>
      </c>
      <c r="O148" s="84">
        <f t="shared" si="41"/>
        <v>146.30792630046042</v>
      </c>
    </row>
    <row r="149" spans="1:16">
      <c r="A149" s="647">
        <v>42864</v>
      </c>
      <c r="B149">
        <v>63</v>
      </c>
      <c r="D149" s="80">
        <v>43799</v>
      </c>
      <c r="E149" s="77"/>
      <c r="F149" s="81">
        <f t="shared" si="42"/>
        <v>12.382333594778267</v>
      </c>
      <c r="J149" s="76">
        <f t="shared" si="36"/>
        <v>43799</v>
      </c>
      <c r="K149" s="159">
        <f t="shared" si="37"/>
        <v>49.529334379113067</v>
      </c>
      <c r="L149" s="84">
        <f t="shared" si="38"/>
        <v>74.2940015686696</v>
      </c>
      <c r="M149" s="84">
        <f t="shared" si="39"/>
        <v>99.058668758226133</v>
      </c>
      <c r="N149" s="84">
        <f t="shared" si="40"/>
        <v>123.82333594778267</v>
      </c>
      <c r="O149" s="84">
        <f t="shared" si="41"/>
        <v>148.5880031373392</v>
      </c>
    </row>
    <row r="150" spans="1:16">
      <c r="A150" s="647">
        <v>42863</v>
      </c>
      <c r="B150">
        <v>63.7</v>
      </c>
      <c r="D150" s="80">
        <v>43830</v>
      </c>
      <c r="E150" s="77"/>
      <c r="F150" s="81">
        <f t="shared" si="42"/>
        <v>12.572339997851499</v>
      </c>
      <c r="J150" s="76">
        <f t="shared" si="36"/>
        <v>43830</v>
      </c>
      <c r="K150" s="159">
        <f t="shared" si="37"/>
        <v>50.289359991405995</v>
      </c>
      <c r="L150" s="84">
        <f t="shared" si="38"/>
        <v>75.434039987108989</v>
      </c>
      <c r="M150" s="84">
        <f t="shared" si="39"/>
        <v>100.57871998281199</v>
      </c>
      <c r="N150" s="84">
        <f t="shared" si="40"/>
        <v>125.72339997851499</v>
      </c>
      <c r="O150" s="84">
        <f t="shared" si="41"/>
        <v>150.86807997421798</v>
      </c>
    </row>
    <row r="151" spans="1:16">
      <c r="A151" s="647">
        <v>42860</v>
      </c>
      <c r="B151">
        <v>64.400000000000006</v>
      </c>
      <c r="D151" s="80">
        <v>43861</v>
      </c>
      <c r="E151" s="77"/>
      <c r="F151" s="81">
        <f t="shared" si="42"/>
        <v>12.762346400924731</v>
      </c>
      <c r="J151" s="76">
        <f t="shared" si="36"/>
        <v>43861</v>
      </c>
      <c r="K151" s="159">
        <f t="shared" si="37"/>
        <v>51.049385603698923</v>
      </c>
      <c r="L151" s="84">
        <f t="shared" si="38"/>
        <v>76.574078405548391</v>
      </c>
      <c r="M151" s="84">
        <f t="shared" si="39"/>
        <v>102.09877120739785</v>
      </c>
      <c r="N151" s="84">
        <f t="shared" si="40"/>
        <v>127.6234640092473</v>
      </c>
      <c r="O151" s="84">
        <f t="shared" si="41"/>
        <v>153.14815681109678</v>
      </c>
    </row>
    <row r="152" spans="1:16">
      <c r="A152" s="647">
        <v>42859</v>
      </c>
      <c r="B152">
        <v>61.1</v>
      </c>
      <c r="D152" s="80">
        <v>43890</v>
      </c>
      <c r="E152" s="77"/>
      <c r="F152" s="81">
        <f t="shared" si="42"/>
        <v>12.952352803997963</v>
      </c>
      <c r="J152" s="76">
        <f t="shared" si="36"/>
        <v>43890</v>
      </c>
      <c r="K152" s="159">
        <f t="shared" si="37"/>
        <v>51.809411215991851</v>
      </c>
      <c r="L152" s="84">
        <f t="shared" si="38"/>
        <v>77.71411682398778</v>
      </c>
      <c r="M152" s="84">
        <f t="shared" si="39"/>
        <v>103.6188224319837</v>
      </c>
      <c r="N152" s="84">
        <f t="shared" si="40"/>
        <v>129.52352803997962</v>
      </c>
      <c r="O152" s="84">
        <f t="shared" si="41"/>
        <v>155.42823364797556</v>
      </c>
    </row>
    <row r="153" spans="1:16">
      <c r="A153" s="647">
        <v>42858</v>
      </c>
      <c r="B153">
        <v>61</v>
      </c>
      <c r="D153" s="80">
        <v>43921</v>
      </c>
      <c r="E153" s="77"/>
      <c r="F153" s="86">
        <f>I25</f>
        <v>13.142359207071195</v>
      </c>
      <c r="J153" s="76">
        <f t="shared" si="36"/>
        <v>43921</v>
      </c>
      <c r="K153" s="159">
        <f t="shared" si="37"/>
        <v>52.569436828284779</v>
      </c>
      <c r="L153" s="84">
        <f t="shared" si="38"/>
        <v>78.854155242427169</v>
      </c>
      <c r="M153" s="84">
        <f t="shared" si="39"/>
        <v>105.13887365656956</v>
      </c>
      <c r="N153" s="84">
        <f t="shared" si="40"/>
        <v>131.42359207071195</v>
      </c>
      <c r="O153" s="84">
        <f t="shared" si="41"/>
        <v>157.70831048485434</v>
      </c>
    </row>
    <row r="154" spans="1:16">
      <c r="A154" s="647">
        <v>42857</v>
      </c>
      <c r="B154">
        <v>60.5</v>
      </c>
      <c r="D154" s="80">
        <v>43951</v>
      </c>
      <c r="E154" s="77"/>
      <c r="F154" s="81"/>
      <c r="J154" s="76">
        <f t="shared" si="36"/>
        <v>43951</v>
      </c>
      <c r="K154" s="84"/>
      <c r="L154" s="84"/>
      <c r="M154" s="84"/>
      <c r="N154" s="84"/>
      <c r="O154" s="84"/>
    </row>
    <row r="155" spans="1:16">
      <c r="A155" s="647">
        <v>42853</v>
      </c>
      <c r="B155">
        <v>59.5</v>
      </c>
      <c r="D155" s="80">
        <v>43982</v>
      </c>
      <c r="E155" s="77"/>
      <c r="F155" s="81"/>
      <c r="J155" s="76">
        <f t="shared" si="36"/>
        <v>43982</v>
      </c>
      <c r="K155" s="84"/>
      <c r="L155" s="84"/>
      <c r="M155" s="84"/>
      <c r="N155" s="84"/>
      <c r="O155" s="84"/>
    </row>
    <row r="156" spans="1:16">
      <c r="A156" s="647">
        <v>42852</v>
      </c>
      <c r="B156">
        <v>60</v>
      </c>
      <c r="D156" s="80">
        <v>44012</v>
      </c>
      <c r="E156" s="77"/>
      <c r="F156" s="81"/>
      <c r="J156" s="76">
        <f t="shared" si="36"/>
        <v>44012</v>
      </c>
      <c r="K156" s="84"/>
      <c r="L156" s="84"/>
      <c r="M156" s="84"/>
      <c r="N156" s="84"/>
      <c r="O156" s="84"/>
    </row>
    <row r="157" spans="1:16">
      <c r="A157" s="647">
        <v>42851</v>
      </c>
      <c r="B157">
        <v>60</v>
      </c>
      <c r="D157" s="80">
        <v>44043</v>
      </c>
      <c r="E157" s="77"/>
      <c r="F157" s="81"/>
      <c r="J157" s="76">
        <f t="shared" si="36"/>
        <v>44043</v>
      </c>
      <c r="K157" s="84"/>
      <c r="L157" s="84"/>
      <c r="M157" s="84"/>
      <c r="N157" s="84"/>
      <c r="O157" s="84"/>
    </row>
    <row r="158" spans="1:16">
      <c r="A158" s="647">
        <v>42850</v>
      </c>
      <c r="B158">
        <v>58.5</v>
      </c>
      <c r="D158" s="80">
        <v>44074</v>
      </c>
      <c r="E158" s="77"/>
      <c r="F158" s="81"/>
      <c r="J158" s="76">
        <f t="shared" si="36"/>
        <v>44074</v>
      </c>
      <c r="K158" s="84"/>
      <c r="L158" s="84"/>
      <c r="M158" s="84"/>
      <c r="N158" s="84"/>
      <c r="O158" s="84"/>
      <c r="P158" s="75"/>
    </row>
    <row r="159" spans="1:16">
      <c r="A159" s="647">
        <v>42849</v>
      </c>
      <c r="B159">
        <v>60</v>
      </c>
      <c r="D159" s="80">
        <v>44104</v>
      </c>
      <c r="E159" s="77"/>
      <c r="F159" s="81"/>
      <c r="J159" s="76">
        <f t="shared" si="36"/>
        <v>44104</v>
      </c>
      <c r="K159" s="84"/>
      <c r="L159" s="84"/>
      <c r="M159" s="84"/>
      <c r="N159" s="84"/>
      <c r="O159" s="84"/>
      <c r="P159" s="75"/>
    </row>
    <row r="160" spans="1:16">
      <c r="A160" s="647">
        <v>42846</v>
      </c>
      <c r="B160">
        <v>61</v>
      </c>
      <c r="D160" s="80">
        <v>44135</v>
      </c>
      <c r="E160" s="77"/>
      <c r="F160" s="81"/>
      <c r="J160" s="76">
        <f t="shared" si="36"/>
        <v>44135</v>
      </c>
      <c r="K160" s="84"/>
      <c r="L160" s="84"/>
      <c r="M160" s="84"/>
      <c r="N160" s="84"/>
      <c r="O160" s="84"/>
      <c r="P160" s="75"/>
    </row>
    <row r="161" spans="1:16">
      <c r="A161" s="647">
        <v>42845</v>
      </c>
      <c r="B161">
        <v>60</v>
      </c>
      <c r="D161" s="80">
        <v>44165</v>
      </c>
      <c r="E161" s="77"/>
      <c r="F161" s="81"/>
      <c r="J161" s="76">
        <f t="shared" si="36"/>
        <v>44165</v>
      </c>
      <c r="K161" s="84"/>
      <c r="L161" s="84"/>
      <c r="M161" s="84"/>
      <c r="N161" s="84"/>
      <c r="O161" s="84"/>
      <c r="P161" s="75"/>
    </row>
    <row r="162" spans="1:16">
      <c r="A162" s="647">
        <v>42844</v>
      </c>
      <c r="B162">
        <v>58.3</v>
      </c>
      <c r="D162" s="80">
        <v>44196</v>
      </c>
      <c r="E162" s="77"/>
      <c r="F162" s="81">
        <f>F161+(($F$168-$F$156)/12)</f>
        <v>0</v>
      </c>
      <c r="J162" s="76">
        <f t="shared" ref="J162:J180" si="43">D162</f>
        <v>44196</v>
      </c>
      <c r="K162" s="84"/>
      <c r="L162" s="84"/>
      <c r="M162" s="84"/>
      <c r="N162" s="84"/>
      <c r="O162" s="84"/>
      <c r="P162" s="75"/>
    </row>
    <row r="163" spans="1:16">
      <c r="A163" s="647">
        <v>42843</v>
      </c>
      <c r="B163">
        <v>58.2</v>
      </c>
      <c r="D163" s="80">
        <v>44227</v>
      </c>
      <c r="E163" s="77"/>
      <c r="F163" s="81"/>
      <c r="J163" s="76">
        <f t="shared" si="43"/>
        <v>44227</v>
      </c>
      <c r="K163" s="84"/>
      <c r="L163" s="84"/>
      <c r="M163" s="84"/>
      <c r="N163" s="84"/>
      <c r="O163" s="84"/>
      <c r="P163" s="75"/>
    </row>
    <row r="164" spans="1:16">
      <c r="A164" s="647">
        <v>42842</v>
      </c>
      <c r="B164">
        <v>58.2</v>
      </c>
      <c r="D164" s="80">
        <v>44255</v>
      </c>
      <c r="E164" s="77"/>
      <c r="F164" s="81"/>
      <c r="J164" s="76">
        <f t="shared" si="43"/>
        <v>44255</v>
      </c>
      <c r="K164" s="84"/>
      <c r="L164" s="84"/>
      <c r="M164" s="84"/>
      <c r="N164" s="84"/>
      <c r="O164" s="84"/>
      <c r="P164" s="75"/>
    </row>
    <row r="165" spans="1:16">
      <c r="A165" s="647">
        <v>42837</v>
      </c>
      <c r="B165">
        <v>59.3</v>
      </c>
      <c r="D165" s="80">
        <v>44286</v>
      </c>
      <c r="E165" s="77"/>
      <c r="F165" s="86"/>
      <c r="J165" s="76">
        <f t="shared" si="43"/>
        <v>44286</v>
      </c>
      <c r="K165" s="84"/>
      <c r="L165" s="84"/>
      <c r="M165" s="84"/>
      <c r="N165" s="84"/>
      <c r="O165" s="84"/>
      <c r="P165" s="75"/>
    </row>
    <row r="166" spans="1:16">
      <c r="A166" s="647">
        <v>42836</v>
      </c>
      <c r="B166">
        <v>56.2</v>
      </c>
      <c r="D166" s="80">
        <v>44316</v>
      </c>
      <c r="E166" s="77"/>
      <c r="F166" s="81"/>
      <c r="J166" s="76">
        <f t="shared" si="43"/>
        <v>44316</v>
      </c>
      <c r="K166" s="84"/>
      <c r="L166" s="84"/>
      <c r="M166" s="84"/>
      <c r="N166" s="84"/>
      <c r="O166" s="84"/>
      <c r="P166" s="75"/>
    </row>
    <row r="167" spans="1:16">
      <c r="A167" s="647">
        <v>42832</v>
      </c>
      <c r="B167">
        <v>56.5</v>
      </c>
      <c r="D167" s="80">
        <v>44347</v>
      </c>
      <c r="E167" s="77"/>
      <c r="F167" s="81"/>
      <c r="J167" s="76">
        <f t="shared" si="43"/>
        <v>44347</v>
      </c>
      <c r="K167" s="84"/>
      <c r="L167" s="84"/>
      <c r="M167" s="84"/>
      <c r="N167" s="84"/>
      <c r="O167" s="84"/>
      <c r="P167" s="75"/>
    </row>
    <row r="168" spans="1:16">
      <c r="A168" s="647">
        <v>42831</v>
      </c>
      <c r="B168">
        <v>57</v>
      </c>
      <c r="D168" s="80">
        <v>44377</v>
      </c>
      <c r="E168" s="77"/>
      <c r="F168" s="81"/>
      <c r="J168" s="76">
        <f t="shared" si="43"/>
        <v>44377</v>
      </c>
      <c r="K168" s="84"/>
      <c r="L168" s="84"/>
      <c r="M168" s="84"/>
      <c r="N168" s="84"/>
      <c r="O168" s="84"/>
      <c r="P168" s="75"/>
    </row>
    <row r="169" spans="1:16">
      <c r="A169" s="647">
        <v>42830</v>
      </c>
      <c r="B169">
        <v>55.1</v>
      </c>
      <c r="D169" s="80">
        <v>44408</v>
      </c>
      <c r="E169" s="77"/>
      <c r="F169" s="81"/>
      <c r="J169" s="76">
        <f t="shared" si="43"/>
        <v>44408</v>
      </c>
      <c r="K169" s="84"/>
      <c r="L169" s="84"/>
      <c r="M169" s="84"/>
      <c r="N169" s="84"/>
      <c r="O169" s="84"/>
      <c r="P169" s="75"/>
    </row>
    <row r="170" spans="1:16">
      <c r="A170" s="647">
        <v>42829</v>
      </c>
      <c r="B170">
        <v>54.7</v>
      </c>
      <c r="D170" s="80">
        <v>44439</v>
      </c>
      <c r="E170" s="77"/>
      <c r="F170" s="81"/>
      <c r="J170" s="76">
        <f t="shared" si="43"/>
        <v>44439</v>
      </c>
      <c r="K170" s="84"/>
      <c r="L170" s="84"/>
      <c r="M170" s="84"/>
      <c r="N170" s="84"/>
      <c r="O170" s="84"/>
      <c r="P170" s="75"/>
    </row>
    <row r="171" spans="1:16">
      <c r="A171" s="647">
        <v>42828</v>
      </c>
      <c r="B171">
        <v>54.5</v>
      </c>
      <c r="D171" s="80">
        <v>44469</v>
      </c>
      <c r="E171" s="77"/>
      <c r="F171" s="81"/>
      <c r="J171" s="76">
        <f t="shared" si="43"/>
        <v>44469</v>
      </c>
      <c r="K171" s="84"/>
      <c r="L171" s="84"/>
      <c r="M171" s="84"/>
      <c r="N171" s="84"/>
      <c r="O171" s="84"/>
      <c r="P171" s="75"/>
    </row>
    <row r="172" spans="1:16">
      <c r="A172" s="647">
        <v>42825</v>
      </c>
      <c r="B172">
        <v>54.5</v>
      </c>
      <c r="D172" s="80">
        <v>44500</v>
      </c>
      <c r="E172" s="77"/>
      <c r="F172" s="81"/>
      <c r="J172" s="76">
        <f t="shared" si="43"/>
        <v>44500</v>
      </c>
      <c r="K172" s="84"/>
      <c r="L172" s="84"/>
      <c r="M172" s="84"/>
      <c r="N172" s="84"/>
      <c r="O172" s="84"/>
      <c r="P172" s="75"/>
    </row>
    <row r="173" spans="1:16">
      <c r="A173" s="647">
        <v>42824</v>
      </c>
      <c r="B173">
        <v>54.5</v>
      </c>
      <c r="D173" s="80">
        <v>44530</v>
      </c>
      <c r="E173" s="77"/>
      <c r="F173" s="81"/>
      <c r="J173" s="76">
        <f t="shared" si="43"/>
        <v>44530</v>
      </c>
      <c r="K173" s="84"/>
      <c r="L173" s="84"/>
      <c r="M173" s="84"/>
      <c r="N173" s="84"/>
      <c r="O173" s="84"/>
      <c r="P173" s="75"/>
    </row>
    <row r="174" spans="1:16">
      <c r="A174" s="647">
        <v>42823</v>
      </c>
      <c r="B174">
        <v>54.5</v>
      </c>
      <c r="D174" s="80">
        <v>44561</v>
      </c>
      <c r="E174" s="77"/>
      <c r="F174" s="81">
        <f>(F173+($F$180-$F$168)/12)</f>
        <v>0</v>
      </c>
      <c r="J174" s="76">
        <f t="shared" si="43"/>
        <v>44561</v>
      </c>
      <c r="K174" s="84"/>
      <c r="L174" s="84"/>
      <c r="M174" s="84"/>
      <c r="N174" s="84"/>
      <c r="O174" s="84"/>
      <c r="P174" s="75"/>
    </row>
    <row r="175" spans="1:16">
      <c r="A175" s="647">
        <v>42822</v>
      </c>
      <c r="B175">
        <v>54</v>
      </c>
      <c r="D175" s="80">
        <v>44592</v>
      </c>
      <c r="E175" s="77"/>
      <c r="F175" s="81"/>
      <c r="J175" s="76">
        <f t="shared" si="43"/>
        <v>44592</v>
      </c>
      <c r="K175" s="84"/>
      <c r="L175" s="84"/>
      <c r="M175" s="84"/>
      <c r="N175" s="84"/>
      <c r="O175" s="84"/>
      <c r="P175" s="75"/>
    </row>
    <row r="176" spans="1:16">
      <c r="A176" s="647">
        <v>42821</v>
      </c>
      <c r="B176">
        <v>54.5</v>
      </c>
      <c r="D176" s="80">
        <v>44620</v>
      </c>
      <c r="E176" s="77"/>
      <c r="F176" s="81"/>
      <c r="J176" s="76">
        <f t="shared" si="43"/>
        <v>44620</v>
      </c>
      <c r="K176" s="84"/>
      <c r="L176" s="84"/>
      <c r="M176" s="84"/>
      <c r="N176" s="84"/>
      <c r="O176" s="84"/>
      <c r="P176" s="75"/>
    </row>
    <row r="177" spans="1:16">
      <c r="A177" s="647">
        <v>42818</v>
      </c>
      <c r="B177">
        <v>54.5</v>
      </c>
      <c r="D177" s="80">
        <v>44651</v>
      </c>
      <c r="E177" s="77"/>
      <c r="F177" s="86"/>
      <c r="J177" s="76">
        <f t="shared" si="43"/>
        <v>44651</v>
      </c>
      <c r="K177" s="84"/>
      <c r="L177" s="84"/>
      <c r="M177" s="84"/>
      <c r="N177" s="84"/>
      <c r="O177" s="84"/>
      <c r="P177" s="75"/>
    </row>
    <row r="178" spans="1:16">
      <c r="A178" s="647">
        <v>42817</v>
      </c>
      <c r="B178">
        <v>54.1</v>
      </c>
      <c r="D178" s="80">
        <v>44681</v>
      </c>
      <c r="E178" s="77"/>
      <c r="F178" s="77"/>
      <c r="J178" s="76">
        <f t="shared" si="43"/>
        <v>44681</v>
      </c>
      <c r="K178" s="84"/>
      <c r="L178" s="84"/>
      <c r="M178" s="84"/>
      <c r="N178" s="84"/>
      <c r="O178" s="84"/>
      <c r="P178" s="75"/>
    </row>
    <row r="179" spans="1:16">
      <c r="A179" s="647">
        <v>42816</v>
      </c>
      <c r="B179">
        <v>54.3</v>
      </c>
      <c r="D179" s="80">
        <v>44712</v>
      </c>
      <c r="E179" s="77"/>
      <c r="F179" s="77"/>
      <c r="J179" s="76">
        <f t="shared" si="43"/>
        <v>44712</v>
      </c>
      <c r="K179" s="84"/>
      <c r="L179" s="84"/>
      <c r="M179" s="84"/>
      <c r="N179" s="84"/>
      <c r="O179" s="84"/>
      <c r="P179" s="75"/>
    </row>
    <row r="180" spans="1:16">
      <c r="A180" s="647">
        <v>42815</v>
      </c>
      <c r="B180">
        <v>54.8</v>
      </c>
      <c r="D180" s="80">
        <v>44742</v>
      </c>
      <c r="E180" s="77"/>
      <c r="F180" s="90"/>
      <c r="J180" s="76">
        <f t="shared" si="43"/>
        <v>44742</v>
      </c>
      <c r="K180" s="84"/>
      <c r="L180" s="84"/>
      <c r="M180" s="84"/>
      <c r="N180" s="84"/>
      <c r="O180" s="84"/>
      <c r="P180" s="75"/>
    </row>
    <row r="181" spans="1:16">
      <c r="A181" s="647">
        <v>42814</v>
      </c>
      <c r="B181">
        <v>53.2</v>
      </c>
      <c r="P181" s="75"/>
    </row>
    <row r="182" spans="1:16">
      <c r="A182" s="647">
        <v>42811</v>
      </c>
      <c r="B182">
        <v>54</v>
      </c>
      <c r="P182" s="75"/>
    </row>
    <row r="183" spans="1:16">
      <c r="A183" s="647">
        <v>42810</v>
      </c>
      <c r="B183">
        <v>54.5</v>
      </c>
      <c r="P183" s="75"/>
    </row>
    <row r="184" spans="1:16">
      <c r="A184" s="647">
        <v>42809</v>
      </c>
      <c r="B184">
        <v>54.5</v>
      </c>
      <c r="P184" s="75"/>
    </row>
    <row r="185" spans="1:16">
      <c r="A185" s="647">
        <v>42808</v>
      </c>
      <c r="B185">
        <v>54.1</v>
      </c>
      <c r="P185" s="75"/>
    </row>
    <row r="186" spans="1:16">
      <c r="A186" s="647">
        <v>42807</v>
      </c>
      <c r="B186">
        <v>55</v>
      </c>
      <c r="P186" s="75"/>
    </row>
    <row r="187" spans="1:16">
      <c r="A187" s="647">
        <v>42804</v>
      </c>
      <c r="B187">
        <v>55</v>
      </c>
      <c r="P187" s="75"/>
    </row>
    <row r="188" spans="1:16">
      <c r="A188" s="647">
        <v>42803</v>
      </c>
      <c r="B188">
        <v>55</v>
      </c>
      <c r="P188" s="75"/>
    </row>
    <row r="189" spans="1:16">
      <c r="A189" s="647">
        <v>42802</v>
      </c>
      <c r="B189">
        <v>55.3</v>
      </c>
      <c r="P189" s="75"/>
    </row>
    <row r="190" spans="1:16">
      <c r="A190" s="647">
        <v>42801</v>
      </c>
      <c r="B190">
        <v>56.5</v>
      </c>
      <c r="P190" s="75"/>
    </row>
    <row r="191" spans="1:16">
      <c r="A191" s="647">
        <v>42800</v>
      </c>
      <c r="B191">
        <v>56.3</v>
      </c>
      <c r="P191" s="75"/>
    </row>
    <row r="192" spans="1:16">
      <c r="A192" s="647">
        <v>42797</v>
      </c>
      <c r="B192">
        <v>57.2</v>
      </c>
      <c r="P192" s="75"/>
    </row>
    <row r="193" spans="1:16">
      <c r="A193" s="647">
        <v>42796</v>
      </c>
      <c r="B193">
        <v>57.6</v>
      </c>
      <c r="P193" s="75"/>
    </row>
    <row r="194" spans="1:16">
      <c r="A194" s="647">
        <v>42795</v>
      </c>
      <c r="B194">
        <v>57.7</v>
      </c>
      <c r="P194" s="75"/>
    </row>
    <row r="195" spans="1:16">
      <c r="A195" s="647">
        <v>42794</v>
      </c>
      <c r="B195">
        <v>57.8</v>
      </c>
      <c r="P195" s="75"/>
    </row>
    <row r="196" spans="1:16">
      <c r="A196" s="647">
        <v>42793</v>
      </c>
      <c r="B196" s="191">
        <v>58.2</v>
      </c>
      <c r="P196" s="75"/>
    </row>
    <row r="197" spans="1:16">
      <c r="A197" s="647">
        <v>42789</v>
      </c>
      <c r="B197" s="191">
        <v>59</v>
      </c>
      <c r="P197" s="75"/>
    </row>
    <row r="198" spans="1:16">
      <c r="A198" s="647">
        <v>42788</v>
      </c>
      <c r="B198" s="191">
        <v>58</v>
      </c>
    </row>
    <row r="199" spans="1:16">
      <c r="A199" s="647">
        <v>42787</v>
      </c>
      <c r="B199" s="191">
        <v>59</v>
      </c>
    </row>
    <row r="200" spans="1:16">
      <c r="A200" s="647">
        <v>42786</v>
      </c>
      <c r="B200" s="191">
        <v>60</v>
      </c>
    </row>
    <row r="201" spans="1:16">
      <c r="A201" s="647">
        <v>42783</v>
      </c>
      <c r="B201" s="191">
        <v>60</v>
      </c>
    </row>
    <row r="202" spans="1:16">
      <c r="A202" s="647">
        <v>42782</v>
      </c>
      <c r="B202" s="191">
        <v>60</v>
      </c>
    </row>
    <row r="203" spans="1:16">
      <c r="A203" s="647">
        <v>42781</v>
      </c>
      <c r="B203">
        <v>60</v>
      </c>
    </row>
    <row r="204" spans="1:16">
      <c r="A204" s="647">
        <v>42780</v>
      </c>
      <c r="B204">
        <v>59.5</v>
      </c>
    </row>
    <row r="205" spans="1:16">
      <c r="A205" s="647">
        <v>42779</v>
      </c>
      <c r="B205">
        <v>57.3</v>
      </c>
    </row>
    <row r="206" spans="1:16">
      <c r="A206" s="647">
        <v>42775</v>
      </c>
      <c r="B206">
        <v>57.7</v>
      </c>
    </row>
    <row r="207" spans="1:16">
      <c r="A207" s="647">
        <v>42774</v>
      </c>
      <c r="B207">
        <v>57.7</v>
      </c>
    </row>
    <row r="208" spans="1:16">
      <c r="A208" s="647">
        <v>42773</v>
      </c>
      <c r="B208">
        <v>57</v>
      </c>
    </row>
    <row r="209" spans="1:2">
      <c r="A209" s="647">
        <v>42772</v>
      </c>
      <c r="B209">
        <v>58.8</v>
      </c>
    </row>
    <row r="210" spans="1:2">
      <c r="A210" s="647">
        <v>42769</v>
      </c>
      <c r="B210">
        <v>58</v>
      </c>
    </row>
    <row r="211" spans="1:2">
      <c r="A211" s="647">
        <v>42768</v>
      </c>
      <c r="B211">
        <v>59</v>
      </c>
    </row>
    <row r="212" spans="1:2">
      <c r="A212" s="647">
        <v>42767</v>
      </c>
      <c r="B212">
        <v>59</v>
      </c>
    </row>
    <row r="213" spans="1:2">
      <c r="A213" s="647">
        <v>42766</v>
      </c>
      <c r="B213">
        <v>59</v>
      </c>
    </row>
    <row r="214" spans="1:2">
      <c r="A214" s="647">
        <v>42765</v>
      </c>
      <c r="B214">
        <v>59</v>
      </c>
    </row>
    <row r="215" spans="1:2">
      <c r="A215" s="647">
        <v>42762</v>
      </c>
      <c r="B215">
        <v>60</v>
      </c>
    </row>
    <row r="216" spans="1:2">
      <c r="A216" s="647">
        <v>42761</v>
      </c>
      <c r="B216">
        <v>59.2</v>
      </c>
    </row>
    <row r="217" spans="1:2">
      <c r="A217" s="647">
        <v>42760</v>
      </c>
      <c r="B217">
        <v>59.5</v>
      </c>
    </row>
    <row r="218" spans="1:2">
      <c r="A218" s="647">
        <v>42759</v>
      </c>
      <c r="B218">
        <v>60</v>
      </c>
    </row>
    <row r="219" spans="1:2">
      <c r="A219" s="647">
        <v>42758</v>
      </c>
      <c r="B219">
        <v>60</v>
      </c>
    </row>
    <row r="220" spans="1:2">
      <c r="A220" s="647">
        <v>42755</v>
      </c>
      <c r="B220">
        <v>60</v>
      </c>
    </row>
    <row r="221" spans="1:2">
      <c r="A221" s="647">
        <v>42754</v>
      </c>
      <c r="B221">
        <v>60</v>
      </c>
    </row>
    <row r="222" spans="1:2">
      <c r="A222" s="647">
        <v>42753</v>
      </c>
      <c r="B222">
        <v>60</v>
      </c>
    </row>
    <row r="223" spans="1:2">
      <c r="A223" s="647">
        <v>42752</v>
      </c>
      <c r="B223">
        <v>61</v>
      </c>
    </row>
    <row r="224" spans="1:2">
      <c r="A224" s="647">
        <v>42751</v>
      </c>
      <c r="B224">
        <v>60.6</v>
      </c>
    </row>
    <row r="225" spans="1:16">
      <c r="A225" s="647">
        <v>42748</v>
      </c>
      <c r="B225">
        <v>60.3</v>
      </c>
    </row>
    <row r="226" spans="1:16">
      <c r="A226" s="647">
        <v>42746</v>
      </c>
      <c r="B226">
        <v>60.2</v>
      </c>
    </row>
    <row r="227" spans="1:16">
      <c r="A227" s="647">
        <v>42745</v>
      </c>
      <c r="B227">
        <v>60</v>
      </c>
    </row>
    <row r="228" spans="1:16">
      <c r="A228" s="647">
        <v>42744</v>
      </c>
      <c r="B228">
        <v>59.9</v>
      </c>
    </row>
    <row r="229" spans="1:16">
      <c r="A229" s="647">
        <v>42741</v>
      </c>
      <c r="B229">
        <v>60</v>
      </c>
    </row>
    <row r="230" spans="1:16">
      <c r="A230" s="647">
        <v>42740</v>
      </c>
      <c r="B230">
        <v>60</v>
      </c>
    </row>
    <row r="231" spans="1:16">
      <c r="A231" s="647">
        <v>42739</v>
      </c>
      <c r="B231">
        <v>60</v>
      </c>
      <c r="P231" s="75"/>
    </row>
    <row r="232" spans="1:16">
      <c r="A232" s="647">
        <v>42738</v>
      </c>
      <c r="B232">
        <v>60.5</v>
      </c>
      <c r="D232"/>
      <c r="P232" s="75"/>
    </row>
    <row r="233" spans="1:16">
      <c r="A233" s="647">
        <v>42737</v>
      </c>
      <c r="B233">
        <v>60.5</v>
      </c>
      <c r="D233" s="10">
        <f>MAX(B2220:B2972)</f>
        <v>0</v>
      </c>
      <c r="P233" s="75"/>
    </row>
    <row r="234" spans="1:16">
      <c r="A234" s="647">
        <v>42734</v>
      </c>
      <c r="B234">
        <v>61.5</v>
      </c>
      <c r="P234" s="75"/>
    </row>
    <row r="235" spans="1:16">
      <c r="A235" s="647">
        <v>42733</v>
      </c>
      <c r="B235">
        <v>60.7</v>
      </c>
      <c r="P235" s="75"/>
    </row>
    <row r="236" spans="1:16">
      <c r="A236" s="647">
        <v>42732</v>
      </c>
      <c r="B236">
        <v>59.8</v>
      </c>
      <c r="P236" s="75"/>
    </row>
    <row r="237" spans="1:16">
      <c r="A237" s="647">
        <v>42731</v>
      </c>
      <c r="B237">
        <v>59.8</v>
      </c>
      <c r="P237" s="75"/>
    </row>
    <row r="238" spans="1:16">
      <c r="A238" s="647">
        <v>42727</v>
      </c>
      <c r="B238">
        <v>60</v>
      </c>
      <c r="P238" s="75"/>
    </row>
    <row r="239" spans="1:16">
      <c r="A239" s="647">
        <v>42726</v>
      </c>
      <c r="B239">
        <v>60</v>
      </c>
      <c r="P239" s="75"/>
    </row>
    <row r="240" spans="1:16">
      <c r="A240" s="647">
        <v>42725</v>
      </c>
      <c r="B240">
        <v>59.8</v>
      </c>
      <c r="P240" s="75"/>
    </row>
    <row r="241" spans="1:16">
      <c r="A241" s="647">
        <v>42724</v>
      </c>
      <c r="B241">
        <v>59.9</v>
      </c>
      <c r="P241" s="75"/>
    </row>
    <row r="242" spans="1:16">
      <c r="A242" s="647">
        <v>42723</v>
      </c>
      <c r="B242">
        <v>59.4</v>
      </c>
      <c r="P242" s="75"/>
    </row>
    <row r="243" spans="1:16">
      <c r="A243" s="647">
        <v>42720</v>
      </c>
      <c r="B243">
        <v>60</v>
      </c>
      <c r="P243" s="75"/>
    </row>
    <row r="244" spans="1:16">
      <c r="A244" s="647">
        <v>42719</v>
      </c>
      <c r="B244">
        <v>59.6</v>
      </c>
      <c r="P244" s="75"/>
    </row>
    <row r="245" spans="1:16">
      <c r="A245" s="647">
        <v>42718</v>
      </c>
      <c r="B245">
        <v>59.9</v>
      </c>
      <c r="P245" s="75"/>
    </row>
    <row r="246" spans="1:16">
      <c r="A246" s="647">
        <v>42713</v>
      </c>
      <c r="B246">
        <v>60</v>
      </c>
      <c r="P246" s="75"/>
    </row>
    <row r="247" spans="1:16">
      <c r="A247" s="647">
        <v>42712</v>
      </c>
      <c r="B247">
        <v>60</v>
      </c>
      <c r="P247" s="75"/>
    </row>
    <row r="248" spans="1:16">
      <c r="A248" s="647">
        <v>42711</v>
      </c>
      <c r="B248">
        <v>60.9</v>
      </c>
      <c r="P248" s="75"/>
    </row>
    <row r="249" spans="1:16">
      <c r="A249" s="647">
        <v>42710</v>
      </c>
      <c r="B249">
        <v>61.5</v>
      </c>
      <c r="P249" s="75"/>
    </row>
    <row r="250" spans="1:16">
      <c r="A250" s="647">
        <v>42709</v>
      </c>
      <c r="B250">
        <v>60.3</v>
      </c>
      <c r="P250" s="75"/>
    </row>
    <row r="251" spans="1:16">
      <c r="A251" s="647">
        <v>42706</v>
      </c>
      <c r="B251">
        <v>61.9</v>
      </c>
      <c r="P251" s="75"/>
    </row>
    <row r="252" spans="1:16">
      <c r="A252" s="647">
        <v>42705</v>
      </c>
      <c r="B252">
        <v>59.6</v>
      </c>
      <c r="P252" s="75"/>
    </row>
    <row r="253" spans="1:16">
      <c r="A253" s="647">
        <v>42704</v>
      </c>
      <c r="B253">
        <v>60</v>
      </c>
      <c r="P253" s="75"/>
    </row>
    <row r="254" spans="1:16">
      <c r="A254" s="647">
        <v>42703</v>
      </c>
      <c r="B254">
        <v>60</v>
      </c>
      <c r="P254" s="75"/>
    </row>
    <row r="255" spans="1:16">
      <c r="A255" s="647">
        <v>42702</v>
      </c>
      <c r="B255">
        <v>60</v>
      </c>
      <c r="P255" s="75"/>
    </row>
    <row r="256" spans="1:16">
      <c r="A256" s="647">
        <v>42699</v>
      </c>
      <c r="B256">
        <v>60</v>
      </c>
      <c r="P256" s="75"/>
    </row>
    <row r="257" spans="1:16">
      <c r="A257" s="647">
        <v>42698</v>
      </c>
      <c r="B257">
        <v>59.6</v>
      </c>
      <c r="P257" s="75"/>
    </row>
    <row r="258" spans="1:16">
      <c r="A258" s="647">
        <v>42697</v>
      </c>
      <c r="B258">
        <v>59.3</v>
      </c>
      <c r="P258" s="75"/>
    </row>
    <row r="259" spans="1:16">
      <c r="A259" s="647">
        <v>42696</v>
      </c>
      <c r="B259">
        <v>61</v>
      </c>
      <c r="P259" s="75"/>
    </row>
    <row r="260" spans="1:16">
      <c r="A260" s="647">
        <v>42695</v>
      </c>
      <c r="B260">
        <v>61.6</v>
      </c>
      <c r="P260" s="75"/>
    </row>
    <row r="261" spans="1:16">
      <c r="A261" s="647">
        <v>42692</v>
      </c>
      <c r="B261">
        <v>61.2</v>
      </c>
      <c r="P261" s="75"/>
    </row>
    <row r="262" spans="1:16">
      <c r="A262" s="647">
        <v>42691</v>
      </c>
      <c r="B262">
        <v>62</v>
      </c>
      <c r="P262" s="75"/>
    </row>
    <row r="263" spans="1:16">
      <c r="A263" s="647">
        <v>42690</v>
      </c>
      <c r="B263">
        <v>61.5</v>
      </c>
      <c r="P263" s="75"/>
    </row>
    <row r="264" spans="1:16">
      <c r="A264" s="647">
        <v>42689</v>
      </c>
      <c r="B264">
        <v>62</v>
      </c>
      <c r="P264" s="75"/>
    </row>
    <row r="265" spans="1:16">
      <c r="A265" s="647">
        <v>42685</v>
      </c>
      <c r="B265">
        <v>62</v>
      </c>
      <c r="P265" s="75"/>
    </row>
    <row r="266" spans="1:16">
      <c r="A266" s="647">
        <v>42684</v>
      </c>
      <c r="B266">
        <v>62</v>
      </c>
      <c r="P266" s="75"/>
    </row>
    <row r="267" spans="1:16">
      <c r="A267" s="647">
        <v>42683</v>
      </c>
      <c r="B267">
        <v>62.6</v>
      </c>
      <c r="P267" s="75"/>
    </row>
    <row r="268" spans="1:16">
      <c r="A268" s="647">
        <v>42682</v>
      </c>
      <c r="B268">
        <v>62.6</v>
      </c>
      <c r="P268" s="75"/>
    </row>
    <row r="269" spans="1:16">
      <c r="A269" s="647">
        <v>42681</v>
      </c>
      <c r="B269">
        <v>63.1</v>
      </c>
      <c r="P269" s="75"/>
    </row>
    <row r="270" spans="1:16">
      <c r="A270" s="647">
        <v>42678</v>
      </c>
      <c r="B270">
        <v>63.1</v>
      </c>
      <c r="P270" s="75"/>
    </row>
    <row r="271" spans="1:16">
      <c r="A271" s="647">
        <v>42677</v>
      </c>
      <c r="B271">
        <v>62.2</v>
      </c>
      <c r="P271" s="75"/>
    </row>
    <row r="272" spans="1:16">
      <c r="A272" s="647">
        <v>42676</v>
      </c>
      <c r="B272">
        <v>62.9</v>
      </c>
      <c r="P272" s="75"/>
    </row>
    <row r="273" spans="1:16">
      <c r="A273" s="647">
        <v>42675</v>
      </c>
      <c r="B273">
        <v>63</v>
      </c>
      <c r="P273" s="75"/>
    </row>
    <row r="274" spans="1:16">
      <c r="A274" s="647">
        <v>42674</v>
      </c>
      <c r="B274">
        <v>63.3</v>
      </c>
      <c r="P274" s="75"/>
    </row>
    <row r="275" spans="1:16">
      <c r="A275" s="647">
        <v>42671</v>
      </c>
      <c r="B275">
        <v>63</v>
      </c>
      <c r="P275" s="75"/>
    </row>
    <row r="276" spans="1:16">
      <c r="A276" s="647">
        <v>42670</v>
      </c>
      <c r="B276">
        <v>63.4</v>
      </c>
      <c r="P276" s="75"/>
    </row>
    <row r="277" spans="1:16">
      <c r="A277" s="647">
        <v>42669</v>
      </c>
      <c r="B277">
        <v>63.7</v>
      </c>
      <c r="P277" s="75"/>
    </row>
    <row r="278" spans="1:16">
      <c r="A278" s="647">
        <v>42668</v>
      </c>
      <c r="B278">
        <v>63.8</v>
      </c>
      <c r="P278" s="75"/>
    </row>
    <row r="279" spans="1:16">
      <c r="A279" s="647">
        <v>42667</v>
      </c>
      <c r="B279">
        <v>63.8</v>
      </c>
      <c r="P279" s="75"/>
    </row>
    <row r="280" spans="1:16">
      <c r="A280" s="647">
        <v>42664</v>
      </c>
      <c r="B280">
        <v>64</v>
      </c>
      <c r="P280" s="75"/>
    </row>
    <row r="281" spans="1:16">
      <c r="A281" s="647">
        <v>42663</v>
      </c>
      <c r="B281">
        <v>64</v>
      </c>
      <c r="P281" s="75"/>
    </row>
    <row r="282" spans="1:16">
      <c r="A282" s="647">
        <v>42662</v>
      </c>
      <c r="B282">
        <v>64</v>
      </c>
      <c r="P282" s="75"/>
    </row>
    <row r="283" spans="1:16">
      <c r="A283" s="647">
        <v>42661</v>
      </c>
      <c r="B283">
        <v>63</v>
      </c>
      <c r="P283" s="75"/>
    </row>
    <row r="284" spans="1:16">
      <c r="A284" s="647">
        <v>42660</v>
      </c>
      <c r="B284">
        <v>62.8</v>
      </c>
      <c r="P284" s="75"/>
    </row>
    <row r="285" spans="1:16">
      <c r="A285" s="647">
        <v>42657</v>
      </c>
      <c r="B285">
        <v>62.7</v>
      </c>
      <c r="P285" s="75"/>
    </row>
    <row r="286" spans="1:16">
      <c r="A286" s="647">
        <v>42656</v>
      </c>
      <c r="B286">
        <v>62.9</v>
      </c>
      <c r="P286" s="75"/>
    </row>
    <row r="287" spans="1:16">
      <c r="A287" s="647">
        <v>42655</v>
      </c>
      <c r="B287">
        <v>64</v>
      </c>
      <c r="P287" s="75"/>
    </row>
    <row r="288" spans="1:16">
      <c r="A288" s="647">
        <v>42654</v>
      </c>
      <c r="B288">
        <v>63.6</v>
      </c>
      <c r="P288" s="75"/>
    </row>
    <row r="289" spans="1:16">
      <c r="A289" s="647">
        <v>42653</v>
      </c>
      <c r="B289">
        <v>64.3</v>
      </c>
      <c r="P289" s="75"/>
    </row>
    <row r="290" spans="1:16">
      <c r="A290" s="647">
        <v>42650</v>
      </c>
      <c r="B290">
        <v>64.400000000000006</v>
      </c>
      <c r="P290" s="75"/>
    </row>
    <row r="291" spans="1:16">
      <c r="A291" s="647">
        <v>42649</v>
      </c>
      <c r="B291">
        <v>65</v>
      </c>
      <c r="P291" s="75"/>
    </row>
    <row r="292" spans="1:16">
      <c r="A292" s="647">
        <v>42648</v>
      </c>
      <c r="B292">
        <v>65</v>
      </c>
      <c r="P292" s="75"/>
    </row>
    <row r="293" spans="1:16">
      <c r="A293" s="647">
        <v>42647</v>
      </c>
      <c r="B293">
        <v>65</v>
      </c>
      <c r="P293" s="75"/>
    </row>
    <row r="294" spans="1:16">
      <c r="A294" s="647">
        <v>42646</v>
      </c>
      <c r="B294">
        <v>64.7</v>
      </c>
      <c r="P294" s="75"/>
    </row>
    <row r="295" spans="1:16">
      <c r="A295" s="647">
        <v>42643</v>
      </c>
      <c r="B295">
        <v>64.5</v>
      </c>
      <c r="P295" s="75"/>
    </row>
    <row r="296" spans="1:16">
      <c r="A296" s="647">
        <v>42642</v>
      </c>
      <c r="B296">
        <v>63.5</v>
      </c>
      <c r="P296" s="75"/>
    </row>
    <row r="297" spans="1:16">
      <c r="A297" s="647">
        <v>42641</v>
      </c>
      <c r="B297">
        <v>63</v>
      </c>
      <c r="P297" s="75"/>
    </row>
    <row r="298" spans="1:16">
      <c r="A298" s="647">
        <v>42640</v>
      </c>
      <c r="B298">
        <v>63</v>
      </c>
      <c r="P298" s="75"/>
    </row>
    <row r="299" spans="1:16">
      <c r="A299" s="647">
        <v>42639</v>
      </c>
      <c r="B299">
        <v>63.5</v>
      </c>
      <c r="P299" s="75"/>
    </row>
    <row r="300" spans="1:16">
      <c r="A300" s="647">
        <v>42636</v>
      </c>
      <c r="B300">
        <v>63.5</v>
      </c>
      <c r="P300" s="75"/>
    </row>
    <row r="301" spans="1:16">
      <c r="A301" s="647">
        <v>42635</v>
      </c>
      <c r="B301">
        <v>64</v>
      </c>
      <c r="P301" s="75"/>
    </row>
    <row r="302" spans="1:16">
      <c r="A302" s="647">
        <v>42634</v>
      </c>
      <c r="B302">
        <v>62.5</v>
      </c>
      <c r="P302" s="75"/>
    </row>
    <row r="303" spans="1:16">
      <c r="A303" s="647">
        <v>42633</v>
      </c>
      <c r="B303">
        <v>62.5</v>
      </c>
      <c r="P303" s="75"/>
    </row>
    <row r="304" spans="1:16">
      <c r="A304" s="647">
        <v>42632</v>
      </c>
      <c r="B304">
        <v>62.7</v>
      </c>
      <c r="P304" s="75"/>
    </row>
    <row r="305" spans="1:16">
      <c r="A305" s="647">
        <v>42628</v>
      </c>
      <c r="B305">
        <v>62.9</v>
      </c>
      <c r="P305" s="75"/>
    </row>
    <row r="306" spans="1:16">
      <c r="A306" s="647">
        <v>42627</v>
      </c>
      <c r="B306">
        <v>62.6</v>
      </c>
      <c r="P306" s="75"/>
    </row>
    <row r="307" spans="1:16">
      <c r="A307" s="647">
        <v>42626</v>
      </c>
      <c r="B307">
        <v>62.6</v>
      </c>
      <c r="P307" s="75"/>
    </row>
    <row r="308" spans="1:16">
      <c r="A308" s="647">
        <v>42622</v>
      </c>
      <c r="B308">
        <v>63.2</v>
      </c>
      <c r="P308" s="75"/>
    </row>
    <row r="309" spans="1:16">
      <c r="A309" s="647">
        <v>42621</v>
      </c>
      <c r="B309">
        <v>63</v>
      </c>
      <c r="P309" s="75"/>
    </row>
    <row r="310" spans="1:16">
      <c r="A310" s="647">
        <v>42620</v>
      </c>
      <c r="B310">
        <v>63.7</v>
      </c>
      <c r="P310" s="75"/>
    </row>
    <row r="311" spans="1:16">
      <c r="A311" s="647">
        <v>42619</v>
      </c>
      <c r="B311" s="191">
        <v>63.7</v>
      </c>
      <c r="P311" s="75"/>
    </row>
    <row r="312" spans="1:16">
      <c r="A312" s="647">
        <v>42618</v>
      </c>
      <c r="B312" s="191">
        <v>63.3</v>
      </c>
      <c r="P312" s="75"/>
    </row>
    <row r="313" spans="1:16">
      <c r="A313" s="647">
        <v>42615</v>
      </c>
      <c r="B313" s="191">
        <v>63.8</v>
      </c>
      <c r="P313" s="75"/>
    </row>
    <row r="314" spans="1:16">
      <c r="A314" s="647">
        <v>42614</v>
      </c>
      <c r="B314" s="191">
        <v>63.5</v>
      </c>
      <c r="P314" s="75"/>
    </row>
    <row r="315" spans="1:16">
      <c r="A315" s="647">
        <v>42613</v>
      </c>
      <c r="B315" s="191">
        <v>62.2</v>
      </c>
      <c r="P315" s="75"/>
    </row>
    <row r="316" spans="1:16">
      <c r="A316" s="647">
        <v>42612</v>
      </c>
      <c r="B316" s="191">
        <v>62.2</v>
      </c>
      <c r="P316" s="75"/>
    </row>
    <row r="317" spans="1:16">
      <c r="A317" s="647">
        <v>42611</v>
      </c>
      <c r="B317" s="191">
        <v>62</v>
      </c>
      <c r="P317" s="75"/>
    </row>
    <row r="318" spans="1:16">
      <c r="A318" s="647">
        <v>42608</v>
      </c>
      <c r="B318" s="191">
        <v>62</v>
      </c>
      <c r="P318" s="75"/>
    </row>
    <row r="319" spans="1:16">
      <c r="A319" s="647">
        <v>42607</v>
      </c>
      <c r="B319" s="191">
        <v>62.9</v>
      </c>
      <c r="P319" s="75"/>
    </row>
    <row r="320" spans="1:16">
      <c r="A320" s="647">
        <v>42606</v>
      </c>
      <c r="B320" s="191">
        <v>63.2</v>
      </c>
      <c r="P320" s="75"/>
    </row>
    <row r="321" spans="1:16">
      <c r="A321" s="647">
        <v>42605</v>
      </c>
      <c r="B321" s="191">
        <v>59.2</v>
      </c>
      <c r="P321" s="75"/>
    </row>
    <row r="322" spans="1:16">
      <c r="A322" s="647">
        <v>42604</v>
      </c>
      <c r="B322" s="191">
        <v>58.4</v>
      </c>
      <c r="C322" s="157"/>
      <c r="P322" s="75"/>
    </row>
    <row r="323" spans="1:16">
      <c r="A323" s="647">
        <v>42601</v>
      </c>
      <c r="B323" s="191">
        <v>58.9</v>
      </c>
      <c r="P323" s="75"/>
    </row>
    <row r="324" spans="1:16">
      <c r="A324" s="647">
        <v>42600</v>
      </c>
      <c r="B324" s="191">
        <v>58.9</v>
      </c>
      <c r="P324" s="75"/>
    </row>
    <row r="325" spans="1:16">
      <c r="A325" s="647">
        <v>42598</v>
      </c>
      <c r="B325" s="191">
        <v>58.9</v>
      </c>
      <c r="P325" s="75"/>
    </row>
    <row r="326" spans="1:16">
      <c r="A326" s="647">
        <v>42597</v>
      </c>
      <c r="B326" s="191">
        <v>58.6</v>
      </c>
      <c r="P326" s="75"/>
    </row>
    <row r="327" spans="1:16">
      <c r="A327" s="647">
        <v>42594</v>
      </c>
      <c r="B327" s="191">
        <v>58.6</v>
      </c>
      <c r="P327" s="75"/>
    </row>
    <row r="328" spans="1:16">
      <c r="A328" s="647">
        <v>42593</v>
      </c>
      <c r="B328" s="191">
        <v>58.9</v>
      </c>
      <c r="P328" s="75"/>
    </row>
    <row r="329" spans="1:16">
      <c r="A329" s="647">
        <v>42592</v>
      </c>
      <c r="B329" s="191">
        <v>58.9</v>
      </c>
      <c r="P329" s="75"/>
    </row>
    <row r="330" spans="1:16">
      <c r="A330" s="647">
        <v>42592</v>
      </c>
      <c r="B330">
        <v>59</v>
      </c>
      <c r="P330" s="75"/>
    </row>
    <row r="331" spans="1:16">
      <c r="A331" s="647">
        <v>42582</v>
      </c>
      <c r="B331">
        <v>59.4</v>
      </c>
      <c r="P331" s="75"/>
    </row>
    <row r="332" spans="1:16">
      <c r="A332" s="647">
        <v>42569</v>
      </c>
      <c r="B332">
        <v>58</v>
      </c>
      <c r="P332" s="75"/>
    </row>
    <row r="333" spans="1:16">
      <c r="A333" s="647">
        <v>42566</v>
      </c>
      <c r="B333">
        <v>58</v>
      </c>
      <c r="P333" s="75"/>
    </row>
    <row r="334" spans="1:16">
      <c r="A334" s="647">
        <v>42565</v>
      </c>
      <c r="B334">
        <v>58.1</v>
      </c>
      <c r="P334" s="75"/>
    </row>
    <row r="335" spans="1:16">
      <c r="A335" s="647">
        <v>42564</v>
      </c>
      <c r="B335">
        <v>58.2</v>
      </c>
      <c r="P335" s="75"/>
    </row>
    <row r="336" spans="1:16">
      <c r="A336" s="647">
        <v>42563</v>
      </c>
      <c r="B336">
        <v>58.3</v>
      </c>
      <c r="P336" s="75"/>
    </row>
    <row r="337" spans="1:16">
      <c r="A337" s="647">
        <v>42562</v>
      </c>
      <c r="B337">
        <v>59.5</v>
      </c>
      <c r="P337" s="75"/>
    </row>
    <row r="338" spans="1:16">
      <c r="A338" s="647">
        <v>42559</v>
      </c>
      <c r="B338">
        <v>58.3</v>
      </c>
      <c r="P338" s="75"/>
    </row>
    <row r="339" spans="1:16">
      <c r="A339" s="647">
        <v>42558</v>
      </c>
      <c r="B339">
        <v>58.4</v>
      </c>
      <c r="P339" s="75"/>
    </row>
    <row r="340" spans="1:16">
      <c r="A340" s="647">
        <v>42556</v>
      </c>
      <c r="B340">
        <v>56</v>
      </c>
      <c r="P340" s="75"/>
    </row>
    <row r="341" spans="1:16">
      <c r="A341" s="647">
        <v>42555</v>
      </c>
      <c r="B341">
        <v>57.5</v>
      </c>
      <c r="P341" s="75"/>
    </row>
    <row r="342" spans="1:16">
      <c r="A342" s="647">
        <v>42549</v>
      </c>
      <c r="B342">
        <v>57.5</v>
      </c>
      <c r="P342" s="75"/>
    </row>
    <row r="343" spans="1:16">
      <c r="A343" s="647">
        <v>42549</v>
      </c>
      <c r="B343">
        <v>57.5</v>
      </c>
      <c r="P343" s="75"/>
    </row>
    <row r="344" spans="1:16">
      <c r="A344" s="647">
        <v>42548</v>
      </c>
      <c r="B344">
        <v>57</v>
      </c>
      <c r="P344" s="75"/>
    </row>
    <row r="345" spans="1:16">
      <c r="A345" s="647">
        <v>42545</v>
      </c>
      <c r="B345">
        <v>57.75</v>
      </c>
      <c r="P345" s="75"/>
    </row>
    <row r="346" spans="1:16">
      <c r="A346" s="647">
        <v>42544</v>
      </c>
      <c r="B346">
        <v>57.95</v>
      </c>
      <c r="P346" s="75"/>
    </row>
    <row r="347" spans="1:16">
      <c r="A347" s="647">
        <v>42543</v>
      </c>
      <c r="B347">
        <v>58.3</v>
      </c>
      <c r="P347" s="75"/>
    </row>
    <row r="348" spans="1:16">
      <c r="A348" s="647">
        <v>42542</v>
      </c>
      <c r="B348">
        <v>58</v>
      </c>
      <c r="P348" s="75"/>
    </row>
    <row r="349" spans="1:16">
      <c r="A349" s="647">
        <v>42541</v>
      </c>
      <c r="B349">
        <v>58.1</v>
      </c>
      <c r="P349" s="75"/>
    </row>
    <row r="350" spans="1:16">
      <c r="A350" s="647">
        <v>42538</v>
      </c>
      <c r="B350">
        <v>57.9</v>
      </c>
      <c r="P350" s="75"/>
    </row>
    <row r="351" spans="1:16">
      <c r="A351" s="647">
        <v>42537</v>
      </c>
      <c r="B351">
        <v>57.8</v>
      </c>
      <c r="P351" s="75"/>
    </row>
    <row r="352" spans="1:16">
      <c r="A352" s="647">
        <v>42536</v>
      </c>
      <c r="B352">
        <v>58.65</v>
      </c>
      <c r="P352" s="75"/>
    </row>
    <row r="353" spans="1:16">
      <c r="A353" s="647">
        <v>42535</v>
      </c>
      <c r="B353">
        <v>58.8</v>
      </c>
      <c r="P353" s="75"/>
    </row>
    <row r="354" spans="1:16">
      <c r="A354" s="647">
        <v>42534</v>
      </c>
      <c r="B354">
        <v>59.15</v>
      </c>
      <c r="P354" s="75"/>
    </row>
    <row r="355" spans="1:16">
      <c r="A355" s="647">
        <v>42531</v>
      </c>
      <c r="B355">
        <v>59.5</v>
      </c>
      <c r="P355" s="75"/>
    </row>
    <row r="356" spans="1:16">
      <c r="A356" s="647">
        <v>42530</v>
      </c>
      <c r="B356">
        <v>59</v>
      </c>
      <c r="P356" s="75"/>
    </row>
    <row r="357" spans="1:16">
      <c r="A357" s="647">
        <v>42529</v>
      </c>
      <c r="B357">
        <v>59.5</v>
      </c>
      <c r="P357" s="75"/>
    </row>
    <row r="358" spans="1:16">
      <c r="A358" s="647">
        <v>42528</v>
      </c>
      <c r="B358">
        <v>59.5</v>
      </c>
      <c r="P358" s="75"/>
    </row>
    <row r="359" spans="1:16">
      <c r="A359" s="647">
        <v>42527</v>
      </c>
      <c r="B359">
        <v>60</v>
      </c>
      <c r="P359" s="75"/>
    </row>
    <row r="360" spans="1:16">
      <c r="A360" s="647">
        <v>42524</v>
      </c>
      <c r="B360">
        <v>58.75</v>
      </c>
      <c r="P360" s="75"/>
    </row>
    <row r="361" spans="1:16">
      <c r="A361" s="647">
        <v>42523</v>
      </c>
      <c r="B361">
        <v>59.45</v>
      </c>
      <c r="P361" s="75"/>
    </row>
    <row r="362" spans="1:16">
      <c r="A362" s="647">
        <v>42522</v>
      </c>
      <c r="B362">
        <v>59.4</v>
      </c>
      <c r="P362" s="75"/>
    </row>
    <row r="363" spans="1:16">
      <c r="A363" s="647">
        <v>42521</v>
      </c>
      <c r="B363">
        <v>58.85</v>
      </c>
      <c r="P363" s="75"/>
    </row>
    <row r="364" spans="1:16">
      <c r="A364" s="647">
        <v>42520</v>
      </c>
      <c r="B364">
        <v>59.6</v>
      </c>
      <c r="P364" s="75"/>
    </row>
    <row r="365" spans="1:16">
      <c r="A365" s="647">
        <v>42517</v>
      </c>
      <c r="B365">
        <v>60.9</v>
      </c>
      <c r="P365" s="75"/>
    </row>
    <row r="366" spans="1:16">
      <c r="A366" s="647">
        <v>42516</v>
      </c>
      <c r="B366">
        <v>60.8</v>
      </c>
      <c r="P366" s="75"/>
    </row>
    <row r="367" spans="1:16">
      <c r="A367" s="647">
        <v>42515</v>
      </c>
      <c r="B367">
        <v>61.15</v>
      </c>
      <c r="P367" s="75"/>
    </row>
    <row r="368" spans="1:16">
      <c r="A368" s="647">
        <v>42514</v>
      </c>
      <c r="B368">
        <v>61.2</v>
      </c>
      <c r="P368" s="75"/>
    </row>
    <row r="369" spans="1:16">
      <c r="A369" s="647">
        <v>42510</v>
      </c>
      <c r="B369">
        <v>61.8</v>
      </c>
      <c r="P369" s="75"/>
    </row>
    <row r="370" spans="1:16">
      <c r="A370" s="647">
        <v>42509</v>
      </c>
      <c r="B370">
        <v>62.1</v>
      </c>
      <c r="P370" s="75"/>
    </row>
    <row r="371" spans="1:16">
      <c r="A371" s="647">
        <v>42508</v>
      </c>
      <c r="B371">
        <v>61.5</v>
      </c>
      <c r="P371" s="75"/>
    </row>
    <row r="372" spans="1:16">
      <c r="A372" s="647">
        <v>42507</v>
      </c>
      <c r="B372">
        <v>61.45</v>
      </c>
      <c r="P372" s="75"/>
    </row>
    <row r="373" spans="1:16">
      <c r="A373" s="647">
        <v>42506</v>
      </c>
      <c r="B373">
        <v>61.95</v>
      </c>
      <c r="P373" s="75"/>
    </row>
    <row r="374" spans="1:16">
      <c r="A374" s="647">
        <v>42503</v>
      </c>
      <c r="B374">
        <v>62.2</v>
      </c>
      <c r="P374" s="75"/>
    </row>
    <row r="375" spans="1:16">
      <c r="A375" s="647">
        <v>42502</v>
      </c>
      <c r="B375">
        <v>61.95</v>
      </c>
      <c r="P375" s="75"/>
    </row>
    <row r="376" spans="1:16">
      <c r="A376" s="647">
        <v>42501</v>
      </c>
      <c r="B376">
        <v>58.5</v>
      </c>
      <c r="P376" s="75"/>
    </row>
    <row r="377" spans="1:16">
      <c r="A377" s="647">
        <v>42500</v>
      </c>
      <c r="B377">
        <v>56.9</v>
      </c>
      <c r="P377" s="75"/>
    </row>
    <row r="378" spans="1:16">
      <c r="A378" s="647">
        <v>42499</v>
      </c>
      <c r="B378">
        <v>55.6</v>
      </c>
      <c r="P378" s="75"/>
    </row>
    <row r="379" spans="1:16">
      <c r="A379" s="647">
        <v>42496</v>
      </c>
      <c r="B379">
        <v>56.5</v>
      </c>
      <c r="P379" s="75"/>
    </row>
    <row r="380" spans="1:16">
      <c r="A380" s="647">
        <v>42495</v>
      </c>
      <c r="B380">
        <v>56.25</v>
      </c>
      <c r="P380" s="75"/>
    </row>
    <row r="381" spans="1:16">
      <c r="A381" s="647">
        <v>42494</v>
      </c>
      <c r="B381">
        <v>56.5</v>
      </c>
      <c r="P381" s="75"/>
    </row>
    <row r="382" spans="1:16">
      <c r="A382" s="647">
        <v>42493</v>
      </c>
      <c r="B382">
        <v>56.5</v>
      </c>
      <c r="P382" s="75"/>
    </row>
    <row r="383" spans="1:16">
      <c r="A383" s="647">
        <v>42489</v>
      </c>
      <c r="B383">
        <v>56.5</v>
      </c>
      <c r="P383" s="75"/>
    </row>
    <row r="384" spans="1:16">
      <c r="A384" s="647">
        <v>42488</v>
      </c>
      <c r="B384">
        <v>56.6</v>
      </c>
      <c r="P384" s="75"/>
    </row>
    <row r="385" spans="1:16">
      <c r="A385" s="647">
        <v>42487</v>
      </c>
      <c r="B385">
        <v>56.45</v>
      </c>
      <c r="P385" s="75"/>
    </row>
    <row r="386" spans="1:16">
      <c r="A386" s="647">
        <v>42486</v>
      </c>
      <c r="B386">
        <v>56.45</v>
      </c>
      <c r="P386" s="75"/>
    </row>
    <row r="387" spans="1:16">
      <c r="A387" s="647">
        <v>42485</v>
      </c>
      <c r="B387">
        <v>56</v>
      </c>
      <c r="P387" s="75"/>
    </row>
    <row r="388" spans="1:16">
      <c r="A388" s="647">
        <v>42482</v>
      </c>
      <c r="B388">
        <v>56.2</v>
      </c>
      <c r="P388" s="75"/>
    </row>
    <row r="389" spans="1:16">
      <c r="A389" s="647">
        <v>42480</v>
      </c>
      <c r="B389">
        <v>54.25</v>
      </c>
      <c r="P389" s="75"/>
    </row>
    <row r="390" spans="1:16">
      <c r="A390" s="647">
        <v>42480</v>
      </c>
      <c r="B390">
        <v>0</v>
      </c>
      <c r="P390" s="75"/>
    </row>
    <row r="391" spans="1:16">
      <c r="A391" s="647">
        <v>42479</v>
      </c>
      <c r="B391">
        <v>53.5</v>
      </c>
      <c r="P391" s="75"/>
    </row>
    <row r="392" spans="1:16">
      <c r="A392" s="647">
        <v>42478</v>
      </c>
      <c r="B392">
        <v>53.7</v>
      </c>
      <c r="P392" s="75"/>
    </row>
    <row r="393" spans="1:16">
      <c r="A393" s="647">
        <v>42475</v>
      </c>
      <c r="B393">
        <v>53.4</v>
      </c>
      <c r="P393" s="75"/>
    </row>
    <row r="394" spans="1:16">
      <c r="A394" s="647">
        <v>42472</v>
      </c>
      <c r="B394">
        <v>53.5</v>
      </c>
      <c r="P394" s="75"/>
    </row>
    <row r="395" spans="1:16">
      <c r="A395" s="647">
        <v>42471</v>
      </c>
      <c r="B395">
        <v>53.45</v>
      </c>
      <c r="P395" s="75"/>
    </row>
    <row r="396" spans="1:16">
      <c r="A396" s="647">
        <v>42468</v>
      </c>
      <c r="B396">
        <v>53.6</v>
      </c>
      <c r="P396" s="75"/>
    </row>
    <row r="397" spans="1:16">
      <c r="A397" s="647">
        <v>42467</v>
      </c>
      <c r="B397">
        <v>52.45</v>
      </c>
      <c r="P397" s="75"/>
    </row>
    <row r="398" spans="1:16">
      <c r="A398" s="647">
        <v>42466</v>
      </c>
      <c r="B398">
        <v>51.65</v>
      </c>
      <c r="P398" s="75"/>
    </row>
    <row r="399" spans="1:16">
      <c r="A399" s="647">
        <v>42465</v>
      </c>
      <c r="B399">
        <v>51.5</v>
      </c>
      <c r="P399" s="75"/>
    </row>
    <row r="400" spans="1:16">
      <c r="A400" s="647">
        <v>42464</v>
      </c>
      <c r="B400">
        <v>50.25</v>
      </c>
      <c r="P400" s="75"/>
    </row>
    <row r="401" spans="1:16">
      <c r="A401" s="647">
        <v>42461</v>
      </c>
      <c r="B401">
        <v>50.05</v>
      </c>
      <c r="P401" s="75"/>
    </row>
    <row r="402" spans="1:16">
      <c r="A402" s="647">
        <v>42460</v>
      </c>
      <c r="B402" s="156">
        <v>50.45</v>
      </c>
      <c r="P402" s="75"/>
    </row>
    <row r="403" spans="1:16">
      <c r="A403" s="647">
        <v>42459</v>
      </c>
      <c r="B403">
        <v>50.5</v>
      </c>
      <c r="P403" s="75"/>
    </row>
    <row r="404" spans="1:16">
      <c r="A404" s="647">
        <v>42458</v>
      </c>
      <c r="B404">
        <v>49.05</v>
      </c>
      <c r="P404" s="75"/>
    </row>
    <row r="405" spans="1:16">
      <c r="A405" s="647">
        <v>42457</v>
      </c>
      <c r="B405">
        <v>51.7</v>
      </c>
      <c r="P405" s="75"/>
    </row>
    <row r="406" spans="1:16">
      <c r="A406" s="647">
        <v>42453</v>
      </c>
      <c r="B406">
        <v>51.7</v>
      </c>
      <c r="P406" s="75"/>
    </row>
    <row r="407" spans="1:16">
      <c r="A407" s="647">
        <v>42452</v>
      </c>
      <c r="B407">
        <v>51.7</v>
      </c>
      <c r="P407" s="75"/>
    </row>
    <row r="408" spans="1:16">
      <c r="A408" s="647">
        <v>42450</v>
      </c>
      <c r="B408">
        <v>51.7</v>
      </c>
      <c r="P408" s="75"/>
    </row>
    <row r="409" spans="1:16">
      <c r="A409" s="647">
        <v>42447</v>
      </c>
      <c r="B409">
        <v>52.5</v>
      </c>
      <c r="P409" s="75"/>
    </row>
    <row r="410" spans="1:16">
      <c r="A410" s="647">
        <v>42446</v>
      </c>
      <c r="B410">
        <v>52.5</v>
      </c>
      <c r="P410" s="75"/>
    </row>
    <row r="411" spans="1:16">
      <c r="A411" s="647">
        <v>42445</v>
      </c>
      <c r="B411">
        <v>51.15</v>
      </c>
      <c r="P411" s="75"/>
    </row>
    <row r="412" spans="1:16">
      <c r="A412" s="647">
        <v>42444</v>
      </c>
      <c r="B412">
        <v>49.8</v>
      </c>
      <c r="P412" s="75"/>
    </row>
    <row r="413" spans="1:16">
      <c r="A413" s="647">
        <v>42443</v>
      </c>
      <c r="B413">
        <v>49.85</v>
      </c>
      <c r="P413" s="75"/>
    </row>
    <row r="414" spans="1:16">
      <c r="A414" s="647">
        <v>42440</v>
      </c>
      <c r="B414">
        <v>50.35</v>
      </c>
      <c r="P414" s="75"/>
    </row>
    <row r="415" spans="1:16">
      <c r="A415" s="647">
        <v>42439</v>
      </c>
      <c r="B415">
        <v>49.1</v>
      </c>
      <c r="P415" s="75"/>
    </row>
    <row r="416" spans="1:16">
      <c r="A416" s="647">
        <v>42438</v>
      </c>
      <c r="B416">
        <v>46.9</v>
      </c>
      <c r="P416" s="75"/>
    </row>
    <row r="417" spans="1:16">
      <c r="A417" s="647">
        <v>42437</v>
      </c>
      <c r="B417">
        <v>48.35</v>
      </c>
      <c r="P417" s="75"/>
    </row>
    <row r="418" spans="1:16">
      <c r="A418" s="647">
        <v>42433</v>
      </c>
      <c r="B418">
        <v>50.8</v>
      </c>
      <c r="P418" s="75"/>
    </row>
    <row r="419" spans="1:16">
      <c r="A419" s="647">
        <v>42432</v>
      </c>
      <c r="B419">
        <v>50.3</v>
      </c>
      <c r="P419" s="75"/>
    </row>
    <row r="420" spans="1:16">
      <c r="A420" s="647">
        <v>42431</v>
      </c>
      <c r="B420">
        <v>50</v>
      </c>
      <c r="P420" s="75"/>
    </row>
    <row r="421" spans="1:16">
      <c r="A421" s="647">
        <v>42430</v>
      </c>
      <c r="B421">
        <v>50</v>
      </c>
      <c r="P421" s="75"/>
    </row>
    <row r="422" spans="1:16">
      <c r="A422" s="647">
        <v>42429</v>
      </c>
      <c r="B422">
        <v>51</v>
      </c>
      <c r="P422" s="75"/>
    </row>
    <row r="423" spans="1:16">
      <c r="A423" s="647">
        <v>42426</v>
      </c>
      <c r="B423">
        <v>51.25</v>
      </c>
      <c r="P423" s="75"/>
    </row>
    <row r="424" spans="1:16">
      <c r="A424" s="647">
        <v>42425</v>
      </c>
      <c r="B424">
        <v>51.5</v>
      </c>
      <c r="P424" s="75"/>
    </row>
    <row r="425" spans="1:16">
      <c r="A425" s="647">
        <v>42424</v>
      </c>
      <c r="B425">
        <v>51.2</v>
      </c>
      <c r="P425" s="75"/>
    </row>
    <row r="426" spans="1:16">
      <c r="A426" s="647">
        <v>42423</v>
      </c>
      <c r="B426">
        <v>51.45</v>
      </c>
      <c r="P426" s="75"/>
    </row>
    <row r="427" spans="1:16">
      <c r="A427" s="647">
        <v>42419</v>
      </c>
      <c r="B427">
        <v>51.55</v>
      </c>
      <c r="P427" s="75"/>
    </row>
    <row r="428" spans="1:16">
      <c r="A428" s="647">
        <v>42418</v>
      </c>
      <c r="B428">
        <v>51.5</v>
      </c>
      <c r="P428" s="75"/>
    </row>
    <row r="429" spans="1:16">
      <c r="A429" s="647">
        <v>42417</v>
      </c>
      <c r="B429">
        <v>52.45</v>
      </c>
      <c r="P429" s="75"/>
    </row>
    <row r="430" spans="1:16">
      <c r="A430" s="647">
        <v>42416</v>
      </c>
      <c r="B430">
        <v>53.55</v>
      </c>
      <c r="P430" s="75"/>
    </row>
    <row r="431" spans="1:16">
      <c r="A431" s="647">
        <v>42415</v>
      </c>
      <c r="B431">
        <v>54.55</v>
      </c>
      <c r="P431" s="75"/>
    </row>
    <row r="432" spans="1:16">
      <c r="A432" s="647">
        <v>42412</v>
      </c>
      <c r="B432">
        <v>55.7</v>
      </c>
      <c r="P432" s="75"/>
    </row>
    <row r="433" spans="1:16">
      <c r="A433" s="647">
        <v>42411</v>
      </c>
      <c r="B433">
        <v>57</v>
      </c>
      <c r="P433" s="75"/>
    </row>
    <row r="434" spans="1:16">
      <c r="A434" s="647">
        <v>42410</v>
      </c>
      <c r="B434">
        <v>57.65</v>
      </c>
      <c r="P434" s="75"/>
    </row>
    <row r="435" spans="1:16">
      <c r="A435" s="647">
        <v>42409</v>
      </c>
      <c r="B435">
        <v>57.45</v>
      </c>
      <c r="P435" s="75"/>
    </row>
    <row r="436" spans="1:16">
      <c r="A436" s="647">
        <v>42408</v>
      </c>
      <c r="B436">
        <v>57.85</v>
      </c>
      <c r="P436" s="75"/>
    </row>
    <row r="437" spans="1:16">
      <c r="A437" s="647">
        <v>42405</v>
      </c>
      <c r="B437">
        <v>58.4</v>
      </c>
      <c r="P437" s="75"/>
    </row>
    <row r="438" spans="1:16">
      <c r="A438" s="647">
        <v>42403</v>
      </c>
      <c r="B438">
        <v>57.65</v>
      </c>
      <c r="P438" s="75"/>
    </row>
    <row r="439" spans="1:16">
      <c r="A439" s="647">
        <v>42402</v>
      </c>
      <c r="B439">
        <v>57.9</v>
      </c>
      <c r="P439" s="75"/>
    </row>
    <row r="440" spans="1:16">
      <c r="A440" s="647">
        <v>42401</v>
      </c>
      <c r="B440">
        <v>57.3</v>
      </c>
      <c r="P440" s="75"/>
    </row>
    <row r="441" spans="1:16">
      <c r="A441" s="647">
        <v>42398</v>
      </c>
      <c r="B441">
        <v>56</v>
      </c>
      <c r="P441" s="75"/>
    </row>
    <row r="442" spans="1:16">
      <c r="A442" s="647">
        <v>42397</v>
      </c>
      <c r="B442">
        <v>55.35</v>
      </c>
      <c r="P442" s="75"/>
    </row>
    <row r="443" spans="1:16">
      <c r="A443" s="647">
        <v>42396</v>
      </c>
      <c r="B443">
        <v>55.7</v>
      </c>
      <c r="P443" s="75"/>
    </row>
    <row r="444" spans="1:16">
      <c r="A444" s="647">
        <v>42395</v>
      </c>
      <c r="B444">
        <v>54.75</v>
      </c>
      <c r="P444" s="75"/>
    </row>
    <row r="445" spans="1:16">
      <c r="A445" s="647">
        <v>42394</v>
      </c>
      <c r="B445">
        <v>55.65</v>
      </c>
      <c r="P445" s="75"/>
    </row>
    <row r="446" spans="1:16">
      <c r="A446" s="647">
        <v>42391</v>
      </c>
      <c r="B446">
        <v>54.95</v>
      </c>
      <c r="P446" s="75"/>
    </row>
    <row r="447" spans="1:16">
      <c r="A447" s="647">
        <v>42390</v>
      </c>
      <c r="B447">
        <v>54.7</v>
      </c>
      <c r="P447" s="75"/>
    </row>
    <row r="448" spans="1:16">
      <c r="A448" s="647">
        <v>42389</v>
      </c>
      <c r="B448">
        <v>52.7</v>
      </c>
      <c r="P448" s="75"/>
    </row>
    <row r="449" spans="1:16">
      <c r="A449" s="647">
        <v>42388</v>
      </c>
      <c r="B449">
        <v>52.15</v>
      </c>
      <c r="P449" s="75"/>
    </row>
    <row r="450" spans="1:16">
      <c r="A450" s="647">
        <v>42387</v>
      </c>
      <c r="B450">
        <v>51.85</v>
      </c>
      <c r="P450" s="75"/>
    </row>
    <row r="451" spans="1:16">
      <c r="A451" s="647">
        <v>42383</v>
      </c>
      <c r="B451">
        <v>55.5</v>
      </c>
      <c r="P451" s="75"/>
    </row>
    <row r="452" spans="1:16">
      <c r="A452" s="647">
        <v>42382</v>
      </c>
      <c r="B452">
        <v>56.2</v>
      </c>
      <c r="P452" s="75"/>
    </row>
    <row r="453" spans="1:16">
      <c r="A453" s="647">
        <v>42381</v>
      </c>
      <c r="B453">
        <v>55.95</v>
      </c>
      <c r="P453" s="75"/>
    </row>
    <row r="454" spans="1:16">
      <c r="A454" s="647">
        <v>42380</v>
      </c>
      <c r="B454">
        <v>57</v>
      </c>
      <c r="P454" s="75"/>
    </row>
    <row r="455" spans="1:16">
      <c r="A455" s="647">
        <v>42377</v>
      </c>
      <c r="B455">
        <v>58.2</v>
      </c>
      <c r="P455" s="75"/>
    </row>
    <row r="456" spans="1:16">
      <c r="A456" s="647">
        <v>42376</v>
      </c>
      <c r="B456">
        <v>59.25</v>
      </c>
      <c r="P456" s="75"/>
    </row>
    <row r="457" spans="1:16">
      <c r="A457" s="647">
        <v>42375</v>
      </c>
      <c r="B457">
        <v>59.55</v>
      </c>
      <c r="P457" s="75"/>
    </row>
    <row r="458" spans="1:16">
      <c r="A458" s="647">
        <v>42374</v>
      </c>
      <c r="B458">
        <v>59.6</v>
      </c>
      <c r="P458" s="75"/>
    </row>
    <row r="459" spans="1:16">
      <c r="A459" s="647">
        <v>42373</v>
      </c>
      <c r="B459">
        <v>60.25</v>
      </c>
      <c r="P459" s="75"/>
    </row>
    <row r="460" spans="1:16">
      <c r="A460" s="647">
        <v>42369</v>
      </c>
      <c r="B460">
        <v>60.45</v>
      </c>
      <c r="P460" s="75"/>
    </row>
    <row r="461" spans="1:16">
      <c r="A461" s="647">
        <v>42368</v>
      </c>
      <c r="B461">
        <v>60.1</v>
      </c>
      <c r="P461" s="75"/>
    </row>
    <row r="462" spans="1:16">
      <c r="A462" s="647">
        <v>42367</v>
      </c>
      <c r="B462">
        <v>59.8</v>
      </c>
      <c r="P462" s="75"/>
    </row>
    <row r="463" spans="1:16">
      <c r="A463" s="647">
        <v>42366</v>
      </c>
      <c r="B463">
        <v>59.3</v>
      </c>
      <c r="P463" s="75"/>
    </row>
    <row r="464" spans="1:16">
      <c r="A464" s="647">
        <v>42361</v>
      </c>
      <c r="B464">
        <v>59.7</v>
      </c>
      <c r="P464" s="75"/>
    </row>
    <row r="465" spans="1:16">
      <c r="A465" s="647">
        <v>42360</v>
      </c>
      <c r="B465">
        <v>59.65</v>
      </c>
      <c r="P465" s="75"/>
    </row>
    <row r="466" spans="1:16">
      <c r="A466" s="647">
        <v>42359</v>
      </c>
      <c r="B466">
        <v>59.65</v>
      </c>
      <c r="P466" s="75"/>
    </row>
    <row r="467" spans="1:16">
      <c r="A467" s="647">
        <v>42356</v>
      </c>
      <c r="B467">
        <v>59.9</v>
      </c>
      <c r="P467" s="75"/>
    </row>
    <row r="468" spans="1:16">
      <c r="A468" s="647">
        <v>42355</v>
      </c>
      <c r="B468">
        <v>59.7</v>
      </c>
      <c r="P468" s="75"/>
    </row>
    <row r="469" spans="1:16">
      <c r="A469" s="647">
        <v>42354</v>
      </c>
      <c r="B469">
        <v>58.25</v>
      </c>
      <c r="P469" s="75"/>
    </row>
    <row r="470" spans="1:16">
      <c r="A470" s="647">
        <v>42353</v>
      </c>
      <c r="B470">
        <v>58.15</v>
      </c>
      <c r="P470" s="75"/>
    </row>
    <row r="471" spans="1:16">
      <c r="A471" s="647">
        <v>42352</v>
      </c>
      <c r="B471">
        <v>58.35</v>
      </c>
      <c r="P471" s="75"/>
    </row>
    <row r="472" spans="1:16">
      <c r="A472" s="647">
        <v>42349</v>
      </c>
      <c r="B472">
        <v>58.45</v>
      </c>
      <c r="P472" s="75"/>
    </row>
    <row r="473" spans="1:16">
      <c r="A473" s="647">
        <v>42348</v>
      </c>
      <c r="B473">
        <v>57.75</v>
      </c>
      <c r="P473" s="75"/>
    </row>
    <row r="474" spans="1:16">
      <c r="A474" s="647">
        <v>42347</v>
      </c>
      <c r="B474">
        <v>57.8</v>
      </c>
      <c r="P474" s="75"/>
    </row>
    <row r="475" spans="1:16">
      <c r="A475" s="647">
        <v>42346</v>
      </c>
      <c r="B475">
        <v>58.45</v>
      </c>
      <c r="P475" s="75"/>
    </row>
    <row r="476" spans="1:16">
      <c r="A476" s="647">
        <v>42345</v>
      </c>
      <c r="B476">
        <v>58.15</v>
      </c>
      <c r="P476" s="75"/>
    </row>
    <row r="477" spans="1:16">
      <c r="A477" s="647">
        <v>42342</v>
      </c>
      <c r="B477">
        <v>58.35</v>
      </c>
      <c r="P477" s="75"/>
    </row>
    <row r="478" spans="1:16">
      <c r="A478" s="647">
        <v>42341</v>
      </c>
      <c r="B478">
        <v>59</v>
      </c>
      <c r="P478" s="75"/>
    </row>
    <row r="479" spans="1:16">
      <c r="A479" s="647">
        <v>42340</v>
      </c>
      <c r="B479">
        <v>58.65</v>
      </c>
      <c r="P479" s="75"/>
    </row>
    <row r="480" spans="1:16">
      <c r="A480" s="647">
        <v>42339</v>
      </c>
      <c r="B480">
        <v>59.55</v>
      </c>
      <c r="P480" s="75"/>
    </row>
    <row r="481" spans="1:16">
      <c r="A481" s="647">
        <v>42338</v>
      </c>
      <c r="B481">
        <v>58.5</v>
      </c>
      <c r="P481" s="75"/>
    </row>
    <row r="482" spans="1:16">
      <c r="A482" s="647">
        <v>42335</v>
      </c>
      <c r="B482">
        <v>58.65</v>
      </c>
      <c r="P482" s="75"/>
    </row>
    <row r="483" spans="1:16">
      <c r="A483" s="647">
        <v>42334</v>
      </c>
      <c r="B483">
        <v>58.4</v>
      </c>
      <c r="P483" s="75"/>
    </row>
    <row r="484" spans="1:16">
      <c r="A484" s="647">
        <v>42332</v>
      </c>
      <c r="B484">
        <v>59.5</v>
      </c>
      <c r="P484" s="75"/>
    </row>
    <row r="485" spans="1:16">
      <c r="A485" s="647">
        <v>42331</v>
      </c>
      <c r="B485">
        <v>60</v>
      </c>
      <c r="P485" s="75"/>
    </row>
    <row r="486" spans="1:16">
      <c r="A486" s="647">
        <v>42328</v>
      </c>
      <c r="B486">
        <v>60</v>
      </c>
      <c r="P486" s="75"/>
    </row>
    <row r="487" spans="1:16">
      <c r="A487" s="647">
        <v>42327</v>
      </c>
      <c r="B487">
        <v>59.45</v>
      </c>
      <c r="P487" s="75"/>
    </row>
    <row r="488" spans="1:16">
      <c r="A488" s="647">
        <v>42326</v>
      </c>
      <c r="B488">
        <v>58.5</v>
      </c>
      <c r="P488" s="75"/>
    </row>
    <row r="489" spans="1:16">
      <c r="A489" s="647">
        <v>42325</v>
      </c>
      <c r="B489">
        <v>58.45</v>
      </c>
      <c r="P489" s="75"/>
    </row>
    <row r="490" spans="1:16">
      <c r="A490" s="647">
        <v>42324</v>
      </c>
      <c r="B490">
        <v>58.8</v>
      </c>
      <c r="P490" s="75"/>
    </row>
    <row r="491" spans="1:16">
      <c r="A491" s="647">
        <v>42321</v>
      </c>
      <c r="B491">
        <v>59.9</v>
      </c>
      <c r="P491" s="75"/>
    </row>
    <row r="492" spans="1:16">
      <c r="A492" s="647">
        <v>42320</v>
      </c>
      <c r="B492">
        <v>59.6</v>
      </c>
      <c r="P492" s="75"/>
    </row>
    <row r="493" spans="1:16">
      <c r="A493" s="647">
        <v>42319</v>
      </c>
      <c r="B493">
        <v>59.4</v>
      </c>
      <c r="P493" s="75"/>
    </row>
    <row r="494" spans="1:16">
      <c r="A494" s="647">
        <v>42317</v>
      </c>
      <c r="B494">
        <v>60</v>
      </c>
      <c r="P494" s="75"/>
    </row>
    <row r="495" spans="1:16">
      <c r="A495" s="647">
        <v>42314</v>
      </c>
      <c r="B495">
        <v>60</v>
      </c>
      <c r="P495" s="75"/>
    </row>
    <row r="496" spans="1:16">
      <c r="A496" s="647">
        <v>42313</v>
      </c>
      <c r="B496">
        <v>58.45</v>
      </c>
      <c r="P496" s="75"/>
    </row>
    <row r="497" spans="1:16">
      <c r="A497" s="647">
        <v>42312</v>
      </c>
      <c r="B497">
        <v>57.5</v>
      </c>
      <c r="P497" s="75"/>
    </row>
    <row r="498" spans="1:16">
      <c r="A498" s="647">
        <v>42311</v>
      </c>
      <c r="B498">
        <v>59.35</v>
      </c>
      <c r="P498" s="75"/>
    </row>
    <row r="499" spans="1:16">
      <c r="A499" s="647">
        <v>42310</v>
      </c>
      <c r="B499">
        <v>59.5</v>
      </c>
      <c r="P499" s="75"/>
    </row>
    <row r="500" spans="1:16">
      <c r="A500" s="647">
        <v>42307</v>
      </c>
      <c r="B500">
        <v>59.5</v>
      </c>
      <c r="P500" s="75"/>
    </row>
    <row r="501" spans="1:16">
      <c r="A501" s="647">
        <v>42306</v>
      </c>
      <c r="B501">
        <v>59.8</v>
      </c>
      <c r="P501" s="75"/>
    </row>
    <row r="502" spans="1:16">
      <c r="A502" s="647">
        <v>42305</v>
      </c>
      <c r="B502">
        <v>60</v>
      </c>
      <c r="P502" s="75"/>
    </row>
    <row r="503" spans="1:16">
      <c r="A503" s="647">
        <v>42303</v>
      </c>
      <c r="B503">
        <v>60.3</v>
      </c>
      <c r="P503" s="75"/>
    </row>
    <row r="504" spans="1:16">
      <c r="A504" s="647">
        <v>42300</v>
      </c>
      <c r="B504">
        <v>60.3</v>
      </c>
      <c r="P504" s="75"/>
    </row>
    <row r="505" spans="1:16">
      <c r="A505" s="647">
        <v>42299</v>
      </c>
      <c r="B505">
        <v>59.9</v>
      </c>
      <c r="P505" s="75"/>
    </row>
    <row r="506" spans="1:16">
      <c r="A506" s="647">
        <v>42298</v>
      </c>
      <c r="B506">
        <v>61</v>
      </c>
      <c r="P506" s="75"/>
    </row>
    <row r="507" spans="1:16">
      <c r="A507" s="647">
        <v>42297</v>
      </c>
      <c r="B507">
        <v>60.25</v>
      </c>
      <c r="P507" s="75"/>
    </row>
    <row r="508" spans="1:16">
      <c r="A508" s="647">
        <v>42296</v>
      </c>
      <c r="B508">
        <v>59.8</v>
      </c>
      <c r="P508" s="75"/>
    </row>
    <row r="509" spans="1:16">
      <c r="A509" s="647">
        <v>42293</v>
      </c>
      <c r="B509">
        <v>59.75</v>
      </c>
      <c r="P509" s="75"/>
    </row>
    <row r="510" spans="1:16">
      <c r="A510" s="647">
        <v>42292</v>
      </c>
      <c r="B510">
        <v>59.8</v>
      </c>
      <c r="P510" s="75"/>
    </row>
    <row r="511" spans="1:16">
      <c r="A511" s="647">
        <v>42291</v>
      </c>
      <c r="B511">
        <v>61.05</v>
      </c>
      <c r="P511" s="75"/>
    </row>
    <row r="512" spans="1:16">
      <c r="A512" s="647">
        <v>42290</v>
      </c>
      <c r="B512">
        <v>62.1</v>
      </c>
      <c r="P512" s="75"/>
    </row>
    <row r="513" spans="1:16">
      <c r="A513" s="647">
        <v>42289</v>
      </c>
      <c r="B513">
        <v>63.35</v>
      </c>
      <c r="P513" s="75"/>
    </row>
    <row r="514" spans="1:16">
      <c r="A514" s="647">
        <v>42286</v>
      </c>
      <c r="B514">
        <v>63.4</v>
      </c>
      <c r="P514" s="75"/>
    </row>
    <row r="515" spans="1:16">
      <c r="A515" s="647">
        <v>42285</v>
      </c>
      <c r="B515">
        <v>60.8</v>
      </c>
      <c r="P515" s="75"/>
    </row>
    <row r="516" spans="1:16">
      <c r="A516" s="647">
        <v>42284</v>
      </c>
      <c r="B516">
        <v>60.55</v>
      </c>
      <c r="P516" s="75"/>
    </row>
    <row r="517" spans="1:16">
      <c r="A517" s="647">
        <v>42283</v>
      </c>
      <c r="B517">
        <v>61.55</v>
      </c>
      <c r="P517" s="75"/>
    </row>
    <row r="518" spans="1:16">
      <c r="A518" s="647">
        <v>42282</v>
      </c>
      <c r="B518">
        <v>59.9</v>
      </c>
      <c r="P518" s="75"/>
    </row>
    <row r="519" spans="1:16">
      <c r="A519" s="647">
        <v>42279</v>
      </c>
      <c r="B519">
        <v>57.05</v>
      </c>
      <c r="P519" s="75"/>
    </row>
    <row r="520" spans="1:16">
      <c r="A520" s="647">
        <v>42278</v>
      </c>
      <c r="B520">
        <v>54.45</v>
      </c>
      <c r="P520" s="75"/>
    </row>
    <row r="521" spans="1:16">
      <c r="A521" s="647">
        <v>42277</v>
      </c>
      <c r="B521">
        <v>54.2</v>
      </c>
      <c r="P521" s="75"/>
    </row>
    <row r="522" spans="1:16">
      <c r="A522" s="647">
        <v>42276</v>
      </c>
      <c r="B522">
        <v>54.5</v>
      </c>
      <c r="P522" s="75"/>
    </row>
    <row r="523" spans="1:16">
      <c r="A523" s="647">
        <v>42275</v>
      </c>
      <c r="B523">
        <v>54</v>
      </c>
      <c r="P523" s="75"/>
    </row>
    <row r="524" spans="1:16">
      <c r="A524" s="647">
        <v>42272</v>
      </c>
      <c r="B524">
        <v>54.2</v>
      </c>
      <c r="P524" s="75"/>
    </row>
    <row r="525" spans="1:16">
      <c r="A525" s="647">
        <v>42270</v>
      </c>
      <c r="B525">
        <v>54.45</v>
      </c>
      <c r="P525" s="75"/>
    </row>
    <row r="526" spans="1:16">
      <c r="A526" s="647">
        <v>42269</v>
      </c>
      <c r="B526">
        <v>54.55</v>
      </c>
      <c r="P526" s="75"/>
    </row>
    <row r="527" spans="1:16">
      <c r="A527" s="647">
        <v>42268</v>
      </c>
      <c r="B527">
        <v>54.95</v>
      </c>
      <c r="P527" s="75"/>
    </row>
    <row r="528" spans="1:16">
      <c r="A528" s="647">
        <v>42265</v>
      </c>
      <c r="B528">
        <v>54.4</v>
      </c>
      <c r="P528" s="75"/>
    </row>
    <row r="529" spans="1:16">
      <c r="A529" s="647">
        <v>42264</v>
      </c>
      <c r="B529">
        <v>54.05</v>
      </c>
      <c r="P529" s="75"/>
    </row>
    <row r="530" spans="1:16">
      <c r="A530" s="647">
        <v>42263</v>
      </c>
      <c r="B530">
        <v>53.85</v>
      </c>
      <c r="P530" s="75"/>
    </row>
    <row r="531" spans="1:16">
      <c r="A531" s="647">
        <v>42262</v>
      </c>
      <c r="B531">
        <v>54.5</v>
      </c>
      <c r="P531" s="75"/>
    </row>
    <row r="532" spans="1:16">
      <c r="A532" s="647">
        <v>42261</v>
      </c>
      <c r="B532">
        <v>54</v>
      </c>
      <c r="P532" s="75"/>
    </row>
    <row r="533" spans="1:16">
      <c r="A533" s="647">
        <v>42258</v>
      </c>
      <c r="B533">
        <v>54</v>
      </c>
      <c r="P533" s="75"/>
    </row>
    <row r="534" spans="1:16">
      <c r="A534" s="647">
        <v>42257</v>
      </c>
      <c r="B534">
        <v>54</v>
      </c>
      <c r="P534" s="75"/>
    </row>
    <row r="535" spans="1:16">
      <c r="A535" s="647">
        <v>42256</v>
      </c>
      <c r="B535">
        <v>55.45</v>
      </c>
      <c r="P535" s="75"/>
    </row>
    <row r="536" spans="1:16">
      <c r="A536" s="647">
        <v>42255</v>
      </c>
      <c r="B536">
        <v>53.6</v>
      </c>
      <c r="P536" s="75"/>
    </row>
    <row r="537" spans="1:16">
      <c r="A537" s="647">
        <v>42254</v>
      </c>
      <c r="B537">
        <v>53.75</v>
      </c>
      <c r="P537" s="75"/>
    </row>
    <row r="538" spans="1:16">
      <c r="A538" s="647">
        <v>42251</v>
      </c>
      <c r="B538">
        <v>56.1</v>
      </c>
      <c r="P538" s="75"/>
    </row>
    <row r="539" spans="1:16">
      <c r="A539" s="647">
        <v>42250</v>
      </c>
      <c r="B539">
        <v>57</v>
      </c>
      <c r="P539" s="75"/>
    </row>
    <row r="540" spans="1:16">
      <c r="A540" s="647">
        <v>42249</v>
      </c>
      <c r="B540">
        <v>56.25</v>
      </c>
      <c r="P540" s="75"/>
    </row>
    <row r="541" spans="1:16">
      <c r="A541" s="647">
        <v>42248</v>
      </c>
      <c r="B541">
        <v>57.4</v>
      </c>
      <c r="P541" s="75"/>
    </row>
    <row r="542" spans="1:16">
      <c r="A542" s="647">
        <v>42247</v>
      </c>
      <c r="B542">
        <v>57</v>
      </c>
      <c r="P542" s="75"/>
    </row>
    <row r="543" spans="1:16">
      <c r="A543" s="647">
        <v>42244</v>
      </c>
      <c r="B543">
        <v>58.1</v>
      </c>
      <c r="P543" s="75"/>
    </row>
    <row r="544" spans="1:16">
      <c r="A544" s="647">
        <v>42243</v>
      </c>
      <c r="B544">
        <v>57</v>
      </c>
      <c r="P544" s="75"/>
    </row>
    <row r="545" spans="1:16">
      <c r="A545" s="647">
        <v>42242</v>
      </c>
      <c r="B545">
        <v>55.75</v>
      </c>
      <c r="P545" s="75"/>
    </row>
    <row r="546" spans="1:16">
      <c r="A546" s="647">
        <v>42241</v>
      </c>
      <c r="B546">
        <v>55.05</v>
      </c>
      <c r="P546" s="75"/>
    </row>
    <row r="547" spans="1:16">
      <c r="A547" s="80">
        <v>42240</v>
      </c>
      <c r="B547">
        <v>57.6</v>
      </c>
      <c r="P547" s="75"/>
    </row>
    <row r="548" spans="1:16">
      <c r="A548" s="80">
        <v>42237</v>
      </c>
      <c r="B548">
        <v>60</v>
      </c>
      <c r="P548" s="75"/>
    </row>
    <row r="549" spans="1:16">
      <c r="A549" s="80">
        <v>42236</v>
      </c>
      <c r="B549">
        <v>59.4</v>
      </c>
      <c r="P549" s="75"/>
    </row>
    <row r="550" spans="1:16">
      <c r="A550" s="80">
        <v>42235</v>
      </c>
      <c r="B550">
        <v>60.05</v>
      </c>
      <c r="P550" s="75"/>
    </row>
    <row r="551" spans="1:16">
      <c r="A551" s="80">
        <v>42234</v>
      </c>
      <c r="B551">
        <v>61.8</v>
      </c>
      <c r="P551" s="75"/>
    </row>
    <row r="552" spans="1:16">
      <c r="A552" s="80">
        <v>42233</v>
      </c>
      <c r="B552">
        <v>60.3</v>
      </c>
      <c r="P552" s="75"/>
    </row>
    <row r="553" spans="1:16">
      <c r="A553" s="80">
        <v>42230</v>
      </c>
      <c r="B553">
        <v>56.55</v>
      </c>
      <c r="P553" s="75"/>
    </row>
    <row r="554" spans="1:16">
      <c r="A554" s="80">
        <v>42229</v>
      </c>
      <c r="B554">
        <v>56.05</v>
      </c>
      <c r="P554" s="75"/>
    </row>
    <row r="555" spans="1:16">
      <c r="A555" s="80">
        <v>42228</v>
      </c>
      <c r="B555">
        <v>57</v>
      </c>
      <c r="P555" s="75"/>
    </row>
    <row r="556" spans="1:16">
      <c r="A556" s="80">
        <v>42227</v>
      </c>
      <c r="B556">
        <v>57.45</v>
      </c>
      <c r="P556" s="75"/>
    </row>
    <row r="557" spans="1:16">
      <c r="A557" s="80">
        <v>42226</v>
      </c>
      <c r="B557">
        <v>55</v>
      </c>
      <c r="P557" s="75"/>
    </row>
    <row r="558" spans="1:16">
      <c r="A558" s="80">
        <v>42223</v>
      </c>
      <c r="B558">
        <v>55.5</v>
      </c>
      <c r="P558" s="75"/>
    </row>
    <row r="559" spans="1:16">
      <c r="A559" s="80">
        <v>42222</v>
      </c>
      <c r="B559">
        <v>56.35</v>
      </c>
      <c r="P559" s="75"/>
    </row>
    <row r="560" spans="1:16">
      <c r="A560" s="80">
        <v>42221</v>
      </c>
      <c r="B560">
        <v>55</v>
      </c>
      <c r="P560" s="75"/>
    </row>
    <row r="561" spans="1:16">
      <c r="A561" s="80">
        <v>42220</v>
      </c>
      <c r="B561">
        <v>52.6</v>
      </c>
      <c r="P561" s="75"/>
    </row>
    <row r="562" spans="1:16">
      <c r="A562" s="80">
        <v>42219</v>
      </c>
      <c r="B562">
        <v>51.7</v>
      </c>
      <c r="C562" s="157"/>
      <c r="P562" s="75"/>
    </row>
    <row r="563" spans="1:16">
      <c r="A563" s="80">
        <v>42215</v>
      </c>
      <c r="B563">
        <v>51.05</v>
      </c>
      <c r="P563" s="75"/>
    </row>
    <row r="564" spans="1:16">
      <c r="A564" s="80">
        <v>42214</v>
      </c>
      <c r="B564">
        <v>49.85</v>
      </c>
      <c r="P564" s="75"/>
    </row>
    <row r="565" spans="1:16">
      <c r="A565" s="80">
        <v>42213</v>
      </c>
      <c r="B565">
        <v>48.95</v>
      </c>
      <c r="P565" s="75"/>
    </row>
    <row r="566" spans="1:16">
      <c r="A566" s="80">
        <v>42212</v>
      </c>
      <c r="B566">
        <v>48.45</v>
      </c>
      <c r="P566" s="75"/>
    </row>
    <row r="567" spans="1:16">
      <c r="A567" s="80">
        <v>42209</v>
      </c>
      <c r="B567">
        <v>48</v>
      </c>
      <c r="P567" s="75"/>
    </row>
    <row r="568" spans="1:16">
      <c r="A568" s="80">
        <v>42208</v>
      </c>
      <c r="B568">
        <v>47.5</v>
      </c>
      <c r="P568" s="75"/>
    </row>
    <row r="569" spans="1:16">
      <c r="A569" s="80">
        <v>42207</v>
      </c>
      <c r="B569">
        <v>47.05</v>
      </c>
      <c r="P569" s="75"/>
    </row>
    <row r="570" spans="1:16">
      <c r="A570" s="80">
        <v>42206</v>
      </c>
      <c r="B570">
        <v>47</v>
      </c>
      <c r="P570" s="75"/>
    </row>
    <row r="571" spans="1:16">
      <c r="A571" s="80">
        <v>42205</v>
      </c>
      <c r="B571">
        <v>47</v>
      </c>
      <c r="P571" s="75"/>
    </row>
    <row r="572" spans="1:16">
      <c r="A572" s="80">
        <v>42202</v>
      </c>
      <c r="B572">
        <v>46.75</v>
      </c>
      <c r="P572" s="75"/>
    </row>
    <row r="573" spans="1:16">
      <c r="A573" s="80">
        <v>42201</v>
      </c>
      <c r="B573">
        <v>46.4</v>
      </c>
      <c r="P573" s="75"/>
    </row>
    <row r="574" spans="1:16">
      <c r="A574" s="80">
        <v>42200</v>
      </c>
      <c r="B574">
        <v>47.15</v>
      </c>
      <c r="P574" s="75"/>
    </row>
    <row r="575" spans="1:16">
      <c r="A575" s="80">
        <v>42199</v>
      </c>
      <c r="B575">
        <v>46.5</v>
      </c>
      <c r="P575" s="75"/>
    </row>
    <row r="576" spans="1:16">
      <c r="A576" s="80">
        <v>42198</v>
      </c>
      <c r="B576">
        <v>46.5</v>
      </c>
      <c r="P576" s="75"/>
    </row>
    <row r="577" spans="1:16">
      <c r="A577" s="80">
        <v>42195</v>
      </c>
      <c r="B577">
        <v>46</v>
      </c>
      <c r="P577" s="75"/>
    </row>
    <row r="578" spans="1:16">
      <c r="A578" s="80">
        <v>42194</v>
      </c>
      <c r="B578">
        <v>45.5</v>
      </c>
      <c r="P578" s="75"/>
    </row>
    <row r="579" spans="1:16">
      <c r="A579" s="80">
        <v>42193</v>
      </c>
      <c r="B579">
        <v>44.9</v>
      </c>
      <c r="P579" s="75"/>
    </row>
    <row r="580" spans="1:16">
      <c r="A580" s="80">
        <v>42192</v>
      </c>
      <c r="B580">
        <v>44.9</v>
      </c>
      <c r="P580" s="75"/>
    </row>
    <row r="581" spans="1:16">
      <c r="A581" s="80">
        <v>42191</v>
      </c>
      <c r="B581">
        <v>45.55</v>
      </c>
      <c r="P581" s="75"/>
    </row>
    <row r="582" spans="1:16">
      <c r="A582" s="80">
        <v>42188</v>
      </c>
      <c r="B582">
        <v>45.8</v>
      </c>
      <c r="P582" s="75"/>
    </row>
    <row r="583" spans="1:16">
      <c r="A583" s="80">
        <v>42187</v>
      </c>
      <c r="B583">
        <v>45.5</v>
      </c>
      <c r="P583" s="75"/>
    </row>
    <row r="584" spans="1:16">
      <c r="A584" s="80">
        <v>42185</v>
      </c>
      <c r="B584">
        <v>45.5</v>
      </c>
      <c r="P584" s="75"/>
    </row>
    <row r="585" spans="1:16">
      <c r="A585" s="80">
        <v>42184</v>
      </c>
      <c r="B585">
        <v>45.35</v>
      </c>
      <c r="P585" s="75"/>
    </row>
    <row r="586" spans="1:16">
      <c r="A586" s="80">
        <v>42181</v>
      </c>
      <c r="B586">
        <v>45.5</v>
      </c>
      <c r="P586" s="75"/>
    </row>
    <row r="587" spans="1:16">
      <c r="A587" s="80">
        <v>42180</v>
      </c>
      <c r="B587">
        <v>45.6</v>
      </c>
      <c r="P587" s="75"/>
    </row>
    <row r="588" spans="1:16">
      <c r="A588" s="80">
        <v>42179</v>
      </c>
      <c r="B588">
        <v>46.35</v>
      </c>
      <c r="P588" s="75"/>
    </row>
    <row r="589" spans="1:16">
      <c r="A589" s="80">
        <v>42178</v>
      </c>
      <c r="B589">
        <v>46.5</v>
      </c>
      <c r="P589" s="75"/>
    </row>
    <row r="590" spans="1:16">
      <c r="A590" s="80">
        <v>42177</v>
      </c>
      <c r="B590">
        <v>46</v>
      </c>
      <c r="P590" s="75"/>
    </row>
    <row r="591" spans="1:16">
      <c r="A591" s="80">
        <v>42174</v>
      </c>
      <c r="B591">
        <v>46</v>
      </c>
      <c r="P591" s="75"/>
    </row>
    <row r="592" spans="1:16">
      <c r="A592" s="80">
        <v>42173</v>
      </c>
      <c r="B592">
        <v>45.75</v>
      </c>
      <c r="P592" s="75"/>
    </row>
    <row r="593" spans="1:16">
      <c r="A593" s="80">
        <v>42172</v>
      </c>
      <c r="B593">
        <v>45.95</v>
      </c>
      <c r="P593" s="75"/>
    </row>
    <row r="594" spans="1:16">
      <c r="A594" s="80">
        <v>42171</v>
      </c>
      <c r="B594">
        <v>45.7</v>
      </c>
      <c r="P594" s="75"/>
    </row>
    <row r="595" spans="1:16">
      <c r="A595" s="80">
        <v>42170</v>
      </c>
      <c r="B595">
        <v>46</v>
      </c>
      <c r="P595" s="75"/>
    </row>
    <row r="596" spans="1:16">
      <c r="A596" s="80">
        <v>42167</v>
      </c>
      <c r="B596">
        <v>46.25</v>
      </c>
      <c r="P596" s="75"/>
    </row>
    <row r="597" spans="1:16">
      <c r="A597" s="80">
        <v>42166</v>
      </c>
      <c r="B597">
        <v>46.3</v>
      </c>
      <c r="P597" s="75"/>
    </row>
    <row r="598" spans="1:16">
      <c r="A598" s="80">
        <v>42165</v>
      </c>
      <c r="B598">
        <v>45.65</v>
      </c>
      <c r="P598" s="75"/>
    </row>
    <row r="599" spans="1:16">
      <c r="A599" s="80">
        <v>42164</v>
      </c>
      <c r="B599">
        <v>45.6</v>
      </c>
      <c r="P599" s="75"/>
    </row>
    <row r="600" spans="1:16">
      <c r="A600" s="80">
        <v>42163</v>
      </c>
      <c r="B600">
        <v>45.05</v>
      </c>
      <c r="P600" s="75"/>
    </row>
    <row r="601" spans="1:16">
      <c r="A601" s="80">
        <v>42160</v>
      </c>
      <c r="B601">
        <v>45.65</v>
      </c>
      <c r="P601" s="75"/>
    </row>
    <row r="602" spans="1:16">
      <c r="A602" s="80">
        <v>42159</v>
      </c>
      <c r="B602">
        <v>46.25</v>
      </c>
      <c r="P602" s="75"/>
    </row>
    <row r="603" spans="1:16">
      <c r="A603" s="80">
        <v>42158</v>
      </c>
      <c r="B603">
        <v>46.7</v>
      </c>
      <c r="P603" s="75"/>
    </row>
    <row r="604" spans="1:16">
      <c r="A604" s="80">
        <v>42156</v>
      </c>
      <c r="B604">
        <v>44.95</v>
      </c>
      <c r="P604" s="75"/>
    </row>
    <row r="605" spans="1:16">
      <c r="A605" s="80">
        <v>42153</v>
      </c>
      <c r="B605">
        <v>44.5</v>
      </c>
      <c r="P605" s="75"/>
    </row>
    <row r="606" spans="1:16">
      <c r="A606" s="80">
        <v>42152</v>
      </c>
      <c r="B606">
        <v>44</v>
      </c>
      <c r="P606" s="75"/>
    </row>
    <row r="607" spans="1:16">
      <c r="A607" s="80">
        <v>42151</v>
      </c>
      <c r="B607">
        <v>44.55</v>
      </c>
      <c r="P607" s="75"/>
    </row>
    <row r="608" spans="1:16">
      <c r="A608" s="80">
        <v>42150</v>
      </c>
      <c r="B608">
        <v>44.95</v>
      </c>
      <c r="P608" s="75"/>
    </row>
    <row r="609" spans="1:16">
      <c r="A609" s="80">
        <v>42149</v>
      </c>
      <c r="B609">
        <v>43.5</v>
      </c>
      <c r="P609" s="75"/>
    </row>
    <row r="610" spans="1:16">
      <c r="A610" s="80">
        <v>42146</v>
      </c>
      <c r="B610">
        <v>44</v>
      </c>
      <c r="P610" s="75"/>
    </row>
    <row r="611" spans="1:16">
      <c r="A611" s="80">
        <v>42145</v>
      </c>
      <c r="B611">
        <v>43.05</v>
      </c>
      <c r="P611" s="75"/>
    </row>
    <row r="612" spans="1:16">
      <c r="A612" s="80">
        <v>42144</v>
      </c>
      <c r="B612">
        <v>43.5</v>
      </c>
      <c r="P612" s="75"/>
    </row>
    <row r="613" spans="1:16">
      <c r="A613" s="80">
        <v>42143</v>
      </c>
      <c r="B613">
        <v>43.5</v>
      </c>
      <c r="P613" s="75"/>
    </row>
    <row r="614" spans="1:16">
      <c r="A614" s="80">
        <v>42142</v>
      </c>
      <c r="B614">
        <v>43.5</v>
      </c>
      <c r="P614" s="75"/>
    </row>
    <row r="615" spans="1:16">
      <c r="A615" s="80">
        <v>42139</v>
      </c>
      <c r="B615">
        <v>44.25</v>
      </c>
      <c r="P615" s="75"/>
    </row>
    <row r="616" spans="1:16">
      <c r="A616" s="80">
        <v>42138</v>
      </c>
      <c r="B616">
        <v>43.95</v>
      </c>
      <c r="P616" s="75"/>
    </row>
    <row r="617" spans="1:16">
      <c r="A617" s="80">
        <v>42137</v>
      </c>
      <c r="B617">
        <v>44.5</v>
      </c>
      <c r="P617" s="75"/>
    </row>
    <row r="618" spans="1:16">
      <c r="A618" s="80">
        <v>42136</v>
      </c>
      <c r="B618">
        <v>44.25</v>
      </c>
      <c r="P618" s="75"/>
    </row>
    <row r="619" spans="1:16">
      <c r="A619" s="80">
        <v>42135</v>
      </c>
      <c r="B619">
        <v>44.85</v>
      </c>
      <c r="P619" s="75"/>
    </row>
    <row r="620" spans="1:16">
      <c r="A620" s="80">
        <v>42132</v>
      </c>
      <c r="B620">
        <v>45</v>
      </c>
      <c r="P620" s="75"/>
    </row>
    <row r="621" spans="1:16">
      <c r="A621" s="80">
        <v>42131</v>
      </c>
      <c r="B621">
        <v>45</v>
      </c>
      <c r="P621" s="75"/>
    </row>
    <row r="622" spans="1:16">
      <c r="A622" s="80">
        <v>42130</v>
      </c>
      <c r="B622">
        <v>0</v>
      </c>
      <c r="P622" s="75"/>
    </row>
    <row r="623" spans="1:16">
      <c r="A623" s="80">
        <v>42130</v>
      </c>
      <c r="B623">
        <v>45.3</v>
      </c>
      <c r="P623" s="75"/>
    </row>
    <row r="624" spans="1:16">
      <c r="A624" s="80">
        <v>42129</v>
      </c>
      <c r="B624">
        <v>42.8</v>
      </c>
      <c r="P624" s="75"/>
    </row>
    <row r="625" spans="1:16">
      <c r="A625" s="80">
        <v>42124</v>
      </c>
      <c r="B625">
        <v>43</v>
      </c>
      <c r="P625" s="75"/>
    </row>
    <row r="626" spans="1:16">
      <c r="A626" s="80">
        <v>42123</v>
      </c>
      <c r="B626">
        <v>41.65</v>
      </c>
      <c r="P626" s="75"/>
    </row>
    <row r="627" spans="1:16">
      <c r="A627" s="80">
        <v>42122</v>
      </c>
      <c r="B627">
        <v>40.1</v>
      </c>
      <c r="P627" s="75"/>
    </row>
    <row r="628" spans="1:16">
      <c r="A628" s="80">
        <v>42121</v>
      </c>
      <c r="B628">
        <v>40.450000000000003</v>
      </c>
      <c r="P628" s="75"/>
    </row>
    <row r="629" spans="1:16">
      <c r="A629" s="80">
        <v>42118</v>
      </c>
      <c r="B629">
        <v>40</v>
      </c>
      <c r="P629" s="75"/>
    </row>
    <row r="630" spans="1:16">
      <c r="A630" s="80">
        <v>42117</v>
      </c>
      <c r="B630">
        <v>39.1</v>
      </c>
      <c r="P630" s="75"/>
    </row>
    <row r="631" spans="1:16">
      <c r="A631" s="80">
        <v>42116</v>
      </c>
      <c r="B631">
        <v>39.950000000000003</v>
      </c>
      <c r="P631" s="75"/>
    </row>
    <row r="632" spans="1:16">
      <c r="A632" s="80">
        <v>42115</v>
      </c>
      <c r="B632">
        <v>40</v>
      </c>
      <c r="P632" s="75"/>
    </row>
    <row r="633" spans="1:16">
      <c r="A633" s="80">
        <v>42114</v>
      </c>
      <c r="B633">
        <v>39.25</v>
      </c>
      <c r="P633" s="75"/>
    </row>
    <row r="634" spans="1:16">
      <c r="A634" s="80">
        <v>42111</v>
      </c>
      <c r="B634">
        <v>40.25</v>
      </c>
      <c r="P634" s="75"/>
    </row>
    <row r="635" spans="1:16">
      <c r="A635" s="80">
        <v>42110</v>
      </c>
      <c r="B635">
        <v>40.75</v>
      </c>
      <c r="P635" s="75"/>
    </row>
    <row r="636" spans="1:16">
      <c r="A636" s="80">
        <v>42109</v>
      </c>
      <c r="B636">
        <v>39</v>
      </c>
      <c r="P636" s="75"/>
    </row>
    <row r="637" spans="1:16">
      <c r="A637" s="80">
        <v>42104</v>
      </c>
      <c r="B637">
        <v>39</v>
      </c>
      <c r="P637" s="75"/>
    </row>
    <row r="638" spans="1:16">
      <c r="A638" s="80">
        <v>42103</v>
      </c>
      <c r="B638">
        <v>38.950000000000003</v>
      </c>
      <c r="P638" s="75"/>
    </row>
    <row r="639" spans="1:16">
      <c r="A639" s="80">
        <v>42102</v>
      </c>
      <c r="B639">
        <v>39</v>
      </c>
      <c r="P639" s="75"/>
    </row>
    <row r="640" spans="1:16">
      <c r="A640" s="80">
        <v>42101</v>
      </c>
      <c r="B640">
        <v>37.85</v>
      </c>
      <c r="P640" s="75"/>
    </row>
    <row r="641" spans="1:16">
      <c r="A641" s="80">
        <v>42100</v>
      </c>
      <c r="B641">
        <v>37.85</v>
      </c>
      <c r="P641" s="75"/>
    </row>
    <row r="642" spans="1:16">
      <c r="A642" s="80">
        <v>42096</v>
      </c>
      <c r="B642">
        <v>38.4</v>
      </c>
      <c r="P642" s="75"/>
    </row>
    <row r="643" spans="1:16">
      <c r="A643" s="80">
        <v>42095</v>
      </c>
      <c r="B643">
        <v>38.4</v>
      </c>
      <c r="P643" s="75"/>
    </row>
    <row r="644" spans="1:16">
      <c r="A644" s="158">
        <v>42094</v>
      </c>
      <c r="B644" s="156">
        <v>38</v>
      </c>
      <c r="P644" s="75"/>
    </row>
    <row r="645" spans="1:16">
      <c r="A645" s="80">
        <v>42093</v>
      </c>
      <c r="B645">
        <v>37.5</v>
      </c>
      <c r="P645" s="75"/>
    </row>
    <row r="646" spans="1:16">
      <c r="A646" s="80">
        <v>42090</v>
      </c>
      <c r="B646">
        <v>37.549999999999997</v>
      </c>
      <c r="P646" s="75"/>
    </row>
    <row r="647" spans="1:16">
      <c r="A647" s="80">
        <v>42089</v>
      </c>
      <c r="B647">
        <v>37.1</v>
      </c>
      <c r="P647" s="75"/>
    </row>
    <row r="648" spans="1:16">
      <c r="A648" s="80">
        <v>42088</v>
      </c>
      <c r="B648">
        <v>38</v>
      </c>
      <c r="P648" s="75"/>
    </row>
    <row r="649" spans="1:16">
      <c r="A649" s="80">
        <v>42087</v>
      </c>
      <c r="B649">
        <v>37.799999999999997</v>
      </c>
      <c r="P649" s="75"/>
    </row>
    <row r="650" spans="1:16">
      <c r="A650" s="80">
        <v>42086</v>
      </c>
      <c r="B650">
        <v>39</v>
      </c>
      <c r="P650" s="75"/>
    </row>
    <row r="651" spans="1:16">
      <c r="A651" s="80">
        <v>42083</v>
      </c>
      <c r="B651">
        <v>39</v>
      </c>
      <c r="P651" s="75"/>
    </row>
    <row r="652" spans="1:16">
      <c r="A652" s="80">
        <v>42082</v>
      </c>
      <c r="B652">
        <v>39.25</v>
      </c>
      <c r="P652" s="75"/>
    </row>
    <row r="653" spans="1:16">
      <c r="A653" s="80">
        <v>42081</v>
      </c>
      <c r="B653">
        <v>39.9</v>
      </c>
      <c r="P653" s="75"/>
    </row>
    <row r="654" spans="1:16">
      <c r="A654" s="80">
        <v>42080</v>
      </c>
      <c r="B654">
        <v>39.950000000000003</v>
      </c>
      <c r="P654" s="75"/>
    </row>
    <row r="655" spans="1:16">
      <c r="A655" s="80">
        <v>42079</v>
      </c>
      <c r="B655">
        <v>38.200000000000003</v>
      </c>
      <c r="P655" s="75"/>
    </row>
    <row r="656" spans="1:16">
      <c r="A656" s="80">
        <v>42076</v>
      </c>
      <c r="B656">
        <v>38.200000000000003</v>
      </c>
      <c r="P656" s="75"/>
    </row>
    <row r="657" spans="1:16">
      <c r="A657" s="80">
        <v>42075</v>
      </c>
      <c r="B657">
        <v>39.5</v>
      </c>
      <c r="P657" s="75"/>
    </row>
    <row r="658" spans="1:16">
      <c r="A658" s="80">
        <v>42074</v>
      </c>
      <c r="B658">
        <v>39.700000000000003</v>
      </c>
      <c r="P658" s="75"/>
    </row>
    <row r="659" spans="1:16">
      <c r="A659" s="80">
        <v>42073</v>
      </c>
      <c r="B659">
        <v>39.950000000000003</v>
      </c>
      <c r="P659" s="75"/>
    </row>
    <row r="660" spans="1:16">
      <c r="A660" s="80">
        <v>42072</v>
      </c>
      <c r="B660">
        <v>40</v>
      </c>
      <c r="P660" s="75"/>
    </row>
    <row r="661" spans="1:16">
      <c r="A661" s="80">
        <v>42069</v>
      </c>
      <c r="B661">
        <v>40.299999999999997</v>
      </c>
      <c r="P661" s="75"/>
    </row>
    <row r="662" spans="1:16">
      <c r="A662" s="80">
        <v>42067</v>
      </c>
      <c r="B662">
        <v>40.5</v>
      </c>
      <c r="P662" s="75"/>
    </row>
    <row r="663" spans="1:16">
      <c r="A663" s="80">
        <v>42066</v>
      </c>
      <c r="B663">
        <v>40.5</v>
      </c>
      <c r="P663" s="75"/>
    </row>
    <row r="664" spans="1:16">
      <c r="A664" s="80">
        <v>42065</v>
      </c>
      <c r="B664">
        <v>40.5</v>
      </c>
      <c r="P664" s="75"/>
    </row>
    <row r="665" spans="1:16">
      <c r="A665" s="80">
        <v>42062</v>
      </c>
      <c r="B665">
        <v>40.65</v>
      </c>
      <c r="P665" s="75"/>
    </row>
    <row r="666" spans="1:16">
      <c r="A666" s="80">
        <v>42061</v>
      </c>
      <c r="B666">
        <v>40.950000000000003</v>
      </c>
      <c r="P666" s="75"/>
    </row>
    <row r="667" spans="1:16">
      <c r="A667" s="80">
        <v>42060</v>
      </c>
      <c r="B667">
        <v>40.4</v>
      </c>
      <c r="P667" s="75"/>
    </row>
    <row r="668" spans="1:16">
      <c r="A668" s="80">
        <v>42059</v>
      </c>
      <c r="B668">
        <v>41</v>
      </c>
      <c r="P668" s="75"/>
    </row>
    <row r="669" spans="1:16">
      <c r="A669" s="80">
        <v>42058</v>
      </c>
      <c r="B669">
        <v>41.2</v>
      </c>
      <c r="P669" s="75"/>
    </row>
    <row r="670" spans="1:16">
      <c r="A670" s="80">
        <v>42055</v>
      </c>
      <c r="B670">
        <v>40.700000000000003</v>
      </c>
      <c r="P670" s="75"/>
    </row>
    <row r="671" spans="1:16">
      <c r="A671" s="80">
        <v>42054</v>
      </c>
      <c r="B671">
        <v>40.450000000000003</v>
      </c>
      <c r="P671" s="75"/>
    </row>
    <row r="672" spans="1:16">
      <c r="A672" s="80">
        <v>42053</v>
      </c>
      <c r="B672">
        <v>40.299999999999997</v>
      </c>
      <c r="P672" s="75"/>
    </row>
    <row r="673" spans="1:16">
      <c r="A673" s="80">
        <v>42051</v>
      </c>
      <c r="B673">
        <v>40.950000000000003</v>
      </c>
      <c r="P673" s="75"/>
    </row>
    <row r="674" spans="1:16">
      <c r="A674" s="80">
        <v>42048</v>
      </c>
      <c r="B674">
        <v>40</v>
      </c>
      <c r="P674" s="75"/>
    </row>
    <row r="675" spans="1:16">
      <c r="A675" s="80">
        <v>42047</v>
      </c>
      <c r="B675">
        <v>40</v>
      </c>
      <c r="P675" s="75"/>
    </row>
    <row r="676" spans="1:16">
      <c r="A676" s="80">
        <v>42046</v>
      </c>
      <c r="B676">
        <v>40</v>
      </c>
      <c r="P676" s="75"/>
    </row>
    <row r="677" spans="1:16">
      <c r="A677" s="80">
        <v>42045</v>
      </c>
      <c r="B677">
        <v>40</v>
      </c>
      <c r="P677" s="75"/>
    </row>
    <row r="678" spans="1:16">
      <c r="A678" s="80">
        <v>42044</v>
      </c>
      <c r="B678">
        <v>39.6</v>
      </c>
      <c r="P678" s="75"/>
    </row>
    <row r="679" spans="1:16">
      <c r="A679" s="80">
        <v>42041</v>
      </c>
      <c r="B679">
        <v>39.799999999999997</v>
      </c>
      <c r="P679" s="75"/>
    </row>
    <row r="680" spans="1:16">
      <c r="A680" s="80">
        <v>42040</v>
      </c>
      <c r="B680">
        <v>39.049999999999997</v>
      </c>
      <c r="P680" s="75"/>
    </row>
    <row r="681" spans="1:16">
      <c r="A681" s="80">
        <v>42037</v>
      </c>
      <c r="B681">
        <v>39.6</v>
      </c>
      <c r="P681" s="75"/>
    </row>
    <row r="682" spans="1:16">
      <c r="A682" s="80">
        <v>42034</v>
      </c>
      <c r="B682">
        <v>39.9</v>
      </c>
      <c r="P682" s="75"/>
    </row>
    <row r="683" spans="1:16">
      <c r="A683" s="80">
        <v>42033</v>
      </c>
      <c r="B683">
        <v>40.1</v>
      </c>
      <c r="P683" s="75"/>
    </row>
    <row r="684" spans="1:16">
      <c r="A684" s="80">
        <v>42032</v>
      </c>
      <c r="B684">
        <v>40</v>
      </c>
      <c r="P684" s="75"/>
    </row>
    <row r="685" spans="1:16">
      <c r="A685" s="80">
        <v>42031</v>
      </c>
      <c r="B685">
        <v>39.5</v>
      </c>
      <c r="P685" s="75"/>
    </row>
    <row r="686" spans="1:16">
      <c r="A686" s="80">
        <v>42030</v>
      </c>
      <c r="B686">
        <v>39.85</v>
      </c>
      <c r="P686" s="75"/>
    </row>
    <row r="687" spans="1:16">
      <c r="A687" s="80">
        <v>42027</v>
      </c>
      <c r="B687">
        <v>38.450000000000003</v>
      </c>
      <c r="P687" s="75"/>
    </row>
    <row r="688" spans="1:16">
      <c r="A688" s="80">
        <v>42026</v>
      </c>
      <c r="B688">
        <v>39.5</v>
      </c>
      <c r="P688" s="75"/>
    </row>
    <row r="689" spans="1:16">
      <c r="A689" s="80">
        <v>42025</v>
      </c>
      <c r="B689">
        <v>40</v>
      </c>
      <c r="P689" s="75"/>
    </row>
    <row r="690" spans="1:16">
      <c r="A690" s="80">
        <v>42024</v>
      </c>
      <c r="B690">
        <v>39.049999999999997</v>
      </c>
      <c r="P690" s="75"/>
    </row>
    <row r="691" spans="1:16">
      <c r="A691" s="80">
        <v>42023</v>
      </c>
      <c r="B691">
        <v>39</v>
      </c>
      <c r="P691" s="75"/>
    </row>
    <row r="692" spans="1:16">
      <c r="A692" s="80">
        <v>42020</v>
      </c>
      <c r="B692">
        <v>40</v>
      </c>
      <c r="P692" s="75"/>
    </row>
    <row r="693" spans="1:16">
      <c r="A693" s="80">
        <v>42017</v>
      </c>
      <c r="B693">
        <v>40.049999999999997</v>
      </c>
      <c r="P693" s="75"/>
    </row>
    <row r="694" spans="1:16">
      <c r="A694" s="80">
        <v>42016</v>
      </c>
      <c r="B694">
        <v>40.200000000000003</v>
      </c>
      <c r="P694" s="75"/>
    </row>
    <row r="695" spans="1:16">
      <c r="A695" s="80">
        <v>42013</v>
      </c>
      <c r="B695">
        <v>40.9</v>
      </c>
      <c r="P695" s="75"/>
    </row>
    <row r="696" spans="1:16">
      <c r="A696" s="80">
        <v>42012</v>
      </c>
      <c r="B696">
        <v>40.700000000000003</v>
      </c>
      <c r="P696" s="75"/>
    </row>
    <row r="697" spans="1:16">
      <c r="A697" s="80">
        <v>42011</v>
      </c>
      <c r="B697">
        <v>39.9</v>
      </c>
      <c r="P697" s="75"/>
    </row>
    <row r="698" spans="1:16">
      <c r="A698" s="80">
        <v>42010</v>
      </c>
      <c r="B698">
        <v>39.950000000000003</v>
      </c>
      <c r="P698" s="75"/>
    </row>
    <row r="699" spans="1:16">
      <c r="A699" s="80">
        <v>42006</v>
      </c>
      <c r="B699">
        <v>38.25</v>
      </c>
      <c r="P699" s="75"/>
    </row>
    <row r="700" spans="1:16">
      <c r="A700" s="80">
        <v>42004</v>
      </c>
      <c r="B700">
        <v>38.200000000000003</v>
      </c>
      <c r="P700" s="75"/>
    </row>
    <row r="701" spans="1:16">
      <c r="A701" s="80">
        <v>42003</v>
      </c>
      <c r="B701">
        <v>38.25</v>
      </c>
      <c r="P701" s="75"/>
    </row>
    <row r="702" spans="1:16">
      <c r="A702" s="80">
        <v>42002</v>
      </c>
      <c r="B702">
        <v>38.25</v>
      </c>
      <c r="P702" s="75"/>
    </row>
    <row r="703" spans="1:16">
      <c r="A703" s="80">
        <v>41999</v>
      </c>
      <c r="B703">
        <v>38.5</v>
      </c>
      <c r="P703" s="75"/>
    </row>
    <row r="704" spans="1:16">
      <c r="A704" s="80">
        <v>41997</v>
      </c>
      <c r="B704">
        <v>38.25</v>
      </c>
      <c r="P704" s="75"/>
    </row>
    <row r="705" spans="1:16">
      <c r="A705" s="80">
        <v>41996</v>
      </c>
      <c r="B705">
        <v>38.25</v>
      </c>
      <c r="P705" s="75"/>
    </row>
    <row r="706" spans="1:16">
      <c r="A706" s="80">
        <v>41995</v>
      </c>
      <c r="B706">
        <v>38.25</v>
      </c>
      <c r="P706" s="75"/>
    </row>
    <row r="707" spans="1:16">
      <c r="A707" s="80">
        <v>41992</v>
      </c>
      <c r="B707">
        <v>38.25</v>
      </c>
      <c r="P707" s="75"/>
    </row>
    <row r="708" spans="1:16">
      <c r="A708" s="80">
        <v>41991</v>
      </c>
      <c r="B708">
        <v>38.15</v>
      </c>
      <c r="P708" s="75"/>
    </row>
    <row r="709" spans="1:16">
      <c r="A709" s="80">
        <v>41990</v>
      </c>
      <c r="B709">
        <v>38.15</v>
      </c>
      <c r="P709" s="75"/>
    </row>
    <row r="710" spans="1:16">
      <c r="A710" s="80">
        <v>41989</v>
      </c>
      <c r="B710">
        <v>38.5</v>
      </c>
      <c r="P710" s="75"/>
    </row>
    <row r="711" spans="1:16">
      <c r="A711" s="80">
        <v>41988</v>
      </c>
      <c r="B711">
        <v>38.1</v>
      </c>
      <c r="P711" s="75"/>
    </row>
    <row r="712" spans="1:16">
      <c r="A712" s="80">
        <v>41985</v>
      </c>
      <c r="B712">
        <v>38.1</v>
      </c>
      <c r="P712" s="75"/>
    </row>
    <row r="713" spans="1:16">
      <c r="A713" s="80">
        <v>41984</v>
      </c>
      <c r="B713">
        <v>38.15</v>
      </c>
      <c r="P713" s="75"/>
    </row>
    <row r="714" spans="1:16">
      <c r="A714" s="80">
        <v>41983</v>
      </c>
      <c r="B714">
        <v>38.5</v>
      </c>
      <c r="P714" s="75"/>
    </row>
    <row r="715" spans="1:16">
      <c r="A715" s="80">
        <v>41982</v>
      </c>
      <c r="B715">
        <v>38.450000000000003</v>
      </c>
      <c r="P715" s="75"/>
    </row>
    <row r="716" spans="1:16">
      <c r="A716" s="80">
        <v>41981</v>
      </c>
      <c r="B716">
        <v>38.6</v>
      </c>
      <c r="P716" s="75"/>
    </row>
    <row r="717" spans="1:16">
      <c r="A717" s="80">
        <v>41978</v>
      </c>
      <c r="B717">
        <v>38.5</v>
      </c>
      <c r="P717" s="75"/>
    </row>
    <row r="718" spans="1:16">
      <c r="A718" s="80">
        <v>41977</v>
      </c>
      <c r="B718">
        <v>39</v>
      </c>
      <c r="P718" s="75"/>
    </row>
    <row r="719" spans="1:16">
      <c r="A719" s="80">
        <v>41976</v>
      </c>
      <c r="B719">
        <v>38.549999999999997</v>
      </c>
      <c r="P719" s="75"/>
    </row>
    <row r="720" spans="1:16">
      <c r="A720" s="80">
        <v>41975</v>
      </c>
      <c r="B720">
        <v>38.549999999999997</v>
      </c>
      <c r="P720" s="75"/>
    </row>
    <row r="721" spans="1:16">
      <c r="A721" s="80">
        <v>41974</v>
      </c>
      <c r="B721">
        <v>39.5</v>
      </c>
      <c r="P721" s="75"/>
    </row>
    <row r="722" spans="1:16">
      <c r="A722" s="80">
        <v>41971</v>
      </c>
      <c r="B722">
        <v>38.549999999999997</v>
      </c>
      <c r="P722" s="75"/>
    </row>
    <row r="723" spans="1:16">
      <c r="A723" s="80">
        <v>41970</v>
      </c>
      <c r="B723">
        <v>38</v>
      </c>
      <c r="P723" s="75"/>
    </row>
    <row r="724" spans="1:16">
      <c r="A724" s="80">
        <v>41969</v>
      </c>
      <c r="B724">
        <v>38</v>
      </c>
      <c r="P724" s="75"/>
    </row>
    <row r="725" spans="1:16">
      <c r="A725" s="80">
        <v>41968</v>
      </c>
      <c r="B725">
        <v>38.9</v>
      </c>
      <c r="P725" s="75"/>
    </row>
    <row r="726" spans="1:16">
      <c r="A726" s="80">
        <v>41967</v>
      </c>
      <c r="B726">
        <v>39.549999999999997</v>
      </c>
      <c r="P726" s="75"/>
    </row>
    <row r="727" spans="1:16">
      <c r="A727" s="80">
        <v>41964</v>
      </c>
      <c r="B727">
        <v>40</v>
      </c>
      <c r="P727" s="75"/>
    </row>
    <row r="728" spans="1:16">
      <c r="A728" s="80">
        <v>41963</v>
      </c>
      <c r="B728">
        <v>41</v>
      </c>
      <c r="P728" s="75"/>
    </row>
    <row r="729" spans="1:16">
      <c r="A729" s="80">
        <v>41962</v>
      </c>
      <c r="B729">
        <v>41.2</v>
      </c>
      <c r="P729" s="75"/>
    </row>
    <row r="730" spans="1:16">
      <c r="A730" s="80">
        <v>41961</v>
      </c>
      <c r="B730">
        <v>41.45</v>
      </c>
      <c r="P730" s="75"/>
    </row>
    <row r="731" spans="1:16">
      <c r="A731" s="80">
        <v>41960</v>
      </c>
      <c r="B731">
        <v>41.5</v>
      </c>
      <c r="P731" s="75"/>
    </row>
    <row r="732" spans="1:16">
      <c r="A732" s="80">
        <v>41957</v>
      </c>
      <c r="B732">
        <v>41.35</v>
      </c>
      <c r="P732" s="75"/>
    </row>
    <row r="733" spans="1:16">
      <c r="A733" s="80">
        <v>41957</v>
      </c>
      <c r="B733">
        <v>0</v>
      </c>
      <c r="P733" s="75"/>
    </row>
    <row r="734" spans="1:16">
      <c r="A734" s="80">
        <v>41956</v>
      </c>
      <c r="B734">
        <v>40.049999999999997</v>
      </c>
      <c r="P734" s="75"/>
    </row>
    <row r="735" spans="1:16">
      <c r="A735" s="80">
        <v>41955</v>
      </c>
      <c r="B735">
        <v>38.950000000000003</v>
      </c>
      <c r="P735" s="75"/>
    </row>
    <row r="736" spans="1:16">
      <c r="A736" s="80">
        <v>41954</v>
      </c>
      <c r="B736">
        <v>38</v>
      </c>
      <c r="P736" s="75"/>
    </row>
    <row r="737" spans="1:16">
      <c r="A737" s="80">
        <v>41953</v>
      </c>
      <c r="B737">
        <v>38.25</v>
      </c>
      <c r="P737" s="75"/>
    </row>
    <row r="738" spans="1:16">
      <c r="A738" s="80">
        <v>41950</v>
      </c>
      <c r="B738">
        <v>37.5</v>
      </c>
      <c r="P738" s="75"/>
    </row>
    <row r="739" spans="1:16">
      <c r="A739" s="80">
        <v>41948</v>
      </c>
      <c r="B739">
        <v>36.799999999999997</v>
      </c>
      <c r="P739" s="75"/>
    </row>
    <row r="740" spans="1:16">
      <c r="A740" s="80">
        <v>41947</v>
      </c>
      <c r="B740">
        <v>36.6</v>
      </c>
      <c r="P740" s="75"/>
    </row>
    <row r="741" spans="1:16">
      <c r="A741" s="80">
        <v>41946</v>
      </c>
      <c r="B741">
        <v>37.450000000000003</v>
      </c>
      <c r="P741" s="75"/>
    </row>
    <row r="742" spans="1:16">
      <c r="A742" s="80">
        <v>41943</v>
      </c>
      <c r="B742">
        <v>37.299999999999997</v>
      </c>
      <c r="P742" s="75"/>
    </row>
    <row r="743" spans="1:16">
      <c r="A743" s="80">
        <v>41942</v>
      </c>
      <c r="B743">
        <v>37.4</v>
      </c>
      <c r="P743" s="75"/>
    </row>
    <row r="744" spans="1:16">
      <c r="A744" s="80">
        <v>41941</v>
      </c>
      <c r="B744">
        <v>37.4</v>
      </c>
      <c r="P744" s="75"/>
    </row>
    <row r="745" spans="1:16">
      <c r="A745" s="80">
        <v>41940</v>
      </c>
      <c r="B745">
        <v>37.4</v>
      </c>
      <c r="P745" s="75"/>
    </row>
    <row r="746" spans="1:16">
      <c r="A746" s="80">
        <v>41939</v>
      </c>
      <c r="B746">
        <v>37.450000000000003</v>
      </c>
      <c r="P746" s="75"/>
    </row>
    <row r="747" spans="1:16">
      <c r="A747" s="80">
        <v>41936</v>
      </c>
      <c r="B747">
        <v>37.15</v>
      </c>
      <c r="P747" s="75"/>
    </row>
    <row r="748" spans="1:16">
      <c r="A748" s="80">
        <v>41935</v>
      </c>
      <c r="B748">
        <v>36.75</v>
      </c>
      <c r="P748" s="75"/>
    </row>
    <row r="749" spans="1:16">
      <c r="A749" s="80">
        <v>41933</v>
      </c>
      <c r="B749">
        <v>37</v>
      </c>
      <c r="P749" s="75"/>
    </row>
    <row r="750" spans="1:16">
      <c r="A750" s="80">
        <v>41932</v>
      </c>
      <c r="B750">
        <v>37.450000000000003</v>
      </c>
      <c r="P750" s="75"/>
    </row>
    <row r="751" spans="1:16">
      <c r="A751" s="80">
        <v>41929</v>
      </c>
      <c r="B751">
        <v>37</v>
      </c>
      <c r="P751" s="75"/>
    </row>
    <row r="752" spans="1:16">
      <c r="A752" s="80">
        <v>41928</v>
      </c>
      <c r="B752">
        <v>37</v>
      </c>
      <c r="P752" s="75"/>
    </row>
    <row r="753" spans="1:16">
      <c r="A753" s="80">
        <v>41927</v>
      </c>
      <c r="B753">
        <v>37</v>
      </c>
      <c r="P753" s="75"/>
    </row>
    <row r="754" spans="1:16">
      <c r="A754" s="80">
        <v>41926</v>
      </c>
      <c r="B754">
        <v>36.950000000000003</v>
      </c>
      <c r="P754" s="75"/>
    </row>
    <row r="755" spans="1:16">
      <c r="A755" s="80">
        <v>41925</v>
      </c>
      <c r="B755">
        <v>36</v>
      </c>
      <c r="P755" s="75"/>
    </row>
    <row r="756" spans="1:16">
      <c r="A756" s="80">
        <v>41922</v>
      </c>
      <c r="B756">
        <v>37.450000000000003</v>
      </c>
      <c r="P756" s="75"/>
    </row>
    <row r="757" spans="1:16">
      <c r="A757" s="80">
        <v>41921</v>
      </c>
      <c r="B757">
        <v>38.5</v>
      </c>
      <c r="P757" s="75"/>
    </row>
    <row r="758" spans="1:16">
      <c r="A758" s="80">
        <v>41919</v>
      </c>
      <c r="B758">
        <v>38.5</v>
      </c>
      <c r="P758" s="75"/>
    </row>
    <row r="759" spans="1:16">
      <c r="A759" s="80">
        <v>41915</v>
      </c>
      <c r="B759">
        <v>38.5</v>
      </c>
      <c r="P759" s="75"/>
    </row>
    <row r="760" spans="1:16">
      <c r="A760" s="80">
        <v>41914</v>
      </c>
      <c r="B760">
        <v>38</v>
      </c>
      <c r="P760" s="75"/>
    </row>
    <row r="761" spans="1:16">
      <c r="A761" s="80">
        <v>41913</v>
      </c>
      <c r="B761">
        <v>38</v>
      </c>
      <c r="P761" s="75"/>
    </row>
    <row r="762" spans="1:16">
      <c r="A762" s="80">
        <v>41912</v>
      </c>
      <c r="B762">
        <v>38.5</v>
      </c>
      <c r="P762" s="75"/>
    </row>
    <row r="763" spans="1:16">
      <c r="A763" s="80">
        <v>41911</v>
      </c>
      <c r="B763">
        <v>38.549999999999997</v>
      </c>
      <c r="P763" s="75"/>
    </row>
    <row r="764" spans="1:16">
      <c r="A764" s="80">
        <v>41908</v>
      </c>
      <c r="B764">
        <v>38.950000000000003</v>
      </c>
      <c r="P764" s="75"/>
    </row>
    <row r="765" spans="1:16">
      <c r="A765" s="80">
        <v>41907</v>
      </c>
      <c r="B765">
        <v>38.5</v>
      </c>
      <c r="P765" s="75"/>
    </row>
    <row r="766" spans="1:16">
      <c r="A766" s="80">
        <v>41906</v>
      </c>
      <c r="B766">
        <v>0</v>
      </c>
      <c r="P766" s="75"/>
    </row>
    <row r="767" spans="1:16">
      <c r="A767" s="80">
        <v>41905</v>
      </c>
      <c r="B767">
        <v>39.35</v>
      </c>
      <c r="P767" s="75"/>
    </row>
    <row r="768" spans="1:16">
      <c r="A768" s="80">
        <v>41904</v>
      </c>
      <c r="B768">
        <v>37.85</v>
      </c>
      <c r="P768" s="75"/>
    </row>
    <row r="769" spans="1:16">
      <c r="A769" s="80">
        <v>41901</v>
      </c>
      <c r="B769">
        <v>38.6</v>
      </c>
      <c r="P769" s="75"/>
    </row>
    <row r="770" spans="1:16">
      <c r="A770" s="80">
        <v>41900</v>
      </c>
      <c r="B770">
        <v>37</v>
      </c>
      <c r="P770" s="75"/>
    </row>
    <row r="771" spans="1:16">
      <c r="A771" s="80">
        <v>41899</v>
      </c>
      <c r="B771">
        <v>37.200000000000003</v>
      </c>
      <c r="P771" s="75"/>
    </row>
    <row r="772" spans="1:16">
      <c r="A772" s="80">
        <v>41898</v>
      </c>
      <c r="B772">
        <v>37.049999999999997</v>
      </c>
      <c r="P772" s="75"/>
    </row>
    <row r="773" spans="1:16">
      <c r="A773" s="80">
        <v>41897</v>
      </c>
      <c r="B773">
        <v>37</v>
      </c>
      <c r="P773" s="75"/>
    </row>
    <row r="774" spans="1:16">
      <c r="A774" s="80">
        <v>41894</v>
      </c>
      <c r="B774">
        <v>37.049999999999997</v>
      </c>
      <c r="P774" s="75"/>
    </row>
    <row r="775" spans="1:16">
      <c r="A775" s="80">
        <v>41893</v>
      </c>
      <c r="B775">
        <v>36.25</v>
      </c>
      <c r="P775" s="75"/>
    </row>
    <row r="776" spans="1:16">
      <c r="A776" s="80">
        <v>41892</v>
      </c>
      <c r="B776">
        <v>36.450000000000003</v>
      </c>
      <c r="P776" s="75"/>
    </row>
    <row r="777" spans="1:16">
      <c r="A777" s="80">
        <v>41891</v>
      </c>
      <c r="B777">
        <v>36</v>
      </c>
      <c r="P777" s="75"/>
    </row>
    <row r="778" spans="1:16">
      <c r="A778" s="80">
        <v>41887</v>
      </c>
      <c r="B778">
        <v>35.9</v>
      </c>
      <c r="P778" s="75"/>
    </row>
    <row r="779" spans="1:16">
      <c r="A779" s="80">
        <v>41886</v>
      </c>
      <c r="B779">
        <v>35.549999999999997</v>
      </c>
      <c r="P779" s="75"/>
    </row>
    <row r="780" spans="1:16">
      <c r="A780" s="80">
        <v>41885</v>
      </c>
      <c r="B780">
        <v>35.549999999999997</v>
      </c>
      <c r="P780" s="75"/>
    </row>
    <row r="781" spans="1:16">
      <c r="A781" s="80">
        <v>41884</v>
      </c>
      <c r="B781">
        <v>36</v>
      </c>
      <c r="P781" s="75"/>
    </row>
    <row r="782" spans="1:16">
      <c r="A782" s="80">
        <v>41883</v>
      </c>
      <c r="B782">
        <v>35.700000000000003</v>
      </c>
      <c r="P782" s="75"/>
    </row>
    <row r="783" spans="1:16">
      <c r="A783" s="80">
        <v>41880</v>
      </c>
      <c r="B783">
        <v>35.9</v>
      </c>
      <c r="P783" s="75"/>
    </row>
    <row r="784" spans="1:16">
      <c r="A784" s="80">
        <v>41879</v>
      </c>
      <c r="B784">
        <v>35.6</v>
      </c>
      <c r="P784" s="75"/>
    </row>
    <row r="785" spans="1:16">
      <c r="A785" s="80">
        <v>41878</v>
      </c>
      <c r="B785">
        <v>35.25</v>
      </c>
      <c r="P785" s="75"/>
    </row>
    <row r="786" spans="1:16">
      <c r="A786" s="80">
        <v>41877</v>
      </c>
      <c r="B786">
        <v>35.950000000000003</v>
      </c>
      <c r="P786" s="75"/>
    </row>
    <row r="787" spans="1:16">
      <c r="A787" s="80">
        <v>41876</v>
      </c>
      <c r="B787">
        <v>35.15</v>
      </c>
      <c r="P787" s="75"/>
    </row>
    <row r="788" spans="1:16">
      <c r="A788" s="80">
        <v>41873</v>
      </c>
      <c r="B788">
        <v>36</v>
      </c>
      <c r="P788" s="75"/>
    </row>
    <row r="789" spans="1:16">
      <c r="A789" s="80">
        <v>41872</v>
      </c>
      <c r="B789">
        <v>35.75</v>
      </c>
      <c r="P789" s="75"/>
    </row>
    <row r="790" spans="1:16">
      <c r="A790" s="80">
        <v>41871</v>
      </c>
      <c r="B790">
        <v>35.65</v>
      </c>
      <c r="P790" s="75"/>
    </row>
    <row r="791" spans="1:16">
      <c r="A791" s="80">
        <v>41870</v>
      </c>
      <c r="B791">
        <v>36.25</v>
      </c>
      <c r="P791" s="75"/>
    </row>
    <row r="792" spans="1:16">
      <c r="A792" s="80">
        <v>41869</v>
      </c>
      <c r="B792">
        <v>35.1</v>
      </c>
      <c r="P792" s="75"/>
    </row>
    <row r="793" spans="1:16">
      <c r="A793" s="80">
        <v>41866</v>
      </c>
      <c r="B793">
        <v>36.049999999999997</v>
      </c>
      <c r="P793" s="75"/>
    </row>
    <row r="794" spans="1:16">
      <c r="A794" s="80">
        <v>41865</v>
      </c>
      <c r="B794">
        <v>36.450000000000003</v>
      </c>
      <c r="P794" s="75"/>
    </row>
    <row r="795" spans="1:16">
      <c r="A795" s="80">
        <v>41864</v>
      </c>
      <c r="B795">
        <v>37</v>
      </c>
      <c r="P795" s="75"/>
    </row>
    <row r="796" spans="1:16">
      <c r="A796" s="80">
        <v>41863</v>
      </c>
      <c r="B796">
        <v>36.700000000000003</v>
      </c>
      <c r="P796" s="75"/>
    </row>
    <row r="797" spans="1:16">
      <c r="A797" s="80">
        <v>41862</v>
      </c>
      <c r="B797">
        <v>36.85</v>
      </c>
      <c r="P797" s="75"/>
    </row>
    <row r="798" spans="1:16">
      <c r="A798" s="80">
        <v>41859</v>
      </c>
      <c r="B798">
        <v>36.5</v>
      </c>
      <c r="P798" s="75"/>
    </row>
    <row r="799" spans="1:16">
      <c r="A799" s="80">
        <v>41858</v>
      </c>
      <c r="B799">
        <v>36.5</v>
      </c>
      <c r="P799" s="75"/>
    </row>
    <row r="800" spans="1:16">
      <c r="A800" s="80">
        <v>41857</v>
      </c>
      <c r="B800">
        <v>36.25</v>
      </c>
      <c r="P800" s="75"/>
    </row>
    <row r="801" spans="1:16">
      <c r="A801" s="80">
        <v>41856</v>
      </c>
      <c r="B801">
        <v>35.75</v>
      </c>
      <c r="P801" s="75"/>
    </row>
    <row r="802" spans="1:16">
      <c r="A802" s="80">
        <v>41855</v>
      </c>
      <c r="B802">
        <v>35.450000000000003</v>
      </c>
      <c r="P802" s="75"/>
    </row>
    <row r="803" spans="1:16">
      <c r="A803" s="80">
        <v>41852</v>
      </c>
      <c r="B803">
        <v>35.549999999999997</v>
      </c>
      <c r="P803" s="75"/>
    </row>
    <row r="804" spans="1:16">
      <c r="A804" s="80">
        <v>41851</v>
      </c>
      <c r="B804">
        <v>35.5</v>
      </c>
      <c r="P804" s="75"/>
    </row>
    <row r="805" spans="1:16">
      <c r="A805" s="80">
        <v>41850</v>
      </c>
      <c r="B805">
        <v>35.5</v>
      </c>
      <c r="C805" s="157"/>
      <c r="P805" s="75"/>
    </row>
    <row r="806" spans="1:16">
      <c r="A806" s="80">
        <v>41848</v>
      </c>
      <c r="B806">
        <v>35.5</v>
      </c>
      <c r="P806" s="75"/>
    </row>
    <row r="807" spans="1:16">
      <c r="A807" s="80">
        <v>41845</v>
      </c>
      <c r="B807">
        <v>35.5</v>
      </c>
      <c r="P807" s="75"/>
    </row>
    <row r="808" spans="1:16">
      <c r="A808" s="80">
        <v>41844</v>
      </c>
      <c r="B808">
        <v>35.450000000000003</v>
      </c>
      <c r="P808" s="75"/>
    </row>
    <row r="809" spans="1:16">
      <c r="A809" s="80">
        <v>41843</v>
      </c>
      <c r="B809">
        <v>35.5</v>
      </c>
      <c r="P809" s="75"/>
    </row>
    <row r="810" spans="1:16">
      <c r="A810" s="80">
        <v>41842</v>
      </c>
      <c r="B810">
        <v>35.1</v>
      </c>
      <c r="P810" s="75"/>
    </row>
    <row r="811" spans="1:16">
      <c r="A811" s="80">
        <v>41841</v>
      </c>
      <c r="B811">
        <v>35.5</v>
      </c>
      <c r="P811" s="75"/>
    </row>
    <row r="812" spans="1:16">
      <c r="A812" s="80">
        <v>41838</v>
      </c>
      <c r="B812">
        <v>34.5</v>
      </c>
      <c r="P812" s="75"/>
    </row>
    <row r="813" spans="1:16">
      <c r="A813" s="80">
        <v>41837</v>
      </c>
      <c r="B813">
        <v>35</v>
      </c>
      <c r="P813" s="75"/>
    </row>
    <row r="814" spans="1:16">
      <c r="A814" s="80">
        <v>41836</v>
      </c>
      <c r="B814">
        <v>35.5</v>
      </c>
      <c r="P814" s="75"/>
    </row>
    <row r="815" spans="1:16">
      <c r="A815" s="80">
        <v>41835</v>
      </c>
      <c r="B815">
        <v>35.1</v>
      </c>
      <c r="P815" s="75"/>
    </row>
    <row r="816" spans="1:16">
      <c r="A816" s="80">
        <v>41834</v>
      </c>
      <c r="B816">
        <v>34.5</v>
      </c>
      <c r="P816" s="75"/>
    </row>
    <row r="817" spans="1:16">
      <c r="A817" s="80">
        <v>41831</v>
      </c>
      <c r="B817">
        <v>33.549999999999997</v>
      </c>
      <c r="P817" s="75"/>
    </row>
    <row r="818" spans="1:16">
      <c r="A818" s="80">
        <v>41830</v>
      </c>
      <c r="B818">
        <v>34.5</v>
      </c>
      <c r="P818" s="75"/>
    </row>
    <row r="819" spans="1:16">
      <c r="A819" s="80">
        <v>41829</v>
      </c>
      <c r="B819">
        <v>34.5</v>
      </c>
      <c r="P819" s="75"/>
    </row>
    <row r="820" spans="1:16">
      <c r="A820" s="80">
        <v>41828</v>
      </c>
      <c r="B820">
        <v>33.25</v>
      </c>
      <c r="P820" s="75"/>
    </row>
    <row r="821" spans="1:16">
      <c r="A821" s="80">
        <v>41827</v>
      </c>
      <c r="B821">
        <v>33.9</v>
      </c>
      <c r="P821" s="75"/>
    </row>
    <row r="822" spans="1:16">
      <c r="A822" s="80">
        <v>41824</v>
      </c>
      <c r="B822">
        <v>33.75</v>
      </c>
      <c r="P822" s="75"/>
    </row>
    <row r="823" spans="1:16">
      <c r="A823" s="80">
        <v>41823</v>
      </c>
      <c r="B823">
        <v>33.5</v>
      </c>
      <c r="P823" s="75"/>
    </row>
    <row r="824" spans="1:16">
      <c r="A824" s="80">
        <v>41822</v>
      </c>
      <c r="B824">
        <v>33.200000000000003</v>
      </c>
      <c r="P824" s="75"/>
    </row>
    <row r="825" spans="1:16">
      <c r="A825" s="80">
        <v>41821</v>
      </c>
      <c r="B825">
        <v>32.75</v>
      </c>
      <c r="P825" s="75"/>
    </row>
    <row r="826" spans="1:16">
      <c r="A826" s="80">
        <v>41820</v>
      </c>
      <c r="B826">
        <v>33</v>
      </c>
      <c r="P826" s="75"/>
    </row>
    <row r="827" spans="1:16">
      <c r="A827" s="80">
        <v>41817</v>
      </c>
      <c r="B827">
        <v>32.200000000000003</v>
      </c>
      <c r="P827" s="75"/>
    </row>
    <row r="828" spans="1:16">
      <c r="A828" s="80">
        <v>41816</v>
      </c>
      <c r="B828">
        <v>32.5</v>
      </c>
      <c r="P828" s="75"/>
    </row>
    <row r="829" spans="1:16">
      <c r="A829" s="80">
        <v>41815</v>
      </c>
      <c r="B829">
        <v>32.5</v>
      </c>
      <c r="P829" s="75"/>
    </row>
    <row r="830" spans="1:16">
      <c r="A830" s="80">
        <v>41814</v>
      </c>
      <c r="B830">
        <v>33</v>
      </c>
      <c r="P830" s="75"/>
    </row>
    <row r="831" spans="1:16">
      <c r="A831" s="80">
        <v>41813</v>
      </c>
      <c r="B831">
        <v>32.6</v>
      </c>
      <c r="P831" s="75"/>
    </row>
    <row r="832" spans="1:16">
      <c r="A832" s="80">
        <v>41810</v>
      </c>
      <c r="B832">
        <v>32.549999999999997</v>
      </c>
      <c r="P832" s="75"/>
    </row>
    <row r="833" spans="1:16">
      <c r="A833" s="80">
        <v>41809</v>
      </c>
      <c r="B833">
        <v>32.5</v>
      </c>
      <c r="P833" s="75"/>
    </row>
    <row r="834" spans="1:16">
      <c r="A834" s="80">
        <v>41808</v>
      </c>
      <c r="B834">
        <v>32.5</v>
      </c>
      <c r="P834" s="75"/>
    </row>
    <row r="835" spans="1:16">
      <c r="A835" s="80">
        <v>41807</v>
      </c>
      <c r="B835">
        <v>32.5</v>
      </c>
      <c r="P835" s="75"/>
    </row>
    <row r="836" spans="1:16">
      <c r="A836" s="80">
        <v>41806</v>
      </c>
      <c r="B836">
        <v>32.5</v>
      </c>
      <c r="P836" s="75"/>
    </row>
    <row r="837" spans="1:16">
      <c r="A837" s="80">
        <v>41803</v>
      </c>
      <c r="B837">
        <v>32.700000000000003</v>
      </c>
      <c r="P837" s="75"/>
    </row>
    <row r="838" spans="1:16">
      <c r="A838" s="80">
        <v>41801</v>
      </c>
      <c r="B838">
        <v>31.65</v>
      </c>
      <c r="P838" s="75"/>
    </row>
    <row r="839" spans="1:16">
      <c r="A839" s="80">
        <v>41800</v>
      </c>
      <c r="B839">
        <v>32</v>
      </c>
      <c r="P839" s="75"/>
    </row>
    <row r="840" spans="1:16">
      <c r="A840" s="80">
        <v>41799</v>
      </c>
      <c r="B840">
        <v>32</v>
      </c>
      <c r="P840" s="75"/>
    </row>
    <row r="841" spans="1:16">
      <c r="A841" s="80">
        <v>41796</v>
      </c>
      <c r="B841">
        <v>32</v>
      </c>
      <c r="P841" s="75"/>
    </row>
    <row r="842" spans="1:16">
      <c r="A842" s="80">
        <v>41795</v>
      </c>
      <c r="B842">
        <v>31.75</v>
      </c>
      <c r="P842" s="75"/>
    </row>
    <row r="843" spans="1:16">
      <c r="A843" s="80">
        <v>41794</v>
      </c>
      <c r="B843">
        <v>31.8</v>
      </c>
      <c r="P843" s="75"/>
    </row>
    <row r="844" spans="1:16">
      <c r="A844" s="80">
        <v>41793</v>
      </c>
      <c r="B844">
        <v>31.75</v>
      </c>
      <c r="P844" s="75"/>
    </row>
    <row r="845" spans="1:16">
      <c r="A845" s="80">
        <v>41792</v>
      </c>
      <c r="B845">
        <v>31.8</v>
      </c>
      <c r="P845" s="75"/>
    </row>
    <row r="846" spans="1:16">
      <c r="A846" s="80">
        <v>41789</v>
      </c>
      <c r="B846">
        <v>32.4</v>
      </c>
      <c r="P846" s="75"/>
    </row>
    <row r="847" spans="1:16">
      <c r="A847" s="80">
        <v>41788</v>
      </c>
      <c r="B847">
        <v>31.95</v>
      </c>
      <c r="P847" s="75"/>
    </row>
    <row r="848" spans="1:16">
      <c r="A848" s="80">
        <v>41787</v>
      </c>
      <c r="B848">
        <v>32.049999999999997</v>
      </c>
      <c r="P848" s="75"/>
    </row>
    <row r="849" spans="1:16">
      <c r="A849" s="80">
        <v>41786</v>
      </c>
      <c r="B849">
        <v>32.200000000000003</v>
      </c>
      <c r="P849" s="75"/>
    </row>
    <row r="850" spans="1:16">
      <c r="A850" s="80">
        <v>41785</v>
      </c>
      <c r="B850">
        <v>32.15</v>
      </c>
      <c r="P850" s="75"/>
    </row>
    <row r="851" spans="1:16">
      <c r="A851" s="80">
        <v>41782</v>
      </c>
      <c r="B851">
        <v>32.15</v>
      </c>
      <c r="P851" s="75"/>
    </row>
    <row r="852" spans="1:16">
      <c r="A852" s="80">
        <v>41781</v>
      </c>
      <c r="B852">
        <v>32.15</v>
      </c>
      <c r="P852" s="75"/>
    </row>
    <row r="853" spans="1:16">
      <c r="A853" s="80">
        <v>41780</v>
      </c>
      <c r="B853">
        <v>32.5</v>
      </c>
      <c r="P853" s="75"/>
    </row>
    <row r="854" spans="1:16">
      <c r="A854" s="80">
        <v>41779</v>
      </c>
      <c r="B854">
        <v>32.25</v>
      </c>
      <c r="P854" s="75"/>
    </row>
    <row r="855" spans="1:16">
      <c r="A855" s="80">
        <v>41778</v>
      </c>
      <c r="B855">
        <v>32.6</v>
      </c>
      <c r="P855" s="75"/>
    </row>
    <row r="856" spans="1:16">
      <c r="A856" s="80">
        <v>41775</v>
      </c>
      <c r="B856">
        <v>32.65</v>
      </c>
      <c r="P856" s="75"/>
    </row>
    <row r="857" spans="1:16">
      <c r="A857" s="80">
        <v>41772</v>
      </c>
      <c r="B857">
        <v>32.5</v>
      </c>
      <c r="P857" s="75"/>
    </row>
    <row r="858" spans="1:16">
      <c r="A858" s="80">
        <v>41771</v>
      </c>
      <c r="B858">
        <v>32</v>
      </c>
      <c r="P858" s="75"/>
    </row>
    <row r="859" spans="1:16">
      <c r="A859" s="80">
        <v>41768</v>
      </c>
      <c r="B859">
        <v>31.65</v>
      </c>
      <c r="P859" s="75"/>
    </row>
    <row r="860" spans="1:16">
      <c r="A860" s="80">
        <v>41767</v>
      </c>
      <c r="B860">
        <v>32.5</v>
      </c>
      <c r="P860" s="75"/>
    </row>
    <row r="861" spans="1:16">
      <c r="A861" s="80">
        <v>41766</v>
      </c>
      <c r="B861">
        <v>33.25</v>
      </c>
      <c r="P861" s="75"/>
    </row>
    <row r="862" spans="1:16">
      <c r="A862" s="80">
        <v>41765</v>
      </c>
      <c r="B862">
        <v>31.8</v>
      </c>
      <c r="P862" s="75"/>
    </row>
    <row r="863" spans="1:16">
      <c r="A863" s="80">
        <v>41764</v>
      </c>
      <c r="B863">
        <v>32</v>
      </c>
      <c r="P863" s="75"/>
    </row>
    <row r="864" spans="1:16">
      <c r="A864" s="80">
        <v>41761</v>
      </c>
      <c r="B864">
        <v>32</v>
      </c>
      <c r="P864" s="75"/>
    </row>
    <row r="865" spans="1:16">
      <c r="A865" s="80">
        <v>41759</v>
      </c>
      <c r="B865">
        <v>32.25</v>
      </c>
      <c r="P865" s="75"/>
    </row>
    <row r="866" spans="1:16">
      <c r="A866" s="80">
        <v>41758</v>
      </c>
      <c r="B866">
        <v>31.85</v>
      </c>
      <c r="P866" s="75"/>
    </row>
    <row r="867" spans="1:16">
      <c r="A867" s="80">
        <v>41757</v>
      </c>
      <c r="B867">
        <v>31.35</v>
      </c>
      <c r="P867" s="75"/>
    </row>
    <row r="868" spans="1:16">
      <c r="A868" s="80">
        <v>41754</v>
      </c>
      <c r="B868">
        <v>31.35</v>
      </c>
      <c r="P868" s="75"/>
    </row>
    <row r="869" spans="1:16">
      <c r="A869" s="80">
        <v>41753</v>
      </c>
      <c r="B869">
        <v>32</v>
      </c>
      <c r="P869" s="75"/>
    </row>
    <row r="870" spans="1:16">
      <c r="A870" s="80">
        <v>41752</v>
      </c>
      <c r="B870">
        <v>32</v>
      </c>
      <c r="P870" s="75"/>
    </row>
    <row r="871" spans="1:16">
      <c r="A871" s="80">
        <v>41751</v>
      </c>
      <c r="B871">
        <v>32.049999999999997</v>
      </c>
      <c r="P871" s="75"/>
    </row>
    <row r="872" spans="1:16">
      <c r="A872" s="80">
        <v>41750</v>
      </c>
      <c r="B872">
        <v>32</v>
      </c>
      <c r="P872" s="75"/>
    </row>
    <row r="873" spans="1:16">
      <c r="A873" s="80">
        <v>41746</v>
      </c>
      <c r="B873">
        <v>32</v>
      </c>
      <c r="P873" s="75"/>
    </row>
    <row r="874" spans="1:16">
      <c r="A874" s="80">
        <v>41745</v>
      </c>
      <c r="B874">
        <v>31.6</v>
      </c>
      <c r="P874" s="75"/>
    </row>
    <row r="875" spans="1:16">
      <c r="A875" s="80">
        <v>41740</v>
      </c>
      <c r="B875">
        <v>31.4</v>
      </c>
      <c r="P875" s="75"/>
    </row>
    <row r="876" spans="1:16">
      <c r="A876" s="80">
        <v>41739</v>
      </c>
      <c r="B876">
        <v>31</v>
      </c>
      <c r="P876" s="75"/>
    </row>
    <row r="877" spans="1:16">
      <c r="A877" s="80">
        <v>41738</v>
      </c>
      <c r="B877">
        <v>31</v>
      </c>
      <c r="P877" s="75"/>
    </row>
    <row r="878" spans="1:16">
      <c r="A878" s="80">
        <v>41737</v>
      </c>
      <c r="B878">
        <v>31</v>
      </c>
      <c r="P878" s="75"/>
    </row>
    <row r="879" spans="1:16">
      <c r="A879" s="80">
        <v>41736</v>
      </c>
      <c r="B879">
        <v>31</v>
      </c>
      <c r="P879" s="75"/>
    </row>
    <row r="880" spans="1:16">
      <c r="A880" s="80">
        <v>41733</v>
      </c>
      <c r="B880">
        <v>31</v>
      </c>
      <c r="P880" s="75"/>
    </row>
    <row r="881" spans="1:16">
      <c r="A881" s="80">
        <v>41732</v>
      </c>
      <c r="B881">
        <v>31</v>
      </c>
      <c r="P881" s="75"/>
    </row>
    <row r="882" spans="1:16">
      <c r="A882" s="80">
        <v>41731</v>
      </c>
      <c r="B882">
        <v>31</v>
      </c>
      <c r="P882" s="75"/>
    </row>
    <row r="883" spans="1:16">
      <c r="A883" s="80">
        <v>41730</v>
      </c>
      <c r="B883">
        <v>30.5</v>
      </c>
      <c r="P883" s="75"/>
    </row>
    <row r="884" spans="1:16">
      <c r="A884" s="158">
        <v>41729</v>
      </c>
      <c r="B884" s="156">
        <v>30.5</v>
      </c>
      <c r="P884" s="75"/>
    </row>
    <row r="885" spans="1:16">
      <c r="A885" s="80">
        <v>41726</v>
      </c>
      <c r="B885">
        <v>30.5</v>
      </c>
      <c r="P885" s="75"/>
    </row>
    <row r="886" spans="1:16">
      <c r="A886" s="80">
        <v>41725</v>
      </c>
      <c r="B886">
        <v>30.5</v>
      </c>
      <c r="P886" s="75"/>
    </row>
    <row r="887" spans="1:16">
      <c r="A887" s="80">
        <v>41724</v>
      </c>
      <c r="B887">
        <v>30.45</v>
      </c>
      <c r="P887" s="75"/>
    </row>
    <row r="888" spans="1:16">
      <c r="A888" s="80">
        <v>41723</v>
      </c>
      <c r="B888">
        <v>31</v>
      </c>
      <c r="P888" s="75"/>
    </row>
    <row r="889" spans="1:16">
      <c r="A889" s="80">
        <v>41722</v>
      </c>
      <c r="B889">
        <v>30.75</v>
      </c>
      <c r="P889" s="75"/>
    </row>
    <row r="890" spans="1:16">
      <c r="A890" s="80">
        <v>41719</v>
      </c>
      <c r="B890">
        <v>31</v>
      </c>
      <c r="P890" s="75"/>
    </row>
    <row r="891" spans="1:16">
      <c r="A891" s="80">
        <v>41718</v>
      </c>
      <c r="B891">
        <v>30.95</v>
      </c>
      <c r="P891" s="75"/>
    </row>
    <row r="892" spans="1:16">
      <c r="A892" s="80">
        <v>41717</v>
      </c>
      <c r="B892">
        <v>30.7</v>
      </c>
      <c r="P892" s="75"/>
    </row>
    <row r="893" spans="1:16">
      <c r="A893" s="80">
        <v>41716</v>
      </c>
      <c r="B893">
        <v>31.9</v>
      </c>
      <c r="P893" s="75"/>
    </row>
    <row r="894" spans="1:16">
      <c r="A894" s="80">
        <v>41715</v>
      </c>
      <c r="B894">
        <v>30.85</v>
      </c>
      <c r="P894" s="75"/>
    </row>
    <row r="895" spans="1:16">
      <c r="A895" s="80">
        <v>41712</v>
      </c>
      <c r="B895">
        <v>30.55</v>
      </c>
      <c r="P895" s="75"/>
    </row>
    <row r="896" spans="1:16">
      <c r="A896" s="80">
        <v>41711</v>
      </c>
      <c r="B896">
        <v>30.85</v>
      </c>
      <c r="P896" s="75"/>
    </row>
    <row r="897" spans="1:16">
      <c r="A897" s="80">
        <v>41710</v>
      </c>
      <c r="B897">
        <v>30.25</v>
      </c>
      <c r="P897" s="75"/>
    </row>
    <row r="898" spans="1:16">
      <c r="A898" s="80">
        <v>41709</v>
      </c>
      <c r="B898">
        <v>30.15</v>
      </c>
      <c r="P898" s="75"/>
    </row>
    <row r="899" spans="1:16">
      <c r="A899" s="80">
        <v>41708</v>
      </c>
      <c r="B899">
        <v>31.05</v>
      </c>
      <c r="P899" s="75"/>
    </row>
    <row r="900" spans="1:16">
      <c r="A900" s="80">
        <v>41705</v>
      </c>
      <c r="B900">
        <v>31.5</v>
      </c>
      <c r="P900" s="75"/>
    </row>
    <row r="901" spans="1:16">
      <c r="A901" s="80">
        <v>41704</v>
      </c>
      <c r="B901">
        <v>31.25</v>
      </c>
      <c r="P901" s="75"/>
    </row>
    <row r="902" spans="1:16">
      <c r="A902" s="80">
        <v>41703</v>
      </c>
      <c r="B902">
        <v>31.25</v>
      </c>
      <c r="P902" s="75"/>
    </row>
    <row r="903" spans="1:16">
      <c r="A903" s="80">
        <v>41702</v>
      </c>
      <c r="B903">
        <v>31.25</v>
      </c>
      <c r="P903" s="75"/>
    </row>
    <row r="904" spans="1:16">
      <c r="A904" s="80">
        <v>41701</v>
      </c>
      <c r="B904">
        <v>31.25</v>
      </c>
      <c r="P904" s="75"/>
    </row>
    <row r="905" spans="1:16">
      <c r="A905" s="80">
        <v>41698</v>
      </c>
      <c r="B905">
        <v>31.95</v>
      </c>
      <c r="P905" s="75"/>
    </row>
    <row r="906" spans="1:16">
      <c r="A906" s="80">
        <v>41696</v>
      </c>
      <c r="B906">
        <v>30.05</v>
      </c>
      <c r="P906" s="75"/>
    </row>
    <row r="907" spans="1:16">
      <c r="A907" s="80">
        <v>41695</v>
      </c>
      <c r="B907">
        <v>30.05</v>
      </c>
      <c r="P907" s="75"/>
    </row>
    <row r="908" spans="1:16">
      <c r="A908" s="80">
        <v>41694</v>
      </c>
      <c r="B908">
        <v>31</v>
      </c>
      <c r="P908" s="75"/>
    </row>
    <row r="909" spans="1:16">
      <c r="A909" s="80">
        <v>41691</v>
      </c>
      <c r="B909">
        <v>32</v>
      </c>
      <c r="P909" s="75"/>
    </row>
    <row r="910" spans="1:16">
      <c r="A910" s="80">
        <v>41690</v>
      </c>
      <c r="B910">
        <v>32</v>
      </c>
      <c r="P910" s="75"/>
    </row>
    <row r="911" spans="1:16">
      <c r="A911" s="80">
        <v>41689</v>
      </c>
      <c r="B911">
        <v>32</v>
      </c>
      <c r="P911" s="75"/>
    </row>
    <row r="912" spans="1:16">
      <c r="A912" s="80">
        <v>41688</v>
      </c>
      <c r="B912">
        <v>32.25</v>
      </c>
      <c r="P912" s="75"/>
    </row>
    <row r="913" spans="1:16">
      <c r="A913" s="80">
        <v>41687</v>
      </c>
      <c r="B913">
        <v>32.25</v>
      </c>
      <c r="P913" s="75"/>
    </row>
    <row r="914" spans="1:16">
      <c r="A914" s="80">
        <v>41683</v>
      </c>
      <c r="B914">
        <v>32.5</v>
      </c>
      <c r="P914" s="75"/>
    </row>
    <row r="915" spans="1:16">
      <c r="A915" s="80">
        <v>41682</v>
      </c>
      <c r="B915">
        <v>32.4</v>
      </c>
      <c r="P915" s="75"/>
    </row>
    <row r="916" spans="1:16">
      <c r="A916" s="80">
        <v>41681</v>
      </c>
      <c r="B916">
        <v>32.75</v>
      </c>
      <c r="P916" s="75"/>
    </row>
    <row r="917" spans="1:16">
      <c r="A917" s="80">
        <v>41680</v>
      </c>
      <c r="B917">
        <v>32.75</v>
      </c>
      <c r="P917" s="75"/>
    </row>
    <row r="918" spans="1:16">
      <c r="A918" s="80">
        <v>41677</v>
      </c>
      <c r="B918">
        <v>34</v>
      </c>
      <c r="P918" s="75"/>
    </row>
    <row r="919" spans="1:16">
      <c r="A919" s="80">
        <v>41676</v>
      </c>
      <c r="B919">
        <v>34</v>
      </c>
      <c r="P919" s="75"/>
    </row>
    <row r="920" spans="1:16">
      <c r="A920" s="80">
        <v>41675</v>
      </c>
      <c r="B920">
        <v>34.5</v>
      </c>
      <c r="P920" s="75"/>
    </row>
    <row r="921" spans="1:16">
      <c r="A921" s="80">
        <v>41673</v>
      </c>
      <c r="B921">
        <v>34.75</v>
      </c>
      <c r="P921" s="75"/>
    </row>
    <row r="922" spans="1:16">
      <c r="A922" s="80">
        <v>41670</v>
      </c>
      <c r="B922">
        <v>34.5</v>
      </c>
      <c r="P922" s="75"/>
    </row>
    <row r="923" spans="1:16">
      <c r="A923" s="80">
        <v>41669</v>
      </c>
      <c r="B923">
        <v>35</v>
      </c>
      <c r="P923" s="75"/>
    </row>
    <row r="924" spans="1:16">
      <c r="A924" s="80">
        <v>41668</v>
      </c>
      <c r="B924">
        <v>35.5</v>
      </c>
      <c r="P924" s="75"/>
    </row>
    <row r="925" spans="1:16">
      <c r="A925" s="80">
        <v>41667</v>
      </c>
      <c r="B925">
        <v>35.75</v>
      </c>
      <c r="P925" s="75"/>
    </row>
    <row r="926" spans="1:16">
      <c r="A926" s="80">
        <v>41666</v>
      </c>
      <c r="B926">
        <v>35.049999999999997</v>
      </c>
      <c r="P926" s="75"/>
    </row>
    <row r="927" spans="1:16">
      <c r="A927" s="80">
        <v>41663</v>
      </c>
      <c r="B927">
        <v>36.35</v>
      </c>
      <c r="P927" s="75"/>
    </row>
    <row r="928" spans="1:16">
      <c r="A928" s="80">
        <v>41662</v>
      </c>
      <c r="B928">
        <v>36.9</v>
      </c>
      <c r="P928" s="75"/>
    </row>
    <row r="929" spans="1:16">
      <c r="A929" s="80">
        <v>41661</v>
      </c>
      <c r="B929">
        <v>36.549999999999997</v>
      </c>
      <c r="P929" s="75"/>
    </row>
    <row r="930" spans="1:16">
      <c r="A930" s="80">
        <v>41660</v>
      </c>
      <c r="B930">
        <v>34</v>
      </c>
      <c r="P930" s="75"/>
    </row>
    <row r="931" spans="1:16">
      <c r="A931" s="80">
        <v>41659</v>
      </c>
      <c r="B931">
        <v>34</v>
      </c>
      <c r="P931" s="75"/>
    </row>
    <row r="932" spans="1:16">
      <c r="A932" s="80">
        <v>41656</v>
      </c>
      <c r="B932">
        <v>35</v>
      </c>
      <c r="P932" s="75"/>
    </row>
    <row r="933" spans="1:16">
      <c r="A933" s="80">
        <v>41655</v>
      </c>
      <c r="B933">
        <v>34.5</v>
      </c>
      <c r="P933" s="75"/>
    </row>
    <row r="934" spans="1:16">
      <c r="A934" s="80">
        <v>41652</v>
      </c>
      <c r="B934">
        <v>34.5</v>
      </c>
      <c r="P934" s="75"/>
    </row>
    <row r="935" spans="1:16">
      <c r="A935" s="80">
        <v>41649</v>
      </c>
      <c r="B935">
        <v>34.65</v>
      </c>
      <c r="P935" s="75"/>
    </row>
    <row r="936" spans="1:16">
      <c r="A936" s="80">
        <v>41648</v>
      </c>
      <c r="B936">
        <v>33.5</v>
      </c>
      <c r="P936" s="75"/>
    </row>
    <row r="937" spans="1:16">
      <c r="A937" s="80">
        <v>41647</v>
      </c>
      <c r="B937">
        <v>33.25</v>
      </c>
      <c r="P937" s="75"/>
    </row>
    <row r="938" spans="1:16">
      <c r="A938" s="80">
        <v>41646</v>
      </c>
      <c r="B938">
        <v>33</v>
      </c>
      <c r="P938" s="75"/>
    </row>
    <row r="939" spans="1:16">
      <c r="A939" s="80">
        <v>41645</v>
      </c>
      <c r="B939">
        <v>32.4</v>
      </c>
      <c r="P939" s="75"/>
    </row>
    <row r="940" spans="1:16">
      <c r="A940" s="80">
        <v>41642</v>
      </c>
      <c r="B940">
        <v>32.5</v>
      </c>
      <c r="P940" s="75"/>
    </row>
    <row r="941" spans="1:16">
      <c r="A941" s="80">
        <v>41641</v>
      </c>
      <c r="B941">
        <v>32.5</v>
      </c>
      <c r="P941" s="75"/>
    </row>
    <row r="942" spans="1:16">
      <c r="A942" s="80">
        <v>41639</v>
      </c>
      <c r="B942">
        <v>32.450000000000003</v>
      </c>
      <c r="P942" s="75"/>
    </row>
    <row r="943" spans="1:16">
      <c r="A943" s="80">
        <v>41638</v>
      </c>
      <c r="B943">
        <v>32.5</v>
      </c>
      <c r="P943" s="75"/>
    </row>
    <row r="944" spans="1:16">
      <c r="A944" s="80">
        <v>41635</v>
      </c>
      <c r="B944">
        <v>32.5</v>
      </c>
      <c r="P944" s="75"/>
    </row>
    <row r="945" spans="1:16">
      <c r="A945" s="80">
        <v>41634</v>
      </c>
      <c r="B945">
        <v>33.5</v>
      </c>
      <c r="P945" s="75"/>
    </row>
    <row r="946" spans="1:16">
      <c r="A946" s="80">
        <v>41632</v>
      </c>
      <c r="B946">
        <v>31.5</v>
      </c>
      <c r="P946" s="75"/>
    </row>
    <row r="947" spans="1:16">
      <c r="A947" s="80">
        <v>41631</v>
      </c>
      <c r="B947">
        <v>31.5</v>
      </c>
      <c r="P947" s="75"/>
    </row>
    <row r="948" spans="1:16">
      <c r="A948" s="80">
        <v>41628</v>
      </c>
      <c r="B948">
        <v>32.5</v>
      </c>
      <c r="P948" s="75"/>
    </row>
    <row r="949" spans="1:16">
      <c r="A949" s="80">
        <v>41627</v>
      </c>
      <c r="B949">
        <v>32.5</v>
      </c>
      <c r="P949" s="75"/>
    </row>
    <row r="950" spans="1:16">
      <c r="A950" s="80">
        <v>41626</v>
      </c>
      <c r="B950">
        <v>32.5</v>
      </c>
      <c r="P950" s="75"/>
    </row>
    <row r="951" spans="1:16">
      <c r="A951" s="80">
        <v>41625</v>
      </c>
      <c r="B951">
        <v>32.5</v>
      </c>
      <c r="P951" s="75"/>
    </row>
    <row r="952" spans="1:16">
      <c r="A952" s="80">
        <v>41621</v>
      </c>
      <c r="B952">
        <v>32.5</v>
      </c>
      <c r="P952" s="75"/>
    </row>
    <row r="953" spans="1:16">
      <c r="A953" s="80">
        <v>41620</v>
      </c>
      <c r="B953">
        <v>32.5</v>
      </c>
      <c r="P953" s="75"/>
    </row>
    <row r="954" spans="1:16">
      <c r="A954" s="80">
        <v>41619</v>
      </c>
      <c r="B954">
        <v>31.8</v>
      </c>
      <c r="P954" s="75"/>
    </row>
    <row r="955" spans="1:16">
      <c r="A955" s="80">
        <v>41618</v>
      </c>
      <c r="B955">
        <v>32.5</v>
      </c>
      <c r="P955" s="75"/>
    </row>
    <row r="956" spans="1:16">
      <c r="A956" s="80">
        <v>41617</v>
      </c>
      <c r="B956">
        <v>32.5</v>
      </c>
      <c r="P956" s="75"/>
    </row>
    <row r="957" spans="1:16">
      <c r="A957" s="80">
        <v>41614</v>
      </c>
      <c r="B957">
        <v>31.75</v>
      </c>
      <c r="P957" s="75"/>
    </row>
    <row r="958" spans="1:16">
      <c r="A958" s="80">
        <v>41613</v>
      </c>
      <c r="B958">
        <v>31.75</v>
      </c>
      <c r="P958" s="75"/>
    </row>
    <row r="959" spans="1:16">
      <c r="A959" s="80">
        <v>41612</v>
      </c>
      <c r="B959">
        <v>32.450000000000003</v>
      </c>
      <c r="P959" s="75"/>
    </row>
    <row r="960" spans="1:16">
      <c r="A960" s="80">
        <v>41611</v>
      </c>
      <c r="B960">
        <v>32.450000000000003</v>
      </c>
      <c r="P960" s="75"/>
    </row>
    <row r="961" spans="1:16">
      <c r="A961" s="80">
        <v>41610</v>
      </c>
      <c r="B961">
        <v>32.15</v>
      </c>
      <c r="P961" s="75"/>
    </row>
    <row r="962" spans="1:16">
      <c r="A962" s="80">
        <v>41607</v>
      </c>
      <c r="B962">
        <v>31</v>
      </c>
      <c r="P962" s="75"/>
    </row>
    <row r="963" spans="1:16">
      <c r="A963" s="80">
        <v>41606</v>
      </c>
      <c r="B963">
        <v>31</v>
      </c>
      <c r="P963" s="75"/>
    </row>
    <row r="964" spans="1:16">
      <c r="A964" s="80">
        <v>41605</v>
      </c>
      <c r="B964">
        <v>31</v>
      </c>
      <c r="P964" s="75"/>
    </row>
    <row r="965" spans="1:16">
      <c r="A965" s="80">
        <v>41604</v>
      </c>
      <c r="B965">
        <v>32</v>
      </c>
      <c r="P965" s="75"/>
    </row>
    <row r="966" spans="1:16">
      <c r="A966" s="80">
        <v>41603</v>
      </c>
      <c r="B966">
        <v>34</v>
      </c>
      <c r="P966" s="75"/>
    </row>
    <row r="967" spans="1:16">
      <c r="A967" s="80">
        <v>41600</v>
      </c>
      <c r="B967">
        <v>31.8</v>
      </c>
      <c r="P967" s="75"/>
    </row>
    <row r="968" spans="1:16">
      <c r="A968" s="80">
        <v>41599</v>
      </c>
      <c r="B968">
        <v>32.5</v>
      </c>
      <c r="P968" s="75"/>
    </row>
    <row r="969" spans="1:16">
      <c r="A969" s="80">
        <v>41598</v>
      </c>
      <c r="B969">
        <v>31.5</v>
      </c>
      <c r="P969" s="75"/>
    </row>
    <row r="970" spans="1:16">
      <c r="A970" s="80">
        <v>41597</v>
      </c>
      <c r="B970">
        <v>31.75</v>
      </c>
      <c r="P970" s="75"/>
    </row>
    <row r="971" spans="1:16">
      <c r="A971" s="80">
        <v>41596</v>
      </c>
      <c r="B971">
        <v>33.5</v>
      </c>
      <c r="P971" s="75"/>
    </row>
    <row r="972" spans="1:16">
      <c r="A972" s="80">
        <v>41593</v>
      </c>
      <c r="B972">
        <v>32.5</v>
      </c>
      <c r="P972" s="75"/>
    </row>
    <row r="973" spans="1:16">
      <c r="A973" s="80">
        <v>41592</v>
      </c>
      <c r="B973">
        <v>32.5</v>
      </c>
      <c r="P973" s="75"/>
    </row>
    <row r="974" spans="1:16">
      <c r="A974" s="80">
        <v>41591</v>
      </c>
      <c r="B974">
        <v>32.5</v>
      </c>
      <c r="P974" s="75"/>
    </row>
    <row r="975" spans="1:16">
      <c r="A975" s="80">
        <v>41590</v>
      </c>
      <c r="B975">
        <v>31.75</v>
      </c>
      <c r="P975" s="75"/>
    </row>
    <row r="976" spans="1:16">
      <c r="A976" s="80">
        <v>41589</v>
      </c>
      <c r="B976">
        <v>31.9</v>
      </c>
      <c r="P976" s="75"/>
    </row>
    <row r="977" spans="1:16">
      <c r="A977" s="80">
        <v>41586</v>
      </c>
      <c r="B977">
        <v>31.85</v>
      </c>
      <c r="P977" s="75"/>
    </row>
    <row r="978" spans="1:16">
      <c r="A978" s="80">
        <v>41585</v>
      </c>
      <c r="B978">
        <v>32.6</v>
      </c>
      <c r="P978" s="75"/>
    </row>
    <row r="979" spans="1:16">
      <c r="A979" s="80">
        <v>41584</v>
      </c>
      <c r="B979">
        <v>34.25</v>
      </c>
      <c r="P979" s="75"/>
    </row>
    <row r="980" spans="1:16">
      <c r="A980" s="80">
        <v>41583</v>
      </c>
      <c r="B980">
        <v>34.25</v>
      </c>
      <c r="P980" s="75"/>
    </row>
    <row r="981" spans="1:16">
      <c r="A981" s="80">
        <v>41582</v>
      </c>
      <c r="B981">
        <v>34.35</v>
      </c>
      <c r="P981" s="75"/>
    </row>
    <row r="982" spans="1:16">
      <c r="A982" s="80">
        <v>41579</v>
      </c>
      <c r="B982">
        <v>32.75</v>
      </c>
      <c r="P982" s="75"/>
    </row>
    <row r="983" spans="1:16">
      <c r="A983" s="80">
        <v>41578</v>
      </c>
      <c r="B983">
        <v>34.4</v>
      </c>
      <c r="P983" s="75"/>
    </row>
    <row r="984" spans="1:16">
      <c r="A984" s="80">
        <v>41577</v>
      </c>
      <c r="B984">
        <v>32.65</v>
      </c>
      <c r="P984" s="75"/>
    </row>
    <row r="985" spans="1:16">
      <c r="A985" s="80">
        <v>41576</v>
      </c>
      <c r="B985">
        <v>33.25</v>
      </c>
      <c r="P985" s="75"/>
    </row>
    <row r="986" spans="1:16">
      <c r="A986" s="80">
        <v>41575</v>
      </c>
      <c r="B986">
        <v>32.75</v>
      </c>
      <c r="P986" s="75"/>
    </row>
    <row r="987" spans="1:16">
      <c r="A987" s="80">
        <v>41572</v>
      </c>
      <c r="B987">
        <v>32.5</v>
      </c>
      <c r="P987" s="75"/>
    </row>
    <row r="988" spans="1:16">
      <c r="A988" s="80">
        <v>41571</v>
      </c>
      <c r="B988">
        <v>32.549999999999997</v>
      </c>
      <c r="P988" s="75"/>
    </row>
    <row r="989" spans="1:16">
      <c r="A989" s="80">
        <v>41570</v>
      </c>
      <c r="B989">
        <v>32.549999999999997</v>
      </c>
      <c r="P989" s="75"/>
    </row>
    <row r="990" spans="1:16">
      <c r="A990" s="80">
        <v>41569</v>
      </c>
      <c r="B990">
        <v>32.5</v>
      </c>
      <c r="P990" s="75"/>
    </row>
    <row r="991" spans="1:16">
      <c r="A991" s="80">
        <v>41568</v>
      </c>
      <c r="B991">
        <v>32.6</v>
      </c>
      <c r="P991" s="75"/>
    </row>
    <row r="992" spans="1:16">
      <c r="A992" s="80">
        <v>41564</v>
      </c>
      <c r="B992">
        <v>33</v>
      </c>
      <c r="P992" s="75"/>
    </row>
    <row r="993" spans="1:16">
      <c r="A993" s="80">
        <v>41562</v>
      </c>
      <c r="B993">
        <v>32.549999999999997</v>
      </c>
      <c r="P993" s="75"/>
    </row>
    <row r="994" spans="1:16">
      <c r="A994" s="80">
        <v>41561</v>
      </c>
      <c r="B994">
        <v>32.549999999999997</v>
      </c>
      <c r="P994" s="75"/>
    </row>
    <row r="995" spans="1:16">
      <c r="A995" s="80">
        <v>41558</v>
      </c>
      <c r="B995">
        <v>32.549999999999997</v>
      </c>
      <c r="P995" s="75"/>
    </row>
    <row r="996" spans="1:16">
      <c r="A996" s="80">
        <v>41557</v>
      </c>
      <c r="B996">
        <v>34</v>
      </c>
      <c r="P996" s="75"/>
    </row>
    <row r="997" spans="1:16">
      <c r="A997" s="80">
        <v>41556</v>
      </c>
      <c r="B997">
        <v>34</v>
      </c>
      <c r="P997" s="75"/>
    </row>
    <row r="998" spans="1:16">
      <c r="A998" s="80">
        <v>41555</v>
      </c>
      <c r="B998">
        <v>31.7</v>
      </c>
      <c r="P998" s="75"/>
    </row>
    <row r="999" spans="1:16">
      <c r="A999" s="80">
        <v>41554</v>
      </c>
      <c r="B999">
        <v>31.7</v>
      </c>
      <c r="P999" s="75"/>
    </row>
    <row r="1000" spans="1:16">
      <c r="A1000" s="80">
        <v>41551</v>
      </c>
      <c r="B1000">
        <v>31.65</v>
      </c>
      <c r="P1000" s="75"/>
    </row>
    <row r="1001" spans="1:16">
      <c r="A1001" s="80">
        <v>41550</v>
      </c>
      <c r="B1001">
        <v>31.75</v>
      </c>
      <c r="P1001" s="75"/>
    </row>
    <row r="1002" spans="1:16">
      <c r="A1002" s="80">
        <v>41549</v>
      </c>
      <c r="B1002">
        <v>31.55</v>
      </c>
      <c r="P1002" s="75"/>
    </row>
    <row r="1003" spans="1:16">
      <c r="A1003" s="80">
        <v>41548</v>
      </c>
      <c r="B1003">
        <v>31.55</v>
      </c>
      <c r="P1003" s="75"/>
    </row>
    <row r="1004" spans="1:16">
      <c r="A1004" s="80">
        <v>41547</v>
      </c>
      <c r="B1004">
        <v>32.6</v>
      </c>
      <c r="P1004" s="75"/>
    </row>
    <row r="1005" spans="1:16">
      <c r="A1005" s="80">
        <v>41544</v>
      </c>
      <c r="B1005">
        <v>33.5</v>
      </c>
      <c r="P1005" s="75"/>
    </row>
    <row r="1006" spans="1:16">
      <c r="A1006" s="80">
        <v>41543</v>
      </c>
      <c r="B1006">
        <v>31.5</v>
      </c>
      <c r="P1006" s="75"/>
    </row>
    <row r="1007" spans="1:16">
      <c r="A1007" s="80">
        <v>41542</v>
      </c>
      <c r="B1007">
        <v>32.5</v>
      </c>
      <c r="P1007" s="75"/>
    </row>
    <row r="1008" spans="1:16">
      <c r="A1008" s="80">
        <v>41541</v>
      </c>
      <c r="B1008">
        <v>32.5</v>
      </c>
      <c r="P1008" s="75"/>
    </row>
    <row r="1009" spans="1:16">
      <c r="A1009" s="80">
        <v>41540</v>
      </c>
      <c r="B1009">
        <v>33</v>
      </c>
      <c r="P1009" s="75"/>
    </row>
    <row r="1010" spans="1:16">
      <c r="A1010" s="80">
        <v>41537</v>
      </c>
      <c r="B1010">
        <v>33</v>
      </c>
      <c r="P1010" s="75"/>
    </row>
    <row r="1011" spans="1:16">
      <c r="A1011" s="80">
        <v>41535</v>
      </c>
      <c r="B1011">
        <v>31.7</v>
      </c>
      <c r="P1011" s="75"/>
    </row>
    <row r="1012" spans="1:16">
      <c r="A1012" s="80">
        <v>41534</v>
      </c>
      <c r="B1012">
        <v>31.7</v>
      </c>
      <c r="P1012" s="75"/>
    </row>
    <row r="1013" spans="1:16">
      <c r="A1013" s="80">
        <v>41533</v>
      </c>
      <c r="B1013">
        <v>31.5</v>
      </c>
      <c r="P1013" s="75"/>
    </row>
    <row r="1014" spans="1:16">
      <c r="A1014" s="80">
        <v>41530</v>
      </c>
      <c r="B1014">
        <v>33</v>
      </c>
      <c r="P1014" s="75"/>
    </row>
    <row r="1015" spans="1:16">
      <c r="A1015" s="80">
        <v>41529</v>
      </c>
      <c r="B1015">
        <v>33.450000000000003</v>
      </c>
      <c r="P1015" s="75"/>
    </row>
    <row r="1016" spans="1:16">
      <c r="A1016" s="80">
        <v>41528</v>
      </c>
      <c r="B1016">
        <v>33</v>
      </c>
      <c r="P1016" s="75"/>
    </row>
    <row r="1017" spans="1:16">
      <c r="A1017" s="80">
        <v>41527</v>
      </c>
      <c r="B1017">
        <v>31.5</v>
      </c>
      <c r="P1017" s="75"/>
    </row>
    <row r="1018" spans="1:16">
      <c r="A1018" s="80">
        <v>41526</v>
      </c>
      <c r="B1018">
        <v>31.5</v>
      </c>
      <c r="P1018" s="75"/>
    </row>
    <row r="1019" spans="1:16">
      <c r="A1019" s="80">
        <v>41523</v>
      </c>
      <c r="B1019">
        <v>31.5</v>
      </c>
      <c r="P1019" s="75"/>
    </row>
    <row r="1020" spans="1:16">
      <c r="A1020" s="80">
        <v>41522</v>
      </c>
      <c r="B1020">
        <v>31.5</v>
      </c>
      <c r="P1020" s="75"/>
    </row>
    <row r="1021" spans="1:16">
      <c r="A1021" s="80">
        <v>41521</v>
      </c>
      <c r="B1021">
        <v>32.5</v>
      </c>
      <c r="P1021" s="75"/>
    </row>
    <row r="1022" spans="1:16">
      <c r="A1022" s="80">
        <v>41520</v>
      </c>
      <c r="B1022">
        <v>33.25</v>
      </c>
      <c r="P1022" s="75"/>
    </row>
    <row r="1023" spans="1:16">
      <c r="A1023" s="80">
        <v>41519</v>
      </c>
      <c r="B1023">
        <v>34.200000000000003</v>
      </c>
      <c r="P1023" s="75"/>
    </row>
    <row r="1024" spans="1:16">
      <c r="A1024" s="80">
        <v>41516</v>
      </c>
      <c r="B1024">
        <v>34.200000000000003</v>
      </c>
      <c r="P1024" s="75"/>
    </row>
    <row r="1025" spans="1:16">
      <c r="A1025" s="80">
        <v>41515</v>
      </c>
      <c r="B1025">
        <v>31.5</v>
      </c>
      <c r="P1025" s="75"/>
    </row>
    <row r="1026" spans="1:16">
      <c r="A1026" s="80">
        <v>41514</v>
      </c>
      <c r="B1026">
        <v>32</v>
      </c>
      <c r="P1026" s="75"/>
    </row>
    <row r="1027" spans="1:16">
      <c r="A1027" s="80">
        <v>41513</v>
      </c>
      <c r="B1027">
        <v>32.1</v>
      </c>
      <c r="P1027" s="75"/>
    </row>
    <row r="1028" spans="1:16">
      <c r="A1028" s="80">
        <v>41512</v>
      </c>
      <c r="B1028">
        <v>32.950000000000003</v>
      </c>
      <c r="P1028" s="75"/>
    </row>
    <row r="1029" spans="1:16">
      <c r="A1029" s="80">
        <v>41509</v>
      </c>
      <c r="B1029">
        <v>32.65</v>
      </c>
      <c r="P1029" s="75"/>
    </row>
    <row r="1030" spans="1:16">
      <c r="A1030" s="80">
        <v>41508</v>
      </c>
      <c r="B1030">
        <v>34</v>
      </c>
      <c r="P1030" s="75"/>
    </row>
    <row r="1031" spans="1:16">
      <c r="A1031" s="80">
        <v>41507</v>
      </c>
      <c r="B1031">
        <v>34.25</v>
      </c>
      <c r="P1031" s="75"/>
    </row>
    <row r="1032" spans="1:16">
      <c r="A1032" s="80">
        <v>41505</v>
      </c>
      <c r="B1032">
        <v>34.5</v>
      </c>
      <c r="P1032" s="75"/>
    </row>
    <row r="1033" spans="1:16">
      <c r="A1033" s="80">
        <v>41502</v>
      </c>
      <c r="B1033">
        <v>34.5</v>
      </c>
      <c r="C1033" s="157"/>
      <c r="P1033" s="75"/>
    </row>
    <row r="1034" spans="1:16">
      <c r="A1034" s="80">
        <v>41501</v>
      </c>
      <c r="B1034">
        <v>33.5</v>
      </c>
      <c r="P1034" s="75"/>
    </row>
    <row r="1035" spans="1:16">
      <c r="A1035" s="80">
        <v>41500</v>
      </c>
      <c r="B1035">
        <v>33.549999999999997</v>
      </c>
      <c r="P1035" s="75"/>
    </row>
    <row r="1036" spans="1:16">
      <c r="A1036" s="80">
        <v>41499</v>
      </c>
      <c r="B1036">
        <v>33.6</v>
      </c>
      <c r="P1036" s="75"/>
    </row>
    <row r="1037" spans="1:16">
      <c r="A1037" s="80">
        <v>41498</v>
      </c>
      <c r="B1037">
        <v>33.6</v>
      </c>
      <c r="P1037" s="75"/>
    </row>
    <row r="1038" spans="1:16">
      <c r="A1038" s="80">
        <v>41494</v>
      </c>
      <c r="B1038">
        <v>33.6</v>
      </c>
      <c r="P1038" s="75"/>
    </row>
    <row r="1039" spans="1:16">
      <c r="A1039" s="80">
        <v>41493</v>
      </c>
      <c r="B1039">
        <v>33.549999999999997</v>
      </c>
      <c r="P1039" s="75"/>
    </row>
    <row r="1040" spans="1:16">
      <c r="A1040" s="80">
        <v>41492</v>
      </c>
      <c r="B1040">
        <v>33.5</v>
      </c>
      <c r="P1040" s="75"/>
    </row>
    <row r="1041" spans="1:16">
      <c r="A1041" s="80">
        <v>41491</v>
      </c>
      <c r="B1041">
        <v>33.549999999999997</v>
      </c>
      <c r="P1041" s="75"/>
    </row>
    <row r="1042" spans="1:16">
      <c r="A1042" s="80">
        <v>41488</v>
      </c>
      <c r="B1042">
        <v>33.549999999999997</v>
      </c>
      <c r="P1042" s="75"/>
    </row>
    <row r="1043" spans="1:16">
      <c r="A1043" s="80">
        <v>41487</v>
      </c>
      <c r="B1043">
        <v>34.5</v>
      </c>
      <c r="P1043" s="75"/>
    </row>
    <row r="1044" spans="1:16">
      <c r="A1044" s="80">
        <v>41486</v>
      </c>
      <c r="B1044">
        <v>33.5</v>
      </c>
      <c r="P1044" s="75"/>
    </row>
    <row r="1045" spans="1:16">
      <c r="A1045" s="80">
        <v>41485</v>
      </c>
      <c r="B1045">
        <v>33.75</v>
      </c>
      <c r="P1045" s="75"/>
    </row>
    <row r="1046" spans="1:16">
      <c r="A1046" s="80">
        <v>41484</v>
      </c>
      <c r="B1046">
        <v>33.75</v>
      </c>
      <c r="P1046" s="75"/>
    </row>
    <row r="1047" spans="1:16">
      <c r="A1047" s="80">
        <v>41481</v>
      </c>
      <c r="B1047">
        <v>34.85</v>
      </c>
      <c r="P1047" s="75"/>
    </row>
    <row r="1048" spans="1:16">
      <c r="A1048" s="80">
        <v>41480</v>
      </c>
      <c r="B1048">
        <v>33.75</v>
      </c>
      <c r="P1048" s="75"/>
    </row>
    <row r="1049" spans="1:16">
      <c r="A1049" s="80">
        <v>41479</v>
      </c>
      <c r="B1049">
        <v>33.35</v>
      </c>
      <c r="P1049" s="75"/>
    </row>
    <row r="1050" spans="1:16">
      <c r="A1050" s="80">
        <v>41478</v>
      </c>
      <c r="B1050">
        <v>34.85</v>
      </c>
      <c r="P1050" s="75"/>
    </row>
    <row r="1051" spans="1:16">
      <c r="A1051" s="80">
        <v>41474</v>
      </c>
      <c r="B1051">
        <v>34.950000000000003</v>
      </c>
      <c r="P1051" s="75"/>
    </row>
    <row r="1052" spans="1:16">
      <c r="A1052" s="80">
        <v>41473</v>
      </c>
      <c r="B1052">
        <v>33.75</v>
      </c>
      <c r="P1052" s="75"/>
    </row>
    <row r="1053" spans="1:16">
      <c r="A1053" s="80">
        <v>41472</v>
      </c>
      <c r="B1053">
        <v>33.5</v>
      </c>
      <c r="P1053" s="75"/>
    </row>
    <row r="1054" spans="1:16">
      <c r="A1054" s="80">
        <v>41471</v>
      </c>
      <c r="B1054">
        <v>33.700000000000003</v>
      </c>
      <c r="P1054" s="75"/>
    </row>
    <row r="1055" spans="1:16">
      <c r="A1055" s="80">
        <v>41470</v>
      </c>
      <c r="B1055">
        <v>33.700000000000003</v>
      </c>
      <c r="P1055" s="75"/>
    </row>
    <row r="1056" spans="1:16">
      <c r="A1056" s="80">
        <v>41467</v>
      </c>
      <c r="B1056">
        <v>34.950000000000003</v>
      </c>
      <c r="P1056" s="75"/>
    </row>
    <row r="1057" spans="1:16">
      <c r="A1057" s="80">
        <v>41466</v>
      </c>
      <c r="B1057">
        <v>34.950000000000003</v>
      </c>
      <c r="P1057" s="75"/>
    </row>
    <row r="1058" spans="1:16">
      <c r="A1058" s="80">
        <v>41465</v>
      </c>
      <c r="B1058">
        <v>34.950000000000003</v>
      </c>
      <c r="P1058" s="75"/>
    </row>
    <row r="1059" spans="1:16">
      <c r="A1059" s="80">
        <v>41464</v>
      </c>
      <c r="B1059">
        <v>35</v>
      </c>
      <c r="P1059" s="75"/>
    </row>
    <row r="1060" spans="1:16">
      <c r="A1060" s="80">
        <v>41463</v>
      </c>
      <c r="B1060">
        <v>35</v>
      </c>
      <c r="P1060" s="75"/>
    </row>
    <row r="1061" spans="1:16">
      <c r="A1061" s="80">
        <v>41460</v>
      </c>
      <c r="B1061">
        <v>34.700000000000003</v>
      </c>
      <c r="P1061" s="75"/>
    </row>
    <row r="1062" spans="1:16">
      <c r="A1062" s="80">
        <v>41459</v>
      </c>
      <c r="B1062">
        <v>35</v>
      </c>
      <c r="P1062" s="75"/>
    </row>
    <row r="1063" spans="1:16">
      <c r="A1063" s="80">
        <v>41458</v>
      </c>
      <c r="B1063">
        <v>35</v>
      </c>
      <c r="P1063" s="75"/>
    </row>
    <row r="1064" spans="1:16">
      <c r="A1064" s="80">
        <v>41457</v>
      </c>
      <c r="B1064">
        <v>35</v>
      </c>
      <c r="P1064" s="75"/>
    </row>
    <row r="1065" spans="1:16">
      <c r="A1065" s="80">
        <v>41456</v>
      </c>
      <c r="B1065">
        <v>34.9</v>
      </c>
      <c r="P1065" s="75"/>
    </row>
    <row r="1066" spans="1:16">
      <c r="A1066" s="80">
        <v>41453</v>
      </c>
      <c r="B1066">
        <v>34.25</v>
      </c>
      <c r="P1066" s="75"/>
    </row>
    <row r="1067" spans="1:16">
      <c r="A1067" s="80">
        <v>41452</v>
      </c>
      <c r="B1067">
        <v>34</v>
      </c>
      <c r="P1067" s="75"/>
    </row>
    <row r="1068" spans="1:16">
      <c r="A1068" s="80">
        <v>41451</v>
      </c>
      <c r="B1068">
        <v>33.75</v>
      </c>
      <c r="P1068" s="75"/>
    </row>
    <row r="1069" spans="1:16">
      <c r="A1069" s="80">
        <v>41450</v>
      </c>
      <c r="B1069">
        <v>33.9</v>
      </c>
      <c r="P1069" s="75"/>
    </row>
    <row r="1070" spans="1:16">
      <c r="A1070" s="80">
        <v>41449</v>
      </c>
      <c r="B1070">
        <v>33.9</v>
      </c>
      <c r="P1070" s="75"/>
    </row>
    <row r="1071" spans="1:16">
      <c r="A1071" s="80">
        <v>41446</v>
      </c>
      <c r="B1071">
        <v>33.9</v>
      </c>
      <c r="P1071" s="75"/>
    </row>
    <row r="1072" spans="1:16">
      <c r="A1072" s="80">
        <v>41445</v>
      </c>
      <c r="B1072">
        <v>35.1</v>
      </c>
      <c r="P1072" s="75"/>
    </row>
    <row r="1073" spans="1:16">
      <c r="A1073" s="80">
        <v>41444</v>
      </c>
      <c r="B1073">
        <v>35.450000000000003</v>
      </c>
      <c r="P1073" s="75"/>
    </row>
    <row r="1074" spans="1:16">
      <c r="A1074" s="80">
        <v>41443</v>
      </c>
      <c r="B1074">
        <v>35.5</v>
      </c>
      <c r="P1074" s="75"/>
    </row>
    <row r="1075" spans="1:16">
      <c r="A1075" s="80">
        <v>41442</v>
      </c>
      <c r="B1075">
        <v>35.5</v>
      </c>
      <c r="P1075" s="75"/>
    </row>
    <row r="1076" spans="1:16">
      <c r="A1076" s="80">
        <v>41439</v>
      </c>
      <c r="B1076">
        <v>35.549999999999997</v>
      </c>
      <c r="P1076" s="75"/>
    </row>
    <row r="1077" spans="1:16">
      <c r="A1077" s="80">
        <v>41438</v>
      </c>
      <c r="B1077">
        <v>35.5</v>
      </c>
      <c r="P1077" s="75"/>
    </row>
    <row r="1078" spans="1:16">
      <c r="A1078" s="80">
        <v>41437</v>
      </c>
      <c r="B1078">
        <v>35.049999999999997</v>
      </c>
      <c r="P1078" s="75"/>
    </row>
    <row r="1079" spans="1:16">
      <c r="A1079" s="80">
        <v>41436</v>
      </c>
      <c r="B1079">
        <v>35.5</v>
      </c>
      <c r="P1079" s="75"/>
    </row>
    <row r="1080" spans="1:16">
      <c r="A1080" s="80">
        <v>41435</v>
      </c>
      <c r="B1080">
        <v>35.549999999999997</v>
      </c>
      <c r="P1080" s="75"/>
    </row>
    <row r="1081" spans="1:16">
      <c r="A1081" s="80">
        <v>41432</v>
      </c>
      <c r="B1081">
        <v>35.75</v>
      </c>
      <c r="P1081" s="75"/>
    </row>
    <row r="1082" spans="1:16">
      <c r="A1082" s="80">
        <v>41431</v>
      </c>
      <c r="B1082">
        <v>36.5</v>
      </c>
      <c r="P1082" s="75"/>
    </row>
    <row r="1083" spans="1:16">
      <c r="A1083" s="80">
        <v>41430</v>
      </c>
      <c r="B1083">
        <v>37.1</v>
      </c>
      <c r="P1083" s="75"/>
    </row>
    <row r="1084" spans="1:16">
      <c r="A1084" s="80">
        <v>41429</v>
      </c>
      <c r="B1084">
        <v>37.700000000000003</v>
      </c>
      <c r="P1084" s="75"/>
    </row>
    <row r="1085" spans="1:16">
      <c r="A1085" s="80">
        <v>41428</v>
      </c>
      <c r="B1085">
        <v>38.4</v>
      </c>
      <c r="P1085" s="75"/>
    </row>
    <row r="1086" spans="1:16">
      <c r="A1086" s="80">
        <v>41425</v>
      </c>
      <c r="B1086">
        <v>38.4</v>
      </c>
      <c r="P1086" s="75"/>
    </row>
    <row r="1087" spans="1:16">
      <c r="A1087" s="80">
        <v>41424</v>
      </c>
      <c r="B1087">
        <v>36.5</v>
      </c>
      <c r="P1087" s="75"/>
    </row>
    <row r="1088" spans="1:16">
      <c r="A1088" s="80">
        <v>41423</v>
      </c>
      <c r="B1088">
        <v>37</v>
      </c>
      <c r="P1088" s="75"/>
    </row>
    <row r="1089" spans="1:16">
      <c r="A1089" s="80">
        <v>41422</v>
      </c>
      <c r="B1089">
        <v>37.200000000000003</v>
      </c>
      <c r="P1089" s="75"/>
    </row>
    <row r="1090" spans="1:16">
      <c r="A1090" s="80">
        <v>41421</v>
      </c>
      <c r="B1090">
        <v>37.049999999999997</v>
      </c>
      <c r="P1090" s="75"/>
    </row>
    <row r="1091" spans="1:16">
      <c r="A1091" s="80">
        <v>41417</v>
      </c>
      <c r="B1091">
        <v>37.799999999999997</v>
      </c>
      <c r="P1091" s="75"/>
    </row>
    <row r="1092" spans="1:16">
      <c r="A1092" s="80">
        <v>41416</v>
      </c>
      <c r="B1092">
        <v>38.5</v>
      </c>
      <c r="P1092" s="75"/>
    </row>
    <row r="1093" spans="1:16">
      <c r="A1093" s="80">
        <v>41415</v>
      </c>
      <c r="B1093">
        <v>38.75</v>
      </c>
      <c r="P1093" s="75"/>
    </row>
    <row r="1094" spans="1:16">
      <c r="A1094" s="80">
        <v>41414</v>
      </c>
      <c r="B1094">
        <v>38.549999999999997</v>
      </c>
      <c r="P1094" s="75"/>
    </row>
    <row r="1095" spans="1:16">
      <c r="A1095" s="80">
        <v>41411</v>
      </c>
      <c r="B1095">
        <v>39</v>
      </c>
      <c r="P1095" s="75"/>
    </row>
    <row r="1096" spans="1:16">
      <c r="A1096" s="80">
        <v>41410</v>
      </c>
      <c r="B1096">
        <v>38.299999999999997</v>
      </c>
      <c r="P1096" s="75"/>
    </row>
    <row r="1097" spans="1:16">
      <c r="A1097" s="80">
        <v>41409</v>
      </c>
      <c r="B1097">
        <v>37.75</v>
      </c>
      <c r="P1097" s="75"/>
    </row>
    <row r="1098" spans="1:16">
      <c r="A1098" s="80">
        <v>41408</v>
      </c>
      <c r="B1098">
        <v>37.700000000000003</v>
      </c>
      <c r="P1098" s="75"/>
    </row>
    <row r="1099" spans="1:16">
      <c r="A1099" s="80">
        <v>41407</v>
      </c>
      <c r="B1099">
        <v>38.65</v>
      </c>
      <c r="P1099" s="75"/>
    </row>
    <row r="1100" spans="1:16">
      <c r="A1100" s="80">
        <v>41404</v>
      </c>
      <c r="B1100">
        <v>38.75</v>
      </c>
      <c r="P1100" s="75"/>
    </row>
    <row r="1101" spans="1:16">
      <c r="A1101" s="80">
        <v>41403</v>
      </c>
      <c r="B1101">
        <v>38.9</v>
      </c>
      <c r="P1101" s="75"/>
    </row>
    <row r="1102" spans="1:16">
      <c r="A1102" s="80">
        <v>41402</v>
      </c>
      <c r="B1102">
        <v>38.450000000000003</v>
      </c>
      <c r="P1102" s="75"/>
    </row>
    <row r="1103" spans="1:16">
      <c r="A1103" s="80">
        <v>41401</v>
      </c>
      <c r="B1103">
        <v>36.450000000000003</v>
      </c>
      <c r="P1103" s="75"/>
    </row>
    <row r="1104" spans="1:16">
      <c r="A1104" s="80">
        <v>41400</v>
      </c>
      <c r="B1104">
        <v>35.85</v>
      </c>
      <c r="P1104" s="75"/>
    </row>
    <row r="1105" spans="1:16">
      <c r="A1105" s="80">
        <v>41397</v>
      </c>
      <c r="B1105">
        <v>34.950000000000003</v>
      </c>
      <c r="P1105" s="75"/>
    </row>
    <row r="1106" spans="1:16">
      <c r="A1106" s="80">
        <v>41396</v>
      </c>
      <c r="B1106">
        <v>34.5</v>
      </c>
      <c r="P1106" s="75"/>
    </row>
    <row r="1107" spans="1:16">
      <c r="A1107" s="80">
        <v>41394</v>
      </c>
      <c r="B1107">
        <v>34.5</v>
      </c>
      <c r="P1107" s="75"/>
    </row>
    <row r="1108" spans="1:16">
      <c r="A1108" s="80">
        <v>41393</v>
      </c>
      <c r="B1108">
        <v>34.549999999999997</v>
      </c>
      <c r="P1108" s="75"/>
    </row>
    <row r="1109" spans="1:16">
      <c r="A1109" s="80">
        <v>41390</v>
      </c>
      <c r="B1109">
        <v>33.950000000000003</v>
      </c>
      <c r="P1109" s="75"/>
    </row>
    <row r="1110" spans="1:16">
      <c r="A1110" s="80">
        <v>41388</v>
      </c>
      <c r="B1110">
        <v>34.549999999999997</v>
      </c>
      <c r="P1110" s="75"/>
    </row>
    <row r="1111" spans="1:16">
      <c r="A1111" s="80">
        <v>41387</v>
      </c>
      <c r="B1111">
        <v>34.65</v>
      </c>
      <c r="P1111" s="75"/>
    </row>
    <row r="1112" spans="1:16">
      <c r="A1112" s="80">
        <v>41386</v>
      </c>
      <c r="B1112">
        <v>33.5</v>
      </c>
      <c r="P1112" s="75"/>
    </row>
    <row r="1113" spans="1:16">
      <c r="A1113" s="80">
        <v>41383</v>
      </c>
      <c r="B1113">
        <v>34.9</v>
      </c>
      <c r="P1113" s="75"/>
    </row>
    <row r="1114" spans="1:16">
      <c r="A1114" s="80">
        <v>41382</v>
      </c>
      <c r="B1114">
        <v>34.9</v>
      </c>
      <c r="P1114" s="75"/>
    </row>
    <row r="1115" spans="1:16">
      <c r="A1115" s="80">
        <v>41381</v>
      </c>
      <c r="B1115">
        <v>33</v>
      </c>
      <c r="P1115" s="75"/>
    </row>
    <row r="1116" spans="1:16">
      <c r="A1116" s="80">
        <v>41380</v>
      </c>
      <c r="B1116">
        <v>32.6</v>
      </c>
      <c r="P1116" s="75"/>
    </row>
    <row r="1117" spans="1:16">
      <c r="A1117" s="80">
        <v>41376</v>
      </c>
      <c r="B1117">
        <v>32.549999999999997</v>
      </c>
      <c r="P1117" s="75"/>
    </row>
    <row r="1118" spans="1:16">
      <c r="A1118" s="80">
        <v>41375</v>
      </c>
      <c r="B1118">
        <v>32.5</v>
      </c>
      <c r="P1118" s="75"/>
    </row>
    <row r="1119" spans="1:16">
      <c r="A1119" s="80">
        <v>41374</v>
      </c>
      <c r="B1119">
        <v>32.5</v>
      </c>
      <c r="P1119" s="75"/>
    </row>
    <row r="1120" spans="1:16">
      <c r="A1120" s="80">
        <v>41373</v>
      </c>
      <c r="B1120">
        <v>32.5</v>
      </c>
      <c r="P1120" s="75"/>
    </row>
    <row r="1121" spans="1:16">
      <c r="A1121" s="80">
        <v>41372</v>
      </c>
      <c r="B1121">
        <v>33</v>
      </c>
      <c r="P1121" s="75"/>
    </row>
    <row r="1122" spans="1:16">
      <c r="A1122" s="80">
        <v>41369</v>
      </c>
      <c r="B1122">
        <v>32.85</v>
      </c>
      <c r="P1122" s="75"/>
    </row>
    <row r="1123" spans="1:16">
      <c r="A1123" s="80">
        <v>41368</v>
      </c>
      <c r="B1123">
        <v>32.6</v>
      </c>
      <c r="P1123" s="75"/>
    </row>
    <row r="1124" spans="1:16">
      <c r="A1124" s="80">
        <v>41367</v>
      </c>
      <c r="B1124">
        <v>33.450000000000003</v>
      </c>
      <c r="P1124" s="75"/>
    </row>
    <row r="1125" spans="1:16">
      <c r="A1125" s="80">
        <v>41366</v>
      </c>
      <c r="B1125">
        <v>32.549999999999997</v>
      </c>
      <c r="P1125" s="75"/>
    </row>
    <row r="1126" spans="1:16">
      <c r="A1126" s="80">
        <v>41365</v>
      </c>
      <c r="B1126">
        <v>32.799999999999997</v>
      </c>
      <c r="P1126" s="75"/>
    </row>
    <row r="1127" spans="1:16">
      <c r="A1127" s="158">
        <v>41361</v>
      </c>
      <c r="B1127" s="156">
        <v>32.75</v>
      </c>
      <c r="P1127" s="75"/>
    </row>
    <row r="1128" spans="1:16">
      <c r="A1128" s="80">
        <v>41360</v>
      </c>
      <c r="B1128">
        <v>33.5</v>
      </c>
      <c r="P1128" s="75"/>
    </row>
    <row r="1129" spans="1:16">
      <c r="A1129" s="80">
        <v>41358</v>
      </c>
      <c r="B1129">
        <v>33.950000000000003</v>
      </c>
      <c r="P1129" s="75"/>
    </row>
    <row r="1130" spans="1:16">
      <c r="A1130" s="80">
        <v>41355</v>
      </c>
      <c r="B1130">
        <v>33.950000000000003</v>
      </c>
      <c r="P1130" s="75"/>
    </row>
    <row r="1131" spans="1:16">
      <c r="A1131" s="80">
        <v>41354</v>
      </c>
      <c r="B1131">
        <v>33.9</v>
      </c>
      <c r="P1131" s="75"/>
    </row>
    <row r="1132" spans="1:16">
      <c r="A1132" s="80">
        <v>41353</v>
      </c>
      <c r="B1132">
        <v>34.450000000000003</v>
      </c>
      <c r="P1132" s="75"/>
    </row>
    <row r="1133" spans="1:16">
      <c r="A1133" s="80">
        <v>41352</v>
      </c>
      <c r="B1133">
        <v>33.9</v>
      </c>
      <c r="P1133" s="75"/>
    </row>
    <row r="1134" spans="1:16">
      <c r="A1134" s="80">
        <v>41351</v>
      </c>
      <c r="B1134">
        <v>34</v>
      </c>
      <c r="P1134" s="75"/>
    </row>
    <row r="1135" spans="1:16">
      <c r="A1135" s="80">
        <v>41348</v>
      </c>
      <c r="B1135">
        <v>34</v>
      </c>
      <c r="P1135" s="75"/>
    </row>
    <row r="1136" spans="1:16">
      <c r="A1136" s="80">
        <v>41347</v>
      </c>
      <c r="B1136">
        <v>33.5</v>
      </c>
      <c r="P1136" s="75"/>
    </row>
    <row r="1137" spans="1:16">
      <c r="A1137" s="80">
        <v>41346</v>
      </c>
      <c r="B1137">
        <v>33.5</v>
      </c>
      <c r="P1137" s="75"/>
    </row>
    <row r="1138" spans="1:16">
      <c r="A1138" s="80">
        <v>41345</v>
      </c>
      <c r="B1138">
        <v>33.65</v>
      </c>
      <c r="P1138" s="75"/>
    </row>
    <row r="1139" spans="1:16">
      <c r="A1139" s="80">
        <v>41344</v>
      </c>
      <c r="B1139">
        <v>34.950000000000003</v>
      </c>
      <c r="P1139" s="75"/>
    </row>
    <row r="1140" spans="1:16">
      <c r="A1140" s="80">
        <v>41341</v>
      </c>
      <c r="B1140">
        <v>34.950000000000003</v>
      </c>
      <c r="P1140" s="75"/>
    </row>
    <row r="1141" spans="1:16">
      <c r="A1141" s="80">
        <v>41340</v>
      </c>
      <c r="B1141">
        <v>34.799999999999997</v>
      </c>
      <c r="P1141" s="75"/>
    </row>
    <row r="1142" spans="1:16">
      <c r="A1142" s="80">
        <v>41339</v>
      </c>
      <c r="B1142">
        <v>33.25</v>
      </c>
      <c r="P1142" s="75"/>
    </row>
    <row r="1143" spans="1:16">
      <c r="A1143" s="80">
        <v>41338</v>
      </c>
      <c r="B1143">
        <v>33</v>
      </c>
      <c r="P1143" s="75"/>
    </row>
    <row r="1144" spans="1:16">
      <c r="A1144" s="80">
        <v>41337</v>
      </c>
      <c r="B1144">
        <v>32.5</v>
      </c>
      <c r="P1144" s="75"/>
    </row>
    <row r="1145" spans="1:16">
      <c r="A1145" s="80">
        <v>41334</v>
      </c>
      <c r="B1145">
        <v>32.450000000000003</v>
      </c>
      <c r="P1145" s="75"/>
    </row>
    <row r="1146" spans="1:16">
      <c r="A1146" s="80">
        <v>41333</v>
      </c>
      <c r="B1146">
        <v>32.450000000000003</v>
      </c>
      <c r="P1146" s="75"/>
    </row>
    <row r="1147" spans="1:16">
      <c r="A1147" s="80">
        <v>41332</v>
      </c>
      <c r="B1147">
        <v>32.049999999999997</v>
      </c>
      <c r="P1147" s="75"/>
    </row>
    <row r="1148" spans="1:16">
      <c r="A1148" s="80">
        <v>41331</v>
      </c>
      <c r="B1148">
        <v>32.35</v>
      </c>
      <c r="P1148" s="75"/>
    </row>
    <row r="1149" spans="1:16">
      <c r="A1149" s="80">
        <v>41327</v>
      </c>
      <c r="B1149">
        <v>33</v>
      </c>
      <c r="P1149" s="75"/>
    </row>
    <row r="1150" spans="1:16">
      <c r="A1150" s="80">
        <v>41326</v>
      </c>
      <c r="B1150">
        <v>33</v>
      </c>
      <c r="P1150" s="75"/>
    </row>
    <row r="1151" spans="1:16">
      <c r="A1151" s="80">
        <v>41325</v>
      </c>
      <c r="B1151">
        <v>33.5</v>
      </c>
      <c r="P1151" s="75"/>
    </row>
    <row r="1152" spans="1:16">
      <c r="A1152" s="80">
        <v>41324</v>
      </c>
      <c r="B1152">
        <v>0</v>
      </c>
      <c r="P1152" s="75"/>
    </row>
    <row r="1153" spans="1:16">
      <c r="A1153" s="80">
        <v>41323</v>
      </c>
      <c r="B1153">
        <v>0</v>
      </c>
      <c r="P1153" s="75"/>
    </row>
    <row r="1154" spans="1:16">
      <c r="A1154" s="80">
        <v>41320</v>
      </c>
      <c r="B1154">
        <v>33.5</v>
      </c>
      <c r="P1154" s="75"/>
    </row>
    <row r="1155" spans="1:16">
      <c r="A1155" s="80">
        <v>41319</v>
      </c>
      <c r="B1155">
        <v>34</v>
      </c>
      <c r="P1155" s="75"/>
    </row>
    <row r="1156" spans="1:16">
      <c r="A1156" s="80">
        <v>41318</v>
      </c>
      <c r="B1156">
        <v>34</v>
      </c>
      <c r="P1156" s="75"/>
    </row>
    <row r="1157" spans="1:16">
      <c r="A1157" s="80">
        <v>41317</v>
      </c>
      <c r="B1157">
        <v>34.25</v>
      </c>
      <c r="P1157" s="75"/>
    </row>
    <row r="1158" spans="1:16">
      <c r="A1158" s="80">
        <v>41316</v>
      </c>
      <c r="B1158">
        <v>33.5</v>
      </c>
      <c r="P1158" s="75"/>
    </row>
    <row r="1159" spans="1:16">
      <c r="A1159" s="80">
        <v>41313</v>
      </c>
      <c r="B1159">
        <v>33</v>
      </c>
      <c r="P1159" s="75"/>
    </row>
    <row r="1160" spans="1:16">
      <c r="A1160" s="80">
        <v>41312</v>
      </c>
      <c r="B1160">
        <v>33.35</v>
      </c>
      <c r="P1160" s="75"/>
    </row>
    <row r="1161" spans="1:16">
      <c r="A1161" s="80">
        <v>41311</v>
      </c>
      <c r="B1161">
        <v>33.5</v>
      </c>
      <c r="P1161" s="75"/>
    </row>
    <row r="1162" spans="1:16">
      <c r="A1162" s="80">
        <v>41310</v>
      </c>
      <c r="B1162">
        <v>33.5</v>
      </c>
      <c r="P1162" s="75"/>
    </row>
    <row r="1163" spans="1:16">
      <c r="A1163" s="80">
        <v>41306</v>
      </c>
      <c r="B1163">
        <v>34</v>
      </c>
      <c r="P1163" s="75"/>
    </row>
    <row r="1164" spans="1:16">
      <c r="A1164" s="80">
        <v>41305</v>
      </c>
      <c r="B1164">
        <v>33.5</v>
      </c>
      <c r="P1164" s="75"/>
    </row>
    <row r="1165" spans="1:16">
      <c r="A1165" s="80">
        <v>41304</v>
      </c>
      <c r="B1165">
        <v>33.299999999999997</v>
      </c>
      <c r="P1165" s="75"/>
    </row>
    <row r="1166" spans="1:16">
      <c r="A1166" s="80">
        <v>41303</v>
      </c>
      <c r="B1166">
        <v>33.25</v>
      </c>
      <c r="P1166" s="75"/>
    </row>
    <row r="1167" spans="1:16">
      <c r="A1167" s="80">
        <v>41302</v>
      </c>
      <c r="B1167">
        <v>33.549999999999997</v>
      </c>
      <c r="P1167" s="75"/>
    </row>
    <row r="1168" spans="1:16">
      <c r="A1168" s="80">
        <v>41298</v>
      </c>
      <c r="B1168">
        <v>33.5</v>
      </c>
      <c r="P1168" s="75"/>
    </row>
    <row r="1169" spans="1:16">
      <c r="A1169" s="80">
        <v>41297</v>
      </c>
      <c r="B1169">
        <v>34.700000000000003</v>
      </c>
      <c r="P1169" s="75"/>
    </row>
    <row r="1170" spans="1:16">
      <c r="A1170" s="80">
        <v>41296</v>
      </c>
      <c r="B1170">
        <v>34.700000000000003</v>
      </c>
      <c r="P1170" s="75"/>
    </row>
    <row r="1171" spans="1:16">
      <c r="A1171" s="80">
        <v>41295</v>
      </c>
      <c r="B1171">
        <v>35.25</v>
      </c>
      <c r="P1171" s="75"/>
    </row>
    <row r="1172" spans="1:16">
      <c r="A1172" s="80">
        <v>41292</v>
      </c>
      <c r="B1172">
        <v>35.5</v>
      </c>
      <c r="P1172" s="75"/>
    </row>
    <row r="1173" spans="1:16">
      <c r="A1173" s="80">
        <v>41291</v>
      </c>
      <c r="B1173">
        <v>35.950000000000003</v>
      </c>
      <c r="P1173" s="75"/>
    </row>
    <row r="1174" spans="1:16">
      <c r="A1174" s="80">
        <v>41290</v>
      </c>
      <c r="B1174">
        <v>34.5</v>
      </c>
      <c r="P1174" s="75"/>
    </row>
    <row r="1175" spans="1:16">
      <c r="A1175" s="80">
        <v>41289</v>
      </c>
      <c r="B1175">
        <v>36.299999999999997</v>
      </c>
      <c r="P1175" s="75"/>
    </row>
    <row r="1176" spans="1:16">
      <c r="A1176" s="80">
        <v>41285</v>
      </c>
      <c r="B1176">
        <v>34.25</v>
      </c>
      <c r="P1176" s="75"/>
    </row>
    <row r="1177" spans="1:16">
      <c r="A1177" s="80">
        <v>41284</v>
      </c>
      <c r="B1177">
        <v>34.25</v>
      </c>
      <c r="P1177" s="75"/>
    </row>
    <row r="1178" spans="1:16">
      <c r="A1178" s="80">
        <v>41283</v>
      </c>
      <c r="B1178">
        <v>34</v>
      </c>
      <c r="P1178" s="75"/>
    </row>
    <row r="1179" spans="1:16">
      <c r="A1179" s="80">
        <v>41282</v>
      </c>
      <c r="B1179">
        <v>34.1</v>
      </c>
      <c r="P1179" s="75"/>
    </row>
    <row r="1180" spans="1:16">
      <c r="A1180" s="80">
        <v>41281</v>
      </c>
      <c r="B1180">
        <v>34.1</v>
      </c>
      <c r="P1180" s="75"/>
    </row>
    <row r="1181" spans="1:16">
      <c r="A1181" s="80">
        <v>41278</v>
      </c>
      <c r="B1181">
        <v>34.1</v>
      </c>
      <c r="P1181" s="75"/>
    </row>
    <row r="1182" spans="1:16">
      <c r="A1182" s="80">
        <v>41277</v>
      </c>
      <c r="B1182">
        <v>33.799999999999997</v>
      </c>
      <c r="P1182" s="75"/>
    </row>
    <row r="1183" spans="1:16">
      <c r="A1183" s="80">
        <v>41276</v>
      </c>
      <c r="B1183">
        <v>33.75</v>
      </c>
      <c r="P1183" s="75"/>
    </row>
    <row r="1184" spans="1:16">
      <c r="A1184" s="80">
        <v>41274</v>
      </c>
      <c r="B1184">
        <v>33.700000000000003</v>
      </c>
      <c r="P1184" s="75"/>
    </row>
    <row r="1185" spans="1:16">
      <c r="A1185" s="80">
        <v>41269</v>
      </c>
      <c r="B1185">
        <v>33.75</v>
      </c>
      <c r="P1185" s="75"/>
    </row>
    <row r="1186" spans="1:16">
      <c r="A1186" s="80">
        <v>41267</v>
      </c>
      <c r="B1186">
        <v>32.299999999999997</v>
      </c>
      <c r="P1186" s="75"/>
    </row>
    <row r="1187" spans="1:16">
      <c r="A1187" s="80">
        <v>41264</v>
      </c>
      <c r="B1187">
        <v>32.5</v>
      </c>
      <c r="P1187" s="75"/>
    </row>
    <row r="1188" spans="1:16">
      <c r="A1188" s="80">
        <v>41263</v>
      </c>
      <c r="B1188">
        <v>32.5</v>
      </c>
      <c r="P1188" s="75"/>
    </row>
    <row r="1189" spans="1:16">
      <c r="A1189" s="80">
        <v>41262</v>
      </c>
      <c r="B1189">
        <v>32.5</v>
      </c>
      <c r="P1189" s="75"/>
    </row>
    <row r="1190" spans="1:16">
      <c r="A1190" s="80">
        <v>41260</v>
      </c>
      <c r="B1190">
        <v>32.549999999999997</v>
      </c>
      <c r="P1190" s="75"/>
    </row>
    <row r="1191" spans="1:16">
      <c r="A1191" s="80">
        <v>41257</v>
      </c>
      <c r="B1191">
        <v>32.549999999999997</v>
      </c>
      <c r="P1191" s="75"/>
    </row>
    <row r="1192" spans="1:16">
      <c r="A1192" s="80">
        <v>41256</v>
      </c>
      <c r="B1192">
        <v>33.5</v>
      </c>
      <c r="P1192" s="75"/>
    </row>
    <row r="1193" spans="1:16">
      <c r="A1193" s="80">
        <v>41255</v>
      </c>
      <c r="B1193">
        <v>33.5</v>
      </c>
      <c r="P1193" s="75"/>
    </row>
    <row r="1194" spans="1:16">
      <c r="A1194" s="80">
        <v>41254</v>
      </c>
      <c r="B1194">
        <v>33</v>
      </c>
      <c r="P1194" s="75"/>
    </row>
    <row r="1195" spans="1:16">
      <c r="A1195" s="80">
        <v>41253</v>
      </c>
      <c r="B1195">
        <v>32.5</v>
      </c>
      <c r="P1195" s="75"/>
    </row>
    <row r="1196" spans="1:16">
      <c r="A1196" s="80">
        <v>41250</v>
      </c>
      <c r="B1196">
        <v>32.5</v>
      </c>
      <c r="P1196" s="75"/>
    </row>
    <row r="1197" spans="1:16">
      <c r="A1197" s="80">
        <v>41249</v>
      </c>
      <c r="B1197">
        <v>32.65</v>
      </c>
      <c r="P1197" s="75"/>
    </row>
    <row r="1198" spans="1:16">
      <c r="A1198" s="80">
        <v>41248</v>
      </c>
      <c r="B1198">
        <v>32.5</v>
      </c>
      <c r="P1198" s="75"/>
    </row>
    <row r="1199" spans="1:16">
      <c r="A1199" s="80">
        <v>41246</v>
      </c>
      <c r="B1199">
        <v>32.6</v>
      </c>
      <c r="P1199" s="75"/>
    </row>
    <row r="1200" spans="1:16">
      <c r="A1200" s="80">
        <v>41243</v>
      </c>
      <c r="B1200">
        <v>33</v>
      </c>
      <c r="P1200" s="75"/>
    </row>
    <row r="1201" spans="1:16">
      <c r="A1201" s="80">
        <v>41242</v>
      </c>
      <c r="B1201">
        <v>32.5</v>
      </c>
      <c r="P1201" s="75"/>
    </row>
    <row r="1202" spans="1:16">
      <c r="A1202" s="80">
        <v>41241</v>
      </c>
      <c r="B1202">
        <v>32.5</v>
      </c>
      <c r="P1202" s="75"/>
    </row>
    <row r="1203" spans="1:16">
      <c r="A1203" s="80">
        <v>41239</v>
      </c>
      <c r="B1203">
        <v>32.549999999999997</v>
      </c>
      <c r="P1203" s="75"/>
    </row>
    <row r="1204" spans="1:16">
      <c r="A1204" s="80">
        <v>41235</v>
      </c>
      <c r="B1204">
        <v>32.6</v>
      </c>
      <c r="P1204" s="75"/>
    </row>
    <row r="1205" spans="1:16">
      <c r="A1205" s="80">
        <v>41234</v>
      </c>
      <c r="B1205">
        <v>32.6</v>
      </c>
      <c r="P1205" s="75"/>
    </row>
    <row r="1206" spans="1:16">
      <c r="A1206" s="80">
        <v>41233</v>
      </c>
      <c r="B1206">
        <v>32.9</v>
      </c>
      <c r="P1206" s="75"/>
    </row>
    <row r="1207" spans="1:16">
      <c r="A1207" s="80">
        <v>41232</v>
      </c>
      <c r="B1207">
        <v>33</v>
      </c>
      <c r="P1207" s="75"/>
    </row>
    <row r="1208" spans="1:16">
      <c r="A1208" s="80">
        <v>41229</v>
      </c>
      <c r="B1208">
        <v>34</v>
      </c>
      <c r="P1208" s="75"/>
    </row>
    <row r="1209" spans="1:16">
      <c r="A1209" s="80">
        <v>41228</v>
      </c>
      <c r="B1209">
        <v>34</v>
      </c>
      <c r="P1209" s="75"/>
    </row>
    <row r="1210" spans="1:16">
      <c r="A1210" s="80">
        <v>41225</v>
      </c>
      <c r="B1210">
        <v>34.950000000000003</v>
      </c>
      <c r="P1210" s="75"/>
    </row>
    <row r="1211" spans="1:16">
      <c r="A1211" s="80">
        <v>41222</v>
      </c>
      <c r="B1211">
        <v>33.299999999999997</v>
      </c>
      <c r="P1211" s="75"/>
    </row>
    <row r="1212" spans="1:16">
      <c r="A1212" s="80">
        <v>41221</v>
      </c>
      <c r="B1212">
        <v>34.35</v>
      </c>
      <c r="P1212" s="75"/>
    </row>
    <row r="1213" spans="1:16">
      <c r="A1213" s="80">
        <v>41220</v>
      </c>
      <c r="B1213">
        <v>34.75</v>
      </c>
      <c r="P1213" s="75"/>
    </row>
    <row r="1214" spans="1:16">
      <c r="A1214" s="80">
        <v>41219</v>
      </c>
      <c r="B1214">
        <v>33.5</v>
      </c>
      <c r="P1214" s="75"/>
    </row>
    <row r="1215" spans="1:16">
      <c r="A1215" s="80">
        <v>41218</v>
      </c>
      <c r="B1215">
        <v>34.25</v>
      </c>
      <c r="P1215" s="75"/>
    </row>
    <row r="1216" spans="1:16">
      <c r="A1216" s="80">
        <v>41215</v>
      </c>
      <c r="B1216">
        <v>33.049999999999997</v>
      </c>
      <c r="P1216" s="75"/>
    </row>
    <row r="1217" spans="1:16">
      <c r="A1217" s="80">
        <v>41214</v>
      </c>
      <c r="B1217">
        <v>33.25</v>
      </c>
      <c r="P1217" s="75"/>
    </row>
    <row r="1218" spans="1:16">
      <c r="A1218" s="80">
        <v>41213</v>
      </c>
      <c r="B1218">
        <v>34</v>
      </c>
      <c r="P1218" s="75"/>
    </row>
    <row r="1219" spans="1:16">
      <c r="A1219" s="80">
        <v>41212</v>
      </c>
      <c r="B1219">
        <v>34</v>
      </c>
      <c r="P1219" s="75"/>
    </row>
    <row r="1220" spans="1:16">
      <c r="A1220" s="80">
        <v>41208</v>
      </c>
      <c r="B1220">
        <v>34.049999999999997</v>
      </c>
      <c r="P1220" s="75"/>
    </row>
    <row r="1221" spans="1:16">
      <c r="A1221" s="80">
        <v>41207</v>
      </c>
      <c r="B1221">
        <v>34.5</v>
      </c>
      <c r="P1221" s="75"/>
    </row>
    <row r="1222" spans="1:16">
      <c r="A1222" s="80">
        <v>41206</v>
      </c>
      <c r="B1222">
        <v>34.15</v>
      </c>
      <c r="P1222" s="75"/>
    </row>
    <row r="1223" spans="1:16">
      <c r="A1223" s="80">
        <v>41205</v>
      </c>
      <c r="B1223">
        <v>34.5</v>
      </c>
      <c r="P1223" s="75"/>
    </row>
    <row r="1224" spans="1:16">
      <c r="A1224" s="80">
        <v>41204</v>
      </c>
      <c r="B1224">
        <v>34.25</v>
      </c>
      <c r="P1224" s="75"/>
    </row>
    <row r="1225" spans="1:16">
      <c r="A1225" s="80">
        <v>41201</v>
      </c>
      <c r="B1225">
        <v>34.5</v>
      </c>
      <c r="P1225" s="75"/>
    </row>
    <row r="1226" spans="1:16">
      <c r="A1226" s="80">
        <v>41200</v>
      </c>
      <c r="B1226">
        <v>34.1</v>
      </c>
      <c r="P1226" s="75"/>
    </row>
    <row r="1227" spans="1:16">
      <c r="A1227" s="80">
        <v>41199</v>
      </c>
      <c r="B1227">
        <v>34.25</v>
      </c>
      <c r="P1227" s="75"/>
    </row>
    <row r="1228" spans="1:16">
      <c r="A1228" s="80">
        <v>41198</v>
      </c>
      <c r="B1228">
        <v>34.5</v>
      </c>
      <c r="P1228" s="75"/>
    </row>
    <row r="1229" spans="1:16">
      <c r="A1229" s="80">
        <v>41197</v>
      </c>
      <c r="B1229">
        <v>34.799999999999997</v>
      </c>
      <c r="P1229" s="75"/>
    </row>
    <row r="1230" spans="1:16">
      <c r="A1230" s="80">
        <v>41193</v>
      </c>
      <c r="B1230">
        <v>35</v>
      </c>
      <c r="P1230" s="75"/>
    </row>
    <row r="1231" spans="1:16">
      <c r="A1231" s="80">
        <v>41192</v>
      </c>
      <c r="B1231">
        <v>35</v>
      </c>
      <c r="P1231" s="75"/>
    </row>
    <row r="1232" spans="1:16">
      <c r="A1232" s="80">
        <v>41191</v>
      </c>
      <c r="B1232">
        <v>35.6</v>
      </c>
      <c r="P1232" s="75"/>
    </row>
    <row r="1233" spans="1:16">
      <c r="A1233" s="80">
        <v>41190</v>
      </c>
      <c r="B1233">
        <v>35.75</v>
      </c>
      <c r="P1233" s="75"/>
    </row>
    <row r="1234" spans="1:16">
      <c r="A1234" s="80">
        <v>41187</v>
      </c>
      <c r="B1234">
        <v>35.75</v>
      </c>
      <c r="P1234" s="75"/>
    </row>
    <row r="1235" spans="1:16">
      <c r="A1235" s="80">
        <v>41186</v>
      </c>
      <c r="B1235">
        <v>35.75</v>
      </c>
      <c r="P1235" s="75"/>
    </row>
    <row r="1236" spans="1:16">
      <c r="A1236" s="80">
        <v>41185</v>
      </c>
      <c r="B1236">
        <v>35.65</v>
      </c>
      <c r="P1236" s="75"/>
    </row>
    <row r="1237" spans="1:16">
      <c r="A1237" s="80">
        <v>41184</v>
      </c>
      <c r="B1237">
        <v>37.25</v>
      </c>
      <c r="P1237" s="75"/>
    </row>
    <row r="1238" spans="1:16">
      <c r="A1238" s="80">
        <v>41183</v>
      </c>
      <c r="B1238">
        <v>36.049999999999997</v>
      </c>
      <c r="P1238" s="75"/>
    </row>
    <row r="1239" spans="1:16">
      <c r="A1239" s="80">
        <v>41180</v>
      </c>
      <c r="B1239">
        <v>37.5</v>
      </c>
      <c r="P1239" s="75"/>
    </row>
    <row r="1240" spans="1:16">
      <c r="A1240" s="80">
        <v>41179</v>
      </c>
      <c r="B1240">
        <v>37.5</v>
      </c>
      <c r="P1240" s="75"/>
    </row>
    <row r="1241" spans="1:16">
      <c r="A1241" s="80">
        <v>41178</v>
      </c>
      <c r="B1241">
        <v>37.35</v>
      </c>
      <c r="P1241" s="75"/>
    </row>
    <row r="1242" spans="1:16">
      <c r="A1242" s="80">
        <v>41177</v>
      </c>
      <c r="B1242">
        <v>35.65</v>
      </c>
      <c r="P1242" s="75"/>
    </row>
    <row r="1243" spans="1:16">
      <c r="A1243" s="80">
        <v>41176</v>
      </c>
      <c r="B1243">
        <v>34.35</v>
      </c>
      <c r="P1243" s="75"/>
    </row>
    <row r="1244" spans="1:16">
      <c r="A1244" s="80">
        <v>41173</v>
      </c>
      <c r="B1244">
        <v>35</v>
      </c>
      <c r="P1244" s="75"/>
    </row>
    <row r="1245" spans="1:16">
      <c r="A1245" s="80">
        <v>41172</v>
      </c>
      <c r="B1245">
        <v>35.049999999999997</v>
      </c>
      <c r="P1245" s="75"/>
    </row>
    <row r="1246" spans="1:16">
      <c r="A1246" s="80">
        <v>41171</v>
      </c>
      <c r="B1246">
        <v>35.549999999999997</v>
      </c>
      <c r="P1246" s="75"/>
    </row>
    <row r="1247" spans="1:16">
      <c r="A1247" s="80">
        <v>41170</v>
      </c>
      <c r="B1247">
        <v>36.549999999999997</v>
      </c>
      <c r="P1247" s="75"/>
    </row>
    <row r="1248" spans="1:16">
      <c r="A1248" s="80">
        <v>41169</v>
      </c>
      <c r="B1248">
        <v>37.15</v>
      </c>
      <c r="P1248" s="75"/>
    </row>
    <row r="1249" spans="1:16">
      <c r="A1249" s="80">
        <v>41166</v>
      </c>
      <c r="B1249">
        <v>36.450000000000003</v>
      </c>
      <c r="P1249" s="75"/>
    </row>
    <row r="1250" spans="1:16">
      <c r="A1250" s="80">
        <v>41165</v>
      </c>
      <c r="B1250">
        <v>35.15</v>
      </c>
      <c r="P1250" s="75"/>
    </row>
    <row r="1251" spans="1:16">
      <c r="A1251" s="80">
        <v>41164</v>
      </c>
      <c r="B1251">
        <v>32.5</v>
      </c>
      <c r="P1251" s="75"/>
    </row>
    <row r="1252" spans="1:16">
      <c r="A1252" s="80">
        <v>41163</v>
      </c>
      <c r="B1252">
        <v>34.049999999999997</v>
      </c>
      <c r="P1252" s="75"/>
    </row>
    <row r="1253" spans="1:16">
      <c r="A1253" s="80">
        <v>41162</v>
      </c>
      <c r="B1253">
        <v>33.35</v>
      </c>
      <c r="P1253" s="75"/>
    </row>
    <row r="1254" spans="1:16">
      <c r="A1254" s="80">
        <v>41159</v>
      </c>
      <c r="B1254">
        <v>32.1</v>
      </c>
      <c r="P1254" s="75"/>
    </row>
    <row r="1255" spans="1:16">
      <c r="A1255" s="80">
        <v>41158</v>
      </c>
      <c r="B1255">
        <v>31.9</v>
      </c>
      <c r="P1255" s="75"/>
    </row>
    <row r="1256" spans="1:16">
      <c r="A1256" s="80">
        <v>41157</v>
      </c>
      <c r="B1256">
        <v>31.5</v>
      </c>
      <c r="P1256" s="75"/>
    </row>
    <row r="1257" spans="1:16">
      <c r="A1257" s="80">
        <v>41156</v>
      </c>
      <c r="B1257">
        <v>31.5</v>
      </c>
      <c r="P1257" s="75"/>
    </row>
    <row r="1258" spans="1:16">
      <c r="A1258" s="80">
        <v>41155</v>
      </c>
      <c r="B1258">
        <v>31.6</v>
      </c>
      <c r="C1258" s="157"/>
      <c r="P1258" s="75"/>
    </row>
    <row r="1259" spans="1:16">
      <c r="A1259" s="80">
        <v>41151</v>
      </c>
      <c r="B1259">
        <v>30.35</v>
      </c>
      <c r="P1259" s="75"/>
    </row>
    <row r="1260" spans="1:16">
      <c r="A1260" s="80">
        <v>41150</v>
      </c>
      <c r="B1260">
        <v>30.35</v>
      </c>
      <c r="P1260" s="75"/>
    </row>
    <row r="1261" spans="1:16">
      <c r="A1261" s="80">
        <v>41149</v>
      </c>
      <c r="B1261">
        <v>30.5</v>
      </c>
      <c r="P1261" s="75"/>
    </row>
    <row r="1262" spans="1:16">
      <c r="A1262" s="80">
        <v>41148</v>
      </c>
      <c r="B1262">
        <v>29.4</v>
      </c>
      <c r="P1262" s="75"/>
    </row>
    <row r="1263" spans="1:16">
      <c r="A1263" s="80">
        <v>41145</v>
      </c>
      <c r="B1263">
        <v>28.75</v>
      </c>
      <c r="P1263" s="75"/>
    </row>
    <row r="1264" spans="1:16">
      <c r="A1264" s="80">
        <v>41144</v>
      </c>
      <c r="B1264">
        <v>29</v>
      </c>
      <c r="P1264" s="75"/>
    </row>
    <row r="1265" spans="1:16">
      <c r="A1265" s="80">
        <v>41143</v>
      </c>
      <c r="B1265">
        <v>29</v>
      </c>
      <c r="P1265" s="75"/>
    </row>
    <row r="1266" spans="1:16">
      <c r="A1266" s="80">
        <v>41142</v>
      </c>
      <c r="B1266">
        <v>28.5</v>
      </c>
      <c r="P1266" s="75"/>
    </row>
    <row r="1267" spans="1:16">
      <c r="A1267" s="80">
        <v>41141</v>
      </c>
      <c r="B1267">
        <v>28</v>
      </c>
      <c r="P1267" s="75"/>
    </row>
    <row r="1268" spans="1:16">
      <c r="A1268" s="80">
        <v>41138</v>
      </c>
      <c r="B1268">
        <v>27.45</v>
      </c>
      <c r="P1268" s="75"/>
    </row>
    <row r="1269" spans="1:16">
      <c r="A1269" s="80">
        <v>41137</v>
      </c>
      <c r="B1269">
        <v>27</v>
      </c>
      <c r="P1269" s="75"/>
    </row>
    <row r="1270" spans="1:16">
      <c r="A1270" s="80">
        <v>41136</v>
      </c>
      <c r="B1270">
        <v>27</v>
      </c>
      <c r="P1270" s="75"/>
    </row>
    <row r="1271" spans="1:16">
      <c r="A1271" s="80">
        <v>41135</v>
      </c>
      <c r="B1271">
        <v>26.5</v>
      </c>
      <c r="P1271" s="75"/>
    </row>
    <row r="1272" spans="1:16">
      <c r="A1272" s="80">
        <v>41134</v>
      </c>
      <c r="B1272">
        <v>25.9</v>
      </c>
      <c r="P1272" s="75"/>
    </row>
    <row r="1273" spans="1:16">
      <c r="A1273" s="80">
        <v>41131</v>
      </c>
      <c r="B1273">
        <v>26.05</v>
      </c>
      <c r="P1273" s="75"/>
    </row>
    <row r="1274" spans="1:16">
      <c r="A1274" s="80">
        <v>41130</v>
      </c>
      <c r="B1274">
        <v>26.95</v>
      </c>
      <c r="P1274" s="75"/>
    </row>
    <row r="1275" spans="1:16">
      <c r="A1275" s="80">
        <v>41129</v>
      </c>
      <c r="B1275">
        <v>26.95</v>
      </c>
      <c r="P1275" s="75"/>
    </row>
    <row r="1276" spans="1:16">
      <c r="A1276" s="80">
        <v>41128</v>
      </c>
      <c r="B1276">
        <v>26.8</v>
      </c>
      <c r="P1276" s="75"/>
    </row>
    <row r="1277" spans="1:16">
      <c r="A1277" s="80">
        <v>41127</v>
      </c>
      <c r="B1277">
        <v>26.8</v>
      </c>
      <c r="P1277" s="75"/>
    </row>
    <row r="1278" spans="1:16">
      <c r="A1278" s="80">
        <v>41124</v>
      </c>
      <c r="B1278">
        <v>26.75</v>
      </c>
      <c r="P1278" s="75"/>
    </row>
    <row r="1279" spans="1:16">
      <c r="A1279" s="80">
        <v>41123</v>
      </c>
      <c r="B1279">
        <v>26.4</v>
      </c>
      <c r="P1279" s="75"/>
    </row>
    <row r="1280" spans="1:16">
      <c r="A1280" s="80">
        <v>41121</v>
      </c>
      <c r="B1280">
        <v>25.95</v>
      </c>
      <c r="P1280" s="75"/>
    </row>
    <row r="1281" spans="1:16">
      <c r="A1281" s="80">
        <v>41120</v>
      </c>
      <c r="B1281">
        <v>25.95</v>
      </c>
      <c r="P1281" s="75"/>
    </row>
    <row r="1282" spans="1:16">
      <c r="A1282" s="80">
        <v>41117</v>
      </c>
      <c r="B1282">
        <v>25.85</v>
      </c>
      <c r="P1282" s="75"/>
    </row>
    <row r="1283" spans="1:16">
      <c r="A1283" s="80">
        <v>41116</v>
      </c>
      <c r="B1283">
        <v>26</v>
      </c>
      <c r="P1283" s="75"/>
    </row>
    <row r="1284" spans="1:16">
      <c r="A1284" s="80">
        <v>41115</v>
      </c>
      <c r="B1284">
        <v>26</v>
      </c>
      <c r="P1284" s="75"/>
    </row>
    <row r="1285" spans="1:16">
      <c r="A1285" s="80">
        <v>41114</v>
      </c>
      <c r="B1285">
        <v>25.9</v>
      </c>
      <c r="P1285" s="75"/>
    </row>
    <row r="1286" spans="1:16">
      <c r="A1286" s="80">
        <v>41113</v>
      </c>
      <c r="B1286">
        <v>25.7</v>
      </c>
      <c r="P1286" s="75"/>
    </row>
    <row r="1287" spans="1:16">
      <c r="A1287" s="80">
        <v>41110</v>
      </c>
      <c r="B1287">
        <v>26.5</v>
      </c>
      <c r="P1287" s="75"/>
    </row>
    <row r="1288" spans="1:16">
      <c r="A1288" s="80">
        <v>41109</v>
      </c>
      <c r="B1288">
        <v>26.75</v>
      </c>
      <c r="P1288" s="75"/>
    </row>
    <row r="1289" spans="1:16">
      <c r="A1289" s="80">
        <v>41108</v>
      </c>
      <c r="B1289">
        <v>26.55</v>
      </c>
      <c r="P1289" s="75"/>
    </row>
    <row r="1290" spans="1:16">
      <c r="A1290" s="80">
        <v>41107</v>
      </c>
      <c r="B1290">
        <v>27</v>
      </c>
      <c r="P1290" s="75"/>
    </row>
    <row r="1291" spans="1:16">
      <c r="A1291" s="80">
        <v>41106</v>
      </c>
      <c r="B1291">
        <v>27</v>
      </c>
      <c r="P1291" s="75"/>
    </row>
    <row r="1292" spans="1:16">
      <c r="A1292" s="80">
        <v>41103</v>
      </c>
      <c r="B1292">
        <v>27.1</v>
      </c>
      <c r="P1292" s="75"/>
    </row>
    <row r="1293" spans="1:16">
      <c r="A1293" s="80">
        <v>41102</v>
      </c>
      <c r="B1293">
        <v>27.5</v>
      </c>
      <c r="P1293" s="75"/>
    </row>
    <row r="1294" spans="1:16">
      <c r="A1294" s="80">
        <v>41101</v>
      </c>
      <c r="B1294">
        <v>27</v>
      </c>
      <c r="P1294" s="75"/>
    </row>
    <row r="1295" spans="1:16">
      <c r="A1295" s="80">
        <v>41100</v>
      </c>
      <c r="B1295">
        <v>27</v>
      </c>
      <c r="P1295" s="75"/>
    </row>
    <row r="1296" spans="1:16">
      <c r="A1296" s="80">
        <v>41099</v>
      </c>
      <c r="B1296">
        <v>27.25</v>
      </c>
      <c r="P1296" s="75"/>
    </row>
    <row r="1297" spans="1:16">
      <c r="A1297" s="80">
        <v>41096</v>
      </c>
      <c r="B1297">
        <v>27.5</v>
      </c>
      <c r="P1297" s="75"/>
    </row>
    <row r="1298" spans="1:16">
      <c r="A1298" s="80">
        <v>41095</v>
      </c>
      <c r="B1298">
        <v>27.5</v>
      </c>
      <c r="P1298" s="75"/>
    </row>
    <row r="1299" spans="1:16">
      <c r="A1299" s="80">
        <v>41094</v>
      </c>
      <c r="B1299">
        <v>27.9</v>
      </c>
      <c r="P1299" s="75"/>
    </row>
    <row r="1300" spans="1:16">
      <c r="A1300" s="80">
        <v>41092</v>
      </c>
      <c r="B1300">
        <v>29</v>
      </c>
      <c r="P1300" s="75"/>
    </row>
    <row r="1301" spans="1:16">
      <c r="A1301" s="80">
        <v>41089</v>
      </c>
      <c r="B1301">
        <v>27.65</v>
      </c>
      <c r="P1301" s="75"/>
    </row>
    <row r="1302" spans="1:16">
      <c r="A1302" s="80">
        <v>41088</v>
      </c>
      <c r="B1302">
        <v>28.15</v>
      </c>
      <c r="P1302" s="75"/>
    </row>
    <row r="1303" spans="1:16">
      <c r="A1303" s="80">
        <v>41087</v>
      </c>
      <c r="B1303">
        <v>27.05</v>
      </c>
      <c r="P1303" s="75"/>
    </row>
    <row r="1304" spans="1:16">
      <c r="A1304" s="80">
        <v>41086</v>
      </c>
      <c r="B1304">
        <v>27.5</v>
      </c>
      <c r="P1304" s="75"/>
    </row>
    <row r="1305" spans="1:16">
      <c r="A1305" s="80">
        <v>41085</v>
      </c>
      <c r="B1305">
        <v>27.5</v>
      </c>
      <c r="P1305" s="75"/>
    </row>
    <row r="1306" spans="1:16">
      <c r="A1306" s="80">
        <v>41082</v>
      </c>
      <c r="B1306">
        <v>27.5</v>
      </c>
      <c r="P1306" s="75"/>
    </row>
    <row r="1307" spans="1:16">
      <c r="A1307" s="80">
        <v>41081</v>
      </c>
      <c r="B1307">
        <v>27.95</v>
      </c>
      <c r="P1307" s="75"/>
    </row>
    <row r="1308" spans="1:16">
      <c r="A1308" s="80">
        <v>41080</v>
      </c>
      <c r="B1308">
        <v>27.5</v>
      </c>
      <c r="P1308" s="75"/>
    </row>
    <row r="1309" spans="1:16">
      <c r="A1309" s="80">
        <v>41079</v>
      </c>
      <c r="B1309">
        <v>28</v>
      </c>
      <c r="P1309" s="75"/>
    </row>
    <row r="1310" spans="1:16">
      <c r="A1310" s="80">
        <v>41078</v>
      </c>
      <c r="B1310">
        <v>27.5</v>
      </c>
      <c r="P1310" s="75"/>
    </row>
    <row r="1311" spans="1:16">
      <c r="A1311" s="80">
        <v>41075</v>
      </c>
      <c r="B1311">
        <v>28.2</v>
      </c>
      <c r="P1311" s="75"/>
    </row>
    <row r="1312" spans="1:16">
      <c r="A1312" s="80">
        <v>41074</v>
      </c>
      <c r="B1312">
        <v>27.75</v>
      </c>
      <c r="P1312" s="75"/>
    </row>
    <row r="1313" spans="1:16">
      <c r="A1313" s="80">
        <v>41073</v>
      </c>
      <c r="B1313">
        <v>27.5</v>
      </c>
      <c r="P1313" s="75"/>
    </row>
    <row r="1314" spans="1:16">
      <c r="A1314" s="80">
        <v>41072</v>
      </c>
      <c r="B1314">
        <v>26.45</v>
      </c>
      <c r="P1314" s="75"/>
    </row>
    <row r="1315" spans="1:16">
      <c r="A1315" s="80">
        <v>41068</v>
      </c>
      <c r="B1315">
        <v>27</v>
      </c>
      <c r="P1315" s="75"/>
    </row>
    <row r="1316" spans="1:16">
      <c r="A1316" s="80">
        <v>41067</v>
      </c>
      <c r="B1316">
        <v>26.3</v>
      </c>
      <c r="P1316" s="75"/>
    </row>
    <row r="1317" spans="1:16">
      <c r="A1317" s="80">
        <v>41066</v>
      </c>
      <c r="B1317">
        <v>26.3</v>
      </c>
      <c r="P1317" s="75"/>
    </row>
    <row r="1318" spans="1:16">
      <c r="A1318" s="80">
        <v>41065</v>
      </c>
      <c r="B1318">
        <v>26.75</v>
      </c>
      <c r="P1318" s="75"/>
    </row>
    <row r="1319" spans="1:16">
      <c r="A1319" s="80">
        <v>41061</v>
      </c>
      <c r="B1319">
        <v>26.95</v>
      </c>
      <c r="P1319" s="75"/>
    </row>
    <row r="1320" spans="1:16">
      <c r="A1320" s="80">
        <v>41060</v>
      </c>
      <c r="B1320">
        <v>27</v>
      </c>
      <c r="P1320" s="75"/>
    </row>
    <row r="1321" spans="1:16">
      <c r="A1321" s="80">
        <v>41059</v>
      </c>
      <c r="B1321">
        <v>26.75</v>
      </c>
      <c r="P1321" s="75"/>
    </row>
    <row r="1322" spans="1:16">
      <c r="A1322" s="80">
        <v>41058</v>
      </c>
      <c r="B1322">
        <v>26.5</v>
      </c>
      <c r="P1322" s="75"/>
    </row>
    <row r="1323" spans="1:16">
      <c r="A1323" s="80">
        <v>41057</v>
      </c>
      <c r="B1323">
        <v>27.25</v>
      </c>
      <c r="P1323" s="75"/>
    </row>
    <row r="1324" spans="1:16">
      <c r="A1324" s="80">
        <v>41054</v>
      </c>
      <c r="B1324">
        <v>28.25</v>
      </c>
      <c r="P1324" s="75"/>
    </row>
    <row r="1325" spans="1:16">
      <c r="A1325" s="80">
        <v>41053</v>
      </c>
      <c r="B1325">
        <v>28.95</v>
      </c>
      <c r="P1325" s="75"/>
    </row>
    <row r="1326" spans="1:16">
      <c r="A1326" s="80">
        <v>41052</v>
      </c>
      <c r="B1326">
        <v>28.75</v>
      </c>
      <c r="P1326" s="75"/>
    </row>
    <row r="1327" spans="1:16">
      <c r="A1327" s="80">
        <v>41051</v>
      </c>
      <c r="B1327">
        <v>28.6</v>
      </c>
      <c r="P1327" s="75"/>
    </row>
    <row r="1328" spans="1:16">
      <c r="A1328" s="80">
        <v>41047</v>
      </c>
      <c r="B1328">
        <v>27.7</v>
      </c>
      <c r="P1328" s="75"/>
    </row>
    <row r="1329" spans="1:16">
      <c r="A1329" s="80">
        <v>41046</v>
      </c>
      <c r="B1329">
        <v>29</v>
      </c>
      <c r="P1329" s="75"/>
    </row>
    <row r="1330" spans="1:16">
      <c r="A1330" s="80">
        <v>41045</v>
      </c>
      <c r="B1330">
        <v>28.95</v>
      </c>
      <c r="P1330" s="75"/>
    </row>
    <row r="1331" spans="1:16">
      <c r="A1331" s="80">
        <v>41044</v>
      </c>
      <c r="B1331">
        <v>28.5</v>
      </c>
      <c r="P1331" s="75"/>
    </row>
    <row r="1332" spans="1:16">
      <c r="A1332" s="80">
        <v>41043</v>
      </c>
      <c r="B1332">
        <v>28.1</v>
      </c>
      <c r="P1332" s="75"/>
    </row>
    <row r="1333" spans="1:16">
      <c r="A1333" s="80">
        <v>41040</v>
      </c>
      <c r="B1333">
        <v>28.5</v>
      </c>
      <c r="P1333" s="75"/>
    </row>
    <row r="1334" spans="1:16">
      <c r="A1334" s="80">
        <v>41039</v>
      </c>
      <c r="B1334">
        <v>28.1</v>
      </c>
      <c r="P1334" s="75"/>
    </row>
    <row r="1335" spans="1:16">
      <c r="A1335" s="80">
        <v>41038</v>
      </c>
      <c r="B1335">
        <v>28.6</v>
      </c>
      <c r="P1335" s="75"/>
    </row>
    <row r="1336" spans="1:16">
      <c r="A1336" s="80">
        <v>41037</v>
      </c>
      <c r="B1336">
        <v>29.25</v>
      </c>
      <c r="P1336" s="75"/>
    </row>
    <row r="1337" spans="1:16">
      <c r="A1337" s="80">
        <v>41033</v>
      </c>
      <c r="B1337">
        <v>29.3</v>
      </c>
      <c r="P1337" s="75"/>
    </row>
    <row r="1338" spans="1:16">
      <c r="A1338" s="80">
        <v>41032</v>
      </c>
      <c r="B1338">
        <v>29.5</v>
      </c>
      <c r="P1338" s="75"/>
    </row>
    <row r="1339" spans="1:16">
      <c r="A1339" s="80">
        <v>41031</v>
      </c>
      <c r="B1339">
        <v>29.55</v>
      </c>
      <c r="P1339" s="75"/>
    </row>
    <row r="1340" spans="1:16">
      <c r="A1340" s="80">
        <v>41029</v>
      </c>
      <c r="B1340">
        <v>30.5</v>
      </c>
      <c r="P1340" s="75"/>
    </row>
    <row r="1341" spans="1:16">
      <c r="A1341" s="80">
        <v>41026</v>
      </c>
      <c r="B1341">
        <v>29.5</v>
      </c>
      <c r="P1341" s="75"/>
    </row>
    <row r="1342" spans="1:16">
      <c r="A1342" s="80">
        <v>41025</v>
      </c>
      <c r="B1342">
        <v>30.25</v>
      </c>
      <c r="P1342" s="75"/>
    </row>
    <row r="1343" spans="1:16">
      <c r="A1343" s="80">
        <v>41024</v>
      </c>
      <c r="B1343">
        <v>30</v>
      </c>
      <c r="P1343" s="75"/>
    </row>
    <row r="1344" spans="1:16">
      <c r="A1344" s="80">
        <v>41023</v>
      </c>
      <c r="B1344">
        <v>30</v>
      </c>
      <c r="P1344" s="75"/>
    </row>
    <row r="1345" spans="1:16">
      <c r="A1345" s="80">
        <v>41022</v>
      </c>
      <c r="B1345">
        <v>30.05</v>
      </c>
      <c r="P1345" s="75"/>
    </row>
    <row r="1346" spans="1:16">
      <c r="A1346" s="80">
        <v>41019</v>
      </c>
      <c r="B1346">
        <v>30.05</v>
      </c>
      <c r="P1346" s="75"/>
    </row>
    <row r="1347" spans="1:16">
      <c r="A1347" s="80">
        <v>41018</v>
      </c>
      <c r="B1347">
        <v>30</v>
      </c>
      <c r="P1347" s="75"/>
    </row>
    <row r="1348" spans="1:16">
      <c r="A1348" s="80">
        <v>41017</v>
      </c>
      <c r="B1348">
        <v>30.5</v>
      </c>
      <c r="P1348" s="75"/>
    </row>
    <row r="1349" spans="1:16">
      <c r="A1349" s="80">
        <v>41016</v>
      </c>
      <c r="B1349">
        <v>30.85</v>
      </c>
      <c r="P1349" s="75"/>
    </row>
    <row r="1350" spans="1:16">
      <c r="A1350" s="80">
        <v>41015</v>
      </c>
      <c r="B1350">
        <v>31</v>
      </c>
      <c r="P1350" s="75"/>
    </row>
    <row r="1351" spans="1:16">
      <c r="A1351" s="80">
        <v>41010</v>
      </c>
      <c r="B1351">
        <v>31</v>
      </c>
      <c r="P1351" s="75"/>
    </row>
    <row r="1352" spans="1:16">
      <c r="A1352" s="80">
        <v>41003</v>
      </c>
      <c r="B1352">
        <v>31.65</v>
      </c>
      <c r="P1352" s="75"/>
    </row>
    <row r="1353" spans="1:16">
      <c r="A1353" s="80">
        <v>41002</v>
      </c>
      <c r="B1353">
        <v>31.8</v>
      </c>
      <c r="P1353" s="75"/>
    </row>
    <row r="1354" spans="1:16">
      <c r="A1354" s="80">
        <v>41001</v>
      </c>
      <c r="B1354">
        <v>31.2</v>
      </c>
      <c r="P1354" s="75"/>
    </row>
    <row r="1355" spans="1:16">
      <c r="A1355" s="158">
        <v>40998</v>
      </c>
      <c r="B1355" s="156">
        <v>31.3</v>
      </c>
      <c r="P1355" s="75"/>
    </row>
    <row r="1356" spans="1:16">
      <c r="A1356" s="80">
        <v>40997</v>
      </c>
      <c r="B1356">
        <v>32.25</v>
      </c>
      <c r="P1356" s="75"/>
    </row>
    <row r="1357" spans="1:16">
      <c r="A1357" s="80">
        <v>40995</v>
      </c>
      <c r="B1357">
        <v>30.5</v>
      </c>
      <c r="P1357" s="75"/>
    </row>
    <row r="1358" spans="1:16">
      <c r="A1358" s="80">
        <v>40991</v>
      </c>
      <c r="B1358">
        <v>30.5</v>
      </c>
      <c r="P1358" s="75"/>
    </row>
    <row r="1359" spans="1:16">
      <c r="A1359" s="80">
        <v>40990</v>
      </c>
      <c r="B1359">
        <v>30.25</v>
      </c>
      <c r="P1359" s="75"/>
    </row>
    <row r="1360" spans="1:16">
      <c r="A1360" s="80">
        <v>40989</v>
      </c>
      <c r="B1360">
        <v>30.25</v>
      </c>
      <c r="P1360" s="75"/>
    </row>
    <row r="1361" spans="1:16">
      <c r="A1361" s="80">
        <v>40988</v>
      </c>
      <c r="B1361">
        <v>33</v>
      </c>
      <c r="P1361" s="75"/>
    </row>
    <row r="1362" spans="1:16">
      <c r="A1362" s="80">
        <v>40987</v>
      </c>
      <c r="B1362">
        <v>32</v>
      </c>
      <c r="P1362" s="75"/>
    </row>
    <row r="1363" spans="1:16">
      <c r="A1363" s="80">
        <v>40983</v>
      </c>
      <c r="B1363">
        <v>31.25</v>
      </c>
      <c r="P1363" s="75"/>
    </row>
    <row r="1364" spans="1:16">
      <c r="A1364" s="80">
        <v>40982</v>
      </c>
      <c r="B1364">
        <v>31.55</v>
      </c>
      <c r="P1364" s="75"/>
    </row>
    <row r="1365" spans="1:16">
      <c r="A1365" s="80">
        <v>40981</v>
      </c>
      <c r="B1365">
        <v>31.05</v>
      </c>
      <c r="P1365" s="75"/>
    </row>
    <row r="1366" spans="1:16">
      <c r="A1366" s="80">
        <v>40980</v>
      </c>
      <c r="B1366">
        <v>32</v>
      </c>
      <c r="P1366" s="75"/>
    </row>
    <row r="1367" spans="1:16">
      <c r="A1367" s="80">
        <v>40977</v>
      </c>
      <c r="B1367">
        <v>31.05</v>
      </c>
      <c r="P1367" s="75"/>
    </row>
    <row r="1368" spans="1:16">
      <c r="A1368" s="80">
        <v>40976</v>
      </c>
      <c r="B1368">
        <v>31</v>
      </c>
      <c r="P1368" s="75"/>
    </row>
    <row r="1369" spans="1:16">
      <c r="A1369" s="80">
        <v>40974</v>
      </c>
      <c r="B1369">
        <v>31.5</v>
      </c>
      <c r="P1369" s="75"/>
    </row>
    <row r="1370" spans="1:16">
      <c r="A1370" s="80">
        <v>40973</v>
      </c>
      <c r="B1370">
        <v>31</v>
      </c>
      <c r="P1370" s="75"/>
    </row>
    <row r="1371" spans="1:16">
      <c r="A1371" s="80">
        <v>40970</v>
      </c>
      <c r="B1371">
        <v>31.05</v>
      </c>
      <c r="P1371" s="75"/>
    </row>
    <row r="1372" spans="1:16">
      <c r="A1372" s="80">
        <v>40969</v>
      </c>
      <c r="B1372">
        <v>31.05</v>
      </c>
      <c r="P1372" s="75"/>
    </row>
    <row r="1373" spans="1:16">
      <c r="A1373" s="80">
        <v>40967</v>
      </c>
      <c r="B1373">
        <v>31</v>
      </c>
      <c r="P1373" s="75"/>
    </row>
    <row r="1374" spans="1:16">
      <c r="A1374" s="80">
        <v>40966</v>
      </c>
      <c r="B1374">
        <v>32.75</v>
      </c>
      <c r="P1374" s="75"/>
    </row>
    <row r="1375" spans="1:16">
      <c r="A1375" s="80">
        <v>40963</v>
      </c>
      <c r="B1375">
        <v>34</v>
      </c>
      <c r="P1375" s="75"/>
    </row>
    <row r="1376" spans="1:16">
      <c r="A1376" s="80">
        <v>40962</v>
      </c>
      <c r="B1376">
        <v>34.85</v>
      </c>
      <c r="P1376" s="75"/>
    </row>
    <row r="1377" spans="1:16">
      <c r="A1377" s="80">
        <v>40960</v>
      </c>
      <c r="B1377">
        <v>32.5</v>
      </c>
      <c r="P1377" s="75"/>
    </row>
    <row r="1378" spans="1:16">
      <c r="A1378" s="80">
        <v>40956</v>
      </c>
      <c r="B1378">
        <v>32.75</v>
      </c>
      <c r="P1378" s="75"/>
    </row>
    <row r="1379" spans="1:16">
      <c r="A1379" s="80">
        <v>40955</v>
      </c>
      <c r="B1379">
        <v>31.7</v>
      </c>
      <c r="P1379" s="75"/>
    </row>
    <row r="1380" spans="1:16">
      <c r="A1380" s="80">
        <v>40954</v>
      </c>
      <c r="B1380">
        <v>28</v>
      </c>
      <c r="P1380" s="75"/>
    </row>
    <row r="1381" spans="1:16">
      <c r="A1381" s="80">
        <v>40953</v>
      </c>
      <c r="B1381">
        <v>29</v>
      </c>
      <c r="P1381" s="75"/>
    </row>
    <row r="1382" spans="1:16">
      <c r="A1382" s="80">
        <v>40952</v>
      </c>
      <c r="B1382">
        <v>31.45</v>
      </c>
      <c r="P1382" s="75"/>
    </row>
    <row r="1383" spans="1:16">
      <c r="A1383" s="80">
        <v>40948</v>
      </c>
      <c r="B1383">
        <v>32.9</v>
      </c>
      <c r="P1383" s="75"/>
    </row>
    <row r="1384" spans="1:16">
      <c r="A1384" s="80">
        <v>40947</v>
      </c>
      <c r="B1384">
        <v>33</v>
      </c>
      <c r="P1384" s="75"/>
    </row>
    <row r="1385" spans="1:16">
      <c r="A1385" s="80">
        <v>40945</v>
      </c>
      <c r="B1385">
        <v>33.15</v>
      </c>
      <c r="P1385" s="75"/>
    </row>
    <row r="1386" spans="1:16">
      <c r="A1386" s="80">
        <v>40941</v>
      </c>
      <c r="B1386">
        <v>34</v>
      </c>
      <c r="P1386" s="75"/>
    </row>
    <row r="1387" spans="1:16">
      <c r="A1387" s="80">
        <v>40940</v>
      </c>
      <c r="B1387">
        <v>35.25</v>
      </c>
      <c r="P1387" s="75"/>
    </row>
    <row r="1388" spans="1:16">
      <c r="A1388" s="80">
        <v>40939</v>
      </c>
      <c r="B1388">
        <v>34.85</v>
      </c>
      <c r="P1388" s="75"/>
    </row>
    <row r="1389" spans="1:16">
      <c r="A1389" s="80">
        <v>40938</v>
      </c>
      <c r="B1389">
        <v>34.75</v>
      </c>
      <c r="P1389" s="75"/>
    </row>
    <row r="1390" spans="1:16">
      <c r="A1390" s="80">
        <v>40935</v>
      </c>
      <c r="B1390">
        <v>35.049999999999997</v>
      </c>
      <c r="P1390" s="75"/>
    </row>
    <row r="1391" spans="1:16">
      <c r="A1391" s="80">
        <v>40934</v>
      </c>
      <c r="B1391">
        <v>34.5</v>
      </c>
      <c r="P1391" s="75"/>
    </row>
    <row r="1392" spans="1:16">
      <c r="A1392" s="80">
        <v>40933</v>
      </c>
      <c r="B1392">
        <v>35.450000000000003</v>
      </c>
      <c r="P1392" s="75"/>
    </row>
    <row r="1393" spans="1:16">
      <c r="A1393" s="80">
        <v>40932</v>
      </c>
      <c r="B1393">
        <v>33.75</v>
      </c>
      <c r="P1393" s="75"/>
    </row>
    <row r="1394" spans="1:16">
      <c r="A1394" s="80">
        <v>40931</v>
      </c>
      <c r="B1394">
        <v>34.65</v>
      </c>
      <c r="P1394" s="75"/>
    </row>
    <row r="1395" spans="1:16">
      <c r="A1395" s="80">
        <v>40928</v>
      </c>
      <c r="B1395">
        <v>34.799999999999997</v>
      </c>
      <c r="P1395" s="75"/>
    </row>
    <row r="1396" spans="1:16">
      <c r="A1396" s="80">
        <v>40927</v>
      </c>
      <c r="B1396">
        <v>35</v>
      </c>
      <c r="P1396" s="75"/>
    </row>
    <row r="1397" spans="1:16">
      <c r="A1397" s="80">
        <v>40926</v>
      </c>
      <c r="B1397">
        <v>35</v>
      </c>
      <c r="P1397" s="75"/>
    </row>
    <row r="1398" spans="1:16">
      <c r="A1398" s="80">
        <v>40925</v>
      </c>
      <c r="B1398">
        <v>35.15</v>
      </c>
      <c r="P1398" s="75"/>
    </row>
    <row r="1399" spans="1:16">
      <c r="A1399" s="80">
        <v>40921</v>
      </c>
      <c r="B1399">
        <v>36.5</v>
      </c>
      <c r="P1399" s="75"/>
    </row>
    <row r="1400" spans="1:16">
      <c r="A1400" s="80">
        <v>40920</v>
      </c>
      <c r="B1400">
        <v>35</v>
      </c>
      <c r="P1400" s="75"/>
    </row>
    <row r="1401" spans="1:16">
      <c r="A1401" s="80">
        <v>40919</v>
      </c>
      <c r="B1401">
        <v>35</v>
      </c>
      <c r="P1401" s="75"/>
    </row>
    <row r="1402" spans="1:16">
      <c r="A1402" s="80">
        <v>40918</v>
      </c>
      <c r="B1402">
        <v>35.25</v>
      </c>
      <c r="P1402" s="75"/>
    </row>
    <row r="1403" spans="1:16">
      <c r="A1403" s="80">
        <v>40917</v>
      </c>
      <c r="B1403">
        <v>35.85</v>
      </c>
      <c r="P1403" s="75"/>
    </row>
    <row r="1404" spans="1:16">
      <c r="A1404" s="80">
        <v>40913</v>
      </c>
      <c r="B1404">
        <v>35.75</v>
      </c>
      <c r="P1404" s="75"/>
    </row>
    <row r="1405" spans="1:16">
      <c r="A1405" s="80">
        <v>40912</v>
      </c>
      <c r="B1405">
        <v>36.15</v>
      </c>
      <c r="P1405" s="75"/>
    </row>
    <row r="1406" spans="1:16">
      <c r="A1406" s="80">
        <v>40911</v>
      </c>
      <c r="B1406">
        <v>35.75</v>
      </c>
      <c r="P1406" s="75"/>
    </row>
    <row r="1407" spans="1:16">
      <c r="A1407" s="80">
        <v>40910</v>
      </c>
      <c r="B1407">
        <v>36.049999999999997</v>
      </c>
      <c r="P1407" s="75"/>
    </row>
    <row r="1408" spans="1:16">
      <c r="A1408" s="80">
        <v>40907</v>
      </c>
      <c r="B1408">
        <v>37</v>
      </c>
      <c r="P1408" s="75"/>
    </row>
    <row r="1409" spans="1:16">
      <c r="A1409" s="80">
        <v>40906</v>
      </c>
      <c r="B1409">
        <v>36.049999999999997</v>
      </c>
      <c r="P1409" s="75"/>
    </row>
    <row r="1410" spans="1:16">
      <c r="A1410" s="80">
        <v>40905</v>
      </c>
      <c r="B1410">
        <v>37.5</v>
      </c>
      <c r="P1410" s="75"/>
    </row>
    <row r="1411" spans="1:16">
      <c r="A1411" s="80">
        <v>40904</v>
      </c>
      <c r="B1411">
        <v>37.5</v>
      </c>
      <c r="P1411" s="75"/>
    </row>
    <row r="1412" spans="1:16">
      <c r="A1412" s="80">
        <v>40900</v>
      </c>
      <c r="B1412">
        <v>36</v>
      </c>
      <c r="P1412" s="75"/>
    </row>
    <row r="1413" spans="1:16">
      <c r="A1413" s="80">
        <v>40897</v>
      </c>
      <c r="B1413">
        <v>34.200000000000003</v>
      </c>
      <c r="P1413" s="75"/>
    </row>
    <row r="1414" spans="1:16">
      <c r="A1414" s="80">
        <v>40896</v>
      </c>
      <c r="B1414">
        <v>35</v>
      </c>
      <c r="P1414" s="75"/>
    </row>
    <row r="1415" spans="1:16">
      <c r="A1415" s="80">
        <v>40893</v>
      </c>
      <c r="B1415">
        <v>34.450000000000003</v>
      </c>
      <c r="P1415" s="75"/>
    </row>
    <row r="1416" spans="1:16">
      <c r="A1416" s="80">
        <v>40892</v>
      </c>
      <c r="B1416">
        <v>35.5</v>
      </c>
      <c r="P1416" s="75"/>
    </row>
    <row r="1417" spans="1:16">
      <c r="A1417" s="80">
        <v>40891</v>
      </c>
      <c r="B1417">
        <v>36</v>
      </c>
      <c r="P1417" s="75"/>
    </row>
    <row r="1418" spans="1:16">
      <c r="A1418" s="80">
        <v>40890</v>
      </c>
      <c r="B1418">
        <v>36</v>
      </c>
      <c r="P1418" s="75"/>
    </row>
    <row r="1419" spans="1:16">
      <c r="A1419" s="80">
        <v>40889</v>
      </c>
      <c r="B1419">
        <v>36</v>
      </c>
      <c r="P1419" s="75"/>
    </row>
    <row r="1420" spans="1:16">
      <c r="A1420" s="80">
        <v>40886</v>
      </c>
      <c r="B1420">
        <v>36</v>
      </c>
      <c r="P1420" s="75"/>
    </row>
    <row r="1421" spans="1:16">
      <c r="A1421" s="80">
        <v>40884</v>
      </c>
      <c r="B1421">
        <v>36.25</v>
      </c>
      <c r="P1421" s="75"/>
    </row>
    <row r="1422" spans="1:16">
      <c r="A1422" s="80">
        <v>40883</v>
      </c>
      <c r="B1422">
        <v>36.950000000000003</v>
      </c>
      <c r="P1422" s="75"/>
    </row>
    <row r="1423" spans="1:16">
      <c r="A1423" s="80">
        <v>40882</v>
      </c>
      <c r="B1423">
        <v>35.25</v>
      </c>
      <c r="P1423" s="75"/>
    </row>
    <row r="1424" spans="1:16">
      <c r="A1424" s="80">
        <v>40879</v>
      </c>
      <c r="B1424">
        <v>36</v>
      </c>
      <c r="P1424" s="75"/>
    </row>
    <row r="1425" spans="1:16">
      <c r="A1425" s="80">
        <v>40878</v>
      </c>
      <c r="B1425">
        <v>37.049999999999997</v>
      </c>
      <c r="P1425" s="75"/>
    </row>
    <row r="1426" spans="1:16">
      <c r="A1426" s="80">
        <v>40877</v>
      </c>
      <c r="B1426">
        <v>37.200000000000003</v>
      </c>
      <c r="P1426" s="75"/>
    </row>
    <row r="1427" spans="1:16">
      <c r="A1427" s="80">
        <v>40876</v>
      </c>
      <c r="B1427">
        <v>36</v>
      </c>
      <c r="P1427" s="75"/>
    </row>
    <row r="1428" spans="1:16">
      <c r="A1428" s="80">
        <v>40875</v>
      </c>
      <c r="B1428">
        <v>35</v>
      </c>
      <c r="P1428" s="75"/>
    </row>
    <row r="1429" spans="1:16">
      <c r="A1429" s="80">
        <v>40872</v>
      </c>
      <c r="B1429">
        <v>34.25</v>
      </c>
      <c r="P1429" s="75"/>
    </row>
    <row r="1430" spans="1:16">
      <c r="A1430" s="80">
        <v>40871</v>
      </c>
      <c r="B1430">
        <v>34.25</v>
      </c>
      <c r="P1430" s="75"/>
    </row>
    <row r="1431" spans="1:16">
      <c r="A1431" s="80">
        <v>40870</v>
      </c>
      <c r="B1431">
        <v>34.5</v>
      </c>
      <c r="P1431" s="75"/>
    </row>
    <row r="1432" spans="1:16">
      <c r="A1432" s="80">
        <v>40869</v>
      </c>
      <c r="B1432">
        <v>35.049999999999997</v>
      </c>
      <c r="P1432" s="75"/>
    </row>
    <row r="1433" spans="1:16">
      <c r="A1433" s="80">
        <v>40868</v>
      </c>
      <c r="B1433">
        <v>35.5</v>
      </c>
      <c r="P1433" s="75"/>
    </row>
    <row r="1434" spans="1:16">
      <c r="A1434" s="80">
        <v>40865</v>
      </c>
      <c r="B1434">
        <v>35.5</v>
      </c>
      <c r="P1434" s="75"/>
    </row>
    <row r="1435" spans="1:16">
      <c r="A1435" s="80">
        <v>40864</v>
      </c>
      <c r="B1435">
        <v>35</v>
      </c>
      <c r="P1435" s="75"/>
    </row>
    <row r="1436" spans="1:16">
      <c r="A1436" s="80">
        <v>40863</v>
      </c>
      <c r="B1436">
        <v>35.1</v>
      </c>
      <c r="P1436" s="75"/>
    </row>
    <row r="1437" spans="1:16">
      <c r="A1437" s="80">
        <v>40862</v>
      </c>
      <c r="B1437">
        <v>35.1</v>
      </c>
      <c r="P1437" s="75"/>
    </row>
    <row r="1438" spans="1:16">
      <c r="A1438" s="80">
        <v>40861</v>
      </c>
      <c r="B1438">
        <v>36.75</v>
      </c>
      <c r="P1438" s="75"/>
    </row>
    <row r="1439" spans="1:16">
      <c r="A1439" s="80">
        <v>40858</v>
      </c>
      <c r="B1439">
        <v>37.5</v>
      </c>
      <c r="P1439" s="75"/>
    </row>
    <row r="1440" spans="1:16">
      <c r="A1440" s="80">
        <v>40856</v>
      </c>
      <c r="B1440">
        <v>37</v>
      </c>
      <c r="P1440" s="75"/>
    </row>
    <row r="1441" spans="1:16">
      <c r="A1441" s="80">
        <v>40855</v>
      </c>
      <c r="B1441">
        <v>36.5</v>
      </c>
      <c r="P1441" s="75"/>
    </row>
    <row r="1442" spans="1:16">
      <c r="A1442" s="80">
        <v>40850</v>
      </c>
      <c r="B1442">
        <v>37.049999999999997</v>
      </c>
      <c r="P1442" s="75"/>
    </row>
    <row r="1443" spans="1:16">
      <c r="A1443" s="80">
        <v>40849</v>
      </c>
      <c r="B1443">
        <v>37</v>
      </c>
      <c r="P1443" s="75"/>
    </row>
    <row r="1444" spans="1:16">
      <c r="A1444" s="80">
        <v>40848</v>
      </c>
      <c r="B1444">
        <v>37.5</v>
      </c>
      <c r="P1444" s="75"/>
    </row>
    <row r="1445" spans="1:16">
      <c r="A1445" s="80">
        <v>40847</v>
      </c>
      <c r="B1445">
        <v>37.5</v>
      </c>
      <c r="P1445" s="75"/>
    </row>
    <row r="1446" spans="1:16">
      <c r="A1446" s="80">
        <v>40844</v>
      </c>
      <c r="B1446">
        <v>37.5</v>
      </c>
      <c r="P1446" s="75"/>
    </row>
    <row r="1447" spans="1:16">
      <c r="A1447" s="80">
        <v>40843</v>
      </c>
      <c r="B1447">
        <v>35.6</v>
      </c>
      <c r="P1447" s="75"/>
    </row>
    <row r="1448" spans="1:16">
      <c r="A1448" s="80">
        <v>40841</v>
      </c>
      <c r="B1448">
        <v>37.4</v>
      </c>
      <c r="P1448" s="75"/>
    </row>
    <row r="1449" spans="1:16">
      <c r="A1449" s="80">
        <v>40840</v>
      </c>
      <c r="B1449">
        <v>37</v>
      </c>
      <c r="P1449" s="75"/>
    </row>
    <row r="1450" spans="1:16">
      <c r="A1450" s="80">
        <v>40837</v>
      </c>
      <c r="B1450">
        <v>36.950000000000003</v>
      </c>
      <c r="P1450" s="75"/>
    </row>
    <row r="1451" spans="1:16">
      <c r="A1451" s="80">
        <v>40836</v>
      </c>
      <c r="B1451">
        <v>36.950000000000003</v>
      </c>
      <c r="P1451" s="75"/>
    </row>
    <row r="1452" spans="1:16">
      <c r="A1452" s="80">
        <v>40835</v>
      </c>
      <c r="B1452">
        <v>37.5</v>
      </c>
      <c r="P1452" s="75"/>
    </row>
    <row r="1453" spans="1:16">
      <c r="A1453" s="80">
        <v>40834</v>
      </c>
      <c r="B1453">
        <v>37.35</v>
      </c>
      <c r="P1453" s="75"/>
    </row>
    <row r="1454" spans="1:16">
      <c r="A1454" s="80">
        <v>40833</v>
      </c>
      <c r="B1454">
        <v>37.549999999999997</v>
      </c>
      <c r="P1454" s="75"/>
    </row>
    <row r="1455" spans="1:16">
      <c r="A1455" s="80">
        <v>40830</v>
      </c>
      <c r="B1455">
        <v>38</v>
      </c>
      <c r="P1455" s="75"/>
    </row>
    <row r="1456" spans="1:16">
      <c r="A1456" s="80">
        <v>40829</v>
      </c>
      <c r="B1456">
        <v>38.049999999999997</v>
      </c>
      <c r="P1456" s="75"/>
    </row>
    <row r="1457" spans="1:16">
      <c r="A1457" s="80">
        <v>40828</v>
      </c>
      <c r="B1457">
        <v>38.049999999999997</v>
      </c>
      <c r="P1457" s="75"/>
    </row>
    <row r="1458" spans="1:16">
      <c r="A1458" s="80">
        <v>40826</v>
      </c>
      <c r="B1458">
        <v>38.049999999999997</v>
      </c>
      <c r="P1458" s="75"/>
    </row>
    <row r="1459" spans="1:16">
      <c r="A1459" s="80">
        <v>40823</v>
      </c>
      <c r="B1459">
        <v>38</v>
      </c>
      <c r="P1459" s="75"/>
    </row>
    <row r="1460" spans="1:16">
      <c r="A1460" s="80">
        <v>40822</v>
      </c>
      <c r="B1460">
        <v>38.1</v>
      </c>
      <c r="P1460" s="75"/>
    </row>
    <row r="1461" spans="1:16">
      <c r="A1461" s="80">
        <v>40821</v>
      </c>
      <c r="B1461">
        <v>37.9</v>
      </c>
      <c r="P1461" s="75"/>
    </row>
    <row r="1462" spans="1:16">
      <c r="A1462" s="80">
        <v>40820</v>
      </c>
      <c r="B1462">
        <v>39.75</v>
      </c>
      <c r="P1462" s="75"/>
    </row>
    <row r="1463" spans="1:16">
      <c r="A1463" s="80">
        <v>40819</v>
      </c>
      <c r="B1463">
        <v>37.9</v>
      </c>
      <c r="P1463" s="75"/>
    </row>
    <row r="1464" spans="1:16">
      <c r="A1464" s="80">
        <v>40816</v>
      </c>
      <c r="B1464">
        <v>38.5</v>
      </c>
      <c r="P1464" s="75"/>
    </row>
    <row r="1465" spans="1:16">
      <c r="A1465" s="80">
        <v>40815</v>
      </c>
      <c r="B1465">
        <v>37.549999999999997</v>
      </c>
      <c r="P1465" s="75"/>
    </row>
    <row r="1466" spans="1:16">
      <c r="A1466" s="80">
        <v>40814</v>
      </c>
      <c r="B1466">
        <v>39.299999999999997</v>
      </c>
      <c r="P1466" s="75"/>
    </row>
    <row r="1467" spans="1:16">
      <c r="A1467" s="80">
        <v>40812</v>
      </c>
      <c r="B1467">
        <v>39.5</v>
      </c>
      <c r="P1467" s="75"/>
    </row>
    <row r="1468" spans="1:16">
      <c r="A1468" s="80">
        <v>40809</v>
      </c>
      <c r="B1468">
        <v>39.700000000000003</v>
      </c>
      <c r="P1468" s="75"/>
    </row>
    <row r="1469" spans="1:16">
      <c r="A1469" s="80">
        <v>40807</v>
      </c>
      <c r="B1469">
        <v>40</v>
      </c>
      <c r="P1469" s="75"/>
    </row>
    <row r="1470" spans="1:16">
      <c r="A1470" s="80">
        <v>40806</v>
      </c>
      <c r="B1470">
        <v>39.1</v>
      </c>
      <c r="P1470" s="75"/>
    </row>
    <row r="1471" spans="1:16">
      <c r="A1471" s="80">
        <v>40802</v>
      </c>
      <c r="B1471">
        <v>40</v>
      </c>
      <c r="P1471" s="75"/>
    </row>
    <row r="1472" spans="1:16">
      <c r="A1472" s="80">
        <v>40801</v>
      </c>
      <c r="B1472">
        <v>39.5</v>
      </c>
      <c r="P1472" s="75"/>
    </row>
    <row r="1473" spans="1:16">
      <c r="A1473" s="80">
        <v>40800</v>
      </c>
      <c r="B1473">
        <v>39.4</v>
      </c>
      <c r="P1473" s="75"/>
    </row>
    <row r="1474" spans="1:16">
      <c r="A1474" s="80">
        <v>40799</v>
      </c>
      <c r="B1474">
        <v>39.25</v>
      </c>
      <c r="P1474" s="75"/>
    </row>
    <row r="1475" spans="1:16">
      <c r="A1475" s="80">
        <v>40798</v>
      </c>
      <c r="B1475">
        <v>39.1</v>
      </c>
      <c r="P1475" s="75"/>
    </row>
    <row r="1476" spans="1:16">
      <c r="A1476" s="80">
        <v>40795</v>
      </c>
      <c r="B1476">
        <v>39.1</v>
      </c>
      <c r="P1476" s="75"/>
    </row>
    <row r="1477" spans="1:16">
      <c r="A1477" s="80">
        <v>40794</v>
      </c>
      <c r="B1477">
        <v>39.5</v>
      </c>
      <c r="P1477" s="75"/>
    </row>
    <row r="1478" spans="1:16">
      <c r="A1478" s="80">
        <v>40793</v>
      </c>
      <c r="B1478">
        <v>40</v>
      </c>
      <c r="P1478" s="75"/>
    </row>
    <row r="1479" spans="1:16">
      <c r="A1479" s="80">
        <v>40792</v>
      </c>
      <c r="B1479">
        <v>41</v>
      </c>
      <c r="P1479" s="75"/>
    </row>
    <row r="1480" spans="1:16">
      <c r="A1480" s="80">
        <v>40791</v>
      </c>
      <c r="B1480">
        <v>39.15</v>
      </c>
      <c r="P1480" s="75"/>
    </row>
    <row r="1481" spans="1:16">
      <c r="A1481" s="80">
        <v>40788</v>
      </c>
      <c r="B1481">
        <v>39.25</v>
      </c>
      <c r="P1481" s="75"/>
    </row>
    <row r="1482" spans="1:16">
      <c r="A1482" s="80">
        <v>40787</v>
      </c>
      <c r="B1482">
        <v>39.1</v>
      </c>
      <c r="P1482" s="75"/>
    </row>
    <row r="1483" spans="1:16">
      <c r="A1483" s="80">
        <v>40785</v>
      </c>
      <c r="B1483">
        <v>39.25</v>
      </c>
      <c r="P1483" s="75"/>
    </row>
    <row r="1484" spans="1:16">
      <c r="A1484" s="80">
        <v>40781</v>
      </c>
      <c r="B1484">
        <v>40</v>
      </c>
      <c r="P1484" s="75"/>
    </row>
    <row r="1485" spans="1:16">
      <c r="A1485" s="80">
        <v>40780</v>
      </c>
      <c r="B1485">
        <v>40</v>
      </c>
      <c r="P1485" s="75"/>
    </row>
    <row r="1486" spans="1:16">
      <c r="A1486" s="80">
        <v>40779</v>
      </c>
      <c r="B1486">
        <v>39.75</v>
      </c>
      <c r="P1486" s="75"/>
    </row>
    <row r="1487" spans="1:16">
      <c r="A1487" s="80">
        <v>40778</v>
      </c>
      <c r="B1487">
        <v>40</v>
      </c>
      <c r="P1487" s="75"/>
    </row>
    <row r="1488" spans="1:16">
      <c r="A1488" s="80">
        <v>40777</v>
      </c>
      <c r="B1488">
        <v>41.05</v>
      </c>
      <c r="P1488" s="75"/>
    </row>
    <row r="1489" spans="1:16">
      <c r="A1489" s="80">
        <v>40774</v>
      </c>
      <c r="B1489">
        <v>40.049999999999997</v>
      </c>
      <c r="P1489" s="75"/>
    </row>
    <row r="1490" spans="1:16">
      <c r="A1490" s="80">
        <v>40773</v>
      </c>
      <c r="B1490">
        <v>40.049999999999997</v>
      </c>
      <c r="P1490" s="75"/>
    </row>
    <row r="1491" spans="1:16">
      <c r="A1491" s="80">
        <v>40772</v>
      </c>
      <c r="B1491">
        <v>40.75</v>
      </c>
      <c r="P1491" s="75"/>
    </row>
    <row r="1492" spans="1:16">
      <c r="A1492" s="80">
        <v>40771</v>
      </c>
      <c r="B1492">
        <v>40</v>
      </c>
      <c r="P1492" s="75"/>
    </row>
    <row r="1493" spans="1:16">
      <c r="A1493" s="80">
        <v>40770</v>
      </c>
      <c r="B1493">
        <v>39.049999999999997</v>
      </c>
      <c r="P1493" s="75"/>
    </row>
    <row r="1494" spans="1:16">
      <c r="A1494" s="80">
        <v>40767</v>
      </c>
      <c r="B1494">
        <v>39</v>
      </c>
      <c r="P1494" s="75"/>
    </row>
    <row r="1495" spans="1:16">
      <c r="A1495" s="80">
        <v>40766</v>
      </c>
      <c r="B1495">
        <v>38.75</v>
      </c>
      <c r="P1495" s="75"/>
    </row>
    <row r="1496" spans="1:16">
      <c r="A1496" s="80">
        <v>40765</v>
      </c>
      <c r="B1496">
        <v>40.9</v>
      </c>
      <c r="P1496" s="75"/>
    </row>
    <row r="1497" spans="1:16">
      <c r="A1497" s="80">
        <v>40764</v>
      </c>
      <c r="B1497">
        <v>40</v>
      </c>
      <c r="P1497" s="75"/>
    </row>
    <row r="1498" spans="1:16">
      <c r="A1498" s="80">
        <v>40763</v>
      </c>
      <c r="B1498">
        <v>39.4</v>
      </c>
      <c r="P1498" s="75"/>
    </row>
    <row r="1499" spans="1:16">
      <c r="A1499" s="80">
        <v>40760</v>
      </c>
      <c r="B1499">
        <v>37.549999999999997</v>
      </c>
      <c r="P1499" s="75"/>
    </row>
    <row r="1500" spans="1:16">
      <c r="A1500" s="80">
        <v>40759</v>
      </c>
      <c r="B1500">
        <v>38.049999999999997</v>
      </c>
      <c r="P1500" s="75"/>
    </row>
    <row r="1501" spans="1:16">
      <c r="A1501" s="80">
        <v>40758</v>
      </c>
      <c r="B1501">
        <v>38.049999999999997</v>
      </c>
      <c r="P1501" s="75"/>
    </row>
    <row r="1502" spans="1:16">
      <c r="A1502" s="80">
        <v>40757</v>
      </c>
      <c r="B1502">
        <v>38.1</v>
      </c>
      <c r="P1502" s="75"/>
    </row>
    <row r="1503" spans="1:16">
      <c r="A1503" s="80">
        <v>40756</v>
      </c>
      <c r="B1503">
        <v>38.549999999999997</v>
      </c>
      <c r="P1503" s="75"/>
    </row>
    <row r="1504" spans="1:16">
      <c r="A1504" s="80">
        <v>40753</v>
      </c>
      <c r="B1504">
        <v>40</v>
      </c>
      <c r="P1504" s="75"/>
    </row>
    <row r="1505" spans="1:16">
      <c r="A1505" s="80">
        <v>40752</v>
      </c>
      <c r="B1505">
        <v>37.5</v>
      </c>
      <c r="P1505" s="75"/>
    </row>
    <row r="1506" spans="1:16">
      <c r="A1506" s="80">
        <v>40751</v>
      </c>
      <c r="B1506">
        <v>37.450000000000003</v>
      </c>
      <c r="P1506" s="75"/>
    </row>
    <row r="1507" spans="1:16">
      <c r="A1507" s="80">
        <v>40750</v>
      </c>
      <c r="B1507">
        <v>36.5</v>
      </c>
      <c r="P1507" s="75"/>
    </row>
    <row r="1508" spans="1:16">
      <c r="A1508" s="80">
        <v>40749</v>
      </c>
      <c r="B1508">
        <v>36.75</v>
      </c>
      <c r="P1508" s="75"/>
    </row>
    <row r="1509" spans="1:16">
      <c r="A1509" s="80">
        <v>40746</v>
      </c>
      <c r="B1509">
        <v>37.549999999999997</v>
      </c>
      <c r="P1509" s="75"/>
    </row>
    <row r="1510" spans="1:16">
      <c r="A1510" s="80">
        <v>40745</v>
      </c>
      <c r="B1510">
        <v>38.049999999999997</v>
      </c>
      <c r="P1510" s="75"/>
    </row>
    <row r="1511" spans="1:16">
      <c r="A1511" s="80">
        <v>40744</v>
      </c>
      <c r="B1511">
        <v>38.1</v>
      </c>
      <c r="P1511" s="75"/>
    </row>
    <row r="1512" spans="1:16">
      <c r="A1512" s="80">
        <v>40743</v>
      </c>
      <c r="B1512">
        <v>38</v>
      </c>
      <c r="P1512" s="75"/>
    </row>
    <row r="1513" spans="1:16">
      <c r="A1513" s="80">
        <v>40742</v>
      </c>
      <c r="B1513">
        <v>39.1</v>
      </c>
      <c r="P1513" s="75"/>
    </row>
    <row r="1514" spans="1:16">
      <c r="A1514" s="80">
        <v>40739</v>
      </c>
      <c r="B1514">
        <v>39.200000000000003</v>
      </c>
      <c r="P1514" s="75"/>
    </row>
    <row r="1515" spans="1:16">
      <c r="A1515" s="80">
        <v>40737</v>
      </c>
      <c r="B1515">
        <v>39.85</v>
      </c>
      <c r="P1515" s="75"/>
    </row>
    <row r="1516" spans="1:16">
      <c r="A1516" s="80">
        <v>40736</v>
      </c>
      <c r="B1516">
        <v>39.049999999999997</v>
      </c>
      <c r="P1516" s="75"/>
    </row>
    <row r="1517" spans="1:16">
      <c r="A1517" s="80">
        <v>40735</v>
      </c>
      <c r="B1517">
        <v>40.049999999999997</v>
      </c>
      <c r="P1517" s="75"/>
    </row>
    <row r="1518" spans="1:16">
      <c r="A1518" s="80">
        <v>40731</v>
      </c>
      <c r="B1518">
        <v>40.35</v>
      </c>
      <c r="P1518" s="75"/>
    </row>
    <row r="1519" spans="1:16">
      <c r="A1519" s="80">
        <v>40730</v>
      </c>
      <c r="B1519">
        <v>40.4</v>
      </c>
      <c r="P1519" s="75"/>
    </row>
    <row r="1520" spans="1:16">
      <c r="A1520" s="80">
        <v>40729</v>
      </c>
      <c r="B1520">
        <v>40.15</v>
      </c>
      <c r="P1520" s="75"/>
    </row>
    <row r="1521" spans="1:16">
      <c r="A1521" s="80">
        <v>40728</v>
      </c>
      <c r="B1521">
        <v>40.5</v>
      </c>
      <c r="P1521" s="75"/>
    </row>
    <row r="1522" spans="1:16">
      <c r="A1522" s="80">
        <v>40725</v>
      </c>
      <c r="B1522">
        <v>40.1</v>
      </c>
      <c r="P1522" s="75"/>
    </row>
    <row r="1523" spans="1:16">
      <c r="A1523" s="80">
        <v>40724</v>
      </c>
      <c r="B1523">
        <v>40.1</v>
      </c>
      <c r="P1523" s="75"/>
    </row>
    <row r="1524" spans="1:16">
      <c r="A1524" s="80">
        <v>40723</v>
      </c>
      <c r="B1524">
        <v>41.5</v>
      </c>
      <c r="P1524" s="75"/>
    </row>
    <row r="1525" spans="1:16">
      <c r="A1525" s="80">
        <v>40722</v>
      </c>
      <c r="B1525">
        <v>41.65</v>
      </c>
      <c r="P1525" s="75"/>
    </row>
    <row r="1526" spans="1:16">
      <c r="A1526" s="80">
        <v>40721</v>
      </c>
      <c r="B1526">
        <v>42.55</v>
      </c>
      <c r="P1526" s="75"/>
    </row>
    <row r="1527" spans="1:16">
      <c r="A1527" s="80">
        <v>40718</v>
      </c>
      <c r="B1527">
        <v>42.6</v>
      </c>
      <c r="P1527" s="75"/>
    </row>
    <row r="1528" spans="1:16">
      <c r="A1528" s="80">
        <v>40717</v>
      </c>
      <c r="B1528">
        <v>42.95</v>
      </c>
      <c r="P1528" s="75"/>
    </row>
    <row r="1529" spans="1:16">
      <c r="A1529" s="80">
        <v>40716</v>
      </c>
      <c r="B1529">
        <v>42.55</v>
      </c>
      <c r="P1529" s="75"/>
    </row>
    <row r="1530" spans="1:16">
      <c r="A1530" s="80">
        <v>40715</v>
      </c>
      <c r="B1530">
        <v>42.6</v>
      </c>
      <c r="P1530" s="75"/>
    </row>
    <row r="1531" spans="1:16">
      <c r="A1531" s="80">
        <v>40714</v>
      </c>
      <c r="B1531">
        <v>42.6</v>
      </c>
      <c r="P1531" s="75"/>
    </row>
    <row r="1532" spans="1:16">
      <c r="A1532" s="80">
        <v>40711</v>
      </c>
      <c r="B1532">
        <v>44.25</v>
      </c>
      <c r="P1532" s="75"/>
    </row>
    <row r="1533" spans="1:16">
      <c r="A1533" s="80">
        <v>40710</v>
      </c>
      <c r="B1533">
        <v>43.4</v>
      </c>
      <c r="P1533" s="75"/>
    </row>
    <row r="1534" spans="1:16">
      <c r="A1534" s="80">
        <v>40708</v>
      </c>
      <c r="B1534">
        <v>43.75</v>
      </c>
      <c r="P1534" s="75"/>
    </row>
    <row r="1535" spans="1:16">
      <c r="A1535" s="80">
        <v>40707</v>
      </c>
      <c r="B1535">
        <v>44.5</v>
      </c>
      <c r="P1535" s="75"/>
    </row>
    <row r="1536" spans="1:16">
      <c r="A1536" s="80">
        <v>40704</v>
      </c>
      <c r="B1536">
        <v>44.5</v>
      </c>
      <c r="P1536" s="75"/>
    </row>
    <row r="1537" spans="1:16">
      <c r="A1537" s="80">
        <v>40703</v>
      </c>
      <c r="B1537">
        <v>44.85</v>
      </c>
      <c r="P1537" s="75"/>
    </row>
    <row r="1538" spans="1:16">
      <c r="A1538" s="80">
        <v>40702</v>
      </c>
      <c r="B1538">
        <v>45.05</v>
      </c>
      <c r="P1538" s="75"/>
    </row>
    <row r="1539" spans="1:16">
      <c r="A1539" s="80">
        <v>40701</v>
      </c>
      <c r="B1539">
        <v>45</v>
      </c>
      <c r="P1539" s="75"/>
    </row>
    <row r="1540" spans="1:16">
      <c r="A1540" s="80">
        <v>40700</v>
      </c>
      <c r="B1540">
        <v>45.05</v>
      </c>
      <c r="P1540" s="75"/>
    </row>
    <row r="1541" spans="1:16">
      <c r="A1541" s="80">
        <v>40697</v>
      </c>
      <c r="B1541">
        <v>45</v>
      </c>
      <c r="P1541" s="75"/>
    </row>
    <row r="1542" spans="1:16">
      <c r="A1542" s="80">
        <v>40696</v>
      </c>
      <c r="B1542">
        <v>45</v>
      </c>
      <c r="P1542" s="75"/>
    </row>
    <row r="1543" spans="1:16">
      <c r="A1543" s="80">
        <v>40695</v>
      </c>
      <c r="B1543">
        <v>46</v>
      </c>
      <c r="P1543" s="75"/>
    </row>
    <row r="1544" spans="1:16">
      <c r="A1544" s="80">
        <v>40694</v>
      </c>
      <c r="B1544">
        <v>45.75</v>
      </c>
      <c r="P1544" s="75"/>
    </row>
    <row r="1545" spans="1:16">
      <c r="A1545" s="80">
        <v>40693</v>
      </c>
      <c r="B1545">
        <v>46</v>
      </c>
      <c r="P1545" s="75"/>
    </row>
    <row r="1546" spans="1:16">
      <c r="A1546" s="80">
        <v>40690</v>
      </c>
      <c r="B1546">
        <v>46.5</v>
      </c>
      <c r="P1546" s="75"/>
    </row>
    <row r="1547" spans="1:16">
      <c r="A1547" s="80">
        <v>40689</v>
      </c>
      <c r="B1547">
        <v>46.55</v>
      </c>
      <c r="P1547" s="75"/>
    </row>
    <row r="1548" spans="1:16">
      <c r="A1548" s="80">
        <v>40688</v>
      </c>
      <c r="B1548">
        <v>47</v>
      </c>
      <c r="P1548" s="75"/>
    </row>
    <row r="1549" spans="1:16">
      <c r="A1549" s="80">
        <v>40687</v>
      </c>
      <c r="B1549">
        <v>46.5</v>
      </c>
      <c r="P1549" s="75"/>
    </row>
    <row r="1550" spans="1:16">
      <c r="A1550" s="80">
        <v>40686</v>
      </c>
      <c r="B1550">
        <v>46.6</v>
      </c>
      <c r="P1550" s="75"/>
    </row>
    <row r="1551" spans="1:16">
      <c r="A1551" s="80">
        <v>40683</v>
      </c>
      <c r="B1551">
        <v>47.5</v>
      </c>
      <c r="P1551" s="75"/>
    </row>
    <row r="1552" spans="1:16">
      <c r="A1552" s="80">
        <v>40682</v>
      </c>
      <c r="B1552">
        <v>47.65</v>
      </c>
      <c r="P1552" s="75"/>
    </row>
    <row r="1553" spans="1:16">
      <c r="A1553" s="80">
        <v>40679</v>
      </c>
      <c r="B1553">
        <v>47.35</v>
      </c>
      <c r="P1553" s="75"/>
    </row>
    <row r="1554" spans="1:16">
      <c r="A1554" s="80">
        <v>40676</v>
      </c>
      <c r="B1554">
        <v>46.5</v>
      </c>
      <c r="P1554" s="75"/>
    </row>
    <row r="1555" spans="1:16">
      <c r="A1555" s="80">
        <v>40675</v>
      </c>
      <c r="B1555">
        <v>47.75</v>
      </c>
      <c r="P1555" s="75"/>
    </row>
    <row r="1556" spans="1:16">
      <c r="A1556" s="80">
        <v>40674</v>
      </c>
      <c r="B1556">
        <v>47.45</v>
      </c>
      <c r="P1556" s="75"/>
    </row>
    <row r="1557" spans="1:16">
      <c r="A1557" s="80">
        <v>40673</v>
      </c>
      <c r="B1557">
        <v>47.5</v>
      </c>
      <c r="P1557" s="75"/>
    </row>
    <row r="1558" spans="1:16">
      <c r="A1558" s="80">
        <v>40672</v>
      </c>
      <c r="B1558">
        <v>48.4</v>
      </c>
      <c r="P1558" s="75"/>
    </row>
    <row r="1559" spans="1:16">
      <c r="A1559" s="80">
        <v>40669</v>
      </c>
      <c r="B1559">
        <v>47.5</v>
      </c>
      <c r="P1559" s="75"/>
    </row>
    <row r="1560" spans="1:16">
      <c r="A1560" s="80">
        <v>40668</v>
      </c>
      <c r="B1560">
        <v>47.1</v>
      </c>
      <c r="P1560" s="75"/>
    </row>
    <row r="1561" spans="1:16">
      <c r="A1561" s="80">
        <v>40667</v>
      </c>
      <c r="B1561">
        <v>47.5</v>
      </c>
      <c r="P1561" s="75"/>
    </row>
    <row r="1562" spans="1:16">
      <c r="A1562" s="80">
        <v>40666</v>
      </c>
      <c r="B1562">
        <v>47.5</v>
      </c>
      <c r="P1562" s="75"/>
    </row>
    <row r="1563" spans="1:16">
      <c r="A1563" s="80">
        <v>40662</v>
      </c>
      <c r="B1563">
        <v>48.15</v>
      </c>
      <c r="P1563" s="75"/>
    </row>
    <row r="1564" spans="1:16">
      <c r="A1564" s="80">
        <v>40661</v>
      </c>
      <c r="B1564">
        <v>48.1</v>
      </c>
      <c r="P1564" s="75"/>
    </row>
    <row r="1565" spans="1:16">
      <c r="A1565" s="80">
        <v>40660</v>
      </c>
      <c r="B1565">
        <v>48.05</v>
      </c>
      <c r="P1565" s="75"/>
    </row>
    <row r="1566" spans="1:16">
      <c r="A1566" s="80">
        <v>40659</v>
      </c>
      <c r="B1566">
        <v>48.05</v>
      </c>
      <c r="P1566" s="75"/>
    </row>
    <row r="1567" spans="1:16">
      <c r="A1567" s="80">
        <v>40658</v>
      </c>
      <c r="B1567">
        <v>48.5</v>
      </c>
      <c r="P1567" s="75"/>
    </row>
    <row r="1568" spans="1:16">
      <c r="A1568" s="80">
        <v>40654</v>
      </c>
      <c r="B1568">
        <v>49</v>
      </c>
      <c r="P1568" s="75"/>
    </row>
    <row r="1569" spans="1:16">
      <c r="A1569" s="80">
        <v>40653</v>
      </c>
      <c r="B1569">
        <v>49.4</v>
      </c>
      <c r="P1569" s="75"/>
    </row>
    <row r="1570" spans="1:16">
      <c r="A1570" s="80">
        <v>40652</v>
      </c>
      <c r="B1570">
        <v>49.45</v>
      </c>
      <c r="P1570" s="75"/>
    </row>
    <row r="1571" spans="1:16">
      <c r="A1571" s="80">
        <v>40651</v>
      </c>
      <c r="B1571">
        <v>50.55</v>
      </c>
      <c r="P1571" s="75"/>
    </row>
    <row r="1572" spans="1:16">
      <c r="A1572" s="80">
        <v>40645</v>
      </c>
      <c r="B1572">
        <v>50.1</v>
      </c>
      <c r="P1572" s="75"/>
    </row>
    <row r="1573" spans="1:16">
      <c r="A1573" s="80">
        <v>40644</v>
      </c>
      <c r="B1573">
        <v>48.3</v>
      </c>
      <c r="P1573" s="75"/>
    </row>
    <row r="1574" spans="1:16">
      <c r="A1574" s="80">
        <v>40641</v>
      </c>
      <c r="B1574">
        <v>48.05</v>
      </c>
      <c r="P1574" s="75"/>
    </row>
    <row r="1575" spans="1:16">
      <c r="A1575" s="80">
        <v>40640</v>
      </c>
      <c r="B1575">
        <v>48.5</v>
      </c>
      <c r="P1575" s="75"/>
    </row>
    <row r="1576" spans="1:16">
      <c r="A1576" s="80">
        <v>40639</v>
      </c>
      <c r="B1576">
        <v>47.75</v>
      </c>
      <c r="P1576" s="75"/>
    </row>
    <row r="1577" spans="1:16">
      <c r="A1577" s="80">
        <v>40638</v>
      </c>
      <c r="B1577">
        <v>48.65</v>
      </c>
      <c r="P1577" s="75"/>
    </row>
    <row r="1578" spans="1:16">
      <c r="A1578" s="80">
        <v>40637</v>
      </c>
      <c r="B1578">
        <v>48</v>
      </c>
      <c r="P1578" s="75"/>
    </row>
    <row r="1579" spans="1:16">
      <c r="A1579" s="80">
        <v>40634</v>
      </c>
      <c r="B1579">
        <v>47.3</v>
      </c>
      <c r="P1579" s="75"/>
    </row>
    <row r="1580" spans="1:16">
      <c r="A1580" s="158">
        <v>40633</v>
      </c>
      <c r="B1580" s="156">
        <v>47</v>
      </c>
      <c r="P1580" s="75"/>
    </row>
    <row r="1581" spans="1:16">
      <c r="A1581" s="80">
        <v>40632</v>
      </c>
      <c r="B1581">
        <v>47.25</v>
      </c>
      <c r="P1581" s="75"/>
    </row>
    <row r="1582" spans="1:16">
      <c r="A1582" s="80">
        <v>40631</v>
      </c>
      <c r="B1582">
        <v>47.25</v>
      </c>
      <c r="P1582" s="75"/>
    </row>
    <row r="1583" spans="1:16">
      <c r="A1583" s="80">
        <v>40630</v>
      </c>
      <c r="B1583">
        <v>47.1</v>
      </c>
      <c r="P1583" s="75"/>
    </row>
    <row r="1584" spans="1:16">
      <c r="A1584" s="80">
        <v>40627</v>
      </c>
      <c r="B1584">
        <v>47.4</v>
      </c>
      <c r="P1584" s="75"/>
    </row>
    <row r="1585" spans="1:16">
      <c r="A1585" s="80">
        <v>40626</v>
      </c>
      <c r="B1585">
        <v>46.2</v>
      </c>
      <c r="P1585" s="75"/>
    </row>
    <row r="1586" spans="1:16">
      <c r="A1586" s="80">
        <v>40625</v>
      </c>
      <c r="B1586">
        <v>44.5</v>
      </c>
      <c r="P1586" s="75"/>
    </row>
    <row r="1587" spans="1:16">
      <c r="A1587" s="80">
        <v>40624</v>
      </c>
      <c r="B1587">
        <v>45</v>
      </c>
      <c r="P1587" s="75"/>
    </row>
    <row r="1588" spans="1:16">
      <c r="A1588" s="80">
        <v>40623</v>
      </c>
      <c r="B1588">
        <v>44.5</v>
      </c>
      <c r="P1588" s="75"/>
    </row>
    <row r="1589" spans="1:16">
      <c r="A1589" s="80">
        <v>40620</v>
      </c>
      <c r="B1589">
        <v>44.1</v>
      </c>
      <c r="P1589" s="75"/>
    </row>
    <row r="1590" spans="1:16">
      <c r="A1590" s="80">
        <v>40619</v>
      </c>
      <c r="B1590">
        <v>44.9</v>
      </c>
      <c r="P1590" s="75"/>
    </row>
    <row r="1591" spans="1:16">
      <c r="A1591" s="80">
        <v>40618</v>
      </c>
      <c r="B1591">
        <v>44.85</v>
      </c>
      <c r="P1591" s="75"/>
    </row>
    <row r="1592" spans="1:16">
      <c r="A1592" s="80">
        <v>40617</v>
      </c>
      <c r="B1592">
        <v>44.1</v>
      </c>
      <c r="P1592" s="75"/>
    </row>
    <row r="1593" spans="1:16">
      <c r="A1593" s="80">
        <v>40616</v>
      </c>
      <c r="B1593">
        <v>44.1</v>
      </c>
      <c r="P1593" s="75"/>
    </row>
    <row r="1594" spans="1:16">
      <c r="A1594" s="80">
        <v>40613</v>
      </c>
      <c r="B1594">
        <v>44.05</v>
      </c>
      <c r="P1594" s="75"/>
    </row>
    <row r="1595" spans="1:16">
      <c r="A1595" s="80">
        <v>40612</v>
      </c>
      <c r="B1595">
        <v>44.95</v>
      </c>
      <c r="P1595" s="75"/>
    </row>
    <row r="1596" spans="1:16">
      <c r="A1596" s="80">
        <v>40611</v>
      </c>
      <c r="B1596">
        <v>44.25</v>
      </c>
      <c r="P1596" s="75"/>
    </row>
    <row r="1597" spans="1:16">
      <c r="A1597" s="80">
        <v>40610</v>
      </c>
      <c r="B1597">
        <v>44.75</v>
      </c>
      <c r="P1597" s="75"/>
    </row>
    <row r="1598" spans="1:16">
      <c r="A1598" s="80">
        <v>40609</v>
      </c>
      <c r="B1598">
        <v>44.5</v>
      </c>
      <c r="P1598" s="75"/>
    </row>
    <row r="1599" spans="1:16">
      <c r="A1599" s="80">
        <v>40606</v>
      </c>
      <c r="B1599">
        <v>45</v>
      </c>
      <c r="P1599" s="75"/>
    </row>
    <row r="1600" spans="1:16">
      <c r="A1600" s="80">
        <v>40605</v>
      </c>
      <c r="B1600">
        <v>43.55</v>
      </c>
      <c r="P1600" s="75"/>
    </row>
    <row r="1601" spans="1:16">
      <c r="A1601" s="80">
        <v>40603</v>
      </c>
      <c r="B1601">
        <v>46.1</v>
      </c>
      <c r="P1601" s="75"/>
    </row>
    <row r="1602" spans="1:16">
      <c r="A1602" s="80">
        <v>40602</v>
      </c>
      <c r="B1602">
        <v>46.85</v>
      </c>
      <c r="P1602" s="75"/>
    </row>
    <row r="1603" spans="1:16">
      <c r="A1603" s="80">
        <v>40599</v>
      </c>
      <c r="B1603">
        <v>46.7</v>
      </c>
      <c r="P1603" s="75"/>
    </row>
    <row r="1604" spans="1:16">
      <c r="A1604" s="80">
        <v>40598</v>
      </c>
      <c r="B1604">
        <v>46.5</v>
      </c>
      <c r="P1604" s="75"/>
    </row>
    <row r="1605" spans="1:16">
      <c r="A1605" s="80">
        <v>40597</v>
      </c>
      <c r="B1605">
        <v>47</v>
      </c>
      <c r="P1605" s="75"/>
    </row>
    <row r="1606" spans="1:16">
      <c r="A1606" s="80">
        <v>40596</v>
      </c>
      <c r="B1606">
        <v>46.75</v>
      </c>
      <c r="P1606" s="75"/>
    </row>
    <row r="1607" spans="1:16">
      <c r="A1607" s="80">
        <v>40595</v>
      </c>
      <c r="B1607">
        <v>47.65</v>
      </c>
      <c r="P1607" s="75"/>
    </row>
    <row r="1608" spans="1:16">
      <c r="A1608" s="80">
        <v>40592</v>
      </c>
      <c r="B1608">
        <v>45.8</v>
      </c>
      <c r="P1608" s="75"/>
    </row>
    <row r="1609" spans="1:16">
      <c r="A1609" s="80">
        <v>40589</v>
      </c>
      <c r="B1609">
        <v>44.35</v>
      </c>
      <c r="P1609" s="75"/>
    </row>
    <row r="1610" spans="1:16">
      <c r="A1610" s="80">
        <v>40588</v>
      </c>
      <c r="B1610">
        <v>44</v>
      </c>
      <c r="P1610" s="75"/>
    </row>
    <row r="1611" spans="1:16">
      <c r="A1611" s="80">
        <v>40585</v>
      </c>
      <c r="B1611">
        <v>44</v>
      </c>
      <c r="P1611" s="75"/>
    </row>
    <row r="1612" spans="1:16">
      <c r="A1612" s="80">
        <v>40584</v>
      </c>
      <c r="B1612">
        <v>43.95</v>
      </c>
      <c r="P1612" s="75"/>
    </row>
    <row r="1613" spans="1:16">
      <c r="A1613" s="80">
        <v>40583</v>
      </c>
      <c r="B1613">
        <v>44.15</v>
      </c>
      <c r="P1613" s="75"/>
    </row>
    <row r="1614" spans="1:16">
      <c r="A1614" s="80">
        <v>40582</v>
      </c>
      <c r="B1614">
        <v>44.75</v>
      </c>
      <c r="P1614" s="75"/>
    </row>
    <row r="1615" spans="1:16">
      <c r="A1615" s="80">
        <v>40581</v>
      </c>
      <c r="B1615">
        <v>44.45</v>
      </c>
      <c r="P1615" s="75"/>
    </row>
    <row r="1616" spans="1:16">
      <c r="A1616" s="80">
        <v>40577</v>
      </c>
      <c r="B1616">
        <v>44</v>
      </c>
      <c r="P1616" s="75"/>
    </row>
    <row r="1617" spans="1:16">
      <c r="A1617" s="80">
        <v>40576</v>
      </c>
      <c r="B1617">
        <v>44.25</v>
      </c>
      <c r="P1617" s="75"/>
    </row>
    <row r="1618" spans="1:16">
      <c r="A1618" s="80">
        <v>40575</v>
      </c>
      <c r="B1618">
        <v>44.75</v>
      </c>
      <c r="P1618" s="75"/>
    </row>
    <row r="1619" spans="1:16">
      <c r="A1619" s="80">
        <v>40574</v>
      </c>
      <c r="B1619">
        <v>44.85</v>
      </c>
      <c r="P1619" s="75"/>
    </row>
    <row r="1620" spans="1:16">
      <c r="A1620" s="80">
        <v>40571</v>
      </c>
      <c r="B1620">
        <v>44.35</v>
      </c>
      <c r="P1620" s="75"/>
    </row>
    <row r="1621" spans="1:16">
      <c r="A1621" s="80">
        <v>40570</v>
      </c>
      <c r="B1621">
        <v>44.75</v>
      </c>
      <c r="P1621" s="75"/>
    </row>
    <row r="1622" spans="1:16">
      <c r="A1622" s="80">
        <v>40569</v>
      </c>
      <c r="B1622">
        <v>45.05</v>
      </c>
      <c r="P1622" s="75"/>
    </row>
    <row r="1623" spans="1:16">
      <c r="A1623" s="80">
        <v>40568</v>
      </c>
      <c r="B1623">
        <v>45.05</v>
      </c>
      <c r="P1623" s="75"/>
    </row>
    <row r="1624" spans="1:16">
      <c r="A1624" s="80">
        <v>40567</v>
      </c>
      <c r="B1624">
        <v>45.05</v>
      </c>
      <c r="P1624" s="75"/>
    </row>
    <row r="1625" spans="1:16">
      <c r="A1625" s="80">
        <v>40564</v>
      </c>
      <c r="B1625">
        <v>45.7</v>
      </c>
      <c r="P1625" s="75"/>
    </row>
    <row r="1626" spans="1:16">
      <c r="A1626" s="80">
        <v>40563</v>
      </c>
      <c r="B1626">
        <v>44.2</v>
      </c>
      <c r="P1626" s="75"/>
    </row>
    <row r="1627" spans="1:16">
      <c r="A1627" s="80">
        <v>40561</v>
      </c>
      <c r="B1627">
        <v>45.1</v>
      </c>
      <c r="P1627" s="75"/>
    </row>
    <row r="1628" spans="1:16">
      <c r="A1628" s="80">
        <v>40560</v>
      </c>
      <c r="B1628">
        <v>44.5</v>
      </c>
      <c r="P1628" s="75"/>
    </row>
    <row r="1629" spans="1:16">
      <c r="A1629" s="80">
        <v>40557</v>
      </c>
      <c r="B1629">
        <v>45.05</v>
      </c>
      <c r="P1629" s="75"/>
    </row>
    <row r="1630" spans="1:16">
      <c r="A1630" s="80">
        <v>40556</v>
      </c>
      <c r="B1630">
        <v>45</v>
      </c>
      <c r="P1630" s="75"/>
    </row>
    <row r="1631" spans="1:16">
      <c r="A1631" s="80">
        <v>40555</v>
      </c>
      <c r="B1631">
        <v>45</v>
      </c>
      <c r="P1631" s="75"/>
    </row>
    <row r="1632" spans="1:16">
      <c r="A1632" s="80">
        <v>40554</v>
      </c>
      <c r="B1632">
        <v>44.95</v>
      </c>
      <c r="P1632" s="75"/>
    </row>
    <row r="1633" spans="1:16">
      <c r="A1633" s="80">
        <v>40553</v>
      </c>
      <c r="B1633">
        <v>44.9</v>
      </c>
      <c r="P1633" s="75"/>
    </row>
    <row r="1634" spans="1:16">
      <c r="A1634" s="80">
        <v>40550</v>
      </c>
      <c r="B1634">
        <v>45</v>
      </c>
      <c r="P1634" s="75"/>
    </row>
    <row r="1635" spans="1:16">
      <c r="A1635" s="80">
        <v>40549</v>
      </c>
      <c r="B1635">
        <v>45</v>
      </c>
      <c r="P1635" s="75"/>
    </row>
    <row r="1636" spans="1:16">
      <c r="A1636" s="80">
        <v>40548</v>
      </c>
      <c r="B1636">
        <v>45</v>
      </c>
      <c r="P1636" s="75"/>
    </row>
    <row r="1637" spans="1:16">
      <c r="A1637" s="80">
        <v>40547</v>
      </c>
      <c r="B1637">
        <v>45.3</v>
      </c>
      <c r="P1637" s="75"/>
    </row>
    <row r="1638" spans="1:16">
      <c r="A1638" s="80">
        <v>40546</v>
      </c>
      <c r="B1638">
        <v>43</v>
      </c>
      <c r="P1638" s="75"/>
    </row>
    <row r="1639" spans="1:16">
      <c r="A1639" s="80">
        <v>40543</v>
      </c>
      <c r="B1639">
        <v>42.55</v>
      </c>
      <c r="P1639" s="75"/>
    </row>
    <row r="1640" spans="1:16">
      <c r="A1640" s="80">
        <v>40542</v>
      </c>
      <c r="B1640">
        <v>42.55</v>
      </c>
      <c r="P1640" s="75"/>
    </row>
    <row r="1641" spans="1:16">
      <c r="A1641" s="80">
        <v>40541</v>
      </c>
      <c r="B1641">
        <v>42.5</v>
      </c>
      <c r="P1641" s="75"/>
    </row>
    <row r="1642" spans="1:16">
      <c r="A1642" s="80">
        <v>40540</v>
      </c>
      <c r="B1642">
        <v>42.5</v>
      </c>
      <c r="P1642" s="75"/>
    </row>
    <row r="1643" spans="1:16">
      <c r="A1643" s="80">
        <v>40539</v>
      </c>
      <c r="B1643">
        <v>42.5</v>
      </c>
      <c r="P1643" s="75"/>
    </row>
    <row r="1644" spans="1:16">
      <c r="A1644" s="80">
        <v>40536</v>
      </c>
      <c r="B1644">
        <v>43.2</v>
      </c>
      <c r="P1644" s="75"/>
    </row>
    <row r="1645" spans="1:16">
      <c r="A1645" s="80">
        <v>40535</v>
      </c>
      <c r="B1645">
        <v>41.75</v>
      </c>
      <c r="P1645" s="75"/>
    </row>
    <row r="1646" spans="1:16">
      <c r="A1646" s="80">
        <v>40534</v>
      </c>
      <c r="B1646">
        <v>41.4</v>
      </c>
      <c r="P1646" s="75"/>
    </row>
    <row r="1647" spans="1:16">
      <c r="A1647" s="80">
        <v>40533</v>
      </c>
      <c r="B1647">
        <v>40.15</v>
      </c>
      <c r="P1647" s="75"/>
    </row>
    <row r="1648" spans="1:16">
      <c r="A1648" s="80">
        <v>40529</v>
      </c>
      <c r="B1648">
        <v>40.25</v>
      </c>
      <c r="P1648" s="75"/>
    </row>
    <row r="1649" spans="1:16">
      <c r="A1649" s="80">
        <v>40528</v>
      </c>
      <c r="B1649">
        <v>40.1</v>
      </c>
      <c r="P1649" s="75"/>
    </row>
    <row r="1650" spans="1:16">
      <c r="A1650" s="80">
        <v>40527</v>
      </c>
      <c r="B1650">
        <v>41</v>
      </c>
      <c r="P1650" s="75"/>
    </row>
    <row r="1651" spans="1:16">
      <c r="A1651" s="80">
        <v>40526</v>
      </c>
      <c r="B1651">
        <v>40.299999999999997</v>
      </c>
      <c r="P1651" s="75"/>
    </row>
    <row r="1652" spans="1:16">
      <c r="A1652" s="80">
        <v>40525</v>
      </c>
      <c r="B1652">
        <v>41.25</v>
      </c>
      <c r="P1652" s="75"/>
    </row>
    <row r="1653" spans="1:16">
      <c r="A1653" s="80">
        <v>40522</v>
      </c>
      <c r="B1653">
        <v>41.6</v>
      </c>
      <c r="P1653" s="75"/>
    </row>
    <row r="1654" spans="1:16">
      <c r="A1654" s="80">
        <v>40521</v>
      </c>
      <c r="B1654">
        <v>40.5</v>
      </c>
      <c r="P1654" s="75"/>
    </row>
    <row r="1655" spans="1:16">
      <c r="A1655" s="80">
        <v>40520</v>
      </c>
      <c r="B1655">
        <v>40.75</v>
      </c>
      <c r="P1655" s="75"/>
    </row>
    <row r="1656" spans="1:16">
      <c r="A1656" s="80">
        <v>40519</v>
      </c>
      <c r="B1656">
        <v>40.549999999999997</v>
      </c>
      <c r="P1656" s="75"/>
    </row>
    <row r="1657" spans="1:16">
      <c r="A1657" s="80">
        <v>40518</v>
      </c>
      <c r="B1657">
        <v>41.6</v>
      </c>
      <c r="P1657" s="75"/>
    </row>
    <row r="1658" spans="1:16">
      <c r="A1658" s="80">
        <v>40515</v>
      </c>
      <c r="B1658">
        <v>42.5</v>
      </c>
      <c r="P1658" s="75"/>
    </row>
    <row r="1659" spans="1:16">
      <c r="A1659" s="80">
        <v>40514</v>
      </c>
      <c r="B1659">
        <v>42.5</v>
      </c>
      <c r="P1659" s="75"/>
    </row>
    <row r="1660" spans="1:16">
      <c r="A1660" s="80">
        <v>40513</v>
      </c>
      <c r="B1660">
        <v>43</v>
      </c>
      <c r="P1660" s="75"/>
    </row>
    <row r="1661" spans="1:16">
      <c r="A1661" s="80">
        <v>40512</v>
      </c>
      <c r="B1661">
        <v>41.5</v>
      </c>
      <c r="P1661" s="75"/>
    </row>
    <row r="1662" spans="1:16">
      <c r="A1662" s="80">
        <v>40511</v>
      </c>
      <c r="B1662">
        <v>40.299999999999997</v>
      </c>
      <c r="P1662" s="75"/>
    </row>
    <row r="1663" spans="1:16">
      <c r="A1663" s="80">
        <v>40508</v>
      </c>
      <c r="B1663">
        <v>42</v>
      </c>
      <c r="P1663" s="75"/>
    </row>
    <row r="1664" spans="1:16">
      <c r="A1664" s="80">
        <v>40507</v>
      </c>
      <c r="B1664">
        <v>42.25</v>
      </c>
      <c r="P1664" s="75"/>
    </row>
    <row r="1665" spans="1:16">
      <c r="A1665" s="80">
        <v>40506</v>
      </c>
      <c r="B1665">
        <v>42.5</v>
      </c>
      <c r="P1665" s="75"/>
    </row>
    <row r="1666" spans="1:16">
      <c r="A1666" s="80">
        <v>40505</v>
      </c>
      <c r="B1666">
        <v>42.5</v>
      </c>
      <c r="P1666" s="75"/>
    </row>
    <row r="1667" spans="1:16">
      <c r="A1667" s="80">
        <v>40504</v>
      </c>
      <c r="B1667">
        <v>43</v>
      </c>
      <c r="P1667" s="75"/>
    </row>
    <row r="1668" spans="1:16">
      <c r="A1668" s="80">
        <v>40500</v>
      </c>
      <c r="B1668">
        <v>44</v>
      </c>
      <c r="P1668" s="75"/>
    </row>
    <row r="1669" spans="1:16">
      <c r="A1669" s="80">
        <v>40498</v>
      </c>
      <c r="B1669">
        <v>42.6</v>
      </c>
      <c r="P1669" s="75"/>
    </row>
    <row r="1670" spans="1:16">
      <c r="A1670" s="80">
        <v>40497</v>
      </c>
      <c r="B1670">
        <v>43.3</v>
      </c>
      <c r="P1670" s="75"/>
    </row>
    <row r="1671" spans="1:16">
      <c r="A1671" s="80">
        <v>40494</v>
      </c>
      <c r="B1671">
        <v>44</v>
      </c>
      <c r="P1671" s="75"/>
    </row>
    <row r="1672" spans="1:16">
      <c r="A1672" s="80">
        <v>40493</v>
      </c>
      <c r="B1672">
        <v>43.9</v>
      </c>
      <c r="P1672" s="75"/>
    </row>
    <row r="1673" spans="1:16">
      <c r="A1673" s="80">
        <v>40492</v>
      </c>
      <c r="B1673">
        <v>43.9</v>
      </c>
      <c r="P1673" s="75"/>
    </row>
    <row r="1674" spans="1:16">
      <c r="A1674" s="80">
        <v>40491</v>
      </c>
      <c r="B1674">
        <v>44</v>
      </c>
      <c r="P1674" s="75"/>
    </row>
    <row r="1675" spans="1:16">
      <c r="A1675" s="80">
        <v>40490</v>
      </c>
      <c r="B1675">
        <v>44.35</v>
      </c>
      <c r="P1675" s="75"/>
    </row>
    <row r="1676" spans="1:16">
      <c r="A1676" s="80">
        <v>40486</v>
      </c>
      <c r="B1676">
        <v>44</v>
      </c>
      <c r="P1676" s="75"/>
    </row>
    <row r="1677" spans="1:16">
      <c r="A1677" s="80">
        <v>40485</v>
      </c>
      <c r="B1677">
        <v>45</v>
      </c>
      <c r="P1677" s="75"/>
    </row>
    <row r="1678" spans="1:16">
      <c r="A1678" s="80">
        <v>40484</v>
      </c>
      <c r="B1678">
        <v>44.95</v>
      </c>
      <c r="P1678" s="75"/>
    </row>
    <row r="1679" spans="1:16">
      <c r="A1679" s="80">
        <v>40483</v>
      </c>
      <c r="B1679">
        <v>44.95</v>
      </c>
      <c r="P1679" s="75"/>
    </row>
    <row r="1680" spans="1:16">
      <c r="A1680" s="80">
        <v>40480</v>
      </c>
      <c r="B1680">
        <v>44.3</v>
      </c>
      <c r="P1680" s="75"/>
    </row>
    <row r="1681" spans="1:16">
      <c r="A1681" s="80">
        <v>40479</v>
      </c>
      <c r="B1681">
        <v>43.55</v>
      </c>
      <c r="P1681" s="75"/>
    </row>
    <row r="1682" spans="1:16">
      <c r="A1682" s="80">
        <v>40478</v>
      </c>
      <c r="B1682">
        <v>43.5</v>
      </c>
      <c r="P1682" s="75"/>
    </row>
    <row r="1683" spans="1:16">
      <c r="A1683" s="80">
        <v>40477</v>
      </c>
      <c r="B1683">
        <v>44</v>
      </c>
      <c r="P1683" s="75"/>
    </row>
    <row r="1684" spans="1:16">
      <c r="A1684" s="80">
        <v>40476</v>
      </c>
      <c r="B1684">
        <v>45.2</v>
      </c>
      <c r="P1684" s="75"/>
    </row>
    <row r="1685" spans="1:16">
      <c r="A1685" s="80">
        <v>40472</v>
      </c>
      <c r="B1685">
        <v>44.65</v>
      </c>
      <c r="P1685" s="75"/>
    </row>
    <row r="1686" spans="1:16">
      <c r="A1686" s="80">
        <v>40471</v>
      </c>
      <c r="B1686">
        <v>44.9</v>
      </c>
      <c r="P1686" s="75"/>
    </row>
    <row r="1687" spans="1:16">
      <c r="A1687" s="80">
        <v>40470</v>
      </c>
      <c r="B1687">
        <v>46</v>
      </c>
      <c r="P1687" s="75"/>
    </row>
    <row r="1688" spans="1:16">
      <c r="A1688" s="80">
        <v>40469</v>
      </c>
      <c r="B1688">
        <v>44.35</v>
      </c>
      <c r="P1688" s="75"/>
    </row>
    <row r="1689" spans="1:16">
      <c r="A1689" s="80">
        <v>40466</v>
      </c>
      <c r="B1689">
        <v>44.5</v>
      </c>
      <c r="P1689" s="75"/>
    </row>
    <row r="1690" spans="1:16">
      <c r="A1690" s="80">
        <v>40465</v>
      </c>
      <c r="B1690">
        <v>45</v>
      </c>
      <c r="P1690" s="75"/>
    </row>
    <row r="1691" spans="1:16">
      <c r="A1691" s="80">
        <v>40464</v>
      </c>
      <c r="B1691">
        <v>45</v>
      </c>
      <c r="P1691" s="75"/>
    </row>
    <row r="1692" spans="1:16">
      <c r="A1692" s="80">
        <v>40463</v>
      </c>
      <c r="B1692">
        <v>44.65</v>
      </c>
      <c r="P1692" s="75"/>
    </row>
    <row r="1693" spans="1:16">
      <c r="A1693" s="80">
        <v>40462</v>
      </c>
      <c r="B1693">
        <v>46.5</v>
      </c>
      <c r="P1693" s="75"/>
    </row>
    <row r="1694" spans="1:16">
      <c r="A1694" s="80">
        <v>40459</v>
      </c>
      <c r="B1694">
        <v>47</v>
      </c>
      <c r="P1694" s="75"/>
    </row>
    <row r="1695" spans="1:16">
      <c r="A1695" s="80">
        <v>40458</v>
      </c>
      <c r="B1695">
        <v>46.3</v>
      </c>
      <c r="P1695" s="75"/>
    </row>
    <row r="1696" spans="1:16">
      <c r="A1696" s="80">
        <v>40457</v>
      </c>
      <c r="B1696">
        <v>47.2</v>
      </c>
      <c r="P1696" s="75"/>
    </row>
    <row r="1697" spans="1:16">
      <c r="A1697" s="80">
        <v>40456</v>
      </c>
      <c r="B1697">
        <v>47.8</v>
      </c>
      <c r="P1697" s="75"/>
    </row>
    <row r="1698" spans="1:16">
      <c r="A1698" s="80">
        <v>40455</v>
      </c>
      <c r="B1698">
        <v>49</v>
      </c>
      <c r="P1698" s="75"/>
    </row>
    <row r="1699" spans="1:16">
      <c r="A1699" s="80">
        <v>40452</v>
      </c>
      <c r="B1699">
        <v>49</v>
      </c>
      <c r="P1699" s="75"/>
    </row>
    <row r="1700" spans="1:16">
      <c r="A1700" s="80">
        <v>40451</v>
      </c>
      <c r="B1700">
        <v>49.85</v>
      </c>
      <c r="P1700" s="75"/>
    </row>
    <row r="1701" spans="1:16">
      <c r="A1701" s="80">
        <v>40450</v>
      </c>
      <c r="B1701">
        <v>49.5</v>
      </c>
      <c r="P1701" s="75"/>
    </row>
    <row r="1702" spans="1:16">
      <c r="A1702" s="80">
        <v>40449</v>
      </c>
      <c r="B1702">
        <v>49.9</v>
      </c>
      <c r="P1702" s="75"/>
    </row>
    <row r="1703" spans="1:16">
      <c r="A1703" s="80">
        <v>40448</v>
      </c>
      <c r="B1703">
        <v>49.85</v>
      </c>
      <c r="P1703" s="75"/>
    </row>
    <row r="1704" spans="1:16">
      <c r="A1704" s="80">
        <v>40445</v>
      </c>
      <c r="B1704">
        <v>50.6</v>
      </c>
      <c r="P1704" s="75"/>
    </row>
    <row r="1705" spans="1:16">
      <c r="A1705" s="80">
        <v>40444</v>
      </c>
      <c r="B1705">
        <v>50.9</v>
      </c>
      <c r="P1705" s="75"/>
    </row>
    <row r="1706" spans="1:16">
      <c r="A1706" s="80">
        <v>40442</v>
      </c>
      <c r="B1706">
        <v>52.35</v>
      </c>
      <c r="P1706" s="75"/>
    </row>
    <row r="1707" spans="1:16">
      <c r="A1707" s="80">
        <v>40441</v>
      </c>
      <c r="B1707">
        <v>49.4</v>
      </c>
      <c r="P1707" s="75"/>
    </row>
    <row r="1708" spans="1:16">
      <c r="A1708" s="80">
        <v>40438</v>
      </c>
      <c r="B1708">
        <v>51.1</v>
      </c>
      <c r="P1708" s="75"/>
    </row>
    <row r="1709" spans="1:16">
      <c r="A1709" s="80">
        <v>40437</v>
      </c>
      <c r="B1709">
        <v>50.75</v>
      </c>
      <c r="P1709" s="75"/>
    </row>
    <row r="1710" spans="1:16">
      <c r="A1710" s="80">
        <v>40436</v>
      </c>
      <c r="B1710">
        <v>47.9</v>
      </c>
      <c r="P1710" s="75"/>
    </row>
    <row r="1711" spans="1:16">
      <c r="A1711" s="80">
        <v>40435</v>
      </c>
      <c r="B1711">
        <v>46.8</v>
      </c>
      <c r="P1711" s="75"/>
    </row>
    <row r="1712" spans="1:16">
      <c r="A1712" s="80">
        <v>40434</v>
      </c>
      <c r="B1712">
        <v>47.5</v>
      </c>
      <c r="P1712" s="75"/>
    </row>
    <row r="1713" spans="1:16">
      <c r="A1713" s="80">
        <v>40430</v>
      </c>
      <c r="B1713">
        <v>47.95</v>
      </c>
      <c r="P1713" s="75"/>
    </row>
    <row r="1714" spans="1:16">
      <c r="A1714" s="80">
        <v>40429</v>
      </c>
      <c r="B1714">
        <v>46.65</v>
      </c>
      <c r="P1714" s="75"/>
    </row>
    <row r="1715" spans="1:16">
      <c r="A1715" s="80">
        <v>40428</v>
      </c>
      <c r="B1715">
        <v>46.65</v>
      </c>
      <c r="P1715" s="75"/>
    </row>
    <row r="1716" spans="1:16">
      <c r="A1716" s="80">
        <v>40427</v>
      </c>
      <c r="B1716">
        <v>46.5</v>
      </c>
      <c r="P1716" s="75"/>
    </row>
    <row r="1717" spans="1:16">
      <c r="A1717" s="80">
        <v>40424</v>
      </c>
      <c r="B1717">
        <v>46.15</v>
      </c>
      <c r="P1717" s="75"/>
    </row>
    <row r="1718" spans="1:16">
      <c r="A1718" s="80">
        <v>40423</v>
      </c>
      <c r="B1718">
        <v>45.45</v>
      </c>
      <c r="P1718" s="75"/>
    </row>
    <row r="1719" spans="1:16">
      <c r="A1719" s="80">
        <v>40422</v>
      </c>
      <c r="B1719">
        <v>45.15</v>
      </c>
      <c r="P1719" s="75"/>
    </row>
    <row r="1720" spans="1:16">
      <c r="A1720" s="80">
        <v>40421</v>
      </c>
      <c r="B1720">
        <v>45.35</v>
      </c>
      <c r="P1720" s="75"/>
    </row>
    <row r="1721" spans="1:16">
      <c r="A1721" s="80">
        <v>40420</v>
      </c>
      <c r="B1721">
        <v>45.45</v>
      </c>
      <c r="P1721" s="75"/>
    </row>
    <row r="1722" spans="1:16">
      <c r="A1722" s="80">
        <v>40417</v>
      </c>
      <c r="B1722">
        <v>45.3</v>
      </c>
      <c r="P1722" s="75"/>
    </row>
    <row r="1723" spans="1:16">
      <c r="A1723" s="80">
        <v>40416</v>
      </c>
      <c r="B1723">
        <v>45.4</v>
      </c>
      <c r="P1723" s="75"/>
    </row>
    <row r="1724" spans="1:16">
      <c r="A1724" s="80">
        <v>40415</v>
      </c>
      <c r="B1724">
        <v>45.6</v>
      </c>
      <c r="P1724" s="75"/>
    </row>
    <row r="1725" spans="1:16">
      <c r="A1725" s="80">
        <v>40413</v>
      </c>
      <c r="B1725">
        <v>45.85</v>
      </c>
      <c r="P1725" s="75"/>
    </row>
    <row r="1726" spans="1:16">
      <c r="A1726" s="80">
        <v>40410</v>
      </c>
      <c r="B1726">
        <v>45.6</v>
      </c>
      <c r="P1726" s="75"/>
    </row>
    <row r="1727" spans="1:16">
      <c r="A1727" s="80">
        <v>40409</v>
      </c>
      <c r="B1727">
        <v>46.3</v>
      </c>
      <c r="P1727" s="75"/>
    </row>
    <row r="1728" spans="1:16">
      <c r="A1728" s="80">
        <v>40408</v>
      </c>
      <c r="B1728">
        <v>45.55</v>
      </c>
      <c r="P1728" s="75"/>
    </row>
    <row r="1729" spans="1:16">
      <c r="A1729" s="80">
        <v>40407</v>
      </c>
      <c r="B1729">
        <v>45.5</v>
      </c>
      <c r="P1729" s="75"/>
    </row>
    <row r="1730" spans="1:16">
      <c r="A1730" s="80">
        <v>40406</v>
      </c>
      <c r="B1730">
        <v>45.5</v>
      </c>
      <c r="P1730" s="75"/>
    </row>
    <row r="1731" spans="1:16">
      <c r="A1731" s="80">
        <v>40403</v>
      </c>
      <c r="B1731">
        <v>46.25</v>
      </c>
      <c r="P1731" s="75"/>
    </row>
    <row r="1732" spans="1:16">
      <c r="A1732" s="80">
        <v>40402</v>
      </c>
      <c r="B1732">
        <v>45</v>
      </c>
      <c r="P1732" s="75"/>
    </row>
    <row r="1733" spans="1:16">
      <c r="A1733" s="80">
        <v>40401</v>
      </c>
      <c r="B1733">
        <v>45.25</v>
      </c>
      <c r="P1733" s="75"/>
    </row>
    <row r="1734" spans="1:16">
      <c r="A1734" s="80">
        <v>40400</v>
      </c>
      <c r="B1734">
        <v>46.55</v>
      </c>
      <c r="P1734" s="75"/>
    </row>
    <row r="1735" spans="1:16">
      <c r="A1735" s="80">
        <v>40399</v>
      </c>
      <c r="B1735">
        <v>44.05</v>
      </c>
      <c r="P1735" s="75"/>
    </row>
    <row r="1736" spans="1:16">
      <c r="A1736" s="80">
        <v>40396</v>
      </c>
      <c r="B1736">
        <v>45.05</v>
      </c>
      <c r="P1736" s="75"/>
    </row>
    <row r="1737" spans="1:16">
      <c r="A1737" s="80">
        <v>40395</v>
      </c>
      <c r="B1737">
        <v>45.3</v>
      </c>
      <c r="P1737" s="75"/>
    </row>
    <row r="1738" spans="1:16">
      <c r="A1738" s="80">
        <v>40394</v>
      </c>
      <c r="B1738">
        <v>46.1</v>
      </c>
      <c r="P1738" s="75"/>
    </row>
    <row r="1739" spans="1:16">
      <c r="A1739" s="80">
        <v>40393</v>
      </c>
      <c r="B1739">
        <v>46.7</v>
      </c>
      <c r="P1739" s="75"/>
    </row>
    <row r="1740" spans="1:16">
      <c r="A1740" s="80">
        <v>40392</v>
      </c>
      <c r="B1740">
        <v>47.1</v>
      </c>
      <c r="P1740" s="75"/>
    </row>
    <row r="1741" spans="1:16">
      <c r="A1741" s="80">
        <v>40389</v>
      </c>
      <c r="B1741">
        <v>47</v>
      </c>
      <c r="P1741" s="75"/>
    </row>
    <row r="1742" spans="1:16">
      <c r="A1742" s="80">
        <v>40388</v>
      </c>
      <c r="B1742">
        <v>46.75</v>
      </c>
      <c r="P1742" s="75"/>
    </row>
    <row r="1743" spans="1:16">
      <c r="A1743" s="80">
        <v>40387</v>
      </c>
      <c r="B1743">
        <v>47.5</v>
      </c>
      <c r="P1743" s="75"/>
    </row>
    <row r="1744" spans="1:16">
      <c r="A1744" s="80">
        <v>40386</v>
      </c>
      <c r="B1744">
        <v>47</v>
      </c>
      <c r="P1744" s="75"/>
    </row>
    <row r="1745" spans="1:16">
      <c r="A1745" s="80">
        <v>40385</v>
      </c>
      <c r="B1745">
        <v>46.25</v>
      </c>
      <c r="P1745" s="75"/>
    </row>
    <row r="1746" spans="1:16">
      <c r="A1746" s="80">
        <v>40382</v>
      </c>
      <c r="B1746">
        <v>45.5</v>
      </c>
      <c r="P1746" s="75"/>
    </row>
    <row r="1747" spans="1:16">
      <c r="A1747" s="80">
        <v>40381</v>
      </c>
      <c r="B1747">
        <v>45.125</v>
      </c>
      <c r="P1747" s="75"/>
    </row>
    <row r="1748" spans="1:16">
      <c r="A1748" s="80">
        <v>40380</v>
      </c>
      <c r="B1748">
        <v>46.5</v>
      </c>
      <c r="P1748" s="75"/>
    </row>
    <row r="1749" spans="1:16">
      <c r="A1749" s="80">
        <v>40379</v>
      </c>
      <c r="B1749">
        <v>46</v>
      </c>
      <c r="P1749" s="75"/>
    </row>
    <row r="1750" spans="1:16">
      <c r="A1750" s="80">
        <v>40378</v>
      </c>
      <c r="B1750">
        <v>45.5</v>
      </c>
      <c r="P1750" s="75"/>
    </row>
    <row r="1751" spans="1:16">
      <c r="A1751" s="80">
        <v>40375</v>
      </c>
      <c r="B1751">
        <v>47.375</v>
      </c>
      <c r="P1751" s="75"/>
    </row>
    <row r="1752" spans="1:16">
      <c r="A1752" s="80">
        <v>40374</v>
      </c>
      <c r="B1752">
        <v>45</v>
      </c>
      <c r="P1752" s="75"/>
    </row>
    <row r="1753" spans="1:16">
      <c r="A1753" s="80">
        <v>40373</v>
      </c>
      <c r="B1753">
        <v>45</v>
      </c>
      <c r="P1753" s="75"/>
    </row>
    <row r="1754" spans="1:16">
      <c r="A1754" s="80">
        <v>40372</v>
      </c>
      <c r="B1754">
        <v>45</v>
      </c>
      <c r="P1754" s="75"/>
    </row>
    <row r="1755" spans="1:16">
      <c r="A1755" s="80">
        <v>40371</v>
      </c>
      <c r="B1755">
        <v>44.875</v>
      </c>
      <c r="P1755" s="75"/>
    </row>
    <row r="1756" spans="1:16">
      <c r="A1756" s="80">
        <v>40368</v>
      </c>
      <c r="B1756">
        <v>43.75</v>
      </c>
      <c r="P1756" s="75"/>
    </row>
    <row r="1757" spans="1:16">
      <c r="A1757" s="80">
        <v>40367</v>
      </c>
      <c r="B1757">
        <v>45</v>
      </c>
      <c r="P1757" s="75"/>
    </row>
    <row r="1758" spans="1:16">
      <c r="A1758" s="80">
        <v>40366</v>
      </c>
      <c r="B1758">
        <v>44.75</v>
      </c>
      <c r="P1758" s="75"/>
    </row>
    <row r="1759" spans="1:16">
      <c r="A1759" s="80">
        <v>40365</v>
      </c>
      <c r="B1759">
        <v>46</v>
      </c>
      <c r="P1759" s="75"/>
    </row>
    <row r="1760" spans="1:16">
      <c r="A1760" s="80">
        <v>40364</v>
      </c>
      <c r="B1760">
        <v>46.125</v>
      </c>
      <c r="P1760" s="75"/>
    </row>
    <row r="1761" spans="1:16">
      <c r="A1761" s="80">
        <v>40361</v>
      </c>
      <c r="B1761">
        <v>47</v>
      </c>
      <c r="P1761" s="75"/>
    </row>
    <row r="1762" spans="1:16">
      <c r="A1762" s="80">
        <v>40360</v>
      </c>
      <c r="B1762">
        <v>47.5</v>
      </c>
      <c r="P1762" s="75"/>
    </row>
    <row r="1763" spans="1:16">
      <c r="A1763" s="80">
        <v>40359</v>
      </c>
      <c r="B1763">
        <v>47</v>
      </c>
      <c r="P1763" s="75"/>
    </row>
    <row r="1764" spans="1:16">
      <c r="A1764" s="80">
        <v>40358</v>
      </c>
      <c r="B1764">
        <v>46.875</v>
      </c>
      <c r="P1764" s="75"/>
    </row>
    <row r="1765" spans="1:16">
      <c r="A1765" s="80">
        <v>40357</v>
      </c>
      <c r="B1765">
        <v>45.125</v>
      </c>
      <c r="P1765" s="75"/>
    </row>
    <row r="1766" spans="1:16">
      <c r="A1766" s="80">
        <v>40353</v>
      </c>
      <c r="B1766">
        <v>45.75</v>
      </c>
      <c r="P1766" s="75"/>
    </row>
    <row r="1767" spans="1:16">
      <c r="A1767" s="80">
        <v>40352</v>
      </c>
      <c r="B1767">
        <v>46.375</v>
      </c>
      <c r="P1767" s="75"/>
    </row>
    <row r="1768" spans="1:16">
      <c r="A1768" s="80">
        <v>40351</v>
      </c>
      <c r="B1768">
        <v>47.25</v>
      </c>
      <c r="P1768" s="75"/>
    </row>
    <row r="1769" spans="1:16">
      <c r="A1769" s="80">
        <v>40350</v>
      </c>
      <c r="B1769">
        <v>47.125</v>
      </c>
      <c r="P1769" s="75"/>
    </row>
    <row r="1770" spans="1:16">
      <c r="A1770" s="80">
        <v>40346</v>
      </c>
      <c r="B1770">
        <v>44.875</v>
      </c>
      <c r="P1770" s="75"/>
    </row>
    <row r="1771" spans="1:16">
      <c r="A1771" s="80">
        <v>40345</v>
      </c>
      <c r="B1771">
        <v>45.125</v>
      </c>
      <c r="P1771" s="75"/>
    </row>
    <row r="1772" spans="1:16">
      <c r="A1772" s="80">
        <v>40344</v>
      </c>
      <c r="B1772">
        <v>45</v>
      </c>
      <c r="P1772" s="75"/>
    </row>
    <row r="1773" spans="1:16">
      <c r="A1773" s="80">
        <v>40343</v>
      </c>
      <c r="B1773">
        <v>44.75</v>
      </c>
      <c r="P1773" s="75"/>
    </row>
    <row r="1774" spans="1:16">
      <c r="A1774" s="80">
        <v>40340</v>
      </c>
      <c r="B1774">
        <v>40.75</v>
      </c>
      <c r="P1774" s="75"/>
    </row>
    <row r="1775" spans="1:16">
      <c r="A1775" s="80">
        <v>40339</v>
      </c>
      <c r="B1775">
        <v>40</v>
      </c>
      <c r="P1775" s="75"/>
    </row>
    <row r="1776" spans="1:16">
      <c r="A1776" s="80">
        <v>40338</v>
      </c>
      <c r="B1776">
        <v>38.75</v>
      </c>
      <c r="P1776" s="75"/>
    </row>
    <row r="1777" spans="1:16">
      <c r="A1777" s="80">
        <v>40337</v>
      </c>
      <c r="B1777">
        <v>38.75</v>
      </c>
      <c r="P1777" s="75"/>
    </row>
    <row r="1778" spans="1:16">
      <c r="A1778" s="80">
        <v>40336</v>
      </c>
      <c r="B1778">
        <v>38.625</v>
      </c>
      <c r="P1778" s="75"/>
    </row>
    <row r="1779" spans="1:16">
      <c r="A1779" s="80">
        <v>40333</v>
      </c>
      <c r="B1779">
        <v>38.75</v>
      </c>
      <c r="P1779" s="75"/>
    </row>
    <row r="1780" spans="1:16">
      <c r="A1780" s="80">
        <v>40332</v>
      </c>
      <c r="B1780">
        <v>38.75</v>
      </c>
      <c r="P1780" s="75"/>
    </row>
    <row r="1781" spans="1:16">
      <c r="A1781" s="80">
        <v>40331</v>
      </c>
      <c r="B1781">
        <v>39</v>
      </c>
      <c r="P1781" s="75"/>
    </row>
    <row r="1782" spans="1:16">
      <c r="A1782" s="80">
        <v>40330</v>
      </c>
      <c r="B1782">
        <v>39</v>
      </c>
      <c r="P1782" s="75"/>
    </row>
    <row r="1783" spans="1:16">
      <c r="A1783" s="80">
        <v>40329</v>
      </c>
      <c r="B1783">
        <v>39.375</v>
      </c>
      <c r="P1783" s="75"/>
    </row>
    <row r="1784" spans="1:16">
      <c r="A1784" s="80">
        <v>40324</v>
      </c>
      <c r="B1784">
        <v>38.875</v>
      </c>
      <c r="P1784" s="75"/>
    </row>
    <row r="1785" spans="1:16">
      <c r="A1785" s="80">
        <v>40323</v>
      </c>
      <c r="B1785">
        <v>39</v>
      </c>
      <c r="P1785" s="75"/>
    </row>
    <row r="1786" spans="1:16">
      <c r="A1786" s="80">
        <v>40322</v>
      </c>
      <c r="B1786">
        <v>39.25</v>
      </c>
      <c r="P1786" s="75"/>
    </row>
    <row r="1787" spans="1:16">
      <c r="A1787" s="80">
        <v>40319</v>
      </c>
      <c r="B1787">
        <v>39.875</v>
      </c>
      <c r="P1787" s="75"/>
    </row>
    <row r="1788" spans="1:16">
      <c r="A1788" s="80">
        <v>40318</v>
      </c>
      <c r="B1788">
        <v>39.75</v>
      </c>
      <c r="P1788" s="75"/>
    </row>
    <row r="1789" spans="1:16">
      <c r="A1789" s="80">
        <v>40317</v>
      </c>
      <c r="B1789">
        <v>40</v>
      </c>
      <c r="P1789" s="75"/>
    </row>
    <row r="1790" spans="1:16">
      <c r="A1790" s="80">
        <v>40316</v>
      </c>
      <c r="B1790">
        <v>40</v>
      </c>
      <c r="P1790" s="75"/>
    </row>
    <row r="1791" spans="1:16">
      <c r="A1791" s="80">
        <v>40315</v>
      </c>
      <c r="B1791">
        <v>40</v>
      </c>
      <c r="P1791" s="75"/>
    </row>
    <row r="1792" spans="1:16">
      <c r="A1792" s="80">
        <v>40312</v>
      </c>
      <c r="B1792">
        <v>40</v>
      </c>
      <c r="P1792" s="75"/>
    </row>
    <row r="1793" spans="1:16">
      <c r="A1793" s="80">
        <v>40311</v>
      </c>
      <c r="B1793">
        <v>40</v>
      </c>
      <c r="P1793" s="75"/>
    </row>
    <row r="1794" spans="1:16">
      <c r="A1794" s="80">
        <v>40310</v>
      </c>
      <c r="B1794">
        <v>40</v>
      </c>
      <c r="P1794" s="75"/>
    </row>
    <row r="1795" spans="1:16">
      <c r="A1795" s="80">
        <v>40309</v>
      </c>
      <c r="B1795">
        <v>40</v>
      </c>
      <c r="P1795" s="75"/>
    </row>
    <row r="1796" spans="1:16">
      <c r="A1796" s="80">
        <v>40308</v>
      </c>
      <c r="B1796">
        <v>40</v>
      </c>
      <c r="P1796" s="75"/>
    </row>
    <row r="1797" spans="1:16">
      <c r="A1797" s="80">
        <v>40305</v>
      </c>
      <c r="B1797">
        <v>40</v>
      </c>
      <c r="P1797" s="75"/>
    </row>
    <row r="1798" spans="1:16">
      <c r="A1798" s="80">
        <v>40304</v>
      </c>
      <c r="B1798">
        <v>40.5</v>
      </c>
      <c r="P1798" s="75"/>
    </row>
    <row r="1799" spans="1:16">
      <c r="A1799" s="80">
        <v>40303</v>
      </c>
      <c r="B1799">
        <v>40.125</v>
      </c>
      <c r="P1799" s="75"/>
    </row>
    <row r="1800" spans="1:16">
      <c r="A1800" s="80">
        <v>40302</v>
      </c>
      <c r="B1800">
        <v>40.5</v>
      </c>
      <c r="P1800" s="75"/>
    </row>
    <row r="1801" spans="1:16">
      <c r="A1801" s="80">
        <v>40301</v>
      </c>
      <c r="B1801">
        <v>41</v>
      </c>
      <c r="P1801" s="75"/>
    </row>
    <row r="1802" spans="1:16">
      <c r="A1802" s="80">
        <v>40298</v>
      </c>
      <c r="B1802">
        <v>40.5</v>
      </c>
      <c r="P1802" s="75"/>
    </row>
    <row r="1803" spans="1:16">
      <c r="A1803" s="80">
        <v>40297</v>
      </c>
      <c r="B1803">
        <v>40.5</v>
      </c>
      <c r="P1803" s="75"/>
    </row>
    <row r="1804" spans="1:16">
      <c r="A1804" s="80">
        <v>40295</v>
      </c>
      <c r="B1804">
        <v>40.5</v>
      </c>
      <c r="P1804" s="75"/>
    </row>
    <row r="1805" spans="1:16">
      <c r="A1805" s="80">
        <v>40294</v>
      </c>
      <c r="B1805">
        <v>40.375</v>
      </c>
      <c r="P1805" s="75"/>
    </row>
    <row r="1806" spans="1:16">
      <c r="A1806" s="80">
        <v>40291</v>
      </c>
      <c r="B1806">
        <v>41.75</v>
      </c>
      <c r="P1806" s="75"/>
    </row>
    <row r="1807" spans="1:16">
      <c r="A1807" s="80">
        <v>40290</v>
      </c>
      <c r="B1807">
        <v>40</v>
      </c>
      <c r="P1807" s="75"/>
    </row>
    <row r="1808" spans="1:16">
      <c r="A1808" s="80">
        <v>40289</v>
      </c>
      <c r="B1808">
        <v>41</v>
      </c>
      <c r="P1808" s="75"/>
    </row>
    <row r="1809" spans="1:16">
      <c r="A1809" s="80">
        <v>40288</v>
      </c>
      <c r="B1809">
        <v>41.25</v>
      </c>
      <c r="P1809" s="75"/>
    </row>
    <row r="1810" spans="1:16">
      <c r="A1810" s="80">
        <v>40287</v>
      </c>
      <c r="B1810">
        <v>41.875</v>
      </c>
      <c r="P1810" s="75"/>
    </row>
    <row r="1811" spans="1:16">
      <c r="A1811" s="80">
        <v>40284</v>
      </c>
      <c r="B1811">
        <v>41.25</v>
      </c>
      <c r="P1811" s="75"/>
    </row>
    <row r="1812" spans="1:16">
      <c r="A1812" s="80">
        <v>40283</v>
      </c>
      <c r="B1812">
        <v>42</v>
      </c>
      <c r="P1812" s="75"/>
    </row>
    <row r="1813" spans="1:16">
      <c r="A1813" s="80">
        <v>40280</v>
      </c>
      <c r="B1813">
        <v>42</v>
      </c>
      <c r="P1813" s="75"/>
    </row>
    <row r="1814" spans="1:16">
      <c r="A1814" s="80">
        <v>40276</v>
      </c>
      <c r="B1814">
        <v>41.5</v>
      </c>
      <c r="P1814" s="75"/>
    </row>
    <row r="1815" spans="1:16">
      <c r="A1815" s="80">
        <v>40275</v>
      </c>
      <c r="B1815">
        <v>40.5</v>
      </c>
      <c r="P1815" s="75"/>
    </row>
    <row r="1816" spans="1:16">
      <c r="A1816" s="80">
        <v>40274</v>
      </c>
      <c r="B1816">
        <v>40</v>
      </c>
      <c r="P1816" s="75"/>
    </row>
    <row r="1817" spans="1:16">
      <c r="A1817" s="80">
        <v>40273</v>
      </c>
      <c r="B1817">
        <v>38.625</v>
      </c>
      <c r="P1817" s="75"/>
    </row>
    <row r="1818" spans="1:16">
      <c r="A1818" s="80">
        <v>40269</v>
      </c>
      <c r="B1818">
        <v>37.5</v>
      </c>
      <c r="P1818" s="75"/>
    </row>
    <row r="1819" spans="1:16">
      <c r="P1819" s="75"/>
    </row>
    <row r="1820" spans="1:16">
      <c r="P1820" s="75"/>
    </row>
    <row r="1821" spans="1:16">
      <c r="P1821" s="75"/>
    </row>
    <row r="1822" spans="1:16">
      <c r="P1822" s="75"/>
    </row>
    <row r="1823" spans="1:16">
      <c r="P1823" s="75"/>
    </row>
    <row r="1824" spans="1:16">
      <c r="P1824" s="75"/>
    </row>
    <row r="1825" spans="16:16">
      <c r="P1825" s="75"/>
    </row>
    <row r="1826" spans="16:16">
      <c r="P1826" s="75"/>
    </row>
    <row r="1827" spans="16:16">
      <c r="P1827" s="75"/>
    </row>
    <row r="1828" spans="16:16">
      <c r="P1828" s="75"/>
    </row>
    <row r="1829" spans="16:16">
      <c r="P1829" s="75"/>
    </row>
    <row r="1830" spans="16:16">
      <c r="P1830" s="75"/>
    </row>
    <row r="1831" spans="16:16">
      <c r="P1831" s="75"/>
    </row>
    <row r="1832" spans="16:16">
      <c r="P1832" s="75"/>
    </row>
    <row r="1833" spans="16:16">
      <c r="P1833" s="75"/>
    </row>
    <row r="1834" spans="16:16">
      <c r="P1834" s="75"/>
    </row>
    <row r="1835" spans="16:16">
      <c r="P1835" s="75"/>
    </row>
    <row r="1836" spans="16:16">
      <c r="P1836" s="75"/>
    </row>
    <row r="1837" spans="16:16">
      <c r="P1837" s="75"/>
    </row>
    <row r="1838" spans="16:16">
      <c r="P1838" s="75"/>
    </row>
    <row r="1839" spans="16:16">
      <c r="P1839" s="75"/>
    </row>
    <row r="1840" spans="16:16">
      <c r="P1840" s="75"/>
    </row>
    <row r="1841" spans="16:16">
      <c r="P1841" s="75"/>
    </row>
    <row r="1842" spans="16:16">
      <c r="P1842" s="75"/>
    </row>
    <row r="1843" spans="16:16">
      <c r="P1843" s="75"/>
    </row>
    <row r="1844" spans="16:16">
      <c r="P1844" s="75"/>
    </row>
    <row r="1845" spans="16:16">
      <c r="P1845" s="75"/>
    </row>
    <row r="1846" spans="16:16">
      <c r="P1846" s="75"/>
    </row>
    <row r="1847" spans="16:16">
      <c r="P1847" s="75"/>
    </row>
    <row r="1848" spans="16:16">
      <c r="P1848" s="75"/>
    </row>
    <row r="1849" spans="16:16">
      <c r="P1849" s="75"/>
    </row>
    <row r="1850" spans="16:16">
      <c r="P1850" s="75"/>
    </row>
    <row r="1851" spans="16:16">
      <c r="P1851" s="75"/>
    </row>
    <row r="1852" spans="16:16">
      <c r="P1852" s="75"/>
    </row>
    <row r="1853" spans="16:16">
      <c r="P1853" s="75"/>
    </row>
    <row r="1854" spans="16:16">
      <c r="P1854" s="75"/>
    </row>
    <row r="1855" spans="16:16">
      <c r="P1855" s="75"/>
    </row>
    <row r="1856" spans="16:16">
      <c r="P1856" s="75"/>
    </row>
    <row r="1857" spans="16:16">
      <c r="P1857" s="75"/>
    </row>
    <row r="1858" spans="16:16">
      <c r="P1858" s="75"/>
    </row>
    <row r="1859" spans="16:16">
      <c r="P1859" s="75"/>
    </row>
    <row r="1860" spans="16:16">
      <c r="P1860" s="75"/>
    </row>
    <row r="1861" spans="16:16">
      <c r="P1861" s="75"/>
    </row>
    <row r="1862" spans="16:16">
      <c r="P1862" s="75"/>
    </row>
    <row r="1863" spans="16:16">
      <c r="P1863" s="75"/>
    </row>
    <row r="1864" spans="16:16">
      <c r="P1864" s="75"/>
    </row>
    <row r="1865" spans="16:16">
      <c r="P1865" s="75"/>
    </row>
    <row r="1866" spans="16:16">
      <c r="P1866" s="75"/>
    </row>
    <row r="1867" spans="16:16">
      <c r="P1867" s="75"/>
    </row>
    <row r="1868" spans="16:16">
      <c r="P1868" s="75"/>
    </row>
    <row r="1869" spans="16:16">
      <c r="P1869" s="75"/>
    </row>
    <row r="1870" spans="16:16">
      <c r="P1870" s="75"/>
    </row>
    <row r="1871" spans="16:16">
      <c r="P1871" s="75"/>
    </row>
    <row r="1872" spans="16:16">
      <c r="P1872" s="75"/>
    </row>
    <row r="1873" spans="16:16">
      <c r="P1873" s="75"/>
    </row>
    <row r="1874" spans="16:16">
      <c r="P1874" s="75"/>
    </row>
    <row r="1875" spans="16:16">
      <c r="P1875" s="75"/>
    </row>
    <row r="1876" spans="16:16">
      <c r="P1876" s="75"/>
    </row>
    <row r="1877" spans="16:16">
      <c r="P1877" s="75"/>
    </row>
    <row r="1878" spans="16:16">
      <c r="P1878" s="75"/>
    </row>
    <row r="1879" spans="16:16">
      <c r="P1879" s="75"/>
    </row>
    <row r="1880" spans="16:16">
      <c r="P1880" s="75"/>
    </row>
    <row r="1881" spans="16:16">
      <c r="P1881" s="75"/>
    </row>
    <row r="1882" spans="16:16">
      <c r="P1882" s="75"/>
    </row>
    <row r="1883" spans="16:16">
      <c r="P1883" s="75"/>
    </row>
    <row r="1884" spans="16:16">
      <c r="P1884" s="75"/>
    </row>
    <row r="1885" spans="16:16">
      <c r="P1885" s="75"/>
    </row>
    <row r="1886" spans="16:16">
      <c r="P1886" s="75"/>
    </row>
    <row r="1887" spans="16:16">
      <c r="P1887" s="75"/>
    </row>
    <row r="1888" spans="16:16">
      <c r="P1888" s="75"/>
    </row>
    <row r="1889" spans="16:16">
      <c r="P1889" s="75"/>
    </row>
    <row r="1890" spans="16:16">
      <c r="P1890" s="75"/>
    </row>
    <row r="1891" spans="16:16">
      <c r="P1891" s="75"/>
    </row>
    <row r="1892" spans="16:16">
      <c r="P1892" s="75"/>
    </row>
    <row r="1893" spans="16:16">
      <c r="P1893" s="75"/>
    </row>
    <row r="1894" spans="16:16">
      <c r="P1894" s="75"/>
    </row>
    <row r="1895" spans="16:16">
      <c r="P1895" s="75"/>
    </row>
    <row r="1896" spans="16:16">
      <c r="P1896" s="75"/>
    </row>
    <row r="1897" spans="16:16">
      <c r="P1897" s="75"/>
    </row>
    <row r="1898" spans="16:16">
      <c r="P1898" s="75"/>
    </row>
    <row r="1899" spans="16:16">
      <c r="P1899" s="75"/>
    </row>
    <row r="1900" spans="16:16">
      <c r="P1900" s="75"/>
    </row>
    <row r="1901" spans="16:16">
      <c r="P1901" s="75"/>
    </row>
    <row r="1902" spans="16:16">
      <c r="P1902" s="75"/>
    </row>
    <row r="1903" spans="16:16">
      <c r="P1903" s="75"/>
    </row>
    <row r="1904" spans="16:16">
      <c r="P1904" s="75"/>
    </row>
    <row r="1905" spans="16:16">
      <c r="P1905" s="75"/>
    </row>
    <row r="1906" spans="16:16">
      <c r="P1906" s="75"/>
    </row>
    <row r="1907" spans="16:16">
      <c r="P1907" s="75"/>
    </row>
    <row r="1908" spans="16:16">
      <c r="P1908" s="75"/>
    </row>
    <row r="1909" spans="16:16">
      <c r="P1909" s="75"/>
    </row>
    <row r="1910" spans="16:16">
      <c r="P1910" s="75"/>
    </row>
    <row r="1911" spans="16:16">
      <c r="P1911" s="75"/>
    </row>
    <row r="1912" spans="16:16">
      <c r="P1912" s="75"/>
    </row>
    <row r="1913" spans="16:16">
      <c r="P1913" s="75"/>
    </row>
    <row r="1914" spans="16:16">
      <c r="P1914" s="75"/>
    </row>
    <row r="1915" spans="16:16">
      <c r="P1915" s="75"/>
    </row>
    <row r="1916" spans="16:16">
      <c r="P1916" s="75"/>
    </row>
    <row r="1917" spans="16:16">
      <c r="P1917" s="75"/>
    </row>
    <row r="1918" spans="16:16">
      <c r="P1918" s="75"/>
    </row>
    <row r="1919" spans="16:16">
      <c r="P1919" s="75"/>
    </row>
    <row r="1920" spans="16:16">
      <c r="P1920" s="75"/>
    </row>
    <row r="1921" spans="16:16">
      <c r="P1921" s="75"/>
    </row>
    <row r="1922" spans="16:16">
      <c r="P1922" s="75"/>
    </row>
    <row r="1923" spans="16:16">
      <c r="P1923" s="75"/>
    </row>
    <row r="1924" spans="16:16">
      <c r="P1924" s="75"/>
    </row>
    <row r="1925" spans="16:16">
      <c r="P1925" s="75"/>
    </row>
    <row r="1926" spans="16:16">
      <c r="P1926" s="75"/>
    </row>
    <row r="1927" spans="16:16">
      <c r="P1927" s="75"/>
    </row>
    <row r="1928" spans="16:16">
      <c r="P1928" s="75"/>
    </row>
    <row r="1929" spans="16:16">
      <c r="P1929" s="75"/>
    </row>
    <row r="1930" spans="16:16">
      <c r="P1930" s="75"/>
    </row>
    <row r="1931" spans="16:16">
      <c r="P1931" s="75"/>
    </row>
    <row r="1932" spans="16:16">
      <c r="P1932" s="75"/>
    </row>
    <row r="1933" spans="16:16">
      <c r="P1933" s="75"/>
    </row>
    <row r="1934" spans="16:16">
      <c r="P1934" s="75"/>
    </row>
    <row r="1935" spans="16:16">
      <c r="P1935" s="75"/>
    </row>
    <row r="1936" spans="16:16">
      <c r="P1936" s="75"/>
    </row>
    <row r="1937" spans="16:16">
      <c r="P1937" s="75"/>
    </row>
    <row r="1938" spans="16:16">
      <c r="P1938" s="75"/>
    </row>
    <row r="1939" spans="16:16">
      <c r="P1939" s="75"/>
    </row>
    <row r="1940" spans="16:16">
      <c r="P1940" s="75"/>
    </row>
    <row r="1941" spans="16:16">
      <c r="P1941" s="75"/>
    </row>
    <row r="1942" spans="16:16">
      <c r="P1942" s="75"/>
    </row>
    <row r="1943" spans="16:16">
      <c r="P1943" s="75"/>
    </row>
    <row r="1944" spans="16:16">
      <c r="P1944" s="75"/>
    </row>
    <row r="1945" spans="16:16">
      <c r="P1945" s="75"/>
    </row>
    <row r="1946" spans="16:16">
      <c r="P1946" s="75"/>
    </row>
    <row r="1947" spans="16:16">
      <c r="P1947" s="75"/>
    </row>
    <row r="1948" spans="16:16">
      <c r="P1948" s="75"/>
    </row>
    <row r="1949" spans="16:16">
      <c r="P1949" s="75"/>
    </row>
    <row r="1950" spans="16:16">
      <c r="P1950" s="75"/>
    </row>
    <row r="1951" spans="16:16">
      <c r="P1951" s="75"/>
    </row>
    <row r="1952" spans="16:16">
      <c r="P1952" s="75"/>
    </row>
    <row r="1953" spans="16:16">
      <c r="P1953" s="75"/>
    </row>
    <row r="1954" spans="16:16">
      <c r="P1954" s="75"/>
    </row>
    <row r="1955" spans="16:16">
      <c r="P1955" s="75"/>
    </row>
    <row r="1956" spans="16:16">
      <c r="P1956" s="75"/>
    </row>
    <row r="1957" spans="16:16">
      <c r="P1957" s="75"/>
    </row>
    <row r="1958" spans="16:16">
      <c r="P1958" s="75"/>
    </row>
    <row r="1959" spans="16:16">
      <c r="P1959" s="75"/>
    </row>
    <row r="1960" spans="16:16">
      <c r="P1960" s="75"/>
    </row>
    <row r="1961" spans="16:16">
      <c r="P1961" s="75"/>
    </row>
    <row r="1962" spans="16:16">
      <c r="P1962" s="75"/>
    </row>
    <row r="1963" spans="16:16">
      <c r="P1963" s="75"/>
    </row>
    <row r="1964" spans="16:16">
      <c r="P1964" s="75"/>
    </row>
    <row r="1965" spans="16:16">
      <c r="P1965" s="75"/>
    </row>
    <row r="1966" spans="16:16">
      <c r="P1966" s="75"/>
    </row>
    <row r="1967" spans="16:16">
      <c r="P1967" s="75"/>
    </row>
    <row r="1968" spans="16:16">
      <c r="P1968" s="75"/>
    </row>
    <row r="1969" spans="16:16">
      <c r="P1969" s="75"/>
    </row>
    <row r="1970" spans="16:16">
      <c r="P1970" s="75"/>
    </row>
    <row r="1971" spans="16:16">
      <c r="P1971" s="75"/>
    </row>
    <row r="1972" spans="16:16">
      <c r="P1972" s="75"/>
    </row>
    <row r="1973" spans="16:16">
      <c r="P1973" s="75"/>
    </row>
    <row r="1974" spans="16:16">
      <c r="P1974" s="75"/>
    </row>
    <row r="1975" spans="16:16">
      <c r="P1975" s="75"/>
    </row>
    <row r="1976" spans="16:16">
      <c r="P1976" s="75"/>
    </row>
    <row r="1977" spans="16:16">
      <c r="P1977" s="75"/>
    </row>
    <row r="1978" spans="16:16">
      <c r="P1978" s="75"/>
    </row>
    <row r="1979" spans="16:16">
      <c r="P1979" s="75"/>
    </row>
    <row r="1980" spans="16:16">
      <c r="P1980" s="75"/>
    </row>
    <row r="1981" spans="16:16">
      <c r="P1981" s="75"/>
    </row>
    <row r="1982" spans="16:16">
      <c r="P1982" s="75"/>
    </row>
    <row r="1983" spans="16:16">
      <c r="P1983" s="75"/>
    </row>
    <row r="1984" spans="16:16">
      <c r="P1984" s="75"/>
    </row>
    <row r="1985" spans="16:16">
      <c r="P1985" s="75"/>
    </row>
    <row r="1986" spans="16:16">
      <c r="P1986" s="75"/>
    </row>
    <row r="1987" spans="16:16">
      <c r="P1987" s="75"/>
    </row>
    <row r="1988" spans="16:16">
      <c r="P1988" s="75"/>
    </row>
    <row r="1989" spans="16:16">
      <c r="P1989" s="75"/>
    </row>
    <row r="1990" spans="16:16">
      <c r="P1990" s="75"/>
    </row>
    <row r="1991" spans="16:16">
      <c r="P1991" s="75"/>
    </row>
    <row r="1992" spans="16:16">
      <c r="P1992" s="75"/>
    </row>
    <row r="1993" spans="16:16">
      <c r="P1993" s="75"/>
    </row>
    <row r="1994" spans="16:16">
      <c r="P1994" s="75"/>
    </row>
    <row r="1995" spans="16:16">
      <c r="P1995" s="75"/>
    </row>
    <row r="1996" spans="16:16">
      <c r="P1996" s="75"/>
    </row>
    <row r="1997" spans="16:16">
      <c r="P1997" s="75"/>
    </row>
    <row r="1998" spans="16:16">
      <c r="P1998" s="75"/>
    </row>
    <row r="1999" spans="16:16">
      <c r="P1999" s="75"/>
    </row>
    <row r="2000" spans="16:16">
      <c r="P2000" s="75"/>
    </row>
    <row r="2001" spans="16:16">
      <c r="P2001" s="75"/>
    </row>
    <row r="2002" spans="16:16">
      <c r="P2002" s="75"/>
    </row>
    <row r="2003" spans="16:16">
      <c r="P2003" s="75"/>
    </row>
    <row r="2004" spans="16:16">
      <c r="P2004" s="75"/>
    </row>
    <row r="2005" spans="16:16">
      <c r="P2005" s="75"/>
    </row>
    <row r="2006" spans="16:16">
      <c r="P2006" s="75"/>
    </row>
    <row r="2007" spans="16:16">
      <c r="P2007" s="75"/>
    </row>
    <row r="2008" spans="16:16">
      <c r="P2008" s="75"/>
    </row>
    <row r="2009" spans="16:16">
      <c r="P2009" s="75"/>
    </row>
    <row r="2010" spans="16:16">
      <c r="P2010" s="75"/>
    </row>
    <row r="2011" spans="16:16">
      <c r="P2011" s="75"/>
    </row>
    <row r="2012" spans="16:16">
      <c r="P2012" s="75"/>
    </row>
    <row r="2013" spans="16:16">
      <c r="P2013" s="75"/>
    </row>
    <row r="2014" spans="16:16">
      <c r="P2014" s="75"/>
    </row>
    <row r="2015" spans="16:16">
      <c r="P2015" s="75"/>
    </row>
    <row r="2016" spans="16:16">
      <c r="P2016" s="75"/>
    </row>
    <row r="2017" spans="16:16">
      <c r="P2017" s="75"/>
    </row>
    <row r="2018" spans="16:16">
      <c r="P2018" s="75"/>
    </row>
    <row r="2019" spans="16:16">
      <c r="P2019" s="75"/>
    </row>
    <row r="2020" spans="16:16">
      <c r="P2020" s="75"/>
    </row>
    <row r="2021" spans="16:16">
      <c r="P2021" s="75"/>
    </row>
    <row r="2022" spans="16:16">
      <c r="P2022" s="75"/>
    </row>
    <row r="2023" spans="16:16">
      <c r="P2023" s="75"/>
    </row>
    <row r="2024" spans="16:16">
      <c r="P2024" s="75"/>
    </row>
    <row r="2025" spans="16:16">
      <c r="P2025" s="75"/>
    </row>
    <row r="2026" spans="16:16">
      <c r="P2026" s="75"/>
    </row>
    <row r="2027" spans="16:16">
      <c r="P2027" s="75"/>
    </row>
    <row r="2028" spans="16:16">
      <c r="P2028" s="75"/>
    </row>
    <row r="2029" spans="16:16">
      <c r="P2029" s="75"/>
    </row>
    <row r="2030" spans="16:16">
      <c r="P2030" s="75"/>
    </row>
    <row r="2031" spans="16:16">
      <c r="P2031" s="75"/>
    </row>
    <row r="2032" spans="16:16">
      <c r="P2032" s="75"/>
    </row>
    <row r="2033" spans="16:16">
      <c r="P2033" s="75"/>
    </row>
    <row r="2034" spans="16:16">
      <c r="P2034" s="75"/>
    </row>
    <row r="2035" spans="16:16">
      <c r="P2035" s="75"/>
    </row>
    <row r="2036" spans="16:16">
      <c r="P2036" s="75"/>
    </row>
    <row r="2037" spans="16:16">
      <c r="P2037" s="75"/>
    </row>
    <row r="2038" spans="16:16">
      <c r="P2038" s="75"/>
    </row>
    <row r="2039" spans="16:16">
      <c r="P2039" s="75"/>
    </row>
    <row r="2040" spans="16:16">
      <c r="P2040" s="75"/>
    </row>
    <row r="2041" spans="16:16">
      <c r="P2041" s="75"/>
    </row>
    <row r="2042" spans="16:16">
      <c r="P2042" s="75"/>
    </row>
    <row r="2043" spans="16:16">
      <c r="P2043" s="75"/>
    </row>
    <row r="2044" spans="16:16">
      <c r="P2044" s="75"/>
    </row>
    <row r="2045" spans="16:16">
      <c r="P2045" s="75"/>
    </row>
    <row r="2046" spans="16:16">
      <c r="P2046" s="75"/>
    </row>
    <row r="2047" spans="16:16">
      <c r="P2047" s="75"/>
    </row>
    <row r="2048" spans="16:16">
      <c r="P2048" s="75"/>
    </row>
    <row r="2049" spans="16:16">
      <c r="P2049" s="75"/>
    </row>
    <row r="2050" spans="16:16">
      <c r="P2050" s="75"/>
    </row>
    <row r="2051" spans="16:16">
      <c r="P2051" s="75"/>
    </row>
    <row r="2052" spans="16:16">
      <c r="P2052" s="75"/>
    </row>
    <row r="2053" spans="16:16">
      <c r="P2053" s="75"/>
    </row>
    <row r="2054" spans="16:16">
      <c r="P2054" s="75"/>
    </row>
    <row r="2055" spans="16:16">
      <c r="P2055" s="75"/>
    </row>
    <row r="2056" spans="16:16">
      <c r="P2056" s="75"/>
    </row>
    <row r="2057" spans="16:16">
      <c r="P2057" s="75"/>
    </row>
    <row r="2058" spans="16:16">
      <c r="P2058" s="75"/>
    </row>
    <row r="2059" spans="16:16">
      <c r="P2059" s="75"/>
    </row>
    <row r="2060" spans="16:16">
      <c r="P2060" s="75"/>
    </row>
    <row r="2061" spans="16:16">
      <c r="P2061" s="75"/>
    </row>
    <row r="2062" spans="16:16">
      <c r="P2062" s="75"/>
    </row>
    <row r="2063" spans="16:16">
      <c r="P2063" s="75"/>
    </row>
    <row r="2064" spans="16:16">
      <c r="P2064" s="75"/>
    </row>
    <row r="2065" spans="16:16">
      <c r="P2065" s="75"/>
    </row>
    <row r="2066" spans="16:16">
      <c r="P2066" s="75"/>
    </row>
    <row r="2067" spans="16:16">
      <c r="P2067" s="75"/>
    </row>
    <row r="2068" spans="16:16">
      <c r="P2068" s="75"/>
    </row>
    <row r="2069" spans="16:16">
      <c r="P2069" s="75"/>
    </row>
    <row r="2070" spans="16:16">
      <c r="P2070" s="75"/>
    </row>
    <row r="2071" spans="16:16">
      <c r="P2071" s="75"/>
    </row>
    <row r="2072" spans="16:16">
      <c r="P2072" s="75"/>
    </row>
    <row r="2073" spans="16:16">
      <c r="P2073" s="75"/>
    </row>
    <row r="2074" spans="16:16">
      <c r="P2074" s="75"/>
    </row>
    <row r="2075" spans="16:16">
      <c r="P2075" s="75"/>
    </row>
    <row r="2076" spans="16:16">
      <c r="P2076" s="75"/>
    </row>
    <row r="2077" spans="16:16">
      <c r="P2077" s="75"/>
    </row>
    <row r="2078" spans="16:16">
      <c r="P2078" s="75"/>
    </row>
    <row r="2079" spans="16:16">
      <c r="P2079" s="75"/>
    </row>
    <row r="2080" spans="16:16">
      <c r="P2080" s="75"/>
    </row>
    <row r="2081" spans="16:16">
      <c r="P2081" s="75"/>
    </row>
    <row r="2082" spans="16:16">
      <c r="P2082" s="75"/>
    </row>
    <row r="2083" spans="16:16">
      <c r="P2083" s="75"/>
    </row>
    <row r="2084" spans="16:16">
      <c r="P2084" s="75"/>
    </row>
    <row r="2085" spans="16:16">
      <c r="P2085" s="75"/>
    </row>
    <row r="2086" spans="16:16">
      <c r="P2086" s="75"/>
    </row>
    <row r="2087" spans="16:16">
      <c r="P2087" s="75"/>
    </row>
    <row r="2088" spans="16:16">
      <c r="P2088" s="75"/>
    </row>
    <row r="2089" spans="16:16">
      <c r="P2089" s="75"/>
    </row>
    <row r="2090" spans="16:16">
      <c r="P2090" s="75"/>
    </row>
    <row r="2091" spans="16:16">
      <c r="P2091" s="75"/>
    </row>
    <row r="2092" spans="16:16">
      <c r="P2092" s="75"/>
    </row>
    <row r="2093" spans="16:16">
      <c r="P2093" s="75"/>
    </row>
    <row r="2094" spans="16:16">
      <c r="P2094" s="75"/>
    </row>
    <row r="2095" spans="16:16">
      <c r="P2095" s="75"/>
    </row>
    <row r="2096" spans="16:16">
      <c r="P2096" s="75"/>
    </row>
    <row r="2097" spans="16:16">
      <c r="P2097" s="75"/>
    </row>
    <row r="2098" spans="16:16">
      <c r="P2098" s="75"/>
    </row>
    <row r="2099" spans="16:16">
      <c r="P2099" s="75"/>
    </row>
    <row r="2100" spans="16:16">
      <c r="P2100" s="75"/>
    </row>
    <row r="2101" spans="16:16">
      <c r="P2101" s="75"/>
    </row>
    <row r="2102" spans="16:16">
      <c r="P2102" s="75"/>
    </row>
    <row r="2103" spans="16:16">
      <c r="P2103" s="75"/>
    </row>
    <row r="2104" spans="16:16">
      <c r="P2104" s="75"/>
    </row>
    <row r="2105" spans="16:16">
      <c r="P2105" s="75"/>
    </row>
    <row r="2106" spans="16:16">
      <c r="P2106" s="75"/>
    </row>
    <row r="2107" spans="16:16">
      <c r="P2107" s="75"/>
    </row>
    <row r="2108" spans="16:16">
      <c r="P2108" s="75"/>
    </row>
    <row r="2109" spans="16:16">
      <c r="P2109" s="75"/>
    </row>
    <row r="2110" spans="16:16">
      <c r="P2110" s="75"/>
    </row>
    <row r="2111" spans="16:16">
      <c r="P2111" s="75"/>
    </row>
    <row r="2112" spans="16:16">
      <c r="P2112" s="75"/>
    </row>
    <row r="2113" spans="16:16">
      <c r="P2113" s="75"/>
    </row>
    <row r="2114" spans="16:16">
      <c r="P2114" s="75"/>
    </row>
    <row r="2115" spans="16:16">
      <c r="P2115" s="75"/>
    </row>
    <row r="2116" spans="16:16">
      <c r="P2116" s="75"/>
    </row>
    <row r="2117" spans="16:16">
      <c r="P2117" s="75"/>
    </row>
    <row r="2118" spans="16:16">
      <c r="P2118" s="75"/>
    </row>
    <row r="2119" spans="16:16">
      <c r="P2119" s="75"/>
    </row>
    <row r="2120" spans="16:16">
      <c r="P2120" s="75"/>
    </row>
    <row r="2121" spans="16:16">
      <c r="P2121" s="75"/>
    </row>
    <row r="2122" spans="16:16">
      <c r="P2122" s="75"/>
    </row>
    <row r="2123" spans="16:16">
      <c r="P2123" s="75"/>
    </row>
    <row r="2124" spans="16:16">
      <c r="P2124" s="75"/>
    </row>
    <row r="2125" spans="16:16">
      <c r="P2125" s="75"/>
    </row>
    <row r="2126" spans="16:16">
      <c r="P2126" s="75"/>
    </row>
    <row r="2127" spans="16:16">
      <c r="P2127" s="75"/>
    </row>
    <row r="2128" spans="16:16">
      <c r="P2128" s="75"/>
    </row>
    <row r="2129" spans="16:16">
      <c r="P2129" s="75"/>
    </row>
    <row r="2130" spans="16:16">
      <c r="P2130" s="75"/>
    </row>
    <row r="2131" spans="16:16">
      <c r="P2131" s="75"/>
    </row>
    <row r="2132" spans="16:16">
      <c r="P2132" s="75"/>
    </row>
    <row r="2133" spans="16:16">
      <c r="P2133" s="75"/>
    </row>
    <row r="2134" spans="16:16">
      <c r="P2134" s="75"/>
    </row>
    <row r="2135" spans="16:16">
      <c r="P2135" s="75"/>
    </row>
    <row r="2136" spans="16:16">
      <c r="P2136" s="75"/>
    </row>
    <row r="2137" spans="16:16">
      <c r="P2137" s="75"/>
    </row>
    <row r="2138" spans="16:16">
      <c r="P2138" s="75"/>
    </row>
    <row r="2139" spans="16:16">
      <c r="P2139" s="75"/>
    </row>
    <row r="2140" spans="16:16">
      <c r="P2140" s="75"/>
    </row>
    <row r="2141" spans="16:16">
      <c r="P2141" s="75"/>
    </row>
    <row r="2142" spans="16:16">
      <c r="P2142" s="75"/>
    </row>
    <row r="2143" spans="16:16">
      <c r="P2143" s="75"/>
    </row>
    <row r="2144" spans="16:16">
      <c r="P2144" s="75"/>
    </row>
    <row r="2145" spans="16:16">
      <c r="P2145" s="75"/>
    </row>
    <row r="2146" spans="16:16">
      <c r="P2146" s="75"/>
    </row>
    <row r="2147" spans="16:16">
      <c r="P2147" s="75"/>
    </row>
    <row r="2148" spans="16:16">
      <c r="P2148" s="75"/>
    </row>
    <row r="2149" spans="16:16">
      <c r="P2149" s="75"/>
    </row>
    <row r="2150" spans="16:16">
      <c r="P2150" s="75"/>
    </row>
    <row r="2151" spans="16:16">
      <c r="P2151" s="75"/>
    </row>
    <row r="2152" spans="16:16">
      <c r="P2152" s="75"/>
    </row>
    <row r="2153" spans="16:16">
      <c r="P2153" s="75"/>
    </row>
    <row r="2154" spans="16:16">
      <c r="P2154" s="75"/>
    </row>
    <row r="2155" spans="16:16">
      <c r="P2155" s="75"/>
    </row>
    <row r="2156" spans="16:16">
      <c r="P2156" s="75"/>
    </row>
    <row r="2157" spans="16:16">
      <c r="P2157" s="75"/>
    </row>
    <row r="2158" spans="16:16">
      <c r="P2158" s="75"/>
    </row>
    <row r="2159" spans="16:16">
      <c r="P2159" s="75"/>
    </row>
    <row r="2160" spans="16:16">
      <c r="P2160" s="75"/>
    </row>
    <row r="2161" spans="16:16">
      <c r="P2161" s="75"/>
    </row>
    <row r="2162" spans="16:16">
      <c r="P2162" s="75"/>
    </row>
    <row r="2163" spans="16:16">
      <c r="P2163" s="75"/>
    </row>
    <row r="2164" spans="16:16">
      <c r="P2164" s="75"/>
    </row>
    <row r="2165" spans="16:16">
      <c r="P2165" s="75"/>
    </row>
    <row r="2166" spans="16:16">
      <c r="P2166" s="75"/>
    </row>
    <row r="2167" spans="16:16">
      <c r="P2167" s="75"/>
    </row>
    <row r="2168" spans="16:16">
      <c r="P2168" s="75"/>
    </row>
    <row r="2169" spans="16:16">
      <c r="P2169" s="75"/>
    </row>
    <row r="2170" spans="16:16">
      <c r="P2170" s="75"/>
    </row>
    <row r="2171" spans="16:16">
      <c r="P2171" s="75"/>
    </row>
    <row r="2172" spans="16:16">
      <c r="P2172" s="75"/>
    </row>
    <row r="2173" spans="16:16">
      <c r="P2173" s="75"/>
    </row>
    <row r="2174" spans="16:16">
      <c r="P2174" s="75"/>
    </row>
    <row r="2175" spans="16:16">
      <c r="P2175" s="75"/>
    </row>
    <row r="2176" spans="16:16">
      <c r="P2176" s="75"/>
    </row>
    <row r="2177" spans="16:16">
      <c r="P2177" s="75"/>
    </row>
    <row r="2178" spans="16:16">
      <c r="P2178" s="75"/>
    </row>
    <row r="2179" spans="16:16">
      <c r="P2179" s="75"/>
    </row>
    <row r="2180" spans="16:16">
      <c r="P2180" s="75"/>
    </row>
    <row r="2181" spans="16:16">
      <c r="P2181" s="75"/>
    </row>
    <row r="2182" spans="16:16">
      <c r="P2182" s="75"/>
    </row>
    <row r="2183" spans="16:16">
      <c r="P2183" s="75"/>
    </row>
    <row r="2184" spans="16:16">
      <c r="P2184" s="75"/>
    </row>
    <row r="2185" spans="16:16">
      <c r="P2185" s="75"/>
    </row>
    <row r="2186" spans="16:16">
      <c r="P2186" s="75"/>
    </row>
    <row r="2187" spans="16:16">
      <c r="P2187" s="75"/>
    </row>
    <row r="2188" spans="16:16">
      <c r="P2188" s="75"/>
    </row>
    <row r="2189" spans="16:16">
      <c r="P2189" s="75"/>
    </row>
    <row r="2190" spans="16:16">
      <c r="P2190" s="75"/>
    </row>
    <row r="2191" spans="16:16">
      <c r="P2191" s="75"/>
    </row>
    <row r="2192" spans="16:16">
      <c r="P2192" s="75"/>
    </row>
    <row r="2193" spans="16:16">
      <c r="P2193" s="75"/>
    </row>
    <row r="2194" spans="16:16">
      <c r="P2194" s="75"/>
    </row>
    <row r="2195" spans="16:16">
      <c r="P2195" s="75"/>
    </row>
    <row r="2196" spans="16:16">
      <c r="P2196" s="75"/>
    </row>
    <row r="2197" spans="16:16">
      <c r="P2197" s="75"/>
    </row>
    <row r="2198" spans="16:16">
      <c r="P2198" s="75"/>
    </row>
    <row r="2199" spans="16:16">
      <c r="P2199" s="75"/>
    </row>
    <row r="2200" spans="16:16">
      <c r="P2200" s="75"/>
    </row>
    <row r="2201" spans="16:16">
      <c r="P2201" s="75"/>
    </row>
    <row r="2202" spans="16:16">
      <c r="P2202" s="75"/>
    </row>
    <row r="2203" spans="16:16">
      <c r="P2203" s="75"/>
    </row>
    <row r="2204" spans="16:16">
      <c r="P2204" s="75"/>
    </row>
    <row r="2205" spans="16:16">
      <c r="P2205" s="75"/>
    </row>
    <row r="2206" spans="16:16">
      <c r="P2206" s="75"/>
    </row>
    <row r="2207" spans="16:16">
      <c r="P2207" s="75"/>
    </row>
    <row r="2208" spans="16:16">
      <c r="P2208" s="75"/>
    </row>
    <row r="2209" spans="16:16">
      <c r="P2209" s="75"/>
    </row>
    <row r="2210" spans="16:16">
      <c r="P2210" s="75"/>
    </row>
    <row r="2211" spans="16:16">
      <c r="P2211" s="75"/>
    </row>
    <row r="2212" spans="16:16">
      <c r="P2212" s="75"/>
    </row>
    <row r="2213" spans="16:16">
      <c r="P2213" s="75"/>
    </row>
    <row r="2214" spans="16:16">
      <c r="P2214" s="75"/>
    </row>
    <row r="2215" spans="16:16">
      <c r="P2215" s="75"/>
    </row>
    <row r="2216" spans="16:16">
      <c r="P2216" s="75"/>
    </row>
    <row r="2217" spans="16:16">
      <c r="P2217" s="75"/>
    </row>
    <row r="2218" spans="16:16">
      <c r="P2218" s="75"/>
    </row>
    <row r="2219" spans="16:16">
      <c r="P2219" s="75"/>
    </row>
    <row r="2220" spans="16:16">
      <c r="P2220" s="75"/>
    </row>
    <row r="2221" spans="16:16">
      <c r="P2221" s="75"/>
    </row>
    <row r="2222" spans="16:16">
      <c r="P2222" s="75"/>
    </row>
    <row r="2223" spans="16:16">
      <c r="P2223" s="75"/>
    </row>
    <row r="2224" spans="16:16">
      <c r="P2224" s="75"/>
    </row>
    <row r="2225" spans="16:16">
      <c r="P2225" s="75"/>
    </row>
    <row r="2226" spans="16:16">
      <c r="P2226" s="75"/>
    </row>
    <row r="2227" spans="16:16">
      <c r="P2227" s="75"/>
    </row>
    <row r="2228" spans="16:16">
      <c r="P2228" s="75"/>
    </row>
    <row r="2229" spans="16:16">
      <c r="P2229" s="75"/>
    </row>
    <row r="2230" spans="16:16">
      <c r="P2230" s="75"/>
    </row>
    <row r="2231" spans="16:16">
      <c r="P2231" s="75"/>
    </row>
    <row r="2232" spans="16:16">
      <c r="P2232" s="75"/>
    </row>
    <row r="2233" spans="16:16">
      <c r="P2233" s="75"/>
    </row>
    <row r="2234" spans="16:16">
      <c r="P2234" s="75"/>
    </row>
    <row r="2235" spans="16:16">
      <c r="P2235" s="75"/>
    </row>
    <row r="2236" spans="16:16">
      <c r="P2236" s="75"/>
    </row>
    <row r="2237" spans="16:16">
      <c r="P2237" s="75"/>
    </row>
    <row r="2238" spans="16:16">
      <c r="P2238" s="75"/>
    </row>
    <row r="2239" spans="16:16">
      <c r="P2239" s="75"/>
    </row>
    <row r="2240" spans="16:16">
      <c r="P2240" s="75"/>
    </row>
    <row r="2241" spans="16:16">
      <c r="P2241" s="75"/>
    </row>
    <row r="2242" spans="16:16">
      <c r="P2242" s="75"/>
    </row>
    <row r="2243" spans="16:16">
      <c r="P2243" s="75"/>
    </row>
    <row r="2244" spans="16:16">
      <c r="P2244" s="75"/>
    </row>
    <row r="2245" spans="16:16">
      <c r="P2245" s="75"/>
    </row>
    <row r="2246" spans="16:16">
      <c r="P2246" s="75"/>
    </row>
    <row r="2247" spans="16:16">
      <c r="P2247" s="75"/>
    </row>
    <row r="2248" spans="16:16">
      <c r="P2248" s="75"/>
    </row>
    <row r="2249" spans="16:16">
      <c r="P2249" s="75"/>
    </row>
    <row r="2250" spans="16:16">
      <c r="P2250" s="75"/>
    </row>
    <row r="2251" spans="16:16">
      <c r="P2251" s="75"/>
    </row>
    <row r="2252" spans="16:16">
      <c r="P2252" s="75"/>
    </row>
    <row r="2253" spans="16:16">
      <c r="P2253" s="75"/>
    </row>
    <row r="2254" spans="16:16">
      <c r="P2254" s="75"/>
    </row>
    <row r="2255" spans="16:16">
      <c r="P2255" s="75"/>
    </row>
    <row r="2256" spans="16:16">
      <c r="P2256" s="75"/>
    </row>
    <row r="2257" spans="16:16">
      <c r="P2257" s="75"/>
    </row>
    <row r="2258" spans="16:16">
      <c r="P2258" s="75"/>
    </row>
    <row r="2259" spans="16:16">
      <c r="P2259" s="75"/>
    </row>
    <row r="2260" spans="16:16">
      <c r="P2260" s="75"/>
    </row>
    <row r="2261" spans="16:16">
      <c r="P2261" s="75"/>
    </row>
    <row r="2262" spans="16:16">
      <c r="P2262" s="75"/>
    </row>
    <row r="2263" spans="16:16">
      <c r="P2263" s="75"/>
    </row>
    <row r="2264" spans="16:16">
      <c r="P2264" s="75"/>
    </row>
    <row r="2265" spans="16:16">
      <c r="P2265" s="75"/>
    </row>
    <row r="2266" spans="16:16">
      <c r="P2266" s="75"/>
    </row>
    <row r="2267" spans="16:16">
      <c r="P2267" s="75"/>
    </row>
    <row r="2268" spans="16:16">
      <c r="P2268" s="75"/>
    </row>
    <row r="2269" spans="16:16">
      <c r="P2269" s="75"/>
    </row>
    <row r="2270" spans="16:16">
      <c r="P2270" s="75"/>
    </row>
    <row r="2271" spans="16:16">
      <c r="P2271" s="75"/>
    </row>
    <row r="2272" spans="16:16">
      <c r="P2272" s="75"/>
    </row>
    <row r="2273" spans="16:16">
      <c r="P2273" s="75"/>
    </row>
    <row r="2274" spans="16:16">
      <c r="P2274" s="75"/>
    </row>
    <row r="2275" spans="16:16">
      <c r="P2275" s="75"/>
    </row>
    <row r="2276" spans="16:16">
      <c r="P2276" s="75"/>
    </row>
    <row r="2277" spans="16:16">
      <c r="P2277" s="75"/>
    </row>
    <row r="2278" spans="16:16">
      <c r="P2278" s="75"/>
    </row>
    <row r="2279" spans="16:16">
      <c r="P2279" s="75"/>
    </row>
    <row r="2280" spans="16:16">
      <c r="P2280" s="75"/>
    </row>
    <row r="2281" spans="16:16">
      <c r="P2281" s="75"/>
    </row>
    <row r="2282" spans="16:16">
      <c r="P2282" s="75"/>
    </row>
    <row r="2283" spans="16:16">
      <c r="P2283" s="75"/>
    </row>
    <row r="2284" spans="16:16">
      <c r="P2284" s="75"/>
    </row>
    <row r="2285" spans="16:16">
      <c r="P2285" s="75"/>
    </row>
    <row r="2286" spans="16:16">
      <c r="P2286" s="75"/>
    </row>
    <row r="2287" spans="16:16">
      <c r="P2287" s="75"/>
    </row>
    <row r="2288" spans="16:16">
      <c r="P2288" s="75"/>
    </row>
    <row r="2289" spans="16:16">
      <c r="P2289" s="75"/>
    </row>
    <row r="2290" spans="16:16">
      <c r="P2290" s="75"/>
    </row>
    <row r="2291" spans="16:16">
      <c r="P2291" s="75"/>
    </row>
    <row r="2292" spans="16:16">
      <c r="P2292" s="75"/>
    </row>
    <row r="2293" spans="16:16">
      <c r="P2293" s="75"/>
    </row>
    <row r="2294" spans="16:16">
      <c r="P2294" s="75"/>
    </row>
    <row r="2295" spans="16:16">
      <c r="P2295" s="75"/>
    </row>
    <row r="2296" spans="16:16">
      <c r="P2296" s="75"/>
    </row>
    <row r="2297" spans="16:16">
      <c r="P2297" s="75"/>
    </row>
    <row r="2298" spans="16:16">
      <c r="P2298" s="75"/>
    </row>
    <row r="2299" spans="16:16">
      <c r="P2299" s="75"/>
    </row>
    <row r="2300" spans="16:16">
      <c r="P2300" s="75"/>
    </row>
    <row r="2301" spans="16:16">
      <c r="P2301" s="75"/>
    </row>
    <row r="2302" spans="16:16">
      <c r="P2302" s="75"/>
    </row>
    <row r="2303" spans="16:16">
      <c r="P2303" s="75"/>
    </row>
    <row r="2304" spans="16:16">
      <c r="P2304" s="75"/>
    </row>
    <row r="2305" spans="16:16">
      <c r="P2305" s="75"/>
    </row>
    <row r="2306" spans="16:16">
      <c r="P2306" s="75"/>
    </row>
    <row r="2307" spans="16:16">
      <c r="P2307" s="75"/>
    </row>
    <row r="2308" spans="16:16">
      <c r="P2308" s="75"/>
    </row>
    <row r="2309" spans="16:16">
      <c r="P2309" s="75"/>
    </row>
    <row r="2310" spans="16:16">
      <c r="P2310" s="75"/>
    </row>
    <row r="2311" spans="16:16">
      <c r="P2311" s="75"/>
    </row>
    <row r="2312" spans="16:16">
      <c r="P2312" s="75"/>
    </row>
    <row r="2313" spans="16:16">
      <c r="P2313" s="75"/>
    </row>
    <row r="2314" spans="16:16">
      <c r="P2314" s="75"/>
    </row>
    <row r="2315" spans="16:16">
      <c r="P2315" s="75"/>
    </row>
    <row r="2316" spans="16:16">
      <c r="P2316" s="75"/>
    </row>
    <row r="2317" spans="16:16">
      <c r="P2317" s="75"/>
    </row>
    <row r="2318" spans="16:16">
      <c r="P2318" s="75"/>
    </row>
    <row r="2319" spans="16:16">
      <c r="P2319" s="75"/>
    </row>
    <row r="2320" spans="16:16">
      <c r="P2320" s="75"/>
    </row>
    <row r="2321" spans="16:16">
      <c r="P2321" s="75"/>
    </row>
    <row r="2322" spans="16:16">
      <c r="P2322" s="75"/>
    </row>
    <row r="2323" spans="16:16">
      <c r="P2323" s="75"/>
    </row>
    <row r="2324" spans="16:16">
      <c r="P2324" s="75"/>
    </row>
    <row r="2325" spans="16:16">
      <c r="P2325" s="75"/>
    </row>
    <row r="2326" spans="16:16">
      <c r="P2326" s="75"/>
    </row>
    <row r="2327" spans="16:16">
      <c r="P2327" s="75"/>
    </row>
    <row r="2328" spans="16:16">
      <c r="P2328" s="75"/>
    </row>
    <row r="2329" spans="16:16">
      <c r="P2329" s="75"/>
    </row>
    <row r="2330" spans="16:16">
      <c r="P2330" s="75"/>
    </row>
    <row r="2331" spans="16:16">
      <c r="P2331" s="75"/>
    </row>
    <row r="2332" spans="16:16">
      <c r="P2332" s="75"/>
    </row>
    <row r="2333" spans="16:16">
      <c r="P2333" s="75"/>
    </row>
    <row r="2334" spans="16:16">
      <c r="P2334" s="75"/>
    </row>
    <row r="2335" spans="16:16">
      <c r="P2335" s="75"/>
    </row>
    <row r="2336" spans="16:16">
      <c r="P2336" s="75"/>
    </row>
    <row r="2337" spans="16:16">
      <c r="P2337" s="75"/>
    </row>
    <row r="2338" spans="16:16">
      <c r="P2338" s="75"/>
    </row>
    <row r="2339" spans="16:16">
      <c r="P2339" s="75"/>
    </row>
    <row r="2340" spans="16:16">
      <c r="P2340" s="75"/>
    </row>
    <row r="2341" spans="16:16">
      <c r="P2341" s="75"/>
    </row>
    <row r="2342" spans="16:16">
      <c r="P2342" s="75"/>
    </row>
    <row r="2343" spans="16:16">
      <c r="P2343" s="75"/>
    </row>
    <row r="2344" spans="16:16">
      <c r="P2344" s="75"/>
    </row>
    <row r="2345" spans="16:16">
      <c r="P2345" s="75"/>
    </row>
    <row r="2346" spans="16:16">
      <c r="P2346" s="75"/>
    </row>
    <row r="2347" spans="16:16">
      <c r="P2347" s="75"/>
    </row>
    <row r="2348" spans="16:16">
      <c r="P2348" s="75"/>
    </row>
    <row r="2349" spans="16:16">
      <c r="P2349" s="75"/>
    </row>
    <row r="2350" spans="16:16">
      <c r="P2350" s="75"/>
    </row>
    <row r="2351" spans="16:16">
      <c r="P2351" s="75"/>
    </row>
    <row r="2352" spans="16:16">
      <c r="P2352" s="75"/>
    </row>
    <row r="2353" spans="16:16">
      <c r="P2353" s="75"/>
    </row>
    <row r="2354" spans="16:16">
      <c r="P2354" s="75"/>
    </row>
    <row r="2355" spans="16:16">
      <c r="P2355" s="75"/>
    </row>
    <row r="2356" spans="16:16">
      <c r="P2356" s="75"/>
    </row>
    <row r="2357" spans="16:16">
      <c r="P2357" s="75"/>
    </row>
    <row r="2358" spans="16:16">
      <c r="P2358" s="75"/>
    </row>
    <row r="2359" spans="16:16">
      <c r="P2359" s="75"/>
    </row>
    <row r="2360" spans="16:16">
      <c r="P2360" s="75"/>
    </row>
    <row r="2361" spans="16:16">
      <c r="P2361" s="75"/>
    </row>
    <row r="2362" spans="16:16">
      <c r="P2362" s="75"/>
    </row>
    <row r="2363" spans="16:16">
      <c r="P2363" s="75"/>
    </row>
    <row r="2364" spans="16:16">
      <c r="P2364" s="75"/>
    </row>
    <row r="2365" spans="16:16">
      <c r="P2365" s="75"/>
    </row>
    <row r="2366" spans="16:16">
      <c r="P2366" s="75"/>
    </row>
    <row r="2367" spans="16:16">
      <c r="P2367" s="75"/>
    </row>
    <row r="2368" spans="16:16">
      <c r="P2368" s="75"/>
    </row>
    <row r="2369" spans="16:16">
      <c r="P2369" s="75"/>
    </row>
    <row r="2370" spans="16:16">
      <c r="P2370" s="75"/>
    </row>
    <row r="2371" spans="16:16">
      <c r="P2371" s="75"/>
    </row>
    <row r="2372" spans="16:16">
      <c r="P2372" s="75"/>
    </row>
    <row r="2373" spans="16:16">
      <c r="P2373" s="75"/>
    </row>
    <row r="2374" spans="16:16">
      <c r="P2374" s="75"/>
    </row>
    <row r="2375" spans="16:16">
      <c r="P2375" s="75"/>
    </row>
    <row r="2376" spans="16:16">
      <c r="P2376" s="75"/>
    </row>
    <row r="2377" spans="16:16">
      <c r="P2377" s="75"/>
    </row>
    <row r="2378" spans="16:16">
      <c r="P2378" s="75"/>
    </row>
    <row r="2379" spans="16:16">
      <c r="P2379" s="75"/>
    </row>
    <row r="2380" spans="16:16">
      <c r="P2380" s="75"/>
    </row>
    <row r="2381" spans="16:16">
      <c r="P2381" s="75"/>
    </row>
    <row r="2382" spans="16:16">
      <c r="P2382" s="75"/>
    </row>
    <row r="2383" spans="16:16">
      <c r="P2383" s="75"/>
    </row>
    <row r="2384" spans="16:16">
      <c r="P2384" s="75"/>
    </row>
    <row r="2385" spans="4:16">
      <c r="P2385" s="75"/>
    </row>
    <row r="2386" spans="4:16">
      <c r="P2386" s="75"/>
    </row>
    <row r="2387" spans="4:16">
      <c r="D2387" s="88">
        <f>MAX(B2345:B2576)</f>
        <v>0</v>
      </c>
      <c r="P2387" s="75"/>
    </row>
    <row r="2388" spans="4:16">
      <c r="D2388" s="88">
        <f>MIN(B2345:B2576)</f>
        <v>0</v>
      </c>
      <c r="P2388" s="75"/>
    </row>
    <row r="2389" spans="4:16">
      <c r="P2389" s="75"/>
    </row>
    <row r="2390" spans="4:16">
      <c r="P2390" s="75"/>
    </row>
    <row r="2391" spans="4:16">
      <c r="P2391" s="75"/>
    </row>
    <row r="2392" spans="4:16">
      <c r="P2392" s="75"/>
    </row>
    <row r="2393" spans="4:16">
      <c r="P2393" s="75"/>
    </row>
    <row r="2394" spans="4:16">
      <c r="P2394" s="75"/>
    </row>
    <row r="2395" spans="4:16">
      <c r="P2395" s="75"/>
    </row>
    <row r="2396" spans="4:16">
      <c r="P2396" s="75"/>
    </row>
    <row r="2397" spans="4:16">
      <c r="P2397" s="75"/>
    </row>
    <row r="2398" spans="4:16">
      <c r="P2398" s="75"/>
    </row>
    <row r="2399" spans="4:16">
      <c r="P2399" s="75"/>
    </row>
    <row r="2400" spans="4:16">
      <c r="P2400" s="75"/>
    </row>
    <row r="2401" spans="16:16">
      <c r="P2401" s="75"/>
    </row>
    <row r="2402" spans="16:16">
      <c r="P2402" s="75"/>
    </row>
    <row r="2403" spans="16:16">
      <c r="P2403" s="75"/>
    </row>
    <row r="2404" spans="16:16">
      <c r="P2404" s="75"/>
    </row>
    <row r="2405" spans="16:16">
      <c r="P2405" s="75"/>
    </row>
    <row r="2406" spans="16:16">
      <c r="P2406" s="75"/>
    </row>
    <row r="2407" spans="16:16">
      <c r="P2407" s="75"/>
    </row>
    <row r="2408" spans="16:16">
      <c r="P2408" s="75"/>
    </row>
    <row r="2409" spans="16:16">
      <c r="P2409" s="75"/>
    </row>
    <row r="2410" spans="16:16">
      <c r="P2410" s="75"/>
    </row>
    <row r="2411" spans="16:16">
      <c r="P2411" s="75"/>
    </row>
    <row r="2412" spans="16:16">
      <c r="P2412" s="75"/>
    </row>
    <row r="2413" spans="16:16">
      <c r="P2413" s="75"/>
    </row>
    <row r="2414" spans="16:16">
      <c r="P2414" s="75"/>
    </row>
    <row r="2415" spans="16:16">
      <c r="P2415" s="75"/>
    </row>
    <row r="2416" spans="16:16">
      <c r="P2416" s="75"/>
    </row>
    <row r="2417" spans="16:16">
      <c r="P2417" s="75"/>
    </row>
    <row r="2418" spans="16:16">
      <c r="P2418" s="75"/>
    </row>
    <row r="2419" spans="16:16">
      <c r="P2419" s="75"/>
    </row>
    <row r="2420" spans="16:16">
      <c r="P2420" s="75"/>
    </row>
    <row r="2421" spans="16:16">
      <c r="P2421" s="75"/>
    </row>
    <row r="2422" spans="16:16">
      <c r="P2422" s="75"/>
    </row>
    <row r="2423" spans="16:16">
      <c r="P2423" s="75"/>
    </row>
    <row r="2424" spans="16:16">
      <c r="P2424" s="75"/>
    </row>
    <row r="2425" spans="16:16">
      <c r="P2425" s="75"/>
    </row>
    <row r="2426" spans="16:16">
      <c r="P2426" s="75"/>
    </row>
    <row r="2427" spans="16:16">
      <c r="P2427" s="75"/>
    </row>
    <row r="2428" spans="16:16">
      <c r="P2428" s="75"/>
    </row>
    <row r="2429" spans="16:16">
      <c r="P2429" s="75"/>
    </row>
    <row r="2430" spans="16:16">
      <c r="P2430" s="75"/>
    </row>
    <row r="2431" spans="16:16">
      <c r="P2431" s="75"/>
    </row>
    <row r="2432" spans="16:16">
      <c r="P2432" s="75"/>
    </row>
    <row r="2433" spans="16:16">
      <c r="P2433" s="75"/>
    </row>
    <row r="2434" spans="16:16">
      <c r="P2434" s="75"/>
    </row>
    <row r="2435" spans="16:16">
      <c r="P2435" s="75"/>
    </row>
    <row r="2436" spans="16:16">
      <c r="P2436" s="75"/>
    </row>
    <row r="2437" spans="16:16">
      <c r="P2437" s="75"/>
    </row>
    <row r="2438" spans="16:16">
      <c r="P2438" s="75"/>
    </row>
    <row r="2439" spans="16:16">
      <c r="P2439" s="75"/>
    </row>
    <row r="2440" spans="16:16">
      <c r="P2440" s="75"/>
    </row>
    <row r="2441" spans="16:16">
      <c r="P2441" s="75"/>
    </row>
    <row r="2442" spans="16:16">
      <c r="P2442" s="75"/>
    </row>
    <row r="2443" spans="16:16">
      <c r="P2443" s="75"/>
    </row>
    <row r="2444" spans="16:16">
      <c r="P2444" s="75"/>
    </row>
    <row r="2445" spans="16:16">
      <c r="P2445" s="75"/>
    </row>
    <row r="2446" spans="16:16">
      <c r="P2446" s="75"/>
    </row>
    <row r="2447" spans="16:16">
      <c r="P2447" s="75"/>
    </row>
    <row r="2448" spans="16:16">
      <c r="P2448" s="75"/>
    </row>
    <row r="2449" spans="16:16">
      <c r="P2449" s="75"/>
    </row>
    <row r="2450" spans="16:16">
      <c r="P2450" s="75"/>
    </row>
    <row r="2451" spans="16:16">
      <c r="P2451" s="75"/>
    </row>
    <row r="2452" spans="16:16">
      <c r="P2452" s="75"/>
    </row>
    <row r="2453" spans="16:16">
      <c r="P2453" s="75"/>
    </row>
    <row r="2454" spans="16:16">
      <c r="P2454" s="75"/>
    </row>
    <row r="2455" spans="16:16">
      <c r="P2455" s="75"/>
    </row>
    <row r="2456" spans="16:16">
      <c r="P2456" s="75"/>
    </row>
    <row r="2457" spans="16:16">
      <c r="P2457" s="75"/>
    </row>
    <row r="2458" spans="16:16">
      <c r="P2458" s="75"/>
    </row>
    <row r="2459" spans="16:16">
      <c r="P2459" s="75"/>
    </row>
    <row r="2460" spans="16:16">
      <c r="P2460" s="75"/>
    </row>
    <row r="2461" spans="16:16">
      <c r="P2461" s="75"/>
    </row>
    <row r="2462" spans="16:16">
      <c r="P2462" s="75"/>
    </row>
    <row r="2463" spans="16:16">
      <c r="P2463" s="75"/>
    </row>
    <row r="2464" spans="16:16">
      <c r="P2464" s="75"/>
    </row>
    <row r="2465" spans="16:16">
      <c r="P2465" s="75"/>
    </row>
    <row r="2466" spans="16:16">
      <c r="P2466" s="75"/>
    </row>
    <row r="2467" spans="16:16">
      <c r="P2467" s="75"/>
    </row>
    <row r="2468" spans="16:16">
      <c r="P2468" s="75"/>
    </row>
    <row r="2469" spans="16:16">
      <c r="P2469" s="75"/>
    </row>
    <row r="2470" spans="16:16">
      <c r="P2470" s="75"/>
    </row>
    <row r="2471" spans="16:16">
      <c r="P2471" s="75"/>
    </row>
    <row r="2472" spans="16:16">
      <c r="P2472" s="75"/>
    </row>
    <row r="2473" spans="16:16">
      <c r="P2473" s="75"/>
    </row>
    <row r="2474" spans="16:16">
      <c r="P2474" s="75"/>
    </row>
    <row r="2475" spans="16:16">
      <c r="P2475" s="75"/>
    </row>
    <row r="2476" spans="16:16">
      <c r="P2476" s="75"/>
    </row>
    <row r="2477" spans="16:16">
      <c r="P2477" s="75"/>
    </row>
    <row r="2478" spans="16:16">
      <c r="P2478" s="75"/>
    </row>
    <row r="2479" spans="16:16">
      <c r="P2479" s="75"/>
    </row>
    <row r="2480" spans="16:16">
      <c r="P2480" s="75"/>
    </row>
    <row r="2481" spans="16:16">
      <c r="P2481" s="75"/>
    </row>
    <row r="2482" spans="16:16">
      <c r="P2482" s="75"/>
    </row>
    <row r="2483" spans="16:16">
      <c r="P2483" s="75"/>
    </row>
    <row r="2484" spans="16:16">
      <c r="P2484" s="75"/>
    </row>
    <row r="2485" spans="16:16">
      <c r="P2485" s="75"/>
    </row>
    <row r="2486" spans="16:16">
      <c r="P2486" s="75"/>
    </row>
    <row r="2487" spans="16:16">
      <c r="P2487" s="75"/>
    </row>
    <row r="2488" spans="16:16">
      <c r="P2488" s="75"/>
    </row>
    <row r="2489" spans="16:16">
      <c r="P2489" s="75"/>
    </row>
    <row r="2490" spans="16:16">
      <c r="P2490" s="75"/>
    </row>
    <row r="2491" spans="16:16">
      <c r="P2491" s="75"/>
    </row>
    <row r="2492" spans="16:16">
      <c r="P2492" s="75"/>
    </row>
    <row r="2493" spans="16:16">
      <c r="P2493" s="75"/>
    </row>
    <row r="2494" spans="16:16">
      <c r="P2494" s="75"/>
    </row>
    <row r="2495" spans="16:16">
      <c r="P2495" s="75"/>
    </row>
    <row r="2496" spans="16:16">
      <c r="P2496" s="75"/>
    </row>
    <row r="2497" spans="16:16">
      <c r="P2497" s="75"/>
    </row>
    <row r="2498" spans="16:16">
      <c r="P2498" s="75"/>
    </row>
    <row r="2499" spans="16:16">
      <c r="P2499" s="75"/>
    </row>
    <row r="2500" spans="16:16">
      <c r="P2500" s="75"/>
    </row>
    <row r="2501" spans="16:16">
      <c r="P2501" s="75"/>
    </row>
    <row r="2502" spans="16:16">
      <c r="P2502" s="75"/>
    </row>
    <row r="2503" spans="16:16">
      <c r="P2503" s="75"/>
    </row>
    <row r="2504" spans="16:16">
      <c r="P2504" s="75"/>
    </row>
    <row r="2505" spans="16:16">
      <c r="P2505" s="75"/>
    </row>
    <row r="2506" spans="16:16">
      <c r="P2506" s="75"/>
    </row>
    <row r="2507" spans="16:16">
      <c r="P2507" s="75"/>
    </row>
    <row r="2508" spans="16:16">
      <c r="P2508" s="75"/>
    </row>
    <row r="2509" spans="16:16">
      <c r="P2509" s="75"/>
    </row>
    <row r="2510" spans="16:16">
      <c r="P2510" s="75"/>
    </row>
    <row r="2511" spans="16:16">
      <c r="P2511" s="75"/>
    </row>
    <row r="2512" spans="16:16">
      <c r="P2512" s="75"/>
    </row>
    <row r="2513" spans="16:16">
      <c r="P2513" s="75"/>
    </row>
    <row r="2514" spans="16:16">
      <c r="P2514" s="75"/>
    </row>
    <row r="2515" spans="16:16">
      <c r="P2515" s="75"/>
    </row>
    <row r="2516" spans="16:16">
      <c r="P2516" s="75"/>
    </row>
    <row r="2517" spans="16:16">
      <c r="P2517" s="75"/>
    </row>
    <row r="2518" spans="16:16">
      <c r="P2518" s="75"/>
    </row>
    <row r="2519" spans="16:16">
      <c r="P2519" s="75"/>
    </row>
    <row r="2520" spans="16:16">
      <c r="P2520" s="75"/>
    </row>
    <row r="2521" spans="16:16">
      <c r="P2521" s="75"/>
    </row>
    <row r="2522" spans="16:16">
      <c r="P2522" s="75"/>
    </row>
    <row r="2523" spans="16:16">
      <c r="P2523" s="75"/>
    </row>
    <row r="2524" spans="16:16">
      <c r="P2524" s="75"/>
    </row>
    <row r="2525" spans="16:16">
      <c r="P2525" s="75"/>
    </row>
    <row r="2526" spans="16:16">
      <c r="P2526" s="75"/>
    </row>
    <row r="2527" spans="16:16">
      <c r="P2527" s="75"/>
    </row>
    <row r="2528" spans="16:16">
      <c r="P2528" s="75"/>
    </row>
    <row r="2529" spans="16:16">
      <c r="P2529" s="75"/>
    </row>
    <row r="2530" spans="16:16">
      <c r="P2530" s="75"/>
    </row>
    <row r="2531" spans="16:16">
      <c r="P2531" s="75"/>
    </row>
    <row r="2532" spans="16:16">
      <c r="P2532" s="75"/>
    </row>
    <row r="2533" spans="16:16">
      <c r="P2533" s="75"/>
    </row>
    <row r="2534" spans="16:16">
      <c r="P2534" s="75"/>
    </row>
    <row r="2535" spans="16:16">
      <c r="P2535" s="75"/>
    </row>
    <row r="2536" spans="16:16">
      <c r="P2536" s="75"/>
    </row>
    <row r="2537" spans="16:16">
      <c r="P2537" s="75"/>
    </row>
    <row r="2538" spans="16:16">
      <c r="P2538" s="75"/>
    </row>
    <row r="2539" spans="16:16">
      <c r="P2539" s="75"/>
    </row>
    <row r="2540" spans="16:16">
      <c r="P2540" s="75"/>
    </row>
    <row r="2541" spans="16:16">
      <c r="P2541" s="75"/>
    </row>
    <row r="2542" spans="16:16">
      <c r="P2542" s="75"/>
    </row>
    <row r="2543" spans="16:16">
      <c r="P2543" s="75"/>
    </row>
    <row r="2544" spans="16:16">
      <c r="P2544" s="75"/>
    </row>
    <row r="2545" spans="16:16">
      <c r="P2545" s="75"/>
    </row>
    <row r="2546" spans="16:16">
      <c r="P2546" s="75"/>
    </row>
    <row r="2547" spans="16:16">
      <c r="P2547" s="75"/>
    </row>
    <row r="2548" spans="16:16">
      <c r="P2548" s="75"/>
    </row>
    <row r="2549" spans="16:16">
      <c r="P2549" s="75"/>
    </row>
    <row r="2550" spans="16:16">
      <c r="P2550" s="75"/>
    </row>
    <row r="2551" spans="16:16">
      <c r="P2551" s="75"/>
    </row>
    <row r="2552" spans="16:16">
      <c r="P2552" s="75"/>
    </row>
    <row r="2553" spans="16:16">
      <c r="P2553" s="75"/>
    </row>
    <row r="2554" spans="16:16">
      <c r="P2554" s="75"/>
    </row>
    <row r="2555" spans="16:16">
      <c r="P2555" s="75"/>
    </row>
    <row r="2556" spans="16:16">
      <c r="P2556" s="75"/>
    </row>
    <row r="2557" spans="16:16">
      <c r="P2557" s="75"/>
    </row>
    <row r="2558" spans="16:16">
      <c r="P2558" s="75"/>
    </row>
    <row r="2559" spans="16:16">
      <c r="P2559" s="75"/>
    </row>
    <row r="2560" spans="16:16">
      <c r="P2560" s="75"/>
    </row>
    <row r="2561" spans="14:16">
      <c r="P2561" s="75"/>
    </row>
    <row r="2562" spans="14:16">
      <c r="P2562" s="75"/>
    </row>
    <row r="2563" spans="14:16">
      <c r="P2563" s="75"/>
    </row>
    <row r="2564" spans="14:16">
      <c r="P2564" s="75"/>
    </row>
    <row r="2565" spans="14:16">
      <c r="P2565" s="75"/>
    </row>
    <row r="2566" spans="14:16">
      <c r="P2566" s="75"/>
    </row>
    <row r="2567" spans="14:16">
      <c r="P2567" s="75"/>
    </row>
    <row r="2568" spans="14:16">
      <c r="P2568" s="75"/>
    </row>
    <row r="2569" spans="14:16">
      <c r="P2569" s="75"/>
    </row>
    <row r="2570" spans="14:16">
      <c r="P2570" s="75"/>
    </row>
    <row r="2571" spans="14:16">
      <c r="P2571" s="75"/>
    </row>
    <row r="2572" spans="14:16">
      <c r="N2572" s="82"/>
      <c r="P2572" s="75"/>
    </row>
  </sheetData>
  <sortState xmlns:xlrd2="http://schemas.microsoft.com/office/spreadsheetml/2017/richdata2" ref="A7:B195">
    <sortCondition descending="1" ref="A6"/>
  </sortState>
  <mergeCells count="1">
    <mergeCell ref="H1:I2"/>
  </mergeCells>
  <conditionalFormatting sqref="H1">
    <cfRule type="containsText" dxfId="3" priority="1" operator="containsText" text="SELL">
      <formula>NOT(ISERROR(SEARCH("SELL",H1)))</formula>
    </cfRule>
    <cfRule type="containsText" dxfId="2" priority="2" operator="containsText" text="HOLD">
      <formula>NOT(ISERROR(SEARCH("HOLD",H1)))</formula>
    </cfRule>
    <cfRule type="containsText" dxfId="1" priority="3" operator="containsText" text="BUY">
      <formula>NOT(ISERROR(SEARCH("BUY",H1)))</formula>
    </cfRule>
    <cfRule type="containsText" dxfId="0" priority="4" operator="containsText" text="STRONG BUY">
      <formula>NOT(ISERROR(SEARCH("STRONG BUY",H1)))</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N1835"/>
  <sheetViews>
    <sheetView topLeftCell="B1" zoomScale="98" zoomScaleNormal="98" workbookViewId="0">
      <pane ySplit="3" topLeftCell="A1809" activePane="bottomLeft" state="frozen"/>
      <selection pane="bottomLeft" activeCell="G1640" sqref="G1640:G1828"/>
    </sheetView>
  </sheetViews>
  <sheetFormatPr defaultRowHeight="13.2" outlineLevelRow="1"/>
  <cols>
    <col min="1" max="2" width="16.44140625" style="191" customWidth="1"/>
    <col min="3" max="3" width="13.5546875" style="191" bestFit="1" customWidth="1"/>
    <col min="4" max="4" width="9.88671875" style="191" bestFit="1" customWidth="1"/>
    <col min="5" max="5" width="9.44140625" style="191" bestFit="1" customWidth="1"/>
    <col min="6" max="6" width="12.33203125" style="191" bestFit="1" customWidth="1"/>
    <col min="7" max="8" width="16.88671875" style="191" customWidth="1"/>
    <col min="9" max="9" width="14" style="191" bestFit="1" customWidth="1"/>
    <col min="10" max="12" width="9.109375" style="191"/>
    <col min="13" max="13" width="11" style="191" customWidth="1"/>
    <col min="14" max="256" width="9.109375" style="191"/>
    <col min="257" max="258" width="16.44140625" style="191" customWidth="1"/>
    <col min="259" max="261" width="16.5546875" style="191" customWidth="1"/>
    <col min="262" max="265" width="16.88671875" style="191" customWidth="1"/>
    <col min="266" max="512" width="9.109375" style="191"/>
    <col min="513" max="514" width="16.44140625" style="191" customWidth="1"/>
    <col min="515" max="517" width="16.5546875" style="191" customWidth="1"/>
    <col min="518" max="521" width="16.88671875" style="191" customWidth="1"/>
    <col min="522" max="768" width="9.109375" style="191"/>
    <col min="769" max="770" width="16.44140625" style="191" customWidth="1"/>
    <col min="771" max="773" width="16.5546875" style="191" customWidth="1"/>
    <col min="774" max="777" width="16.88671875" style="191" customWidth="1"/>
    <col min="778" max="1024" width="9.109375" style="191"/>
    <col min="1025" max="1026" width="16.44140625" style="191" customWidth="1"/>
    <col min="1027" max="1029" width="16.5546875" style="191" customWidth="1"/>
    <col min="1030" max="1033" width="16.88671875" style="191" customWidth="1"/>
    <col min="1034" max="1280" width="9.109375" style="191"/>
    <col min="1281" max="1282" width="16.44140625" style="191" customWidth="1"/>
    <col min="1283" max="1285" width="16.5546875" style="191" customWidth="1"/>
    <col min="1286" max="1289" width="16.88671875" style="191" customWidth="1"/>
    <col min="1290" max="1536" width="9.109375" style="191"/>
    <col min="1537" max="1538" width="16.44140625" style="191" customWidth="1"/>
    <col min="1539" max="1541" width="16.5546875" style="191" customWidth="1"/>
    <col min="1542" max="1545" width="16.88671875" style="191" customWidth="1"/>
    <col min="1546" max="1792" width="9.109375" style="191"/>
    <col min="1793" max="1794" width="16.44140625" style="191" customWidth="1"/>
    <col min="1795" max="1797" width="16.5546875" style="191" customWidth="1"/>
    <col min="1798" max="1801" width="16.88671875" style="191" customWidth="1"/>
    <col min="1802" max="2048" width="9.109375" style="191"/>
    <col min="2049" max="2050" width="16.44140625" style="191" customWidth="1"/>
    <col min="2051" max="2053" width="16.5546875" style="191" customWidth="1"/>
    <col min="2054" max="2057" width="16.88671875" style="191" customWidth="1"/>
    <col min="2058" max="2304" width="9.109375" style="191"/>
    <col min="2305" max="2306" width="16.44140625" style="191" customWidth="1"/>
    <col min="2307" max="2309" width="16.5546875" style="191" customWidth="1"/>
    <col min="2310" max="2313" width="16.88671875" style="191" customWidth="1"/>
    <col min="2314" max="2560" width="9.109375" style="191"/>
    <col min="2561" max="2562" width="16.44140625" style="191" customWidth="1"/>
    <col min="2563" max="2565" width="16.5546875" style="191" customWidth="1"/>
    <col min="2566" max="2569" width="16.88671875" style="191" customWidth="1"/>
    <col min="2570" max="2816" width="9.109375" style="191"/>
    <col min="2817" max="2818" width="16.44140625" style="191" customWidth="1"/>
    <col min="2819" max="2821" width="16.5546875" style="191" customWidth="1"/>
    <col min="2822" max="2825" width="16.88671875" style="191" customWidth="1"/>
    <col min="2826" max="3072" width="9.109375" style="191"/>
    <col min="3073" max="3074" width="16.44140625" style="191" customWidth="1"/>
    <col min="3075" max="3077" width="16.5546875" style="191" customWidth="1"/>
    <col min="3078" max="3081" width="16.88671875" style="191" customWidth="1"/>
    <col min="3082" max="3328" width="9.109375" style="191"/>
    <col min="3329" max="3330" width="16.44140625" style="191" customWidth="1"/>
    <col min="3331" max="3333" width="16.5546875" style="191" customWidth="1"/>
    <col min="3334" max="3337" width="16.88671875" style="191" customWidth="1"/>
    <col min="3338" max="3584" width="9.109375" style="191"/>
    <col min="3585" max="3586" width="16.44140625" style="191" customWidth="1"/>
    <col min="3587" max="3589" width="16.5546875" style="191" customWidth="1"/>
    <col min="3590" max="3593" width="16.88671875" style="191" customWidth="1"/>
    <col min="3594" max="3840" width="9.109375" style="191"/>
    <col min="3841" max="3842" width="16.44140625" style="191" customWidth="1"/>
    <col min="3843" max="3845" width="16.5546875" style="191" customWidth="1"/>
    <col min="3846" max="3849" width="16.88671875" style="191" customWidth="1"/>
    <col min="3850" max="4096" width="9.109375" style="191"/>
    <col min="4097" max="4098" width="16.44140625" style="191" customWidth="1"/>
    <col min="4099" max="4101" width="16.5546875" style="191" customWidth="1"/>
    <col min="4102" max="4105" width="16.88671875" style="191" customWidth="1"/>
    <col min="4106" max="4352" width="9.109375" style="191"/>
    <col min="4353" max="4354" width="16.44140625" style="191" customWidth="1"/>
    <col min="4355" max="4357" width="16.5546875" style="191" customWidth="1"/>
    <col min="4358" max="4361" width="16.88671875" style="191" customWidth="1"/>
    <col min="4362" max="4608" width="9.109375" style="191"/>
    <col min="4609" max="4610" width="16.44140625" style="191" customWidth="1"/>
    <col min="4611" max="4613" width="16.5546875" style="191" customWidth="1"/>
    <col min="4614" max="4617" width="16.88671875" style="191" customWidth="1"/>
    <col min="4618" max="4864" width="9.109375" style="191"/>
    <col min="4865" max="4866" width="16.44140625" style="191" customWidth="1"/>
    <col min="4867" max="4869" width="16.5546875" style="191" customWidth="1"/>
    <col min="4870" max="4873" width="16.88671875" style="191" customWidth="1"/>
    <col min="4874" max="5120" width="9.109375" style="191"/>
    <col min="5121" max="5122" width="16.44140625" style="191" customWidth="1"/>
    <col min="5123" max="5125" width="16.5546875" style="191" customWidth="1"/>
    <col min="5126" max="5129" width="16.88671875" style="191" customWidth="1"/>
    <col min="5130" max="5376" width="9.109375" style="191"/>
    <col min="5377" max="5378" width="16.44140625" style="191" customWidth="1"/>
    <col min="5379" max="5381" width="16.5546875" style="191" customWidth="1"/>
    <col min="5382" max="5385" width="16.88671875" style="191" customWidth="1"/>
    <col min="5386" max="5632" width="9.109375" style="191"/>
    <col min="5633" max="5634" width="16.44140625" style="191" customWidth="1"/>
    <col min="5635" max="5637" width="16.5546875" style="191" customWidth="1"/>
    <col min="5638" max="5641" width="16.88671875" style="191" customWidth="1"/>
    <col min="5642" max="5888" width="9.109375" style="191"/>
    <col min="5889" max="5890" width="16.44140625" style="191" customWidth="1"/>
    <col min="5891" max="5893" width="16.5546875" style="191" customWidth="1"/>
    <col min="5894" max="5897" width="16.88671875" style="191" customWidth="1"/>
    <col min="5898" max="6144" width="9.109375" style="191"/>
    <col min="6145" max="6146" width="16.44140625" style="191" customWidth="1"/>
    <col min="6147" max="6149" width="16.5546875" style="191" customWidth="1"/>
    <col min="6150" max="6153" width="16.88671875" style="191" customWidth="1"/>
    <col min="6154" max="6400" width="9.109375" style="191"/>
    <col min="6401" max="6402" width="16.44140625" style="191" customWidth="1"/>
    <col min="6403" max="6405" width="16.5546875" style="191" customWidth="1"/>
    <col min="6406" max="6409" width="16.88671875" style="191" customWidth="1"/>
    <col min="6410" max="6656" width="9.109375" style="191"/>
    <col min="6657" max="6658" width="16.44140625" style="191" customWidth="1"/>
    <col min="6659" max="6661" width="16.5546875" style="191" customWidth="1"/>
    <col min="6662" max="6665" width="16.88671875" style="191" customWidth="1"/>
    <col min="6666" max="6912" width="9.109375" style="191"/>
    <col min="6913" max="6914" width="16.44140625" style="191" customWidth="1"/>
    <col min="6915" max="6917" width="16.5546875" style="191" customWidth="1"/>
    <col min="6918" max="6921" width="16.88671875" style="191" customWidth="1"/>
    <col min="6922" max="7168" width="9.109375" style="191"/>
    <col min="7169" max="7170" width="16.44140625" style="191" customWidth="1"/>
    <col min="7171" max="7173" width="16.5546875" style="191" customWidth="1"/>
    <col min="7174" max="7177" width="16.88671875" style="191" customWidth="1"/>
    <col min="7178" max="7424" width="9.109375" style="191"/>
    <col min="7425" max="7426" width="16.44140625" style="191" customWidth="1"/>
    <col min="7427" max="7429" width="16.5546875" style="191" customWidth="1"/>
    <col min="7430" max="7433" width="16.88671875" style="191" customWidth="1"/>
    <col min="7434" max="7680" width="9.109375" style="191"/>
    <col min="7681" max="7682" width="16.44140625" style="191" customWidth="1"/>
    <col min="7683" max="7685" width="16.5546875" style="191" customWidth="1"/>
    <col min="7686" max="7689" width="16.88671875" style="191" customWidth="1"/>
    <col min="7690" max="7936" width="9.109375" style="191"/>
    <col min="7937" max="7938" width="16.44140625" style="191" customWidth="1"/>
    <col min="7939" max="7941" width="16.5546875" style="191" customWidth="1"/>
    <col min="7942" max="7945" width="16.88671875" style="191" customWidth="1"/>
    <col min="7946" max="8192" width="9.109375" style="191"/>
    <col min="8193" max="8194" width="16.44140625" style="191" customWidth="1"/>
    <col min="8195" max="8197" width="16.5546875" style="191" customWidth="1"/>
    <col min="8198" max="8201" width="16.88671875" style="191" customWidth="1"/>
    <col min="8202" max="8448" width="9.109375" style="191"/>
    <col min="8449" max="8450" width="16.44140625" style="191" customWidth="1"/>
    <col min="8451" max="8453" width="16.5546875" style="191" customWidth="1"/>
    <col min="8454" max="8457" width="16.88671875" style="191" customWidth="1"/>
    <col min="8458" max="8704" width="9.109375" style="191"/>
    <col min="8705" max="8706" width="16.44140625" style="191" customWidth="1"/>
    <col min="8707" max="8709" width="16.5546875" style="191" customWidth="1"/>
    <col min="8710" max="8713" width="16.88671875" style="191" customWidth="1"/>
    <col min="8714" max="8960" width="9.109375" style="191"/>
    <col min="8961" max="8962" width="16.44140625" style="191" customWidth="1"/>
    <col min="8963" max="8965" width="16.5546875" style="191" customWidth="1"/>
    <col min="8966" max="8969" width="16.88671875" style="191" customWidth="1"/>
    <col min="8970" max="9216" width="9.109375" style="191"/>
    <col min="9217" max="9218" width="16.44140625" style="191" customWidth="1"/>
    <col min="9219" max="9221" width="16.5546875" style="191" customWidth="1"/>
    <col min="9222" max="9225" width="16.88671875" style="191" customWidth="1"/>
    <col min="9226" max="9472" width="9.109375" style="191"/>
    <col min="9473" max="9474" width="16.44140625" style="191" customWidth="1"/>
    <col min="9475" max="9477" width="16.5546875" style="191" customWidth="1"/>
    <col min="9478" max="9481" width="16.88671875" style="191" customWidth="1"/>
    <col min="9482" max="9728" width="9.109375" style="191"/>
    <col min="9729" max="9730" width="16.44140625" style="191" customWidth="1"/>
    <col min="9731" max="9733" width="16.5546875" style="191" customWidth="1"/>
    <col min="9734" max="9737" width="16.88671875" style="191" customWidth="1"/>
    <col min="9738" max="9984" width="9.109375" style="191"/>
    <col min="9985" max="9986" width="16.44140625" style="191" customWidth="1"/>
    <col min="9987" max="9989" width="16.5546875" style="191" customWidth="1"/>
    <col min="9990" max="9993" width="16.88671875" style="191" customWidth="1"/>
    <col min="9994" max="10240" width="9.109375" style="191"/>
    <col min="10241" max="10242" width="16.44140625" style="191" customWidth="1"/>
    <col min="10243" max="10245" width="16.5546875" style="191" customWidth="1"/>
    <col min="10246" max="10249" width="16.88671875" style="191" customWidth="1"/>
    <col min="10250" max="10496" width="9.109375" style="191"/>
    <col min="10497" max="10498" width="16.44140625" style="191" customWidth="1"/>
    <col min="10499" max="10501" width="16.5546875" style="191" customWidth="1"/>
    <col min="10502" max="10505" width="16.88671875" style="191" customWidth="1"/>
    <col min="10506" max="10752" width="9.109375" style="191"/>
    <col min="10753" max="10754" width="16.44140625" style="191" customWidth="1"/>
    <col min="10755" max="10757" width="16.5546875" style="191" customWidth="1"/>
    <col min="10758" max="10761" width="16.88671875" style="191" customWidth="1"/>
    <col min="10762" max="11008" width="9.109375" style="191"/>
    <col min="11009" max="11010" width="16.44140625" style="191" customWidth="1"/>
    <col min="11011" max="11013" width="16.5546875" style="191" customWidth="1"/>
    <col min="11014" max="11017" width="16.88671875" style="191" customWidth="1"/>
    <col min="11018" max="11264" width="9.109375" style="191"/>
    <col min="11265" max="11266" width="16.44140625" style="191" customWidth="1"/>
    <col min="11267" max="11269" width="16.5546875" style="191" customWidth="1"/>
    <col min="11270" max="11273" width="16.88671875" style="191" customWidth="1"/>
    <col min="11274" max="11520" width="9.109375" style="191"/>
    <col min="11521" max="11522" width="16.44140625" style="191" customWidth="1"/>
    <col min="11523" max="11525" width="16.5546875" style="191" customWidth="1"/>
    <col min="11526" max="11529" width="16.88671875" style="191" customWidth="1"/>
    <col min="11530" max="11776" width="9.109375" style="191"/>
    <col min="11777" max="11778" width="16.44140625" style="191" customWidth="1"/>
    <col min="11779" max="11781" width="16.5546875" style="191" customWidth="1"/>
    <col min="11782" max="11785" width="16.88671875" style="191" customWidth="1"/>
    <col min="11786" max="12032" width="9.109375" style="191"/>
    <col min="12033" max="12034" width="16.44140625" style="191" customWidth="1"/>
    <col min="12035" max="12037" width="16.5546875" style="191" customWidth="1"/>
    <col min="12038" max="12041" width="16.88671875" style="191" customWidth="1"/>
    <col min="12042" max="12288" width="9.109375" style="191"/>
    <col min="12289" max="12290" width="16.44140625" style="191" customWidth="1"/>
    <col min="12291" max="12293" width="16.5546875" style="191" customWidth="1"/>
    <col min="12294" max="12297" width="16.88671875" style="191" customWidth="1"/>
    <col min="12298" max="12544" width="9.109375" style="191"/>
    <col min="12545" max="12546" width="16.44140625" style="191" customWidth="1"/>
    <col min="12547" max="12549" width="16.5546875" style="191" customWidth="1"/>
    <col min="12550" max="12553" width="16.88671875" style="191" customWidth="1"/>
    <col min="12554" max="12800" width="9.109375" style="191"/>
    <col min="12801" max="12802" width="16.44140625" style="191" customWidth="1"/>
    <col min="12803" max="12805" width="16.5546875" style="191" customWidth="1"/>
    <col min="12806" max="12809" width="16.88671875" style="191" customWidth="1"/>
    <col min="12810" max="13056" width="9.109375" style="191"/>
    <col min="13057" max="13058" width="16.44140625" style="191" customWidth="1"/>
    <col min="13059" max="13061" width="16.5546875" style="191" customWidth="1"/>
    <col min="13062" max="13065" width="16.88671875" style="191" customWidth="1"/>
    <col min="13066" max="13312" width="9.109375" style="191"/>
    <col min="13313" max="13314" width="16.44140625" style="191" customWidth="1"/>
    <col min="13315" max="13317" width="16.5546875" style="191" customWidth="1"/>
    <col min="13318" max="13321" width="16.88671875" style="191" customWidth="1"/>
    <col min="13322" max="13568" width="9.109375" style="191"/>
    <col min="13569" max="13570" width="16.44140625" style="191" customWidth="1"/>
    <col min="13571" max="13573" width="16.5546875" style="191" customWidth="1"/>
    <col min="13574" max="13577" width="16.88671875" style="191" customWidth="1"/>
    <col min="13578" max="13824" width="9.109375" style="191"/>
    <col min="13825" max="13826" width="16.44140625" style="191" customWidth="1"/>
    <col min="13827" max="13829" width="16.5546875" style="191" customWidth="1"/>
    <col min="13830" max="13833" width="16.88671875" style="191" customWidth="1"/>
    <col min="13834" max="14080" width="9.109375" style="191"/>
    <col min="14081" max="14082" width="16.44140625" style="191" customWidth="1"/>
    <col min="14083" max="14085" width="16.5546875" style="191" customWidth="1"/>
    <col min="14086" max="14089" width="16.88671875" style="191" customWidth="1"/>
    <col min="14090" max="14336" width="9.109375" style="191"/>
    <col min="14337" max="14338" width="16.44140625" style="191" customWidth="1"/>
    <col min="14339" max="14341" width="16.5546875" style="191" customWidth="1"/>
    <col min="14342" max="14345" width="16.88671875" style="191" customWidth="1"/>
    <col min="14346" max="14592" width="9.109375" style="191"/>
    <col min="14593" max="14594" width="16.44140625" style="191" customWidth="1"/>
    <col min="14595" max="14597" width="16.5546875" style="191" customWidth="1"/>
    <col min="14598" max="14601" width="16.88671875" style="191" customWidth="1"/>
    <col min="14602" max="14848" width="9.109375" style="191"/>
    <col min="14849" max="14850" width="16.44140625" style="191" customWidth="1"/>
    <col min="14851" max="14853" width="16.5546875" style="191" customWidth="1"/>
    <col min="14854" max="14857" width="16.88671875" style="191" customWidth="1"/>
    <col min="14858" max="15104" width="9.109375" style="191"/>
    <col min="15105" max="15106" width="16.44140625" style="191" customWidth="1"/>
    <col min="15107" max="15109" width="16.5546875" style="191" customWidth="1"/>
    <col min="15110" max="15113" width="16.88671875" style="191" customWidth="1"/>
    <col min="15114" max="15360" width="9.109375" style="191"/>
    <col min="15361" max="15362" width="16.44140625" style="191" customWidth="1"/>
    <col min="15363" max="15365" width="16.5546875" style="191" customWidth="1"/>
    <col min="15366" max="15369" width="16.88671875" style="191" customWidth="1"/>
    <col min="15370" max="15616" width="9.109375" style="191"/>
    <col min="15617" max="15618" width="16.44140625" style="191" customWidth="1"/>
    <col min="15619" max="15621" width="16.5546875" style="191" customWidth="1"/>
    <col min="15622" max="15625" width="16.88671875" style="191" customWidth="1"/>
    <col min="15626" max="15872" width="9.109375" style="191"/>
    <col min="15873" max="15874" width="16.44140625" style="191" customWidth="1"/>
    <col min="15875" max="15877" width="16.5546875" style="191" customWidth="1"/>
    <col min="15878" max="15881" width="16.88671875" style="191" customWidth="1"/>
    <col min="15882" max="16128" width="9.109375" style="191"/>
    <col min="16129" max="16130" width="16.44140625" style="191" customWidth="1"/>
    <col min="16131" max="16133" width="16.5546875" style="191" customWidth="1"/>
    <col min="16134" max="16137" width="16.88671875" style="191" customWidth="1"/>
    <col min="16138" max="16384" width="9.109375" style="191"/>
  </cols>
  <sheetData>
    <row r="1" spans="1:10" ht="16.8">
      <c r="A1" s="685" t="s">
        <v>461</v>
      </c>
      <c r="B1" s="686"/>
      <c r="C1" s="686"/>
      <c r="D1" s="686"/>
      <c r="E1" s="686"/>
      <c r="F1" s="686"/>
      <c r="G1" s="686"/>
      <c r="H1" s="686"/>
      <c r="I1" s="686"/>
    </row>
    <row r="3" spans="1:10" ht="14.4">
      <c r="A3" s="195" t="s">
        <v>462</v>
      </c>
      <c r="B3" s="195" t="s">
        <v>124</v>
      </c>
      <c r="C3" s="195" t="s">
        <v>463</v>
      </c>
      <c r="D3" s="195" t="s">
        <v>464</v>
      </c>
      <c r="E3" s="195" t="s">
        <v>465</v>
      </c>
      <c r="F3" s="195" t="s">
        <v>466</v>
      </c>
      <c r="G3" s="195" t="s">
        <v>3884</v>
      </c>
      <c r="H3" s="195" t="s">
        <v>2380</v>
      </c>
      <c r="I3" s="195" t="s">
        <v>467</v>
      </c>
      <c r="J3" s="196"/>
    </row>
    <row r="4" spans="1:10" ht="14.4">
      <c r="A4" s="195"/>
      <c r="B4" s="195"/>
      <c r="C4" s="195"/>
      <c r="D4" s="195"/>
      <c r="E4" s="195"/>
      <c r="F4" s="195"/>
      <c r="G4" s="195"/>
      <c r="H4" s="195"/>
      <c r="I4" s="195"/>
      <c r="J4" s="196"/>
    </row>
    <row r="5" spans="1:10" s="200" customFormat="1" ht="14.4" hidden="1" outlineLevel="1">
      <c r="A5" s="198" t="s">
        <v>351</v>
      </c>
      <c r="B5" s="199">
        <v>40269</v>
      </c>
      <c r="C5" s="198" t="s">
        <v>2365</v>
      </c>
      <c r="D5" s="198">
        <v>75.75</v>
      </c>
      <c r="E5" s="198" t="s">
        <v>980</v>
      </c>
      <c r="F5" s="198">
        <v>75</v>
      </c>
      <c r="G5" s="198">
        <f t="shared" ref="G5:G68" si="0">F5/2</f>
        <v>37.5</v>
      </c>
      <c r="H5" s="198">
        <v>62600</v>
      </c>
      <c r="I5" s="198" t="s">
        <v>2366</v>
      </c>
      <c r="J5" s="198">
        <f>AVERAGE(G5:G243)</f>
        <v>44.182635983263609</v>
      </c>
    </row>
    <row r="6" spans="1:10" customFormat="1" ht="14.4" hidden="1" outlineLevel="1">
      <c r="A6" s="196" t="s">
        <v>351</v>
      </c>
      <c r="B6" s="197">
        <v>40273</v>
      </c>
      <c r="C6" s="196" t="s">
        <v>1045</v>
      </c>
      <c r="D6" s="196">
        <v>77.5</v>
      </c>
      <c r="E6" s="196" t="s">
        <v>972</v>
      </c>
      <c r="F6" s="196">
        <v>77.25</v>
      </c>
      <c r="G6" s="196">
        <f t="shared" si="0"/>
        <v>38.625</v>
      </c>
      <c r="H6" s="196">
        <v>900</v>
      </c>
      <c r="I6" s="196" t="s">
        <v>2364</v>
      </c>
      <c r="J6" s="196"/>
    </row>
    <row r="7" spans="1:10" customFormat="1" ht="14.4" hidden="1" outlineLevel="1">
      <c r="A7" s="196" t="s">
        <v>351</v>
      </c>
      <c r="B7" s="197">
        <v>40274</v>
      </c>
      <c r="C7" s="196" t="s">
        <v>974</v>
      </c>
      <c r="D7" s="196">
        <v>81</v>
      </c>
      <c r="E7" s="196" t="s">
        <v>974</v>
      </c>
      <c r="F7" s="196">
        <v>80</v>
      </c>
      <c r="G7" s="196">
        <f t="shared" si="0"/>
        <v>40</v>
      </c>
      <c r="H7" s="196">
        <v>84200</v>
      </c>
      <c r="I7" s="196" t="s">
        <v>2363</v>
      </c>
      <c r="J7" s="196"/>
    </row>
    <row r="8" spans="1:10" customFormat="1" ht="14.4" hidden="1" outlineLevel="1">
      <c r="A8" s="196" t="s">
        <v>351</v>
      </c>
      <c r="B8" s="197">
        <v>40275</v>
      </c>
      <c r="C8" s="196" t="s">
        <v>952</v>
      </c>
      <c r="D8" s="196">
        <v>82</v>
      </c>
      <c r="E8" s="196" t="s">
        <v>1010</v>
      </c>
      <c r="F8" s="196">
        <v>81</v>
      </c>
      <c r="G8" s="196">
        <f t="shared" si="0"/>
        <v>40.5</v>
      </c>
      <c r="H8" s="196">
        <v>71800</v>
      </c>
      <c r="I8" s="196" t="s">
        <v>2362</v>
      </c>
      <c r="J8" s="196"/>
    </row>
    <row r="9" spans="1:10" customFormat="1" ht="14.4" hidden="1" outlineLevel="1">
      <c r="A9" s="196" t="s">
        <v>351</v>
      </c>
      <c r="B9" s="197">
        <v>40276</v>
      </c>
      <c r="C9" s="196" t="s">
        <v>1007</v>
      </c>
      <c r="D9" s="196">
        <v>83.25</v>
      </c>
      <c r="E9" s="196" t="s">
        <v>952</v>
      </c>
      <c r="F9" s="196">
        <v>83</v>
      </c>
      <c r="G9" s="196">
        <f t="shared" si="0"/>
        <v>41.5</v>
      </c>
      <c r="H9" s="196">
        <v>126300</v>
      </c>
      <c r="I9" s="196" t="s">
        <v>2361</v>
      </c>
      <c r="J9" s="196"/>
    </row>
    <row r="10" spans="1:10" customFormat="1" ht="14.4" hidden="1" outlineLevel="1">
      <c r="A10" s="196" t="s">
        <v>351</v>
      </c>
      <c r="B10" s="197">
        <v>40280</v>
      </c>
      <c r="C10" s="196" t="s">
        <v>2164</v>
      </c>
      <c r="D10" s="196">
        <v>84</v>
      </c>
      <c r="E10" s="196" t="s">
        <v>2164</v>
      </c>
      <c r="F10" s="196">
        <v>84</v>
      </c>
      <c r="G10" s="196">
        <f t="shared" si="0"/>
        <v>42</v>
      </c>
      <c r="H10" s="196">
        <v>43600</v>
      </c>
      <c r="I10" s="196" t="s">
        <v>2360</v>
      </c>
      <c r="J10" s="196"/>
    </row>
    <row r="11" spans="1:10" customFormat="1" ht="14.4" hidden="1" outlineLevel="1">
      <c r="A11" s="196" t="s">
        <v>351</v>
      </c>
      <c r="B11" s="197">
        <v>40283</v>
      </c>
      <c r="C11" s="196" t="s">
        <v>2358</v>
      </c>
      <c r="D11" s="196">
        <v>84.25</v>
      </c>
      <c r="E11" s="196" t="s">
        <v>2358</v>
      </c>
      <c r="F11" s="196">
        <v>84</v>
      </c>
      <c r="G11" s="196">
        <f t="shared" si="0"/>
        <v>42</v>
      </c>
      <c r="H11" s="196">
        <v>55700</v>
      </c>
      <c r="I11" s="196" t="s">
        <v>2359</v>
      </c>
      <c r="J11" s="196"/>
    </row>
    <row r="12" spans="1:10" customFormat="1" ht="14.4" hidden="1" outlineLevel="1">
      <c r="A12" s="196" t="s">
        <v>351</v>
      </c>
      <c r="B12" s="197">
        <v>40284</v>
      </c>
      <c r="C12" s="196" t="s">
        <v>947</v>
      </c>
      <c r="D12" s="196">
        <v>84</v>
      </c>
      <c r="E12" s="196" t="s">
        <v>1019</v>
      </c>
      <c r="F12" s="196">
        <v>82.5</v>
      </c>
      <c r="G12" s="196">
        <f t="shared" si="0"/>
        <v>41.25</v>
      </c>
      <c r="H12" s="196">
        <v>4100</v>
      </c>
      <c r="I12" s="196" t="s">
        <v>2357</v>
      </c>
      <c r="J12" s="196"/>
    </row>
    <row r="13" spans="1:10" customFormat="1" ht="14.4" hidden="1" outlineLevel="1">
      <c r="A13" s="196" t="s">
        <v>351</v>
      </c>
      <c r="B13" s="197">
        <v>40287</v>
      </c>
      <c r="C13" s="196" t="s">
        <v>1019</v>
      </c>
      <c r="D13" s="196">
        <v>84</v>
      </c>
      <c r="E13" s="196" t="s">
        <v>2355</v>
      </c>
      <c r="F13" s="196">
        <v>83.75</v>
      </c>
      <c r="G13" s="196">
        <f t="shared" si="0"/>
        <v>41.875</v>
      </c>
      <c r="H13" s="196">
        <v>105900</v>
      </c>
      <c r="I13" s="196" t="s">
        <v>2356</v>
      </c>
      <c r="J13" s="196"/>
    </row>
    <row r="14" spans="1:10" customFormat="1" ht="14.4" hidden="1" outlineLevel="1">
      <c r="A14" s="196" t="s">
        <v>351</v>
      </c>
      <c r="B14" s="197">
        <v>40288</v>
      </c>
      <c r="C14" s="196" t="s">
        <v>1019</v>
      </c>
      <c r="D14" s="196">
        <v>83</v>
      </c>
      <c r="E14" s="196" t="s">
        <v>1007</v>
      </c>
      <c r="F14" s="196">
        <v>82.5</v>
      </c>
      <c r="G14" s="196">
        <f t="shared" si="0"/>
        <v>41.25</v>
      </c>
      <c r="H14" s="196">
        <v>10200</v>
      </c>
      <c r="I14" s="196" t="s">
        <v>2354</v>
      </c>
      <c r="J14" s="196"/>
    </row>
    <row r="15" spans="1:10" ht="14.4" hidden="1" outlineLevel="1">
      <c r="A15" s="196" t="s">
        <v>351</v>
      </c>
      <c r="B15" s="197">
        <v>40289</v>
      </c>
      <c r="C15" s="196" t="s">
        <v>2177</v>
      </c>
      <c r="D15" s="196">
        <v>82.25</v>
      </c>
      <c r="E15" s="196" t="s">
        <v>2177</v>
      </c>
      <c r="F15" s="196">
        <v>82</v>
      </c>
      <c r="G15" s="196">
        <f t="shared" si="0"/>
        <v>41</v>
      </c>
      <c r="H15" s="196">
        <v>27500</v>
      </c>
      <c r="I15" s="196" t="s">
        <v>2353</v>
      </c>
      <c r="J15" s="196"/>
    </row>
    <row r="16" spans="1:10" ht="14.4" hidden="1" outlineLevel="1">
      <c r="A16" s="196" t="s">
        <v>351</v>
      </c>
      <c r="B16" s="197">
        <v>40290</v>
      </c>
      <c r="C16" s="196" t="s">
        <v>1019</v>
      </c>
      <c r="D16" s="196">
        <v>82.5</v>
      </c>
      <c r="E16" s="196" t="s">
        <v>950</v>
      </c>
      <c r="F16" s="196">
        <v>80</v>
      </c>
      <c r="G16" s="196">
        <f t="shared" si="0"/>
        <v>40</v>
      </c>
      <c r="H16" s="196">
        <v>40200</v>
      </c>
      <c r="I16" s="196" t="s">
        <v>2352</v>
      </c>
      <c r="J16" s="196"/>
    </row>
    <row r="17" spans="1:10" ht="14.4" hidden="1" outlineLevel="1">
      <c r="A17" s="196" t="s">
        <v>351</v>
      </c>
      <c r="B17" s="197">
        <v>40291</v>
      </c>
      <c r="C17" s="196" t="s">
        <v>950</v>
      </c>
      <c r="D17" s="196">
        <v>84</v>
      </c>
      <c r="E17" s="196" t="s">
        <v>950</v>
      </c>
      <c r="F17" s="196">
        <v>83.5</v>
      </c>
      <c r="G17" s="196">
        <f t="shared" si="0"/>
        <v>41.75</v>
      </c>
      <c r="H17" s="196">
        <v>133600</v>
      </c>
      <c r="I17" s="196" t="s">
        <v>2351</v>
      </c>
      <c r="J17" s="196"/>
    </row>
    <row r="18" spans="1:10" ht="14.4" hidden="1" outlineLevel="1">
      <c r="A18" s="196" t="s">
        <v>351</v>
      </c>
      <c r="B18" s="197">
        <v>40294</v>
      </c>
      <c r="C18" s="196" t="s">
        <v>1013</v>
      </c>
      <c r="D18" s="196">
        <v>83</v>
      </c>
      <c r="E18" s="196" t="s">
        <v>2341</v>
      </c>
      <c r="F18" s="196">
        <v>80.75</v>
      </c>
      <c r="G18" s="196">
        <f t="shared" si="0"/>
        <v>40.375</v>
      </c>
      <c r="H18" s="196">
        <v>23100</v>
      </c>
      <c r="I18" s="196" t="s">
        <v>2350</v>
      </c>
      <c r="J18" s="196"/>
    </row>
    <row r="19" spans="1:10" ht="14.4" hidden="1" outlineLevel="1">
      <c r="A19" s="196" t="s">
        <v>351</v>
      </c>
      <c r="B19" s="197">
        <v>40295</v>
      </c>
      <c r="C19" s="196" t="s">
        <v>952</v>
      </c>
      <c r="D19" s="196">
        <v>81.5</v>
      </c>
      <c r="E19" s="196" t="s">
        <v>1010</v>
      </c>
      <c r="F19" s="196">
        <v>81</v>
      </c>
      <c r="G19" s="196">
        <f t="shared" si="0"/>
        <v>40.5</v>
      </c>
      <c r="H19" s="196">
        <v>10500</v>
      </c>
      <c r="I19" s="196" t="s">
        <v>2349</v>
      </c>
      <c r="J19" s="196"/>
    </row>
    <row r="20" spans="1:10" ht="14.4" hidden="1" outlineLevel="1">
      <c r="A20" s="196" t="s">
        <v>351</v>
      </c>
      <c r="B20" s="197">
        <v>40297</v>
      </c>
      <c r="C20" s="196" t="s">
        <v>2345</v>
      </c>
      <c r="D20" s="196">
        <v>81.25</v>
      </c>
      <c r="E20" s="196" t="s">
        <v>952</v>
      </c>
      <c r="F20" s="196">
        <v>81</v>
      </c>
      <c r="G20" s="196">
        <f t="shared" si="0"/>
        <v>40.5</v>
      </c>
      <c r="H20" s="196">
        <v>15700</v>
      </c>
      <c r="I20" s="196" t="s">
        <v>2348</v>
      </c>
      <c r="J20" s="196"/>
    </row>
    <row r="21" spans="1:10" ht="14.4" hidden="1" outlineLevel="1">
      <c r="A21" s="196" t="s">
        <v>351</v>
      </c>
      <c r="B21" s="197">
        <v>40298</v>
      </c>
      <c r="C21" s="196" t="s">
        <v>952</v>
      </c>
      <c r="D21" s="196">
        <v>82.25</v>
      </c>
      <c r="E21" s="196" t="s">
        <v>952</v>
      </c>
      <c r="F21" s="196">
        <v>81</v>
      </c>
      <c r="G21" s="196">
        <f t="shared" si="0"/>
        <v>40.5</v>
      </c>
      <c r="H21" s="196">
        <v>35100</v>
      </c>
      <c r="I21" s="196" t="s">
        <v>2347</v>
      </c>
      <c r="J21" s="196"/>
    </row>
    <row r="22" spans="1:10" ht="14.4" hidden="1" outlineLevel="1">
      <c r="A22" s="196" t="s">
        <v>351</v>
      </c>
      <c r="B22" s="197">
        <v>40301</v>
      </c>
      <c r="C22" s="196" t="s">
        <v>1007</v>
      </c>
      <c r="D22" s="196">
        <v>82.25</v>
      </c>
      <c r="E22" s="196" t="s">
        <v>2345</v>
      </c>
      <c r="F22" s="196">
        <v>82</v>
      </c>
      <c r="G22" s="196">
        <f t="shared" si="0"/>
        <v>41</v>
      </c>
      <c r="H22" s="196">
        <v>8300</v>
      </c>
      <c r="I22" s="196" t="s">
        <v>2346</v>
      </c>
      <c r="J22" s="196"/>
    </row>
    <row r="23" spans="1:10" ht="14.4" hidden="1" outlineLevel="1">
      <c r="A23" s="196" t="s">
        <v>351</v>
      </c>
      <c r="B23" s="197">
        <v>40302</v>
      </c>
      <c r="C23" s="196" t="s">
        <v>952</v>
      </c>
      <c r="D23" s="196">
        <v>81</v>
      </c>
      <c r="E23" s="196" t="s">
        <v>952</v>
      </c>
      <c r="F23" s="196">
        <v>81</v>
      </c>
      <c r="G23" s="196">
        <f t="shared" si="0"/>
        <v>40.5</v>
      </c>
      <c r="H23" s="196">
        <v>2600</v>
      </c>
      <c r="I23" s="196" t="s">
        <v>2344</v>
      </c>
      <c r="J23" s="196"/>
    </row>
    <row r="24" spans="1:10" ht="14.4" hidden="1" outlineLevel="1">
      <c r="A24" s="196" t="s">
        <v>351</v>
      </c>
      <c r="B24" s="197">
        <v>40303</v>
      </c>
      <c r="C24" s="196" t="s">
        <v>1010</v>
      </c>
      <c r="D24" s="196">
        <v>81</v>
      </c>
      <c r="E24" s="196" t="s">
        <v>950</v>
      </c>
      <c r="F24" s="196">
        <v>80.25</v>
      </c>
      <c r="G24" s="196">
        <f t="shared" si="0"/>
        <v>40.125</v>
      </c>
      <c r="H24" s="196">
        <v>20700</v>
      </c>
      <c r="I24" s="196" t="s">
        <v>2343</v>
      </c>
      <c r="J24" s="196"/>
    </row>
    <row r="25" spans="1:10" ht="14.4" hidden="1" outlineLevel="1">
      <c r="A25" s="196" t="s">
        <v>351</v>
      </c>
      <c r="B25" s="197">
        <v>40304</v>
      </c>
      <c r="C25" s="196" t="s">
        <v>2341</v>
      </c>
      <c r="D25" s="196">
        <v>81</v>
      </c>
      <c r="E25" s="196" t="s">
        <v>1001</v>
      </c>
      <c r="F25" s="196">
        <v>81</v>
      </c>
      <c r="G25" s="196">
        <f t="shared" si="0"/>
        <v>40.5</v>
      </c>
      <c r="H25" s="196">
        <v>19400</v>
      </c>
      <c r="I25" s="196" t="s">
        <v>2342</v>
      </c>
      <c r="J25" s="196"/>
    </row>
    <row r="26" spans="1:10" ht="14.4" hidden="1" outlineLevel="1">
      <c r="A26" s="196" t="s">
        <v>351</v>
      </c>
      <c r="B26" s="197">
        <v>40305</v>
      </c>
      <c r="C26" s="196" t="s">
        <v>2339</v>
      </c>
      <c r="D26" s="196">
        <v>80.75</v>
      </c>
      <c r="E26" s="196" t="s">
        <v>950</v>
      </c>
      <c r="F26" s="196">
        <v>80</v>
      </c>
      <c r="G26" s="196">
        <f t="shared" si="0"/>
        <v>40</v>
      </c>
      <c r="H26" s="196">
        <v>24000</v>
      </c>
      <c r="I26" s="196" t="s">
        <v>2340</v>
      </c>
      <c r="J26" s="196"/>
    </row>
    <row r="27" spans="1:10" ht="14.4" hidden="1" outlineLevel="1">
      <c r="A27" s="196" t="s">
        <v>351</v>
      </c>
      <c r="B27" s="197">
        <v>40308</v>
      </c>
      <c r="C27" s="196" t="s">
        <v>950</v>
      </c>
      <c r="D27" s="196">
        <v>80.75</v>
      </c>
      <c r="E27" s="196" t="s">
        <v>2337</v>
      </c>
      <c r="F27" s="196">
        <v>80</v>
      </c>
      <c r="G27" s="196">
        <f t="shared" si="0"/>
        <v>40</v>
      </c>
      <c r="H27" s="196">
        <v>73600</v>
      </c>
      <c r="I27" s="196" t="s">
        <v>2338</v>
      </c>
      <c r="J27" s="196"/>
    </row>
    <row r="28" spans="1:10" ht="14.4" hidden="1" outlineLevel="1">
      <c r="A28" s="196" t="s">
        <v>351</v>
      </c>
      <c r="B28" s="197">
        <v>40309</v>
      </c>
      <c r="C28" s="196" t="s">
        <v>1001</v>
      </c>
      <c r="D28" s="196">
        <v>80</v>
      </c>
      <c r="E28" s="196" t="s">
        <v>1001</v>
      </c>
      <c r="F28" s="196">
        <v>80</v>
      </c>
      <c r="G28" s="196">
        <f t="shared" si="0"/>
        <v>40</v>
      </c>
      <c r="H28" s="196">
        <v>35800</v>
      </c>
      <c r="I28" s="196" t="s">
        <v>2336</v>
      </c>
      <c r="J28" s="196"/>
    </row>
    <row r="29" spans="1:10" ht="14.4" hidden="1" outlineLevel="1">
      <c r="A29" s="196" t="s">
        <v>351</v>
      </c>
      <c r="B29" s="197">
        <v>40310</v>
      </c>
      <c r="C29" s="196" t="s">
        <v>1001</v>
      </c>
      <c r="D29" s="196">
        <v>80</v>
      </c>
      <c r="E29" s="196" t="s">
        <v>1001</v>
      </c>
      <c r="F29" s="196">
        <v>80</v>
      </c>
      <c r="G29" s="196">
        <f t="shared" si="0"/>
        <v>40</v>
      </c>
      <c r="H29" s="196">
        <v>12000</v>
      </c>
      <c r="I29" s="196" t="s">
        <v>2335</v>
      </c>
      <c r="J29" s="196"/>
    </row>
    <row r="30" spans="1:10" ht="14.4" hidden="1" outlineLevel="1">
      <c r="A30" s="196" t="s">
        <v>351</v>
      </c>
      <c r="B30" s="197">
        <v>40311</v>
      </c>
      <c r="C30" s="196" t="s">
        <v>950</v>
      </c>
      <c r="D30" s="196">
        <v>80</v>
      </c>
      <c r="E30" s="196" t="s">
        <v>950</v>
      </c>
      <c r="F30" s="196">
        <v>80</v>
      </c>
      <c r="G30" s="196">
        <f t="shared" si="0"/>
        <v>40</v>
      </c>
      <c r="H30" s="196">
        <v>18100</v>
      </c>
      <c r="I30" s="196" t="s">
        <v>2334</v>
      </c>
      <c r="J30" s="196"/>
    </row>
    <row r="31" spans="1:10" ht="14.4" hidden="1" outlineLevel="1">
      <c r="A31" s="196" t="s">
        <v>351</v>
      </c>
      <c r="B31" s="197">
        <v>40312</v>
      </c>
      <c r="C31" s="196" t="s">
        <v>950</v>
      </c>
      <c r="D31" s="196">
        <v>80.25</v>
      </c>
      <c r="E31" s="196" t="s">
        <v>950</v>
      </c>
      <c r="F31" s="196">
        <v>80</v>
      </c>
      <c r="G31" s="196">
        <f t="shared" si="0"/>
        <v>40</v>
      </c>
      <c r="H31" s="196">
        <v>19100</v>
      </c>
      <c r="I31" s="196" t="s">
        <v>2333</v>
      </c>
      <c r="J31" s="196"/>
    </row>
    <row r="32" spans="1:10" ht="14.4" hidden="1" outlineLevel="1">
      <c r="A32" s="196" t="s">
        <v>351</v>
      </c>
      <c r="B32" s="197">
        <v>40315</v>
      </c>
      <c r="C32" s="196" t="s">
        <v>1001</v>
      </c>
      <c r="D32" s="196">
        <v>80.5</v>
      </c>
      <c r="E32" s="196" t="s">
        <v>962</v>
      </c>
      <c r="F32" s="196">
        <v>80</v>
      </c>
      <c r="G32" s="196">
        <f t="shared" si="0"/>
        <v>40</v>
      </c>
      <c r="H32" s="196">
        <v>11300</v>
      </c>
      <c r="I32" s="196" t="s">
        <v>2332</v>
      </c>
      <c r="J32" s="196"/>
    </row>
    <row r="33" spans="1:10" ht="14.4" hidden="1" outlineLevel="1">
      <c r="A33" s="196" t="s">
        <v>351</v>
      </c>
      <c r="B33" s="197">
        <v>40316</v>
      </c>
      <c r="C33" s="196" t="s">
        <v>950</v>
      </c>
      <c r="D33" s="196">
        <v>82</v>
      </c>
      <c r="E33" s="196" t="s">
        <v>950</v>
      </c>
      <c r="F33" s="196">
        <v>80</v>
      </c>
      <c r="G33" s="196">
        <f t="shared" si="0"/>
        <v>40</v>
      </c>
      <c r="H33" s="196">
        <v>253700</v>
      </c>
      <c r="I33" s="196" t="s">
        <v>2331</v>
      </c>
      <c r="J33" s="196"/>
    </row>
    <row r="34" spans="1:10" ht="14.4" hidden="1" outlineLevel="1">
      <c r="A34" s="196" t="s">
        <v>351</v>
      </c>
      <c r="B34" s="197">
        <v>40317</v>
      </c>
      <c r="C34" s="196" t="s">
        <v>950</v>
      </c>
      <c r="D34" s="196">
        <v>82</v>
      </c>
      <c r="E34" s="196" t="s">
        <v>950</v>
      </c>
      <c r="F34" s="196">
        <v>80</v>
      </c>
      <c r="G34" s="196">
        <f t="shared" si="0"/>
        <v>40</v>
      </c>
      <c r="H34" s="196">
        <v>28600</v>
      </c>
      <c r="I34" s="196" t="s">
        <v>2330</v>
      </c>
      <c r="J34" s="196"/>
    </row>
    <row r="35" spans="1:10" ht="14.4" hidden="1" outlineLevel="1">
      <c r="A35" s="196" t="s">
        <v>351</v>
      </c>
      <c r="B35" s="197">
        <v>40318</v>
      </c>
      <c r="C35" s="196" t="s">
        <v>950</v>
      </c>
      <c r="D35" s="196">
        <v>80</v>
      </c>
      <c r="E35" s="196" t="s">
        <v>1001</v>
      </c>
      <c r="F35" s="196">
        <v>79.5</v>
      </c>
      <c r="G35" s="196">
        <f t="shared" si="0"/>
        <v>39.75</v>
      </c>
      <c r="H35" s="196">
        <v>3700</v>
      </c>
      <c r="I35" s="196" t="s">
        <v>2329</v>
      </c>
      <c r="J35" s="196"/>
    </row>
    <row r="36" spans="1:10" ht="14.4" hidden="1" outlineLevel="1">
      <c r="A36" s="196" t="s">
        <v>351</v>
      </c>
      <c r="B36" s="197">
        <v>40319</v>
      </c>
      <c r="C36" s="196" t="s">
        <v>1001</v>
      </c>
      <c r="D36" s="196">
        <v>80</v>
      </c>
      <c r="E36" s="196" t="s">
        <v>1001</v>
      </c>
      <c r="F36" s="196">
        <v>79.75</v>
      </c>
      <c r="G36" s="196">
        <f t="shared" si="0"/>
        <v>39.875</v>
      </c>
      <c r="H36" s="196">
        <v>4800</v>
      </c>
      <c r="I36" s="196" t="s">
        <v>2328</v>
      </c>
      <c r="J36" s="196"/>
    </row>
    <row r="37" spans="1:10" ht="14.4" hidden="1" outlineLevel="1">
      <c r="A37" s="196" t="s">
        <v>351</v>
      </c>
      <c r="B37" s="197">
        <v>40322</v>
      </c>
      <c r="C37" s="196" t="s">
        <v>1001</v>
      </c>
      <c r="D37" s="196">
        <v>80</v>
      </c>
      <c r="E37" s="196" t="s">
        <v>2326</v>
      </c>
      <c r="F37" s="196">
        <v>78.5</v>
      </c>
      <c r="G37" s="196">
        <f t="shared" si="0"/>
        <v>39.25</v>
      </c>
      <c r="H37" s="196">
        <v>21900</v>
      </c>
      <c r="I37" s="196" t="s">
        <v>2327</v>
      </c>
      <c r="J37" s="196"/>
    </row>
    <row r="38" spans="1:10" ht="14.4" hidden="1" outlineLevel="1">
      <c r="A38" s="196" t="s">
        <v>351</v>
      </c>
      <c r="B38" s="197">
        <v>40323</v>
      </c>
      <c r="C38" s="196" t="s">
        <v>992</v>
      </c>
      <c r="D38" s="196">
        <v>78.5</v>
      </c>
      <c r="E38" s="196" t="s">
        <v>962</v>
      </c>
      <c r="F38" s="196">
        <v>78</v>
      </c>
      <c r="G38" s="196">
        <f t="shared" si="0"/>
        <v>39</v>
      </c>
      <c r="H38" s="196">
        <v>4900</v>
      </c>
      <c r="I38" s="196" t="s">
        <v>2325</v>
      </c>
      <c r="J38" s="196"/>
    </row>
    <row r="39" spans="1:10" ht="14.4" hidden="1" outlineLevel="1">
      <c r="A39" s="196" t="s">
        <v>351</v>
      </c>
      <c r="B39" s="197">
        <v>40324</v>
      </c>
      <c r="C39" s="196" t="s">
        <v>962</v>
      </c>
      <c r="D39" s="196">
        <v>78</v>
      </c>
      <c r="E39" s="196" t="s">
        <v>2320</v>
      </c>
      <c r="F39" s="196">
        <v>77.75</v>
      </c>
      <c r="G39" s="196">
        <f t="shared" si="0"/>
        <v>38.875</v>
      </c>
      <c r="H39" s="196">
        <v>2300</v>
      </c>
      <c r="I39" s="196" t="s">
        <v>2324</v>
      </c>
      <c r="J39" s="196"/>
    </row>
    <row r="40" spans="1:10" ht="14.4" hidden="1" outlineLevel="1">
      <c r="A40" s="196" t="s">
        <v>351</v>
      </c>
      <c r="B40" s="197">
        <v>40329</v>
      </c>
      <c r="C40" s="196" t="s">
        <v>2320</v>
      </c>
      <c r="D40" s="196">
        <v>79.75</v>
      </c>
      <c r="E40" s="196" t="s">
        <v>1045</v>
      </c>
      <c r="F40" s="196">
        <v>78.75</v>
      </c>
      <c r="G40" s="196">
        <f t="shared" si="0"/>
        <v>39.375</v>
      </c>
      <c r="H40" s="196">
        <v>9300</v>
      </c>
      <c r="I40" s="196" t="s">
        <v>2323</v>
      </c>
      <c r="J40" s="196"/>
    </row>
    <row r="41" spans="1:10" ht="14.4" hidden="1" outlineLevel="1">
      <c r="A41" s="196" t="s">
        <v>351</v>
      </c>
      <c r="B41" s="197">
        <v>40330</v>
      </c>
      <c r="C41" s="196" t="s">
        <v>962</v>
      </c>
      <c r="D41" s="196">
        <v>78.25</v>
      </c>
      <c r="E41" s="196" t="s">
        <v>962</v>
      </c>
      <c r="F41" s="196">
        <v>78</v>
      </c>
      <c r="G41" s="196">
        <f t="shared" si="0"/>
        <v>39</v>
      </c>
      <c r="H41" s="196">
        <v>48400</v>
      </c>
      <c r="I41" s="196" t="s">
        <v>2322</v>
      </c>
      <c r="J41" s="196"/>
    </row>
    <row r="42" spans="1:10" ht="14.4" hidden="1" outlineLevel="1">
      <c r="A42" s="196" t="s">
        <v>351</v>
      </c>
      <c r="B42" s="197">
        <v>40331</v>
      </c>
      <c r="C42" s="196" t="s">
        <v>997</v>
      </c>
      <c r="D42" s="196">
        <v>79</v>
      </c>
      <c r="E42" s="196" t="s">
        <v>2320</v>
      </c>
      <c r="F42" s="196">
        <v>78</v>
      </c>
      <c r="G42" s="196">
        <f t="shared" si="0"/>
        <v>39</v>
      </c>
      <c r="H42" s="196">
        <v>254400</v>
      </c>
      <c r="I42" s="196" t="s">
        <v>2321</v>
      </c>
      <c r="J42" s="196"/>
    </row>
    <row r="43" spans="1:10" ht="14.4" hidden="1" outlineLevel="1">
      <c r="A43" s="196" t="s">
        <v>351</v>
      </c>
      <c r="B43" s="197">
        <v>40332</v>
      </c>
      <c r="C43" s="196" t="s">
        <v>962</v>
      </c>
      <c r="D43" s="196">
        <v>78</v>
      </c>
      <c r="E43" s="196" t="s">
        <v>1045</v>
      </c>
      <c r="F43" s="196">
        <v>77.5</v>
      </c>
      <c r="G43" s="196">
        <f t="shared" si="0"/>
        <v>38.75</v>
      </c>
      <c r="H43" s="196">
        <v>14100</v>
      </c>
      <c r="I43" s="196" t="s">
        <v>2319</v>
      </c>
      <c r="J43" s="196"/>
    </row>
    <row r="44" spans="1:10" ht="14.4" hidden="1" outlineLevel="1">
      <c r="A44" s="196" t="s">
        <v>351</v>
      </c>
      <c r="B44" s="197">
        <v>40333</v>
      </c>
      <c r="C44" s="196" t="s">
        <v>1045</v>
      </c>
      <c r="D44" s="196">
        <v>78</v>
      </c>
      <c r="E44" s="196" t="s">
        <v>2313</v>
      </c>
      <c r="F44" s="196">
        <v>77.5</v>
      </c>
      <c r="G44" s="196">
        <f t="shared" si="0"/>
        <v>38.75</v>
      </c>
      <c r="H44" s="196">
        <v>20000</v>
      </c>
      <c r="I44" s="196" t="s">
        <v>2318</v>
      </c>
      <c r="J44" s="196"/>
    </row>
    <row r="45" spans="1:10" ht="14.4" hidden="1" outlineLevel="1">
      <c r="A45" s="196" t="s">
        <v>351</v>
      </c>
      <c r="B45" s="197">
        <v>40336</v>
      </c>
      <c r="C45" s="196" t="s">
        <v>1045</v>
      </c>
      <c r="D45" s="196">
        <v>78</v>
      </c>
      <c r="E45" s="196" t="s">
        <v>2316</v>
      </c>
      <c r="F45" s="196">
        <v>77.25</v>
      </c>
      <c r="G45" s="196">
        <f t="shared" si="0"/>
        <v>38.625</v>
      </c>
      <c r="H45" s="196">
        <v>32400</v>
      </c>
      <c r="I45" s="196" t="s">
        <v>2317</v>
      </c>
      <c r="J45" s="196"/>
    </row>
    <row r="46" spans="1:10" ht="14.4" hidden="1" outlineLevel="1">
      <c r="A46" s="196" t="s">
        <v>351</v>
      </c>
      <c r="B46" s="197">
        <v>40337</v>
      </c>
      <c r="C46" s="196" t="s">
        <v>974</v>
      </c>
      <c r="D46" s="196">
        <v>78</v>
      </c>
      <c r="E46" s="196" t="s">
        <v>974</v>
      </c>
      <c r="F46" s="196">
        <v>77.5</v>
      </c>
      <c r="G46" s="196">
        <f t="shared" si="0"/>
        <v>38.75</v>
      </c>
      <c r="H46" s="196">
        <v>20700</v>
      </c>
      <c r="I46" s="196" t="s">
        <v>2315</v>
      </c>
      <c r="J46" s="196"/>
    </row>
    <row r="47" spans="1:10" ht="14.4" hidden="1" outlineLevel="1">
      <c r="A47" s="196" t="s">
        <v>351</v>
      </c>
      <c r="B47" s="197">
        <v>40338</v>
      </c>
      <c r="C47" s="196" t="s">
        <v>1045</v>
      </c>
      <c r="D47" s="196">
        <v>78.5</v>
      </c>
      <c r="E47" s="196" t="s">
        <v>2313</v>
      </c>
      <c r="F47" s="196">
        <v>77.5</v>
      </c>
      <c r="G47" s="196">
        <f t="shared" si="0"/>
        <v>38.75</v>
      </c>
      <c r="H47" s="196">
        <v>100400</v>
      </c>
      <c r="I47" s="196" t="s">
        <v>2314</v>
      </c>
      <c r="J47" s="196"/>
    </row>
    <row r="48" spans="1:10" ht="14.4" hidden="1" outlineLevel="1">
      <c r="A48" s="196" t="s">
        <v>351</v>
      </c>
      <c r="B48" s="197">
        <v>40339</v>
      </c>
      <c r="C48" s="196" t="s">
        <v>1045</v>
      </c>
      <c r="D48" s="196">
        <v>81</v>
      </c>
      <c r="E48" s="196" t="s">
        <v>1045</v>
      </c>
      <c r="F48" s="196">
        <v>80</v>
      </c>
      <c r="G48" s="196">
        <f t="shared" si="0"/>
        <v>40</v>
      </c>
      <c r="H48" s="196">
        <v>84700</v>
      </c>
      <c r="I48" s="196" t="s">
        <v>2312</v>
      </c>
      <c r="J48" s="196"/>
    </row>
    <row r="49" spans="1:10" ht="14.4" hidden="1" outlineLevel="1">
      <c r="A49" s="196" t="s">
        <v>351</v>
      </c>
      <c r="B49" s="197">
        <v>40340</v>
      </c>
      <c r="C49" s="196" t="s">
        <v>1010</v>
      </c>
      <c r="D49" s="196">
        <v>82.75</v>
      </c>
      <c r="E49" s="196" t="s">
        <v>1010</v>
      </c>
      <c r="F49" s="196">
        <v>81.5</v>
      </c>
      <c r="G49" s="196">
        <f t="shared" si="0"/>
        <v>40.75</v>
      </c>
      <c r="H49" s="196">
        <v>162000</v>
      </c>
      <c r="I49" s="196" t="s">
        <v>2311</v>
      </c>
      <c r="J49" s="196"/>
    </row>
    <row r="50" spans="1:10" ht="14.4" hidden="1" outlineLevel="1">
      <c r="A50" s="196" t="s">
        <v>351</v>
      </c>
      <c r="B50" s="197">
        <v>40343</v>
      </c>
      <c r="C50" s="196" t="s">
        <v>1007</v>
      </c>
      <c r="D50" s="196">
        <v>90.5</v>
      </c>
      <c r="E50" s="196" t="s">
        <v>1007</v>
      </c>
      <c r="F50" s="196">
        <v>89.5</v>
      </c>
      <c r="G50" s="196">
        <f t="shared" si="0"/>
        <v>44.75</v>
      </c>
      <c r="H50" s="196">
        <v>562300</v>
      </c>
      <c r="I50" s="196" t="s">
        <v>2310</v>
      </c>
      <c r="J50" s="196"/>
    </row>
    <row r="51" spans="1:10" ht="14.4" hidden="1" outlineLevel="1">
      <c r="A51" s="196" t="s">
        <v>351</v>
      </c>
      <c r="B51" s="197">
        <v>40344</v>
      </c>
      <c r="C51" s="196" t="s">
        <v>870</v>
      </c>
      <c r="D51" s="196">
        <v>92.25</v>
      </c>
      <c r="E51" s="196" t="s">
        <v>932</v>
      </c>
      <c r="F51" s="196">
        <v>90</v>
      </c>
      <c r="G51" s="196">
        <f t="shared" si="0"/>
        <v>45</v>
      </c>
      <c r="H51" s="196">
        <v>315800</v>
      </c>
      <c r="I51" s="196" t="s">
        <v>2309</v>
      </c>
      <c r="J51" s="196"/>
    </row>
    <row r="52" spans="1:10" ht="14.4" hidden="1" outlineLevel="1">
      <c r="A52" s="196" t="s">
        <v>351</v>
      </c>
      <c r="B52" s="197">
        <v>40345</v>
      </c>
      <c r="C52" s="196" t="s">
        <v>941</v>
      </c>
      <c r="D52" s="196">
        <v>90.75</v>
      </c>
      <c r="E52" s="196" t="s">
        <v>941</v>
      </c>
      <c r="F52" s="196">
        <v>90.25</v>
      </c>
      <c r="G52" s="196">
        <f t="shared" si="0"/>
        <v>45.125</v>
      </c>
      <c r="H52" s="196">
        <v>293700</v>
      </c>
      <c r="I52" s="196" t="s">
        <v>2308</v>
      </c>
      <c r="J52" s="196"/>
    </row>
    <row r="53" spans="1:10" ht="14.4" hidden="1" outlineLevel="1">
      <c r="A53" s="196" t="s">
        <v>351</v>
      </c>
      <c r="B53" s="197">
        <v>40346</v>
      </c>
      <c r="C53" s="196" t="s">
        <v>2281</v>
      </c>
      <c r="D53" s="196">
        <v>90.75</v>
      </c>
      <c r="E53" s="196" t="s">
        <v>941</v>
      </c>
      <c r="F53" s="196">
        <v>89.75</v>
      </c>
      <c r="G53" s="196">
        <f t="shared" si="0"/>
        <v>44.875</v>
      </c>
      <c r="H53" s="196">
        <v>50000</v>
      </c>
      <c r="I53" s="196" t="s">
        <v>2307</v>
      </c>
      <c r="J53" s="196"/>
    </row>
    <row r="54" spans="1:10" ht="14.4" hidden="1" outlineLevel="1">
      <c r="A54" s="196" t="s">
        <v>351</v>
      </c>
      <c r="B54" s="197">
        <v>40350</v>
      </c>
      <c r="C54" s="196" t="s">
        <v>870</v>
      </c>
      <c r="D54" s="196">
        <v>96</v>
      </c>
      <c r="E54" s="196" t="s">
        <v>941</v>
      </c>
      <c r="F54" s="196">
        <v>94.25</v>
      </c>
      <c r="G54" s="196">
        <f t="shared" si="0"/>
        <v>47.125</v>
      </c>
      <c r="H54" s="196">
        <v>1000100</v>
      </c>
      <c r="I54" s="196" t="s">
        <v>2306</v>
      </c>
      <c r="J54" s="196"/>
    </row>
    <row r="55" spans="1:10" ht="14.4" hidden="1" outlineLevel="1">
      <c r="A55" s="196" t="s">
        <v>351</v>
      </c>
      <c r="B55" s="197">
        <v>40351</v>
      </c>
      <c r="C55" s="196" t="s">
        <v>2240</v>
      </c>
      <c r="D55" s="196">
        <v>96</v>
      </c>
      <c r="E55" s="196" t="s">
        <v>847</v>
      </c>
      <c r="F55" s="196">
        <v>94.5</v>
      </c>
      <c r="G55" s="196">
        <f t="shared" si="0"/>
        <v>47.25</v>
      </c>
      <c r="H55" s="196">
        <v>228600</v>
      </c>
      <c r="I55" s="196" t="s">
        <v>2305</v>
      </c>
      <c r="J55" s="196"/>
    </row>
    <row r="56" spans="1:10" ht="14.4" hidden="1" outlineLevel="1">
      <c r="A56" s="196" t="s">
        <v>351</v>
      </c>
      <c r="B56" s="197">
        <v>40352</v>
      </c>
      <c r="C56" s="196" t="s">
        <v>908</v>
      </c>
      <c r="D56" s="196">
        <v>95</v>
      </c>
      <c r="E56" s="196" t="s">
        <v>859</v>
      </c>
      <c r="F56" s="196">
        <v>92.75</v>
      </c>
      <c r="G56" s="196">
        <f t="shared" si="0"/>
        <v>46.375</v>
      </c>
      <c r="H56" s="196">
        <v>71100</v>
      </c>
      <c r="I56" s="196" t="s">
        <v>2304</v>
      </c>
      <c r="J56" s="196"/>
    </row>
    <row r="57" spans="1:10" ht="14.4" hidden="1" outlineLevel="1">
      <c r="A57" s="196" t="s">
        <v>351</v>
      </c>
      <c r="B57" s="197">
        <v>40353</v>
      </c>
      <c r="C57" s="196" t="s">
        <v>2301</v>
      </c>
      <c r="D57" s="196">
        <v>91.75</v>
      </c>
      <c r="E57" s="196" t="s">
        <v>2302</v>
      </c>
      <c r="F57" s="196">
        <v>91.5</v>
      </c>
      <c r="G57" s="196">
        <f t="shared" si="0"/>
        <v>45.75</v>
      </c>
      <c r="H57" s="196">
        <v>29400</v>
      </c>
      <c r="I57" s="196" t="s">
        <v>2303</v>
      </c>
      <c r="J57" s="196"/>
    </row>
    <row r="58" spans="1:10" ht="14.4" hidden="1" outlineLevel="1">
      <c r="A58" s="196" t="s">
        <v>351</v>
      </c>
      <c r="B58" s="197">
        <v>40357</v>
      </c>
      <c r="C58" s="196" t="s">
        <v>867</v>
      </c>
      <c r="D58" s="196">
        <v>92</v>
      </c>
      <c r="E58" s="196" t="s">
        <v>870</v>
      </c>
      <c r="F58" s="196">
        <v>90.25</v>
      </c>
      <c r="G58" s="196">
        <f t="shared" si="0"/>
        <v>45.125</v>
      </c>
      <c r="H58" s="196">
        <v>20400</v>
      </c>
      <c r="I58" s="196" t="s">
        <v>2300</v>
      </c>
      <c r="J58" s="196"/>
    </row>
    <row r="59" spans="1:10" ht="14.4" hidden="1" outlineLevel="1">
      <c r="A59" s="196" t="s">
        <v>351</v>
      </c>
      <c r="B59" s="197">
        <v>40358</v>
      </c>
      <c r="C59" s="196" t="s">
        <v>870</v>
      </c>
      <c r="D59" s="196">
        <v>94.5</v>
      </c>
      <c r="E59" s="196" t="s">
        <v>2032</v>
      </c>
      <c r="F59" s="196">
        <v>93.75</v>
      </c>
      <c r="G59" s="196">
        <f t="shared" si="0"/>
        <v>46.875</v>
      </c>
      <c r="H59" s="196">
        <v>243900</v>
      </c>
      <c r="I59" s="196" t="s">
        <v>2299</v>
      </c>
      <c r="J59" s="196"/>
    </row>
    <row r="60" spans="1:10" ht="14.4" hidden="1" outlineLevel="1">
      <c r="A60" s="196" t="s">
        <v>351</v>
      </c>
      <c r="B60" s="197">
        <v>40359</v>
      </c>
      <c r="C60" s="196" t="s">
        <v>621</v>
      </c>
      <c r="D60" s="196">
        <v>95</v>
      </c>
      <c r="E60" s="196" t="s">
        <v>2275</v>
      </c>
      <c r="F60" s="196">
        <v>94</v>
      </c>
      <c r="G60" s="196">
        <f t="shared" si="0"/>
        <v>47</v>
      </c>
      <c r="H60" s="196">
        <v>160000</v>
      </c>
      <c r="I60" s="196" t="s">
        <v>2298</v>
      </c>
      <c r="J60" s="196"/>
    </row>
    <row r="61" spans="1:10" ht="14.4" hidden="1" outlineLevel="1">
      <c r="A61" s="196" t="s">
        <v>351</v>
      </c>
      <c r="B61" s="197">
        <v>40360</v>
      </c>
      <c r="C61" s="196" t="s">
        <v>863</v>
      </c>
      <c r="D61" s="196">
        <v>95</v>
      </c>
      <c r="E61" s="196" t="s">
        <v>863</v>
      </c>
      <c r="F61" s="196">
        <v>95</v>
      </c>
      <c r="G61" s="196">
        <f t="shared" si="0"/>
        <v>47.5</v>
      </c>
      <c r="H61" s="196">
        <v>334200</v>
      </c>
      <c r="I61" s="196" t="s">
        <v>2297</v>
      </c>
      <c r="J61" s="196"/>
    </row>
    <row r="62" spans="1:10" ht="14.4" hidden="1" outlineLevel="1">
      <c r="A62" s="196" t="s">
        <v>351</v>
      </c>
      <c r="B62" s="197">
        <v>40361</v>
      </c>
      <c r="C62" s="196" t="s">
        <v>621</v>
      </c>
      <c r="D62" s="196">
        <v>95</v>
      </c>
      <c r="E62" s="196" t="s">
        <v>863</v>
      </c>
      <c r="F62" s="196">
        <v>94</v>
      </c>
      <c r="G62" s="196">
        <f t="shared" si="0"/>
        <v>47</v>
      </c>
      <c r="H62" s="196">
        <v>391500</v>
      </c>
      <c r="I62" s="196" t="s">
        <v>2296</v>
      </c>
      <c r="J62" s="196"/>
    </row>
    <row r="63" spans="1:10" ht="14.4" hidden="1" outlineLevel="1">
      <c r="A63" s="196" t="s">
        <v>351</v>
      </c>
      <c r="B63" s="197">
        <v>40364</v>
      </c>
      <c r="C63" s="196" t="s">
        <v>908</v>
      </c>
      <c r="D63" s="196">
        <v>94</v>
      </c>
      <c r="E63" s="196" t="s">
        <v>863</v>
      </c>
      <c r="F63" s="196">
        <v>92.25</v>
      </c>
      <c r="G63" s="196">
        <f t="shared" si="0"/>
        <v>46.125</v>
      </c>
      <c r="H63" s="196">
        <v>17700</v>
      </c>
      <c r="I63" s="196" t="s">
        <v>2295</v>
      </c>
      <c r="J63" s="196"/>
    </row>
    <row r="64" spans="1:10" ht="14.4" hidden="1" outlineLevel="1">
      <c r="A64" s="196" t="s">
        <v>351</v>
      </c>
      <c r="B64" s="197">
        <v>40365</v>
      </c>
      <c r="C64" s="196" t="s">
        <v>872</v>
      </c>
      <c r="D64" s="196">
        <v>93</v>
      </c>
      <c r="E64" s="196" t="s">
        <v>941</v>
      </c>
      <c r="F64" s="196">
        <v>92</v>
      </c>
      <c r="G64" s="196">
        <f t="shared" si="0"/>
        <v>46</v>
      </c>
      <c r="H64" s="196">
        <v>21000</v>
      </c>
      <c r="I64" s="196" t="s">
        <v>2294</v>
      </c>
      <c r="J64" s="196"/>
    </row>
    <row r="65" spans="1:10" ht="14.4" hidden="1" outlineLevel="1">
      <c r="A65" s="196" t="s">
        <v>351</v>
      </c>
      <c r="B65" s="197">
        <v>40366</v>
      </c>
      <c r="C65" s="196" t="s">
        <v>872</v>
      </c>
      <c r="D65" s="196">
        <v>91</v>
      </c>
      <c r="E65" s="196" t="s">
        <v>941</v>
      </c>
      <c r="F65" s="196">
        <v>89.5</v>
      </c>
      <c r="G65" s="196">
        <f t="shared" si="0"/>
        <v>44.75</v>
      </c>
      <c r="H65" s="196">
        <v>36300</v>
      </c>
      <c r="I65" s="196" t="s">
        <v>2293</v>
      </c>
      <c r="J65" s="196"/>
    </row>
    <row r="66" spans="1:10" ht="14.4" hidden="1" outlineLevel="1">
      <c r="A66" s="196" t="s">
        <v>351</v>
      </c>
      <c r="B66" s="197">
        <v>40367</v>
      </c>
      <c r="C66" s="196" t="s">
        <v>2291</v>
      </c>
      <c r="D66" s="196">
        <v>90</v>
      </c>
      <c r="E66" s="196" t="s">
        <v>915</v>
      </c>
      <c r="F66" s="196">
        <v>90</v>
      </c>
      <c r="G66" s="196">
        <f t="shared" si="0"/>
        <v>45</v>
      </c>
      <c r="H66" s="196">
        <v>17700</v>
      </c>
      <c r="I66" s="196" t="s">
        <v>2292</v>
      </c>
      <c r="J66" s="196"/>
    </row>
    <row r="67" spans="1:10" ht="14.4" hidden="1" outlineLevel="1">
      <c r="A67" s="196" t="s">
        <v>351</v>
      </c>
      <c r="B67" s="197">
        <v>40368</v>
      </c>
      <c r="C67" s="196" t="s">
        <v>870</v>
      </c>
      <c r="D67" s="196">
        <v>90</v>
      </c>
      <c r="E67" s="196" t="s">
        <v>912</v>
      </c>
      <c r="F67" s="196">
        <v>87.5</v>
      </c>
      <c r="G67" s="196">
        <f t="shared" si="0"/>
        <v>43.75</v>
      </c>
      <c r="H67" s="196">
        <v>5100</v>
      </c>
      <c r="I67" s="196" t="s">
        <v>2290</v>
      </c>
      <c r="J67" s="196"/>
    </row>
    <row r="68" spans="1:10" ht="14.4" hidden="1" outlineLevel="1">
      <c r="A68" s="196" t="s">
        <v>351</v>
      </c>
      <c r="B68" s="197">
        <v>40371</v>
      </c>
      <c r="C68" s="196" t="s">
        <v>2032</v>
      </c>
      <c r="D68" s="196">
        <v>90</v>
      </c>
      <c r="E68" s="196" t="s">
        <v>2032</v>
      </c>
      <c r="F68" s="196">
        <v>89.75</v>
      </c>
      <c r="G68" s="196">
        <f t="shared" si="0"/>
        <v>44.875</v>
      </c>
      <c r="H68" s="196">
        <v>17000</v>
      </c>
      <c r="I68" s="196" t="s">
        <v>2289</v>
      </c>
      <c r="J68" s="196"/>
    </row>
    <row r="69" spans="1:10" ht="14.4" hidden="1" outlineLevel="1">
      <c r="A69" s="196" t="s">
        <v>351</v>
      </c>
      <c r="B69" s="197">
        <v>40372</v>
      </c>
      <c r="C69" s="196" t="s">
        <v>2286</v>
      </c>
      <c r="D69" s="196">
        <v>90</v>
      </c>
      <c r="E69" s="196" t="s">
        <v>2286</v>
      </c>
      <c r="F69" s="196">
        <v>90</v>
      </c>
      <c r="G69" s="196">
        <f t="shared" ref="G69:G132" si="1">F69/2</f>
        <v>45</v>
      </c>
      <c r="H69" s="196">
        <v>15000</v>
      </c>
      <c r="I69" s="196" t="s">
        <v>2288</v>
      </c>
      <c r="J69" s="196"/>
    </row>
    <row r="70" spans="1:10" ht="14.4" hidden="1" outlineLevel="1">
      <c r="A70" s="196" t="s">
        <v>351</v>
      </c>
      <c r="B70" s="197">
        <v>40373</v>
      </c>
      <c r="C70" s="196" t="s">
        <v>2286</v>
      </c>
      <c r="D70" s="196">
        <v>90.5</v>
      </c>
      <c r="E70" s="196" t="s">
        <v>2286</v>
      </c>
      <c r="F70" s="196">
        <v>90</v>
      </c>
      <c r="G70" s="196">
        <f t="shared" si="1"/>
        <v>45</v>
      </c>
      <c r="H70" s="196">
        <v>122800</v>
      </c>
      <c r="I70" s="196" t="s">
        <v>2287</v>
      </c>
      <c r="J70" s="196"/>
    </row>
    <row r="71" spans="1:10" ht="14.4" hidden="1" outlineLevel="1">
      <c r="A71" s="196" t="s">
        <v>351</v>
      </c>
      <c r="B71" s="197">
        <v>40374</v>
      </c>
      <c r="C71" s="196" t="s">
        <v>915</v>
      </c>
      <c r="D71" s="196">
        <v>91</v>
      </c>
      <c r="E71" s="196" t="s">
        <v>915</v>
      </c>
      <c r="F71" s="196">
        <v>90</v>
      </c>
      <c r="G71" s="196">
        <f t="shared" si="1"/>
        <v>45</v>
      </c>
      <c r="H71" s="196">
        <v>119500</v>
      </c>
      <c r="I71" s="196" t="s">
        <v>2285</v>
      </c>
      <c r="J71" s="196"/>
    </row>
    <row r="72" spans="1:10" ht="14.4" hidden="1" outlineLevel="1">
      <c r="A72" s="196" t="s">
        <v>351</v>
      </c>
      <c r="B72" s="197">
        <v>40375</v>
      </c>
      <c r="C72" s="196" t="s">
        <v>872</v>
      </c>
      <c r="D72" s="196">
        <v>95</v>
      </c>
      <c r="E72" s="196" t="s">
        <v>867</v>
      </c>
      <c r="F72" s="196">
        <v>94.75</v>
      </c>
      <c r="G72" s="196">
        <f t="shared" si="1"/>
        <v>47.375</v>
      </c>
      <c r="H72" s="196">
        <v>64100</v>
      </c>
      <c r="I72" s="196" t="s">
        <v>2284</v>
      </c>
      <c r="J72" s="196"/>
    </row>
    <row r="73" spans="1:10" ht="14.4" hidden="1" outlineLevel="1">
      <c r="A73" s="196" t="s">
        <v>351</v>
      </c>
      <c r="B73" s="197">
        <v>40378</v>
      </c>
      <c r="C73" s="196" t="s">
        <v>863</v>
      </c>
      <c r="D73" s="196">
        <v>92</v>
      </c>
      <c r="E73" s="196" t="s">
        <v>870</v>
      </c>
      <c r="F73" s="196">
        <v>91</v>
      </c>
      <c r="G73" s="196">
        <f t="shared" si="1"/>
        <v>45.5</v>
      </c>
      <c r="H73" s="196">
        <v>371400</v>
      </c>
      <c r="I73" s="196" t="s">
        <v>2283</v>
      </c>
      <c r="J73" s="196"/>
    </row>
    <row r="74" spans="1:10" ht="14.4" hidden="1" outlineLevel="1">
      <c r="A74" s="196" t="s">
        <v>351</v>
      </c>
      <c r="B74" s="197">
        <v>40379</v>
      </c>
      <c r="C74" s="196" t="s">
        <v>863</v>
      </c>
      <c r="D74" s="196">
        <v>92</v>
      </c>
      <c r="E74" s="196" t="s">
        <v>2281</v>
      </c>
      <c r="F74" s="196">
        <v>92</v>
      </c>
      <c r="G74" s="196">
        <f t="shared" si="1"/>
        <v>46</v>
      </c>
      <c r="H74" s="196">
        <v>52400</v>
      </c>
      <c r="I74" s="196" t="s">
        <v>2282</v>
      </c>
      <c r="J74" s="196"/>
    </row>
    <row r="75" spans="1:10" ht="14.4" hidden="1" outlineLevel="1">
      <c r="A75" s="196" t="s">
        <v>351</v>
      </c>
      <c r="B75" s="197">
        <v>40380</v>
      </c>
      <c r="C75" s="196" t="s">
        <v>863</v>
      </c>
      <c r="D75" s="196">
        <v>93.25</v>
      </c>
      <c r="E75" s="196" t="s">
        <v>867</v>
      </c>
      <c r="F75" s="196">
        <v>93</v>
      </c>
      <c r="G75" s="196">
        <f t="shared" si="1"/>
        <v>46.5</v>
      </c>
      <c r="H75" s="196">
        <v>42600</v>
      </c>
      <c r="I75" s="196" t="s">
        <v>2280</v>
      </c>
      <c r="J75" s="196"/>
    </row>
    <row r="76" spans="1:10" ht="14.4" hidden="1" outlineLevel="1">
      <c r="A76" s="196" t="s">
        <v>351</v>
      </c>
      <c r="B76" s="197">
        <v>40381</v>
      </c>
      <c r="C76" s="196" t="s">
        <v>863</v>
      </c>
      <c r="D76" s="196">
        <v>92</v>
      </c>
      <c r="E76" s="196" t="s">
        <v>870</v>
      </c>
      <c r="F76" s="196">
        <v>90.25</v>
      </c>
      <c r="G76" s="196">
        <f t="shared" si="1"/>
        <v>45.125</v>
      </c>
      <c r="H76" s="196">
        <v>47200</v>
      </c>
      <c r="I76" s="196" t="s">
        <v>2279</v>
      </c>
      <c r="J76" s="196"/>
    </row>
    <row r="77" spans="1:10" ht="14.4" hidden="1" outlineLevel="1">
      <c r="A77" s="196" t="s">
        <v>351</v>
      </c>
      <c r="B77" s="197">
        <v>40382</v>
      </c>
      <c r="C77" s="196" t="s">
        <v>872</v>
      </c>
      <c r="D77" s="196">
        <v>91</v>
      </c>
      <c r="E77" s="196" t="s">
        <v>867</v>
      </c>
      <c r="F77" s="196">
        <v>91</v>
      </c>
      <c r="G77" s="196">
        <f t="shared" si="1"/>
        <v>45.5</v>
      </c>
      <c r="H77" s="196">
        <v>19300</v>
      </c>
      <c r="I77" s="196" t="s">
        <v>2278</v>
      </c>
      <c r="J77" s="196"/>
    </row>
    <row r="78" spans="1:10" ht="14.4" hidden="1" outlineLevel="1">
      <c r="A78" s="196" t="s">
        <v>351</v>
      </c>
      <c r="B78" s="197">
        <v>40385</v>
      </c>
      <c r="C78" s="196" t="s">
        <v>872</v>
      </c>
      <c r="D78" s="196">
        <v>92.5</v>
      </c>
      <c r="E78" s="196" t="s">
        <v>872</v>
      </c>
      <c r="F78" s="196">
        <v>92.5</v>
      </c>
      <c r="G78" s="196">
        <f t="shared" si="1"/>
        <v>46.25</v>
      </c>
      <c r="H78" s="196">
        <v>36900</v>
      </c>
      <c r="I78" s="196" t="s">
        <v>2277</v>
      </c>
      <c r="J78" s="196"/>
    </row>
    <row r="79" spans="1:10" ht="14.4" hidden="1" outlineLevel="1">
      <c r="A79" s="196" t="s">
        <v>351</v>
      </c>
      <c r="B79" s="197">
        <v>40386</v>
      </c>
      <c r="C79" s="196" t="s">
        <v>2275</v>
      </c>
      <c r="D79" s="196">
        <v>95</v>
      </c>
      <c r="E79" s="196" t="s">
        <v>2275</v>
      </c>
      <c r="F79" s="196">
        <v>94</v>
      </c>
      <c r="G79" s="196">
        <f t="shared" si="1"/>
        <v>47</v>
      </c>
      <c r="H79" s="196">
        <v>384800</v>
      </c>
      <c r="I79" s="196" t="s">
        <v>2276</v>
      </c>
      <c r="J79" s="196"/>
    </row>
    <row r="80" spans="1:10" ht="14.4" hidden="1" outlineLevel="1">
      <c r="A80" s="196" t="s">
        <v>351</v>
      </c>
      <c r="B80" s="197">
        <v>40387</v>
      </c>
      <c r="C80" s="196" t="s">
        <v>908</v>
      </c>
      <c r="D80" s="196">
        <v>95.5</v>
      </c>
      <c r="E80" s="196" t="s">
        <v>908</v>
      </c>
      <c r="F80" s="196">
        <v>95</v>
      </c>
      <c r="G80" s="196">
        <f t="shared" si="1"/>
        <v>47.5</v>
      </c>
      <c r="H80" s="196">
        <v>254900</v>
      </c>
      <c r="I80" s="196" t="s">
        <v>2274</v>
      </c>
      <c r="J80" s="196"/>
    </row>
    <row r="81" spans="1:10" ht="14.4" hidden="1" outlineLevel="1">
      <c r="A81" s="196" t="s">
        <v>351</v>
      </c>
      <c r="B81" s="197">
        <v>40388</v>
      </c>
      <c r="C81" s="196" t="s">
        <v>621</v>
      </c>
      <c r="D81" s="196">
        <v>95</v>
      </c>
      <c r="E81" s="196" t="s">
        <v>847</v>
      </c>
      <c r="F81" s="196">
        <v>93.5</v>
      </c>
      <c r="G81" s="196">
        <f t="shared" si="1"/>
        <v>46.75</v>
      </c>
      <c r="H81" s="196">
        <v>41600</v>
      </c>
      <c r="I81" s="196" t="s">
        <v>2273</v>
      </c>
      <c r="J81" s="196"/>
    </row>
    <row r="82" spans="1:10" ht="14.4" hidden="1" outlineLevel="1">
      <c r="A82" s="196" t="s">
        <v>351</v>
      </c>
      <c r="B82" s="197">
        <v>40389</v>
      </c>
      <c r="C82" s="196" t="s">
        <v>863</v>
      </c>
      <c r="D82" s="196">
        <v>95</v>
      </c>
      <c r="E82" s="196" t="s">
        <v>863</v>
      </c>
      <c r="F82" s="196">
        <v>94</v>
      </c>
      <c r="G82" s="196">
        <f t="shared" si="1"/>
        <v>47</v>
      </c>
      <c r="H82" s="196">
        <v>41700</v>
      </c>
      <c r="I82" s="196" t="s">
        <v>2272</v>
      </c>
      <c r="J82" s="196"/>
    </row>
    <row r="83" spans="1:10" ht="14.4" hidden="1" outlineLevel="1">
      <c r="A83" s="196" t="s">
        <v>351</v>
      </c>
      <c r="B83" s="197">
        <v>40392</v>
      </c>
      <c r="C83" s="196" t="s">
        <v>908</v>
      </c>
      <c r="D83" s="196">
        <v>94.3</v>
      </c>
      <c r="E83" s="196" t="s">
        <v>847</v>
      </c>
      <c r="F83" s="196">
        <v>94.2</v>
      </c>
      <c r="G83" s="196">
        <f t="shared" si="1"/>
        <v>47.1</v>
      </c>
      <c r="H83" s="196">
        <v>318800</v>
      </c>
      <c r="I83" s="196" t="s">
        <v>2271</v>
      </c>
      <c r="J83" s="196"/>
    </row>
    <row r="84" spans="1:10" ht="14.4" hidden="1" outlineLevel="1">
      <c r="A84" s="196" t="s">
        <v>351</v>
      </c>
      <c r="B84" s="197">
        <v>40393</v>
      </c>
      <c r="C84" s="196" t="s">
        <v>847</v>
      </c>
      <c r="D84" s="196">
        <v>94</v>
      </c>
      <c r="E84" s="196" t="s">
        <v>863</v>
      </c>
      <c r="F84" s="196">
        <v>93.4</v>
      </c>
      <c r="G84" s="196">
        <f t="shared" si="1"/>
        <v>46.7</v>
      </c>
      <c r="H84" s="196">
        <v>446000</v>
      </c>
      <c r="I84" s="196" t="s">
        <v>2270</v>
      </c>
      <c r="J84" s="196"/>
    </row>
    <row r="85" spans="1:10" ht="14.4" hidden="1" outlineLevel="1">
      <c r="A85" s="196" t="s">
        <v>351</v>
      </c>
      <c r="B85" s="197">
        <v>40394</v>
      </c>
      <c r="C85" s="196" t="s">
        <v>854</v>
      </c>
      <c r="D85" s="196">
        <v>93.5</v>
      </c>
      <c r="E85" s="196" t="s">
        <v>863</v>
      </c>
      <c r="F85" s="196">
        <v>92.2</v>
      </c>
      <c r="G85" s="196">
        <f t="shared" si="1"/>
        <v>46.1</v>
      </c>
      <c r="H85" s="196">
        <v>42200</v>
      </c>
      <c r="I85" s="196" t="s">
        <v>2269</v>
      </c>
      <c r="J85" s="196"/>
    </row>
    <row r="86" spans="1:10" ht="14.4" hidden="1" outlineLevel="1">
      <c r="A86" s="196" t="s">
        <v>351</v>
      </c>
      <c r="B86" s="197">
        <v>40395</v>
      </c>
      <c r="C86" s="196" t="s">
        <v>847</v>
      </c>
      <c r="D86" s="196">
        <v>93</v>
      </c>
      <c r="E86" s="196" t="s">
        <v>627</v>
      </c>
      <c r="F86" s="196">
        <v>90.6</v>
      </c>
      <c r="G86" s="196">
        <f t="shared" si="1"/>
        <v>45.3</v>
      </c>
      <c r="H86" s="196">
        <v>109200</v>
      </c>
      <c r="I86" s="196" t="s">
        <v>2268</v>
      </c>
      <c r="J86" s="196"/>
    </row>
    <row r="87" spans="1:10" ht="14.4" hidden="1" outlineLevel="1">
      <c r="A87" s="196" t="s">
        <v>351</v>
      </c>
      <c r="B87" s="197">
        <v>40396</v>
      </c>
      <c r="C87" s="196" t="s">
        <v>2157</v>
      </c>
      <c r="D87" s="196">
        <v>90.5</v>
      </c>
      <c r="E87" s="196" t="s">
        <v>2157</v>
      </c>
      <c r="F87" s="196">
        <v>90.1</v>
      </c>
      <c r="G87" s="196">
        <f t="shared" si="1"/>
        <v>45.05</v>
      </c>
      <c r="H87" s="196">
        <v>101000</v>
      </c>
      <c r="I87" s="196" t="s">
        <v>2267</v>
      </c>
      <c r="J87" s="196"/>
    </row>
    <row r="88" spans="1:10" ht="14.4" hidden="1" outlineLevel="1">
      <c r="A88" s="196" t="s">
        <v>351</v>
      </c>
      <c r="B88" s="197">
        <v>40399</v>
      </c>
      <c r="C88" s="196" t="s">
        <v>919</v>
      </c>
      <c r="D88" s="196">
        <v>91.5</v>
      </c>
      <c r="E88" s="196" t="s">
        <v>919</v>
      </c>
      <c r="F88" s="196">
        <v>88.1</v>
      </c>
      <c r="G88" s="196">
        <f t="shared" si="1"/>
        <v>44.05</v>
      </c>
      <c r="H88" s="196">
        <v>15800</v>
      </c>
      <c r="I88" s="196" t="s">
        <v>2266</v>
      </c>
      <c r="J88" s="196"/>
    </row>
    <row r="89" spans="1:10" ht="14.4" hidden="1" outlineLevel="1">
      <c r="A89" s="196" t="s">
        <v>351</v>
      </c>
      <c r="B89" s="197">
        <v>40400</v>
      </c>
      <c r="C89" s="196" t="s">
        <v>2022</v>
      </c>
      <c r="D89" s="196">
        <v>94</v>
      </c>
      <c r="E89" s="196" t="s">
        <v>2157</v>
      </c>
      <c r="F89" s="196">
        <v>93.1</v>
      </c>
      <c r="G89" s="196">
        <f t="shared" si="1"/>
        <v>46.55</v>
      </c>
      <c r="H89" s="196">
        <v>47400</v>
      </c>
      <c r="I89" s="196" t="s">
        <v>2265</v>
      </c>
      <c r="J89" s="196"/>
    </row>
    <row r="90" spans="1:10" ht="14.4" hidden="1" outlineLevel="1">
      <c r="A90" s="196" t="s">
        <v>351</v>
      </c>
      <c r="B90" s="197">
        <v>40401</v>
      </c>
      <c r="C90" s="196" t="s">
        <v>872</v>
      </c>
      <c r="D90" s="196">
        <v>91</v>
      </c>
      <c r="E90" s="196" t="s">
        <v>867</v>
      </c>
      <c r="F90" s="196">
        <v>90.5</v>
      </c>
      <c r="G90" s="196">
        <f t="shared" si="1"/>
        <v>45.25</v>
      </c>
      <c r="H90" s="196">
        <v>5700</v>
      </c>
      <c r="I90" s="196" t="s">
        <v>2264</v>
      </c>
      <c r="J90" s="196"/>
    </row>
    <row r="91" spans="1:10" ht="14.4" hidden="1" outlineLevel="1">
      <c r="A91" s="196" t="s">
        <v>351</v>
      </c>
      <c r="B91" s="197">
        <v>40402</v>
      </c>
      <c r="C91" s="196" t="s">
        <v>2041</v>
      </c>
      <c r="D91" s="196">
        <v>90.5</v>
      </c>
      <c r="E91" s="196" t="s">
        <v>870</v>
      </c>
      <c r="F91" s="196">
        <v>90</v>
      </c>
      <c r="G91" s="196">
        <f t="shared" si="1"/>
        <v>45</v>
      </c>
      <c r="H91" s="196">
        <v>32300</v>
      </c>
      <c r="I91" s="196" t="s">
        <v>2263</v>
      </c>
      <c r="J91" s="196"/>
    </row>
    <row r="92" spans="1:10" ht="14.4" hidden="1" outlineLevel="1">
      <c r="A92" s="196" t="s">
        <v>351</v>
      </c>
      <c r="B92" s="197">
        <v>40403</v>
      </c>
      <c r="C92" s="196" t="s">
        <v>870</v>
      </c>
      <c r="D92" s="196">
        <v>92.9</v>
      </c>
      <c r="E92" s="196" t="s">
        <v>870</v>
      </c>
      <c r="F92" s="196">
        <v>92.5</v>
      </c>
      <c r="G92" s="196">
        <f t="shared" si="1"/>
        <v>46.25</v>
      </c>
      <c r="H92" s="196">
        <v>3300</v>
      </c>
      <c r="I92" s="196" t="s">
        <v>2262</v>
      </c>
      <c r="J92" s="196"/>
    </row>
    <row r="93" spans="1:10" ht="14.4" hidden="1" outlineLevel="1">
      <c r="A93" s="196" t="s">
        <v>351</v>
      </c>
      <c r="B93" s="197">
        <v>40406</v>
      </c>
      <c r="C93" s="196" t="s">
        <v>895</v>
      </c>
      <c r="D93" s="196">
        <v>91.2</v>
      </c>
      <c r="E93" s="196" t="s">
        <v>872</v>
      </c>
      <c r="F93" s="196">
        <v>91</v>
      </c>
      <c r="G93" s="196">
        <f t="shared" si="1"/>
        <v>45.5</v>
      </c>
      <c r="H93" s="196">
        <v>8000</v>
      </c>
      <c r="I93" s="196" t="s">
        <v>2261</v>
      </c>
      <c r="J93" s="196"/>
    </row>
    <row r="94" spans="1:10" ht="14.4" hidden="1" outlineLevel="1">
      <c r="A94" s="196" t="s">
        <v>351</v>
      </c>
      <c r="B94" s="197">
        <v>40407</v>
      </c>
      <c r="C94" s="196" t="s">
        <v>846</v>
      </c>
      <c r="D94" s="196">
        <v>94.5</v>
      </c>
      <c r="E94" s="196" t="s">
        <v>872</v>
      </c>
      <c r="F94" s="196">
        <v>91</v>
      </c>
      <c r="G94" s="196">
        <f t="shared" si="1"/>
        <v>45.5</v>
      </c>
      <c r="H94" s="196">
        <v>14500</v>
      </c>
      <c r="I94" s="196" t="s">
        <v>2260</v>
      </c>
      <c r="J94" s="196"/>
    </row>
    <row r="95" spans="1:10" ht="14.4" hidden="1" outlineLevel="1">
      <c r="A95" s="196" t="s">
        <v>351</v>
      </c>
      <c r="B95" s="197">
        <v>40408</v>
      </c>
      <c r="C95" s="196" t="s">
        <v>863</v>
      </c>
      <c r="D95" s="196">
        <v>92</v>
      </c>
      <c r="E95" s="196" t="s">
        <v>872</v>
      </c>
      <c r="F95" s="196">
        <v>91.1</v>
      </c>
      <c r="G95" s="196">
        <f t="shared" si="1"/>
        <v>45.55</v>
      </c>
      <c r="H95" s="196">
        <v>11800</v>
      </c>
      <c r="I95" s="196" t="s">
        <v>2259</v>
      </c>
      <c r="J95" s="196"/>
    </row>
    <row r="96" spans="1:10" ht="14.4" hidden="1" outlineLevel="1">
      <c r="A96" s="196" t="s">
        <v>351</v>
      </c>
      <c r="B96" s="197">
        <v>40409</v>
      </c>
      <c r="C96" s="196" t="s">
        <v>872</v>
      </c>
      <c r="D96" s="196">
        <v>93</v>
      </c>
      <c r="E96" s="196" t="s">
        <v>872</v>
      </c>
      <c r="F96" s="196">
        <v>92.6</v>
      </c>
      <c r="G96" s="196">
        <f t="shared" si="1"/>
        <v>46.3</v>
      </c>
      <c r="H96" s="196">
        <v>9900</v>
      </c>
      <c r="I96" s="196" t="s">
        <v>2258</v>
      </c>
      <c r="J96" s="196"/>
    </row>
    <row r="97" spans="1:10" ht="14.4" hidden="1" outlineLevel="1">
      <c r="A97" s="196" t="s">
        <v>351</v>
      </c>
      <c r="B97" s="197">
        <v>40410</v>
      </c>
      <c r="C97" s="196" t="s">
        <v>867</v>
      </c>
      <c r="D97" s="196">
        <v>91.5</v>
      </c>
      <c r="E97" s="196" t="s">
        <v>867</v>
      </c>
      <c r="F97" s="196">
        <v>91.2</v>
      </c>
      <c r="G97" s="196">
        <f t="shared" si="1"/>
        <v>45.6</v>
      </c>
      <c r="H97" s="196">
        <v>6000</v>
      </c>
      <c r="I97" s="196" t="s">
        <v>2257</v>
      </c>
      <c r="J97" s="196"/>
    </row>
    <row r="98" spans="1:10" ht="14.4" hidden="1" outlineLevel="1">
      <c r="A98" s="196" t="s">
        <v>351</v>
      </c>
      <c r="B98" s="197">
        <v>40413</v>
      </c>
      <c r="C98" s="196" t="s">
        <v>863</v>
      </c>
      <c r="D98" s="196">
        <v>93</v>
      </c>
      <c r="E98" s="196" t="s">
        <v>2041</v>
      </c>
      <c r="F98" s="196">
        <v>91.7</v>
      </c>
      <c r="G98" s="196">
        <f t="shared" si="1"/>
        <v>45.85</v>
      </c>
      <c r="H98" s="196">
        <v>41400</v>
      </c>
      <c r="I98" s="196" t="s">
        <v>2256</v>
      </c>
      <c r="J98" s="196"/>
    </row>
    <row r="99" spans="1:10" ht="14.4" hidden="1" outlineLevel="1">
      <c r="A99" s="196" t="s">
        <v>351</v>
      </c>
      <c r="B99" s="197">
        <v>40415</v>
      </c>
      <c r="C99" s="196" t="s">
        <v>863</v>
      </c>
      <c r="D99" s="196">
        <v>92.5</v>
      </c>
      <c r="E99" s="196" t="s">
        <v>872</v>
      </c>
      <c r="F99" s="196">
        <v>91.2</v>
      </c>
      <c r="G99" s="196">
        <f t="shared" si="1"/>
        <v>45.6</v>
      </c>
      <c r="H99" s="196">
        <v>119900</v>
      </c>
      <c r="I99" s="196" t="s">
        <v>2255</v>
      </c>
      <c r="J99" s="196"/>
    </row>
    <row r="100" spans="1:10" ht="14.4" hidden="1" outlineLevel="1">
      <c r="A100" s="196" t="s">
        <v>351</v>
      </c>
      <c r="B100" s="197">
        <v>40416</v>
      </c>
      <c r="C100" s="196" t="s">
        <v>872</v>
      </c>
      <c r="D100" s="196">
        <v>91</v>
      </c>
      <c r="E100" s="196" t="s">
        <v>870</v>
      </c>
      <c r="F100" s="196">
        <v>90.8</v>
      </c>
      <c r="G100" s="196">
        <f t="shared" si="1"/>
        <v>45.4</v>
      </c>
      <c r="H100" s="196">
        <v>56100</v>
      </c>
      <c r="I100" s="196" t="s">
        <v>2254</v>
      </c>
      <c r="J100" s="196"/>
    </row>
    <row r="101" spans="1:10" ht="14.4" hidden="1" outlineLevel="1">
      <c r="A101" s="196" t="s">
        <v>351</v>
      </c>
      <c r="B101" s="197">
        <v>40417</v>
      </c>
      <c r="C101" s="196" t="s">
        <v>863</v>
      </c>
      <c r="D101" s="196">
        <v>92</v>
      </c>
      <c r="E101" s="196" t="s">
        <v>870</v>
      </c>
      <c r="F101" s="196">
        <v>90.6</v>
      </c>
      <c r="G101" s="196">
        <f t="shared" si="1"/>
        <v>45.3</v>
      </c>
      <c r="H101" s="196">
        <v>7100</v>
      </c>
      <c r="I101" s="196" t="s">
        <v>2253</v>
      </c>
      <c r="J101" s="196"/>
    </row>
    <row r="102" spans="1:10" ht="14.4" hidden="1" outlineLevel="1">
      <c r="A102" s="196" t="s">
        <v>351</v>
      </c>
      <c r="B102" s="197">
        <v>40420</v>
      </c>
      <c r="C102" s="196" t="s">
        <v>2094</v>
      </c>
      <c r="D102" s="196">
        <v>91.9</v>
      </c>
      <c r="E102" s="196" t="s">
        <v>2251</v>
      </c>
      <c r="F102" s="196">
        <v>90.9</v>
      </c>
      <c r="G102" s="196">
        <f t="shared" si="1"/>
        <v>45.45</v>
      </c>
      <c r="H102" s="196">
        <v>20700</v>
      </c>
      <c r="I102" s="196" t="s">
        <v>2252</v>
      </c>
      <c r="J102" s="196"/>
    </row>
    <row r="103" spans="1:10" ht="14.4" hidden="1" outlineLevel="1">
      <c r="A103" s="196" t="s">
        <v>351</v>
      </c>
      <c r="B103" s="197">
        <v>40421</v>
      </c>
      <c r="C103" s="196" t="s">
        <v>2041</v>
      </c>
      <c r="D103" s="196">
        <v>91.5</v>
      </c>
      <c r="E103" s="196" t="s">
        <v>870</v>
      </c>
      <c r="F103" s="196">
        <v>90.7</v>
      </c>
      <c r="G103" s="196">
        <f t="shared" si="1"/>
        <v>45.35</v>
      </c>
      <c r="H103" s="196">
        <v>10700</v>
      </c>
      <c r="I103" s="196" t="s">
        <v>2250</v>
      </c>
      <c r="J103" s="196"/>
    </row>
    <row r="104" spans="1:10" ht="14.4" hidden="1" outlineLevel="1">
      <c r="A104" s="196" t="s">
        <v>351</v>
      </c>
      <c r="B104" s="197">
        <v>40422</v>
      </c>
      <c r="C104" s="196" t="s">
        <v>2249</v>
      </c>
      <c r="D104" s="196">
        <v>91.1</v>
      </c>
      <c r="E104" s="196" t="s">
        <v>870</v>
      </c>
      <c r="F104" s="196">
        <v>90.3</v>
      </c>
      <c r="G104" s="196">
        <f t="shared" si="1"/>
        <v>45.15</v>
      </c>
      <c r="H104" s="196">
        <v>52800</v>
      </c>
      <c r="I104" s="196" t="s">
        <v>2141</v>
      </c>
      <c r="J104" s="196"/>
    </row>
    <row r="105" spans="1:10" ht="14.4" hidden="1" outlineLevel="1">
      <c r="A105" s="196" t="s">
        <v>351</v>
      </c>
      <c r="B105" s="197">
        <v>40423</v>
      </c>
      <c r="C105" s="196" t="s">
        <v>872</v>
      </c>
      <c r="D105" s="196">
        <v>93</v>
      </c>
      <c r="E105" s="196" t="s">
        <v>2041</v>
      </c>
      <c r="F105" s="196">
        <v>90.9</v>
      </c>
      <c r="G105" s="196">
        <f t="shared" si="1"/>
        <v>45.45</v>
      </c>
      <c r="H105" s="196">
        <v>47300</v>
      </c>
      <c r="I105" s="196" t="s">
        <v>2248</v>
      </c>
      <c r="J105" s="196"/>
    </row>
    <row r="106" spans="1:10" ht="14.4" hidden="1" outlineLevel="1">
      <c r="A106" s="196" t="s">
        <v>351</v>
      </c>
      <c r="B106" s="197">
        <v>40424</v>
      </c>
      <c r="C106" s="196" t="s">
        <v>872</v>
      </c>
      <c r="D106" s="196">
        <v>93.5</v>
      </c>
      <c r="E106" s="196" t="s">
        <v>870</v>
      </c>
      <c r="F106" s="196">
        <v>92.3</v>
      </c>
      <c r="G106" s="196">
        <f t="shared" si="1"/>
        <v>46.15</v>
      </c>
      <c r="H106" s="196">
        <v>285400</v>
      </c>
      <c r="I106" s="196" t="s">
        <v>2247</v>
      </c>
      <c r="J106" s="196"/>
    </row>
    <row r="107" spans="1:10" ht="14.4" hidden="1" outlineLevel="1">
      <c r="A107" s="196" t="s">
        <v>351</v>
      </c>
      <c r="B107" s="197">
        <v>40427</v>
      </c>
      <c r="C107" s="196" t="s">
        <v>847</v>
      </c>
      <c r="D107" s="196">
        <v>95</v>
      </c>
      <c r="E107" s="196" t="s">
        <v>866</v>
      </c>
      <c r="F107" s="196">
        <v>93</v>
      </c>
      <c r="G107" s="196">
        <f t="shared" si="1"/>
        <v>46.5</v>
      </c>
      <c r="H107" s="196">
        <v>108200</v>
      </c>
      <c r="I107" s="196" t="s">
        <v>2246</v>
      </c>
      <c r="J107" s="196"/>
    </row>
    <row r="108" spans="1:10" ht="14.4" hidden="1" outlineLevel="1">
      <c r="A108" s="196" t="s">
        <v>351</v>
      </c>
      <c r="B108" s="197">
        <v>40428</v>
      </c>
      <c r="C108" s="196" t="s">
        <v>866</v>
      </c>
      <c r="D108" s="196">
        <v>93.8</v>
      </c>
      <c r="E108" s="196" t="s">
        <v>2244</v>
      </c>
      <c r="F108" s="196">
        <v>93.3</v>
      </c>
      <c r="G108" s="196">
        <f t="shared" si="1"/>
        <v>46.65</v>
      </c>
      <c r="H108" s="196">
        <v>32900</v>
      </c>
      <c r="I108" s="196" t="s">
        <v>2245</v>
      </c>
      <c r="J108" s="196"/>
    </row>
    <row r="109" spans="1:10" ht="14.4" hidden="1" outlineLevel="1">
      <c r="A109" s="196" t="s">
        <v>351</v>
      </c>
      <c r="B109" s="197">
        <v>40429</v>
      </c>
      <c r="C109" s="196" t="s">
        <v>847</v>
      </c>
      <c r="D109" s="196">
        <v>95</v>
      </c>
      <c r="E109" s="196" t="s">
        <v>863</v>
      </c>
      <c r="F109" s="196">
        <v>93.3</v>
      </c>
      <c r="G109" s="196">
        <f t="shared" si="1"/>
        <v>46.65</v>
      </c>
      <c r="H109" s="196">
        <v>48900</v>
      </c>
      <c r="I109" s="196" t="s">
        <v>2243</v>
      </c>
      <c r="J109" s="196"/>
    </row>
    <row r="110" spans="1:10" ht="14.4" hidden="1" outlineLevel="1">
      <c r="A110" s="196" t="s">
        <v>351</v>
      </c>
      <c r="B110" s="197">
        <v>40430</v>
      </c>
      <c r="C110" s="196" t="s">
        <v>908</v>
      </c>
      <c r="D110" s="196">
        <v>96</v>
      </c>
      <c r="E110" s="196" t="s">
        <v>908</v>
      </c>
      <c r="F110" s="196">
        <v>95.9</v>
      </c>
      <c r="G110" s="196">
        <f t="shared" si="1"/>
        <v>47.95</v>
      </c>
      <c r="H110" s="196">
        <v>118700</v>
      </c>
      <c r="I110" s="196" t="s">
        <v>2242</v>
      </c>
      <c r="J110" s="196"/>
    </row>
    <row r="111" spans="1:10" ht="14.4" hidden="1" outlineLevel="1">
      <c r="A111" s="196" t="s">
        <v>351</v>
      </c>
      <c r="B111" s="197">
        <v>40434</v>
      </c>
      <c r="C111" s="196" t="s">
        <v>2240</v>
      </c>
      <c r="D111" s="196">
        <v>95.9</v>
      </c>
      <c r="E111" s="196" t="s">
        <v>621</v>
      </c>
      <c r="F111" s="196">
        <v>95</v>
      </c>
      <c r="G111" s="196">
        <f t="shared" si="1"/>
        <v>47.5</v>
      </c>
      <c r="H111" s="196">
        <v>142500</v>
      </c>
      <c r="I111" s="196" t="s">
        <v>2241</v>
      </c>
      <c r="J111" s="196"/>
    </row>
    <row r="112" spans="1:10" ht="14.4" hidden="1" outlineLevel="1">
      <c r="A112" s="196" t="s">
        <v>351</v>
      </c>
      <c r="B112" s="197">
        <v>40435</v>
      </c>
      <c r="C112" s="196" t="s">
        <v>621</v>
      </c>
      <c r="D112" s="196">
        <v>97</v>
      </c>
      <c r="E112" s="196" t="s">
        <v>854</v>
      </c>
      <c r="F112" s="196">
        <v>93.6</v>
      </c>
      <c r="G112" s="196">
        <f t="shared" si="1"/>
        <v>46.8</v>
      </c>
      <c r="H112" s="196">
        <v>89200</v>
      </c>
      <c r="I112" s="196" t="s">
        <v>2239</v>
      </c>
      <c r="J112" s="196"/>
    </row>
    <row r="113" spans="1:10" ht="14.4" hidden="1" outlineLevel="1">
      <c r="A113" s="196" t="s">
        <v>351</v>
      </c>
      <c r="B113" s="197">
        <v>40436</v>
      </c>
      <c r="C113" s="196" t="s">
        <v>621</v>
      </c>
      <c r="D113" s="196">
        <v>98.9</v>
      </c>
      <c r="E113" s="196" t="s">
        <v>870</v>
      </c>
      <c r="F113" s="196">
        <v>95.8</v>
      </c>
      <c r="G113" s="196">
        <f t="shared" si="1"/>
        <v>47.9</v>
      </c>
      <c r="H113" s="196">
        <v>180000</v>
      </c>
      <c r="I113" s="196" t="s">
        <v>2238</v>
      </c>
      <c r="J113" s="196"/>
    </row>
    <row r="114" spans="1:10" ht="14.4" hidden="1" outlineLevel="1">
      <c r="A114" s="196" t="s">
        <v>351</v>
      </c>
      <c r="B114" s="197">
        <v>40437</v>
      </c>
      <c r="C114" s="196" t="s">
        <v>626</v>
      </c>
      <c r="D114" s="196">
        <v>103</v>
      </c>
      <c r="E114" s="196" t="s">
        <v>626</v>
      </c>
      <c r="F114" s="196">
        <v>101.5</v>
      </c>
      <c r="G114" s="196">
        <f t="shared" si="1"/>
        <v>50.75</v>
      </c>
      <c r="H114" s="196">
        <v>221000</v>
      </c>
      <c r="I114" s="196" t="s">
        <v>2237</v>
      </c>
      <c r="J114" s="196"/>
    </row>
    <row r="115" spans="1:10" ht="14.4" hidden="1" outlineLevel="1">
      <c r="A115" s="196" t="s">
        <v>351</v>
      </c>
      <c r="B115" s="197">
        <v>40438</v>
      </c>
      <c r="C115" s="196" t="s">
        <v>640</v>
      </c>
      <c r="D115" s="196">
        <v>107</v>
      </c>
      <c r="E115" s="196" t="s">
        <v>2235</v>
      </c>
      <c r="F115" s="196">
        <v>102.2</v>
      </c>
      <c r="G115" s="196">
        <f t="shared" si="1"/>
        <v>51.1</v>
      </c>
      <c r="H115" s="196">
        <v>135400</v>
      </c>
      <c r="I115" s="196" t="s">
        <v>2236</v>
      </c>
      <c r="J115" s="196"/>
    </row>
    <row r="116" spans="1:10" ht="14.4" hidden="1" outlineLevel="1">
      <c r="A116" s="196" t="s">
        <v>351</v>
      </c>
      <c r="B116" s="197">
        <v>40441</v>
      </c>
      <c r="C116" s="196" t="s">
        <v>833</v>
      </c>
      <c r="D116" s="196">
        <v>104.5</v>
      </c>
      <c r="E116" s="196" t="s">
        <v>633</v>
      </c>
      <c r="F116" s="196">
        <v>98.8</v>
      </c>
      <c r="G116" s="196">
        <f t="shared" si="1"/>
        <v>49.4</v>
      </c>
      <c r="H116" s="196">
        <v>29800</v>
      </c>
      <c r="I116" s="196" t="s">
        <v>2234</v>
      </c>
      <c r="J116" s="196"/>
    </row>
    <row r="117" spans="1:10" ht="14.4" hidden="1" outlineLevel="1">
      <c r="A117" s="196" t="s">
        <v>351</v>
      </c>
      <c r="B117" s="197">
        <v>40442</v>
      </c>
      <c r="C117" s="196" t="s">
        <v>589</v>
      </c>
      <c r="D117" s="196">
        <v>105</v>
      </c>
      <c r="E117" s="196" t="s">
        <v>616</v>
      </c>
      <c r="F117" s="196">
        <v>104.7</v>
      </c>
      <c r="G117" s="196">
        <f t="shared" si="1"/>
        <v>52.35</v>
      </c>
      <c r="H117" s="196">
        <v>95200</v>
      </c>
      <c r="I117" s="196" t="s">
        <v>2233</v>
      </c>
      <c r="J117" s="196"/>
    </row>
    <row r="118" spans="1:10" ht="14.4" hidden="1" outlineLevel="1">
      <c r="A118" s="196" t="s">
        <v>351</v>
      </c>
      <c r="B118" s="197">
        <v>40444</v>
      </c>
      <c r="C118" s="196" t="s">
        <v>614</v>
      </c>
      <c r="D118" s="196">
        <v>105</v>
      </c>
      <c r="E118" s="196" t="s">
        <v>620</v>
      </c>
      <c r="F118" s="196">
        <v>101.8</v>
      </c>
      <c r="G118" s="196">
        <f t="shared" si="1"/>
        <v>50.9</v>
      </c>
      <c r="H118" s="196">
        <v>187700</v>
      </c>
      <c r="I118" s="196" t="s">
        <v>2232</v>
      </c>
      <c r="J118" s="196"/>
    </row>
    <row r="119" spans="1:10" ht="14.4" hidden="1" outlineLevel="1">
      <c r="A119" s="196" t="s">
        <v>351</v>
      </c>
      <c r="B119" s="197">
        <v>40445</v>
      </c>
      <c r="C119" s="196" t="s">
        <v>600</v>
      </c>
      <c r="D119" s="196">
        <v>102</v>
      </c>
      <c r="E119" s="196" t="s">
        <v>839</v>
      </c>
      <c r="F119" s="196">
        <v>101.2</v>
      </c>
      <c r="G119" s="196">
        <f t="shared" si="1"/>
        <v>50.6</v>
      </c>
      <c r="H119" s="196">
        <v>35000</v>
      </c>
      <c r="I119" s="196" t="s">
        <v>2231</v>
      </c>
      <c r="J119" s="196"/>
    </row>
    <row r="120" spans="1:10" ht="14.4" hidden="1" outlineLevel="1">
      <c r="A120" s="196" t="s">
        <v>351</v>
      </c>
      <c r="B120" s="197">
        <v>40448</v>
      </c>
      <c r="C120" s="196" t="s">
        <v>589</v>
      </c>
      <c r="D120" s="196">
        <v>103</v>
      </c>
      <c r="E120" s="196" t="s">
        <v>616</v>
      </c>
      <c r="F120" s="196">
        <v>99.7</v>
      </c>
      <c r="G120" s="196">
        <f t="shared" si="1"/>
        <v>49.85</v>
      </c>
      <c r="H120" s="196">
        <v>72600</v>
      </c>
      <c r="I120" s="196" t="s">
        <v>2230</v>
      </c>
      <c r="J120" s="196"/>
    </row>
    <row r="121" spans="1:10" ht="14.4" hidden="1" outlineLevel="1">
      <c r="A121" s="196" t="s">
        <v>351</v>
      </c>
      <c r="B121" s="197">
        <v>40449</v>
      </c>
      <c r="C121" s="196" t="s">
        <v>600</v>
      </c>
      <c r="D121" s="196">
        <v>101</v>
      </c>
      <c r="E121" s="196" t="s">
        <v>837</v>
      </c>
      <c r="F121" s="196">
        <v>99.8</v>
      </c>
      <c r="G121" s="196">
        <f t="shared" si="1"/>
        <v>49.9</v>
      </c>
      <c r="H121" s="196">
        <v>67000</v>
      </c>
      <c r="I121" s="196" t="s">
        <v>2229</v>
      </c>
      <c r="J121" s="196"/>
    </row>
    <row r="122" spans="1:10" ht="14.4" hidden="1" outlineLevel="1">
      <c r="A122" s="196" t="s">
        <v>351</v>
      </c>
      <c r="B122" s="197">
        <v>40450</v>
      </c>
      <c r="C122" s="196" t="s">
        <v>616</v>
      </c>
      <c r="D122" s="196">
        <v>100</v>
      </c>
      <c r="E122" s="196" t="s">
        <v>839</v>
      </c>
      <c r="F122" s="196">
        <v>99</v>
      </c>
      <c r="G122" s="196">
        <f t="shared" si="1"/>
        <v>49.5</v>
      </c>
      <c r="H122" s="196">
        <v>72200</v>
      </c>
      <c r="I122" s="196" t="s">
        <v>2228</v>
      </c>
      <c r="J122" s="196"/>
    </row>
    <row r="123" spans="1:10" ht="14.4" hidden="1" outlineLevel="1">
      <c r="A123" s="196" t="s">
        <v>351</v>
      </c>
      <c r="B123" s="197">
        <v>40451</v>
      </c>
      <c r="C123" s="196" t="s">
        <v>616</v>
      </c>
      <c r="D123" s="196">
        <v>103</v>
      </c>
      <c r="E123" s="196" t="s">
        <v>623</v>
      </c>
      <c r="F123" s="196">
        <v>99.7</v>
      </c>
      <c r="G123" s="196">
        <f t="shared" si="1"/>
        <v>49.85</v>
      </c>
      <c r="H123" s="196">
        <v>76800</v>
      </c>
      <c r="I123" s="196" t="s">
        <v>2227</v>
      </c>
      <c r="J123" s="196"/>
    </row>
    <row r="124" spans="1:10" ht="14.4" hidden="1" outlineLevel="1">
      <c r="A124" s="196" t="s">
        <v>351</v>
      </c>
      <c r="B124" s="197">
        <v>40452</v>
      </c>
      <c r="C124" s="196" t="s">
        <v>2225</v>
      </c>
      <c r="D124" s="196">
        <v>100</v>
      </c>
      <c r="E124" s="196" t="s">
        <v>840</v>
      </c>
      <c r="F124" s="196">
        <v>98</v>
      </c>
      <c r="G124" s="196">
        <f t="shared" si="1"/>
        <v>49</v>
      </c>
      <c r="H124" s="196">
        <v>40100</v>
      </c>
      <c r="I124" s="196" t="s">
        <v>2226</v>
      </c>
      <c r="J124" s="196"/>
    </row>
    <row r="125" spans="1:10" ht="14.4" hidden="1" outlineLevel="1">
      <c r="A125" s="196" t="s">
        <v>351</v>
      </c>
      <c r="B125" s="197">
        <v>40455</v>
      </c>
      <c r="C125" s="196" t="s">
        <v>616</v>
      </c>
      <c r="D125" s="196">
        <v>100</v>
      </c>
      <c r="E125" s="196" t="s">
        <v>842</v>
      </c>
      <c r="F125" s="196">
        <v>98</v>
      </c>
      <c r="G125" s="196">
        <f t="shared" si="1"/>
        <v>49</v>
      </c>
      <c r="H125" s="196">
        <v>73700</v>
      </c>
      <c r="I125" s="196" t="s">
        <v>2224</v>
      </c>
      <c r="J125" s="196"/>
    </row>
    <row r="126" spans="1:10" ht="14.4" hidden="1" outlineLevel="1">
      <c r="A126" s="196" t="s">
        <v>351</v>
      </c>
      <c r="B126" s="197">
        <v>40456</v>
      </c>
      <c r="C126" s="196" t="s">
        <v>621</v>
      </c>
      <c r="D126" s="196">
        <v>97</v>
      </c>
      <c r="E126" s="196" t="s">
        <v>621</v>
      </c>
      <c r="F126" s="196">
        <v>95.6</v>
      </c>
      <c r="G126" s="196">
        <f t="shared" si="1"/>
        <v>47.8</v>
      </c>
      <c r="H126" s="196">
        <v>6600</v>
      </c>
      <c r="I126" s="196" t="s">
        <v>2223</v>
      </c>
      <c r="J126" s="196"/>
    </row>
    <row r="127" spans="1:10" ht="14.4" hidden="1" outlineLevel="1">
      <c r="A127" s="196" t="s">
        <v>351</v>
      </c>
      <c r="B127" s="197">
        <v>40457</v>
      </c>
      <c r="C127" s="196" t="s">
        <v>621</v>
      </c>
      <c r="D127" s="196">
        <v>95</v>
      </c>
      <c r="E127" s="196" t="s">
        <v>856</v>
      </c>
      <c r="F127" s="196">
        <v>94.4</v>
      </c>
      <c r="G127" s="196">
        <f t="shared" si="1"/>
        <v>47.2</v>
      </c>
      <c r="H127" s="196">
        <v>16400</v>
      </c>
      <c r="I127" s="196" t="s">
        <v>2222</v>
      </c>
      <c r="J127" s="196"/>
    </row>
    <row r="128" spans="1:10" ht="14.4" hidden="1" outlineLevel="1">
      <c r="A128" s="196" t="s">
        <v>351</v>
      </c>
      <c r="B128" s="197">
        <v>40458</v>
      </c>
      <c r="C128" s="196" t="s">
        <v>863</v>
      </c>
      <c r="D128" s="196">
        <v>96</v>
      </c>
      <c r="E128" s="196" t="s">
        <v>870</v>
      </c>
      <c r="F128" s="196">
        <v>92.6</v>
      </c>
      <c r="G128" s="196">
        <f t="shared" si="1"/>
        <v>46.3</v>
      </c>
      <c r="H128" s="196">
        <v>26600</v>
      </c>
      <c r="I128" s="196" t="s">
        <v>2221</v>
      </c>
      <c r="J128" s="196"/>
    </row>
    <row r="129" spans="1:10" ht="14.4" hidden="1" outlineLevel="1">
      <c r="A129" s="196" t="s">
        <v>351</v>
      </c>
      <c r="B129" s="197">
        <v>40459</v>
      </c>
      <c r="C129" s="196" t="s">
        <v>863</v>
      </c>
      <c r="D129" s="196">
        <v>94.5</v>
      </c>
      <c r="E129" s="196" t="s">
        <v>2041</v>
      </c>
      <c r="F129" s="196">
        <v>94</v>
      </c>
      <c r="G129" s="196">
        <f t="shared" si="1"/>
        <v>47</v>
      </c>
      <c r="H129" s="196">
        <v>13100</v>
      </c>
      <c r="I129" s="196" t="s">
        <v>2220</v>
      </c>
      <c r="J129" s="196"/>
    </row>
    <row r="130" spans="1:10" ht="14.4" hidden="1" outlineLevel="1">
      <c r="A130" s="196" t="s">
        <v>351</v>
      </c>
      <c r="B130" s="197">
        <v>40462</v>
      </c>
      <c r="C130" s="196" t="s">
        <v>908</v>
      </c>
      <c r="D130" s="196">
        <v>94.9</v>
      </c>
      <c r="E130" s="196" t="s">
        <v>847</v>
      </c>
      <c r="F130" s="196">
        <v>93</v>
      </c>
      <c r="G130" s="196">
        <f t="shared" si="1"/>
        <v>46.5</v>
      </c>
      <c r="H130" s="196">
        <v>77400</v>
      </c>
      <c r="I130" s="196" t="s">
        <v>2219</v>
      </c>
      <c r="J130" s="196"/>
    </row>
    <row r="131" spans="1:10" ht="14.4" hidden="1" outlineLevel="1">
      <c r="A131" s="196" t="s">
        <v>351</v>
      </c>
      <c r="B131" s="197">
        <v>40463</v>
      </c>
      <c r="C131" s="196" t="s">
        <v>859</v>
      </c>
      <c r="D131" s="196">
        <v>93</v>
      </c>
      <c r="E131" s="196" t="s">
        <v>941</v>
      </c>
      <c r="F131" s="196">
        <v>89.3</v>
      </c>
      <c r="G131" s="196">
        <f t="shared" si="1"/>
        <v>44.65</v>
      </c>
      <c r="H131" s="196">
        <v>23400</v>
      </c>
      <c r="I131" s="196" t="s">
        <v>2218</v>
      </c>
      <c r="J131" s="196"/>
    </row>
    <row r="132" spans="1:10" ht="14.4" hidden="1" outlineLevel="1">
      <c r="A132" s="196" t="s">
        <v>351</v>
      </c>
      <c r="B132" s="197">
        <v>40464</v>
      </c>
      <c r="C132" s="196" t="s">
        <v>870</v>
      </c>
      <c r="D132" s="196">
        <v>92</v>
      </c>
      <c r="E132" s="196" t="s">
        <v>2032</v>
      </c>
      <c r="F132" s="196">
        <v>90</v>
      </c>
      <c r="G132" s="196">
        <f t="shared" si="1"/>
        <v>45</v>
      </c>
      <c r="H132" s="196">
        <v>98500</v>
      </c>
      <c r="I132" s="196" t="s">
        <v>2217</v>
      </c>
      <c r="J132" s="196"/>
    </row>
    <row r="133" spans="1:10" ht="14.4" hidden="1" outlineLevel="1">
      <c r="A133" s="196" t="s">
        <v>351</v>
      </c>
      <c r="B133" s="197">
        <v>40465</v>
      </c>
      <c r="C133" s="196" t="s">
        <v>863</v>
      </c>
      <c r="D133" s="196">
        <v>92</v>
      </c>
      <c r="E133" s="196" t="s">
        <v>870</v>
      </c>
      <c r="F133" s="196">
        <v>90</v>
      </c>
      <c r="G133" s="196">
        <f t="shared" ref="G133:G196" si="2">F133/2</f>
        <v>45</v>
      </c>
      <c r="H133" s="196">
        <v>15500</v>
      </c>
      <c r="I133" s="196" t="s">
        <v>2216</v>
      </c>
      <c r="J133" s="196"/>
    </row>
    <row r="134" spans="1:10" ht="14.4" hidden="1" outlineLevel="1">
      <c r="A134" s="196" t="s">
        <v>351</v>
      </c>
      <c r="B134" s="197">
        <v>40466</v>
      </c>
      <c r="C134" s="196" t="s">
        <v>847</v>
      </c>
      <c r="D134" s="196">
        <v>94.9</v>
      </c>
      <c r="E134" s="196" t="s">
        <v>941</v>
      </c>
      <c r="F134" s="196">
        <v>89</v>
      </c>
      <c r="G134" s="196">
        <f t="shared" si="2"/>
        <v>44.5</v>
      </c>
      <c r="H134" s="196">
        <v>31400</v>
      </c>
      <c r="I134" s="196" t="s">
        <v>2215</v>
      </c>
      <c r="J134" s="196"/>
    </row>
    <row r="135" spans="1:10" ht="14.4" hidden="1" outlineLevel="1">
      <c r="A135" s="196" t="s">
        <v>351</v>
      </c>
      <c r="B135" s="197">
        <v>40469</v>
      </c>
      <c r="C135" s="196" t="s">
        <v>870</v>
      </c>
      <c r="D135" s="196">
        <v>91</v>
      </c>
      <c r="E135" s="196" t="s">
        <v>627</v>
      </c>
      <c r="F135" s="196">
        <v>88.7</v>
      </c>
      <c r="G135" s="196">
        <f t="shared" si="2"/>
        <v>44.35</v>
      </c>
      <c r="H135" s="196">
        <v>47000</v>
      </c>
      <c r="I135" s="196" t="s">
        <v>2214</v>
      </c>
      <c r="J135" s="196"/>
    </row>
    <row r="136" spans="1:10" ht="14.4" hidden="1" outlineLevel="1">
      <c r="A136" s="196" t="s">
        <v>351</v>
      </c>
      <c r="B136" s="197">
        <v>40470</v>
      </c>
      <c r="C136" s="196" t="s">
        <v>870</v>
      </c>
      <c r="D136" s="196">
        <v>93.1</v>
      </c>
      <c r="E136" s="196" t="s">
        <v>870</v>
      </c>
      <c r="F136" s="196">
        <v>92</v>
      </c>
      <c r="G136" s="196">
        <f t="shared" si="2"/>
        <v>46</v>
      </c>
      <c r="H136" s="196">
        <v>16700</v>
      </c>
      <c r="I136" s="196" t="s">
        <v>2213</v>
      </c>
      <c r="J136" s="196"/>
    </row>
    <row r="137" spans="1:10" ht="14.4" hidden="1" outlineLevel="1">
      <c r="A137" s="196" t="s">
        <v>351</v>
      </c>
      <c r="B137" s="197">
        <v>40471</v>
      </c>
      <c r="C137" s="196" t="s">
        <v>870</v>
      </c>
      <c r="D137" s="196">
        <v>90</v>
      </c>
      <c r="E137" s="196" t="s">
        <v>932</v>
      </c>
      <c r="F137" s="196">
        <v>89.8</v>
      </c>
      <c r="G137" s="196">
        <f t="shared" si="2"/>
        <v>44.9</v>
      </c>
      <c r="H137" s="196">
        <v>20200</v>
      </c>
      <c r="I137" s="196" t="s">
        <v>2212</v>
      </c>
      <c r="J137" s="196"/>
    </row>
    <row r="138" spans="1:10" ht="14.4" hidden="1" outlineLevel="1">
      <c r="A138" s="196" t="s">
        <v>351</v>
      </c>
      <c r="B138" s="197">
        <v>40472</v>
      </c>
      <c r="C138" s="196" t="s">
        <v>941</v>
      </c>
      <c r="D138" s="196">
        <v>90</v>
      </c>
      <c r="E138" s="196" t="s">
        <v>941</v>
      </c>
      <c r="F138" s="196">
        <v>89.3</v>
      </c>
      <c r="G138" s="196">
        <f t="shared" si="2"/>
        <v>44.65</v>
      </c>
      <c r="H138" s="196">
        <v>5100</v>
      </c>
      <c r="I138" s="196" t="s">
        <v>2211</v>
      </c>
      <c r="J138" s="196"/>
    </row>
    <row r="139" spans="1:10" ht="14.4" hidden="1" outlineLevel="1">
      <c r="A139" s="196" t="s">
        <v>351</v>
      </c>
      <c r="B139" s="197">
        <v>40476</v>
      </c>
      <c r="C139" s="196" t="s">
        <v>2209</v>
      </c>
      <c r="D139" s="196">
        <v>90.4</v>
      </c>
      <c r="E139" s="196" t="s">
        <v>2209</v>
      </c>
      <c r="F139" s="196">
        <v>90.4</v>
      </c>
      <c r="G139" s="196">
        <f t="shared" si="2"/>
        <v>45.2</v>
      </c>
      <c r="H139" s="196">
        <v>4700</v>
      </c>
      <c r="I139" s="196" t="s">
        <v>2210</v>
      </c>
      <c r="J139" s="196"/>
    </row>
    <row r="140" spans="1:10" ht="14.4" hidden="1" outlineLevel="1">
      <c r="A140" s="196" t="s">
        <v>351</v>
      </c>
      <c r="B140" s="197">
        <v>40477</v>
      </c>
      <c r="C140" s="196" t="s">
        <v>627</v>
      </c>
      <c r="D140" s="196">
        <v>88</v>
      </c>
      <c r="E140" s="196" t="s">
        <v>2122</v>
      </c>
      <c r="F140" s="196">
        <v>88</v>
      </c>
      <c r="G140" s="196">
        <f t="shared" si="2"/>
        <v>44</v>
      </c>
      <c r="H140" s="196">
        <v>87500</v>
      </c>
      <c r="I140" s="196" t="s">
        <v>2208</v>
      </c>
      <c r="J140" s="196"/>
    </row>
    <row r="141" spans="1:10" ht="14.4" hidden="1" outlineLevel="1">
      <c r="A141" s="196" t="s">
        <v>351</v>
      </c>
      <c r="B141" s="197">
        <v>40478</v>
      </c>
      <c r="C141" s="196" t="s">
        <v>2032</v>
      </c>
      <c r="D141" s="196">
        <v>87.5</v>
      </c>
      <c r="E141" s="196" t="s">
        <v>2024</v>
      </c>
      <c r="F141" s="196">
        <v>87</v>
      </c>
      <c r="G141" s="196">
        <f t="shared" si="2"/>
        <v>43.5</v>
      </c>
      <c r="H141" s="196">
        <v>35800</v>
      </c>
      <c r="I141" s="196" t="s">
        <v>2207</v>
      </c>
      <c r="J141" s="196"/>
    </row>
    <row r="142" spans="1:10" ht="14.4" hidden="1" outlineLevel="1">
      <c r="A142" s="196" t="s">
        <v>351</v>
      </c>
      <c r="B142" s="197">
        <v>40479</v>
      </c>
      <c r="C142" s="196" t="s">
        <v>912</v>
      </c>
      <c r="D142" s="196">
        <v>87.5</v>
      </c>
      <c r="E142" s="196" t="s">
        <v>912</v>
      </c>
      <c r="F142" s="196">
        <v>87.1</v>
      </c>
      <c r="G142" s="196">
        <f t="shared" si="2"/>
        <v>43.55</v>
      </c>
      <c r="H142" s="196">
        <v>100200</v>
      </c>
      <c r="I142" s="196" t="s">
        <v>2206</v>
      </c>
      <c r="J142" s="196"/>
    </row>
    <row r="143" spans="1:10" ht="14.4" hidden="1" outlineLevel="1">
      <c r="A143" s="196" t="s">
        <v>351</v>
      </c>
      <c r="B143" s="197">
        <v>40480</v>
      </c>
      <c r="C143" s="196" t="s">
        <v>912</v>
      </c>
      <c r="D143" s="196">
        <v>89.2</v>
      </c>
      <c r="E143" s="196" t="s">
        <v>912</v>
      </c>
      <c r="F143" s="196">
        <v>88.6</v>
      </c>
      <c r="G143" s="196">
        <f t="shared" si="2"/>
        <v>44.3</v>
      </c>
      <c r="H143" s="196">
        <v>68100</v>
      </c>
      <c r="I143" s="196" t="s">
        <v>2205</v>
      </c>
      <c r="J143" s="196"/>
    </row>
    <row r="144" spans="1:10" ht="14.4" hidden="1" outlineLevel="1">
      <c r="A144" s="196" t="s">
        <v>351</v>
      </c>
      <c r="B144" s="197">
        <v>40483</v>
      </c>
      <c r="C144" s="196" t="s">
        <v>941</v>
      </c>
      <c r="D144" s="196">
        <v>90</v>
      </c>
      <c r="E144" s="196" t="s">
        <v>941</v>
      </c>
      <c r="F144" s="196">
        <v>89.9</v>
      </c>
      <c r="G144" s="196">
        <f t="shared" si="2"/>
        <v>44.95</v>
      </c>
      <c r="H144" s="196">
        <v>38600</v>
      </c>
      <c r="I144" s="196" t="s">
        <v>2204</v>
      </c>
      <c r="J144" s="196"/>
    </row>
    <row r="145" spans="1:10" ht="14.4" hidden="1" outlineLevel="1">
      <c r="A145" s="196" t="s">
        <v>351</v>
      </c>
      <c r="B145" s="197">
        <v>40484</v>
      </c>
      <c r="C145" s="196" t="s">
        <v>870</v>
      </c>
      <c r="D145" s="196">
        <v>90</v>
      </c>
      <c r="E145" s="196" t="s">
        <v>941</v>
      </c>
      <c r="F145" s="196">
        <v>89.9</v>
      </c>
      <c r="G145" s="196">
        <f t="shared" si="2"/>
        <v>44.95</v>
      </c>
      <c r="H145" s="196">
        <v>23400</v>
      </c>
      <c r="I145" s="196" t="s">
        <v>2203</v>
      </c>
      <c r="J145" s="196"/>
    </row>
    <row r="146" spans="1:10" ht="14.4" hidden="1" outlineLevel="1">
      <c r="A146" s="196" t="s">
        <v>351</v>
      </c>
      <c r="B146" s="197">
        <v>40485</v>
      </c>
      <c r="C146" s="196" t="s">
        <v>2100</v>
      </c>
      <c r="D146" s="196">
        <v>90</v>
      </c>
      <c r="E146" s="196" t="s">
        <v>2032</v>
      </c>
      <c r="F146" s="196">
        <v>90</v>
      </c>
      <c r="G146" s="196">
        <f t="shared" si="2"/>
        <v>45</v>
      </c>
      <c r="H146" s="196">
        <v>40000</v>
      </c>
      <c r="I146" s="196" t="s">
        <v>2202</v>
      </c>
      <c r="J146" s="196"/>
    </row>
    <row r="147" spans="1:10" ht="14.4" hidden="1" outlineLevel="1">
      <c r="A147" s="196" t="s">
        <v>351</v>
      </c>
      <c r="B147" s="197">
        <v>40486</v>
      </c>
      <c r="C147" s="196" t="s">
        <v>2032</v>
      </c>
      <c r="D147" s="196">
        <v>88</v>
      </c>
      <c r="E147" s="196" t="s">
        <v>2032</v>
      </c>
      <c r="F147" s="196">
        <v>88</v>
      </c>
      <c r="G147" s="196">
        <f t="shared" si="2"/>
        <v>44</v>
      </c>
      <c r="H147" s="196">
        <v>12600</v>
      </c>
      <c r="I147" s="196" t="s">
        <v>2201</v>
      </c>
      <c r="J147" s="196"/>
    </row>
    <row r="148" spans="1:10" ht="14.4" hidden="1" outlineLevel="1">
      <c r="A148" s="196" t="s">
        <v>351</v>
      </c>
      <c r="B148" s="197">
        <v>40490</v>
      </c>
      <c r="C148" s="196" t="s">
        <v>627</v>
      </c>
      <c r="D148" s="196">
        <v>92.5</v>
      </c>
      <c r="E148" s="196" t="s">
        <v>627</v>
      </c>
      <c r="F148" s="196">
        <v>88.7</v>
      </c>
      <c r="G148" s="196">
        <f t="shared" si="2"/>
        <v>44.35</v>
      </c>
      <c r="H148" s="196">
        <v>19300</v>
      </c>
      <c r="I148" s="196" t="s">
        <v>2200</v>
      </c>
      <c r="J148" s="196"/>
    </row>
    <row r="149" spans="1:10" ht="14.4" hidden="1" outlineLevel="1">
      <c r="A149" s="196" t="s">
        <v>351</v>
      </c>
      <c r="B149" s="197">
        <v>40491</v>
      </c>
      <c r="C149" s="196" t="s">
        <v>2150</v>
      </c>
      <c r="D149" s="196">
        <v>89.5</v>
      </c>
      <c r="E149" s="196" t="s">
        <v>627</v>
      </c>
      <c r="F149" s="196">
        <v>88</v>
      </c>
      <c r="G149" s="196">
        <f t="shared" si="2"/>
        <v>44</v>
      </c>
      <c r="H149" s="196">
        <v>11800</v>
      </c>
      <c r="I149" s="196" t="s">
        <v>2199</v>
      </c>
      <c r="J149" s="196"/>
    </row>
    <row r="150" spans="1:10" ht="14.4" hidden="1" outlineLevel="1">
      <c r="A150" s="196" t="s">
        <v>351</v>
      </c>
      <c r="B150" s="197">
        <v>40492</v>
      </c>
      <c r="C150" s="196" t="s">
        <v>627</v>
      </c>
      <c r="D150" s="196">
        <v>88</v>
      </c>
      <c r="E150" s="196" t="s">
        <v>2126</v>
      </c>
      <c r="F150" s="196">
        <v>87.8</v>
      </c>
      <c r="G150" s="196">
        <f t="shared" si="2"/>
        <v>43.9</v>
      </c>
      <c r="H150" s="196">
        <v>9000</v>
      </c>
      <c r="I150" s="196" t="s">
        <v>2198</v>
      </c>
      <c r="J150" s="196"/>
    </row>
    <row r="151" spans="1:10" ht="14.4" hidden="1" outlineLevel="1">
      <c r="A151" s="196" t="s">
        <v>351</v>
      </c>
      <c r="B151" s="197">
        <v>40493</v>
      </c>
      <c r="C151" s="196" t="s">
        <v>627</v>
      </c>
      <c r="D151" s="196">
        <v>88</v>
      </c>
      <c r="E151" s="196" t="s">
        <v>2126</v>
      </c>
      <c r="F151" s="196">
        <v>87.8</v>
      </c>
      <c r="G151" s="196">
        <f t="shared" si="2"/>
        <v>43.9</v>
      </c>
      <c r="H151" s="196">
        <v>5100</v>
      </c>
      <c r="I151" s="196" t="s">
        <v>2197</v>
      </c>
      <c r="J151" s="196"/>
    </row>
    <row r="152" spans="1:10" ht="14.4" hidden="1" outlineLevel="1">
      <c r="A152" s="196" t="s">
        <v>351</v>
      </c>
      <c r="B152" s="197">
        <v>40494</v>
      </c>
      <c r="C152" s="196" t="s">
        <v>627</v>
      </c>
      <c r="D152" s="196">
        <v>91</v>
      </c>
      <c r="E152" s="196" t="s">
        <v>627</v>
      </c>
      <c r="F152" s="196">
        <v>88</v>
      </c>
      <c r="G152" s="196">
        <f t="shared" si="2"/>
        <v>44</v>
      </c>
      <c r="H152" s="196">
        <v>72900</v>
      </c>
      <c r="I152" s="196" t="s">
        <v>2196</v>
      </c>
      <c r="J152" s="196"/>
    </row>
    <row r="153" spans="1:10" ht="14.4" hidden="1" outlineLevel="1">
      <c r="A153" s="196" t="s">
        <v>351</v>
      </c>
      <c r="B153" s="197">
        <v>40497</v>
      </c>
      <c r="C153" s="196" t="s">
        <v>2032</v>
      </c>
      <c r="D153" s="196">
        <v>88.5</v>
      </c>
      <c r="E153" s="196" t="s">
        <v>923</v>
      </c>
      <c r="F153" s="196">
        <v>86.6</v>
      </c>
      <c r="G153" s="196">
        <f t="shared" si="2"/>
        <v>43.3</v>
      </c>
      <c r="H153" s="196">
        <v>22300</v>
      </c>
      <c r="I153" s="196" t="s">
        <v>2195</v>
      </c>
      <c r="J153" s="196"/>
    </row>
    <row r="154" spans="1:10" ht="14.4" hidden="1" outlineLevel="1">
      <c r="A154" s="196" t="s">
        <v>351</v>
      </c>
      <c r="B154" s="197">
        <v>40498</v>
      </c>
      <c r="C154" s="196" t="s">
        <v>927</v>
      </c>
      <c r="D154" s="196">
        <v>87.5</v>
      </c>
      <c r="E154" s="196" t="s">
        <v>2157</v>
      </c>
      <c r="F154" s="196">
        <v>85.2</v>
      </c>
      <c r="G154" s="196">
        <f t="shared" si="2"/>
        <v>42.6</v>
      </c>
      <c r="H154" s="196">
        <v>30600</v>
      </c>
      <c r="I154" s="196" t="s">
        <v>2194</v>
      </c>
      <c r="J154" s="196"/>
    </row>
    <row r="155" spans="1:10" ht="14.4" hidden="1" outlineLevel="1">
      <c r="A155" s="196" t="s">
        <v>351</v>
      </c>
      <c r="B155" s="197">
        <v>40500</v>
      </c>
      <c r="C155" s="196" t="s">
        <v>2157</v>
      </c>
      <c r="D155" s="196">
        <v>88</v>
      </c>
      <c r="E155" s="196" t="s">
        <v>2157</v>
      </c>
      <c r="F155" s="196">
        <v>88</v>
      </c>
      <c r="G155" s="196">
        <f t="shared" si="2"/>
        <v>44</v>
      </c>
      <c r="H155" s="196">
        <v>8300</v>
      </c>
      <c r="I155" s="196" t="s">
        <v>2193</v>
      </c>
      <c r="J155" s="196"/>
    </row>
    <row r="156" spans="1:10" ht="14.4" hidden="1" outlineLevel="1">
      <c r="A156" s="196" t="s">
        <v>351</v>
      </c>
      <c r="B156" s="197">
        <v>40504</v>
      </c>
      <c r="C156" s="196" t="s">
        <v>912</v>
      </c>
      <c r="D156" s="196">
        <v>87</v>
      </c>
      <c r="E156" s="196" t="s">
        <v>919</v>
      </c>
      <c r="F156" s="196">
        <v>86</v>
      </c>
      <c r="G156" s="196">
        <f t="shared" si="2"/>
        <v>43</v>
      </c>
      <c r="H156" s="196">
        <v>28200</v>
      </c>
      <c r="I156" s="196" t="s">
        <v>2192</v>
      </c>
      <c r="J156" s="196"/>
    </row>
    <row r="157" spans="1:10" ht="14.4" hidden="1" outlineLevel="1">
      <c r="A157" s="196" t="s">
        <v>351</v>
      </c>
      <c r="B157" s="197">
        <v>40505</v>
      </c>
      <c r="C157" s="196" t="s">
        <v>941</v>
      </c>
      <c r="D157" s="196">
        <v>89</v>
      </c>
      <c r="E157" s="196" t="s">
        <v>2157</v>
      </c>
      <c r="F157" s="196">
        <v>85</v>
      </c>
      <c r="G157" s="196">
        <f t="shared" si="2"/>
        <v>42.5</v>
      </c>
      <c r="H157" s="196">
        <v>11500</v>
      </c>
      <c r="I157" s="196" t="s">
        <v>2191</v>
      </c>
      <c r="J157" s="196"/>
    </row>
    <row r="158" spans="1:10" ht="14.4" hidden="1" outlineLevel="1">
      <c r="A158" s="196" t="s">
        <v>351</v>
      </c>
      <c r="B158" s="197">
        <v>40506</v>
      </c>
      <c r="C158" s="196" t="s">
        <v>2157</v>
      </c>
      <c r="D158" s="196">
        <v>85.9</v>
      </c>
      <c r="E158" s="196" t="s">
        <v>2157</v>
      </c>
      <c r="F158" s="196">
        <v>85</v>
      </c>
      <c r="G158" s="196">
        <f t="shared" si="2"/>
        <v>42.5</v>
      </c>
      <c r="H158" s="196">
        <v>14400</v>
      </c>
      <c r="I158" s="196" t="s">
        <v>2190</v>
      </c>
      <c r="J158" s="196"/>
    </row>
    <row r="159" spans="1:10" ht="14.4" hidden="1" outlineLevel="1">
      <c r="A159" s="196" t="s">
        <v>351</v>
      </c>
      <c r="B159" s="197">
        <v>40507</v>
      </c>
      <c r="C159" s="196" t="s">
        <v>2157</v>
      </c>
      <c r="D159" s="196">
        <v>85</v>
      </c>
      <c r="E159" s="196" t="s">
        <v>2188</v>
      </c>
      <c r="F159" s="196">
        <v>84.5</v>
      </c>
      <c r="G159" s="196">
        <f t="shared" si="2"/>
        <v>42.25</v>
      </c>
      <c r="H159" s="196">
        <v>32800</v>
      </c>
      <c r="I159" s="196" t="s">
        <v>2189</v>
      </c>
      <c r="J159" s="196"/>
    </row>
    <row r="160" spans="1:10" ht="14.4" hidden="1" outlineLevel="1">
      <c r="A160" s="196" t="s">
        <v>351</v>
      </c>
      <c r="B160" s="197">
        <v>40508</v>
      </c>
      <c r="C160" s="196" t="s">
        <v>2157</v>
      </c>
      <c r="D160" s="196">
        <v>85</v>
      </c>
      <c r="E160" s="196" t="s">
        <v>947</v>
      </c>
      <c r="F160" s="196">
        <v>84</v>
      </c>
      <c r="G160" s="196">
        <f t="shared" si="2"/>
        <v>42</v>
      </c>
      <c r="H160" s="196">
        <v>11000</v>
      </c>
      <c r="I160" s="196" t="s">
        <v>2187</v>
      </c>
      <c r="J160" s="196"/>
    </row>
    <row r="161" spans="1:10" ht="14.4" hidden="1" outlineLevel="1">
      <c r="A161" s="196" t="s">
        <v>351</v>
      </c>
      <c r="B161" s="197">
        <v>40511</v>
      </c>
      <c r="C161" s="196" t="s">
        <v>948</v>
      </c>
      <c r="D161" s="196">
        <v>83.1</v>
      </c>
      <c r="E161" s="196" t="s">
        <v>950</v>
      </c>
      <c r="F161" s="196">
        <v>80.599999999999994</v>
      </c>
      <c r="G161" s="196">
        <f t="shared" si="2"/>
        <v>40.299999999999997</v>
      </c>
      <c r="H161" s="196">
        <v>2600</v>
      </c>
      <c r="I161" s="196" t="s">
        <v>2186</v>
      </c>
      <c r="J161" s="196"/>
    </row>
    <row r="162" spans="1:10" ht="14.4" hidden="1" outlineLevel="1">
      <c r="A162" s="196" t="s">
        <v>351</v>
      </c>
      <c r="B162" s="197">
        <v>40512</v>
      </c>
      <c r="C162" s="196" t="s">
        <v>927</v>
      </c>
      <c r="D162" s="196">
        <v>86.5</v>
      </c>
      <c r="E162" s="196" t="s">
        <v>1013</v>
      </c>
      <c r="F162" s="196">
        <v>83</v>
      </c>
      <c r="G162" s="196">
        <f t="shared" si="2"/>
        <v>41.5</v>
      </c>
      <c r="H162" s="196">
        <v>9600</v>
      </c>
      <c r="I162" s="196" t="s">
        <v>2185</v>
      </c>
      <c r="J162" s="196"/>
    </row>
    <row r="163" spans="1:10" ht="14.4" hidden="1" outlineLevel="1">
      <c r="A163" s="196" t="s">
        <v>351</v>
      </c>
      <c r="B163" s="197">
        <v>40513</v>
      </c>
      <c r="C163" s="196" t="s">
        <v>2157</v>
      </c>
      <c r="D163" s="196">
        <v>86.5</v>
      </c>
      <c r="E163" s="196" t="s">
        <v>2157</v>
      </c>
      <c r="F163" s="196">
        <v>86</v>
      </c>
      <c r="G163" s="196">
        <f t="shared" si="2"/>
        <v>43</v>
      </c>
      <c r="H163" s="196">
        <v>37800</v>
      </c>
      <c r="I163" s="196" t="s">
        <v>2184</v>
      </c>
      <c r="J163" s="196"/>
    </row>
    <row r="164" spans="1:10" ht="14.4" hidden="1" outlineLevel="1">
      <c r="A164" s="196" t="s">
        <v>351</v>
      </c>
      <c r="B164" s="197">
        <v>40514</v>
      </c>
      <c r="C164" s="196" t="s">
        <v>2164</v>
      </c>
      <c r="D164" s="196">
        <v>85</v>
      </c>
      <c r="E164" s="196" t="s">
        <v>2164</v>
      </c>
      <c r="F164" s="196">
        <v>85</v>
      </c>
      <c r="G164" s="196">
        <f t="shared" si="2"/>
        <v>42.5</v>
      </c>
      <c r="H164" s="196">
        <v>7000</v>
      </c>
      <c r="I164" s="196" t="s">
        <v>2183</v>
      </c>
      <c r="J164" s="196"/>
    </row>
    <row r="165" spans="1:10" ht="14.4" hidden="1" outlineLevel="1">
      <c r="A165" s="196" t="s">
        <v>351</v>
      </c>
      <c r="B165" s="197">
        <v>40515</v>
      </c>
      <c r="C165" s="196" t="s">
        <v>2157</v>
      </c>
      <c r="D165" s="196">
        <v>85</v>
      </c>
      <c r="E165" s="196" t="s">
        <v>2157</v>
      </c>
      <c r="F165" s="196">
        <v>85</v>
      </c>
      <c r="G165" s="196">
        <f t="shared" si="2"/>
        <v>42.5</v>
      </c>
      <c r="H165" s="196">
        <v>1000</v>
      </c>
      <c r="I165" s="196" t="s">
        <v>2182</v>
      </c>
      <c r="J165" s="196"/>
    </row>
    <row r="166" spans="1:10" ht="14.4" hidden="1" outlineLevel="1">
      <c r="A166" s="196" t="s">
        <v>351</v>
      </c>
      <c r="B166" s="197">
        <v>40518</v>
      </c>
      <c r="C166" s="196" t="s">
        <v>2179</v>
      </c>
      <c r="D166" s="196">
        <v>83.2</v>
      </c>
      <c r="E166" s="196" t="s">
        <v>2179</v>
      </c>
      <c r="F166" s="196">
        <v>83.2</v>
      </c>
      <c r="G166" s="196">
        <f t="shared" si="2"/>
        <v>41.6</v>
      </c>
      <c r="H166" s="196">
        <v>1000</v>
      </c>
      <c r="I166" s="196" t="s">
        <v>2181</v>
      </c>
      <c r="J166" s="196"/>
    </row>
    <row r="167" spans="1:10" ht="14.4" hidden="1" outlineLevel="1">
      <c r="A167" s="196" t="s">
        <v>351</v>
      </c>
      <c r="B167" s="197">
        <v>40519</v>
      </c>
      <c r="C167" s="196" t="s">
        <v>2179</v>
      </c>
      <c r="D167" s="196">
        <v>83.2</v>
      </c>
      <c r="E167" s="196" t="s">
        <v>952</v>
      </c>
      <c r="F167" s="196">
        <v>81.099999999999994</v>
      </c>
      <c r="G167" s="196">
        <f t="shared" si="2"/>
        <v>40.549999999999997</v>
      </c>
      <c r="H167" s="196">
        <v>28400</v>
      </c>
      <c r="I167" s="196" t="s">
        <v>2180</v>
      </c>
      <c r="J167" s="196"/>
    </row>
    <row r="168" spans="1:10" ht="14.4" hidden="1" outlineLevel="1">
      <c r="A168" s="196" t="s">
        <v>351</v>
      </c>
      <c r="B168" s="197">
        <v>40520</v>
      </c>
      <c r="C168" s="196" t="s">
        <v>2176</v>
      </c>
      <c r="D168" s="196">
        <v>83.2</v>
      </c>
      <c r="E168" s="196" t="s">
        <v>2177</v>
      </c>
      <c r="F168" s="196">
        <v>81.5</v>
      </c>
      <c r="G168" s="196">
        <f t="shared" si="2"/>
        <v>40.75</v>
      </c>
      <c r="H168" s="196">
        <v>14500</v>
      </c>
      <c r="I168" s="196" t="s">
        <v>2178</v>
      </c>
      <c r="J168" s="196"/>
    </row>
    <row r="169" spans="1:10" ht="14.4" hidden="1" outlineLevel="1">
      <c r="A169" s="196" t="s">
        <v>351</v>
      </c>
      <c r="B169" s="197">
        <v>40521</v>
      </c>
      <c r="C169" s="196" t="s">
        <v>1037</v>
      </c>
      <c r="D169" s="196">
        <v>81</v>
      </c>
      <c r="E169" s="196" t="s">
        <v>1037</v>
      </c>
      <c r="F169" s="196">
        <v>81</v>
      </c>
      <c r="G169" s="196">
        <f t="shared" si="2"/>
        <v>40.5</v>
      </c>
      <c r="H169" s="196">
        <v>8600</v>
      </c>
      <c r="I169" s="196" t="s">
        <v>2175</v>
      </c>
      <c r="J169" s="196"/>
    </row>
    <row r="170" spans="1:10" ht="14.4" hidden="1" outlineLevel="1">
      <c r="A170" s="196" t="s">
        <v>351</v>
      </c>
      <c r="B170" s="197">
        <v>40522</v>
      </c>
      <c r="C170" s="196" t="s">
        <v>952</v>
      </c>
      <c r="D170" s="196">
        <v>83.2</v>
      </c>
      <c r="E170" s="196" t="s">
        <v>952</v>
      </c>
      <c r="F170" s="196">
        <v>83.2</v>
      </c>
      <c r="G170" s="196">
        <f t="shared" si="2"/>
        <v>41.6</v>
      </c>
      <c r="H170" s="196">
        <v>19900</v>
      </c>
      <c r="I170" s="196" t="s">
        <v>2174</v>
      </c>
      <c r="J170" s="196"/>
    </row>
    <row r="171" spans="1:10" ht="14.4" hidden="1" outlineLevel="1">
      <c r="A171" s="196" t="s">
        <v>351</v>
      </c>
      <c r="B171" s="197">
        <v>40525</v>
      </c>
      <c r="C171" s="196" t="s">
        <v>1019</v>
      </c>
      <c r="D171" s="196">
        <v>82.5</v>
      </c>
      <c r="E171" s="196" t="s">
        <v>1019</v>
      </c>
      <c r="F171" s="196">
        <v>82.5</v>
      </c>
      <c r="G171" s="196">
        <f t="shared" si="2"/>
        <v>41.25</v>
      </c>
      <c r="H171" s="196">
        <v>100</v>
      </c>
      <c r="I171" s="196" t="s">
        <v>2173</v>
      </c>
      <c r="J171" s="196"/>
    </row>
    <row r="172" spans="1:10" ht="14.4" hidden="1" outlineLevel="1">
      <c r="A172" s="196" t="s">
        <v>351</v>
      </c>
      <c r="B172" s="197">
        <v>40526</v>
      </c>
      <c r="C172" s="196" t="s">
        <v>2171</v>
      </c>
      <c r="D172" s="196">
        <v>81.099999999999994</v>
      </c>
      <c r="E172" s="196" t="s">
        <v>950</v>
      </c>
      <c r="F172" s="196">
        <v>80.599999999999994</v>
      </c>
      <c r="G172" s="196">
        <f t="shared" si="2"/>
        <v>40.299999999999997</v>
      </c>
      <c r="H172" s="196">
        <v>46100</v>
      </c>
      <c r="I172" s="196" t="s">
        <v>2172</v>
      </c>
      <c r="J172" s="196"/>
    </row>
    <row r="173" spans="1:10" ht="14.4" hidden="1" outlineLevel="1">
      <c r="A173" s="196" t="s">
        <v>351</v>
      </c>
      <c r="B173" s="197">
        <v>40527</v>
      </c>
      <c r="C173" s="196" t="s">
        <v>950</v>
      </c>
      <c r="D173" s="196">
        <v>82</v>
      </c>
      <c r="E173" s="196" t="s">
        <v>950</v>
      </c>
      <c r="F173" s="196">
        <v>82</v>
      </c>
      <c r="G173" s="196">
        <f t="shared" si="2"/>
        <v>41</v>
      </c>
      <c r="H173" s="196">
        <v>5800</v>
      </c>
      <c r="I173" s="196" t="s">
        <v>2170</v>
      </c>
      <c r="J173" s="196"/>
    </row>
    <row r="174" spans="1:10" ht="14.4" hidden="1" outlineLevel="1">
      <c r="A174" s="196" t="s">
        <v>351</v>
      </c>
      <c r="B174" s="197">
        <v>40528</v>
      </c>
      <c r="C174" s="196" t="s">
        <v>950</v>
      </c>
      <c r="D174" s="196">
        <v>82</v>
      </c>
      <c r="E174" s="196" t="s">
        <v>950</v>
      </c>
      <c r="F174" s="196">
        <v>80.2</v>
      </c>
      <c r="G174" s="196">
        <f t="shared" si="2"/>
        <v>40.1</v>
      </c>
      <c r="H174" s="196">
        <v>2400</v>
      </c>
      <c r="I174" s="196" t="s">
        <v>2169</v>
      </c>
      <c r="J174" s="196"/>
    </row>
    <row r="175" spans="1:10" ht="14.4" hidden="1" outlineLevel="1">
      <c r="A175" s="196" t="s">
        <v>351</v>
      </c>
      <c r="B175" s="197">
        <v>40529</v>
      </c>
      <c r="C175" s="196" t="s">
        <v>1054</v>
      </c>
      <c r="D175" s="196">
        <v>80.5</v>
      </c>
      <c r="E175" s="196" t="s">
        <v>1054</v>
      </c>
      <c r="F175" s="196">
        <v>80.5</v>
      </c>
      <c r="G175" s="196">
        <f t="shared" si="2"/>
        <v>40.25</v>
      </c>
      <c r="H175" s="196">
        <v>12100</v>
      </c>
      <c r="I175" s="196" t="s">
        <v>2168</v>
      </c>
      <c r="J175" s="196"/>
    </row>
    <row r="176" spans="1:10" ht="14.4" hidden="1" outlineLevel="1">
      <c r="A176" s="196" t="s">
        <v>351</v>
      </c>
      <c r="B176" s="197">
        <v>40533</v>
      </c>
      <c r="C176" s="196" t="s">
        <v>1010</v>
      </c>
      <c r="D176" s="196">
        <v>80.5</v>
      </c>
      <c r="E176" s="196" t="s">
        <v>2013</v>
      </c>
      <c r="F176" s="196">
        <v>80.3</v>
      </c>
      <c r="G176" s="196">
        <f t="shared" si="2"/>
        <v>40.15</v>
      </c>
      <c r="H176" s="196">
        <v>1200</v>
      </c>
      <c r="I176" s="196" t="s">
        <v>2167</v>
      </c>
      <c r="J176" s="196"/>
    </row>
    <row r="177" spans="1:10" ht="14.4" hidden="1" outlineLevel="1">
      <c r="A177" s="196" t="s">
        <v>351</v>
      </c>
      <c r="B177" s="197">
        <v>40534</v>
      </c>
      <c r="C177" s="196" t="s">
        <v>1007</v>
      </c>
      <c r="D177" s="196">
        <v>84</v>
      </c>
      <c r="E177" s="196" t="s">
        <v>1007</v>
      </c>
      <c r="F177" s="196">
        <v>82.8</v>
      </c>
      <c r="G177" s="196">
        <f t="shared" si="2"/>
        <v>41.4</v>
      </c>
      <c r="H177" s="196">
        <v>500</v>
      </c>
      <c r="I177" s="196" t="s">
        <v>2166</v>
      </c>
      <c r="J177" s="196"/>
    </row>
    <row r="178" spans="1:10" ht="14.4" hidden="1" outlineLevel="1">
      <c r="A178" s="196" t="s">
        <v>351</v>
      </c>
      <c r="B178" s="197">
        <v>40535</v>
      </c>
      <c r="C178" s="196" t="s">
        <v>947</v>
      </c>
      <c r="D178" s="196">
        <v>85</v>
      </c>
      <c r="E178" s="196" t="s">
        <v>2164</v>
      </c>
      <c r="F178" s="196">
        <v>83.5</v>
      </c>
      <c r="G178" s="196">
        <f t="shared" si="2"/>
        <v>41.75</v>
      </c>
      <c r="H178" s="196">
        <v>19000</v>
      </c>
      <c r="I178" s="196" t="s">
        <v>2165</v>
      </c>
      <c r="J178" s="196"/>
    </row>
    <row r="179" spans="1:10" ht="14.4" hidden="1" outlineLevel="1">
      <c r="A179" s="196" t="s">
        <v>351</v>
      </c>
      <c r="B179" s="197">
        <v>40536</v>
      </c>
      <c r="C179" s="196" t="s">
        <v>947</v>
      </c>
      <c r="D179" s="196">
        <v>86.9</v>
      </c>
      <c r="E179" s="196" t="s">
        <v>947</v>
      </c>
      <c r="F179" s="196">
        <v>86.4</v>
      </c>
      <c r="G179" s="196">
        <f t="shared" si="2"/>
        <v>43.2</v>
      </c>
      <c r="H179" s="196">
        <v>79000</v>
      </c>
      <c r="I179" s="196" t="s">
        <v>2163</v>
      </c>
      <c r="J179" s="196"/>
    </row>
    <row r="180" spans="1:10" ht="14.4" hidden="1" outlineLevel="1">
      <c r="A180" s="196" t="s">
        <v>351</v>
      </c>
      <c r="B180" s="197">
        <v>40539</v>
      </c>
      <c r="C180" s="196" t="s">
        <v>2157</v>
      </c>
      <c r="D180" s="196">
        <v>85</v>
      </c>
      <c r="E180" s="196" t="s">
        <v>2157</v>
      </c>
      <c r="F180" s="196">
        <v>85</v>
      </c>
      <c r="G180" s="196">
        <f t="shared" si="2"/>
        <v>42.5</v>
      </c>
      <c r="H180" s="196">
        <v>6100</v>
      </c>
      <c r="I180" s="196" t="s">
        <v>2162</v>
      </c>
      <c r="J180" s="196"/>
    </row>
    <row r="181" spans="1:10" ht="14.4" hidden="1" outlineLevel="1">
      <c r="A181" s="196" t="s">
        <v>351</v>
      </c>
      <c r="B181" s="197">
        <v>40540</v>
      </c>
      <c r="C181" s="196" t="s">
        <v>2022</v>
      </c>
      <c r="D181" s="196">
        <v>86</v>
      </c>
      <c r="E181" s="196" t="s">
        <v>2157</v>
      </c>
      <c r="F181" s="196">
        <v>85</v>
      </c>
      <c r="G181" s="196">
        <f t="shared" si="2"/>
        <v>42.5</v>
      </c>
      <c r="H181" s="196">
        <v>18000</v>
      </c>
      <c r="I181" s="196" t="s">
        <v>2161</v>
      </c>
      <c r="J181" s="196"/>
    </row>
    <row r="182" spans="1:10" ht="14.4" hidden="1" outlineLevel="1">
      <c r="A182" s="196" t="s">
        <v>351</v>
      </c>
      <c r="B182" s="197">
        <v>40541</v>
      </c>
      <c r="C182" s="196" t="s">
        <v>2157</v>
      </c>
      <c r="D182" s="196">
        <v>85.1</v>
      </c>
      <c r="E182" s="196" t="s">
        <v>2157</v>
      </c>
      <c r="F182" s="196">
        <v>85</v>
      </c>
      <c r="G182" s="196">
        <f t="shared" si="2"/>
        <v>42.5</v>
      </c>
      <c r="H182" s="196">
        <v>10500</v>
      </c>
      <c r="I182" s="196" t="s">
        <v>2160</v>
      </c>
      <c r="J182" s="196"/>
    </row>
    <row r="183" spans="1:10" ht="14.4" hidden="1" outlineLevel="1">
      <c r="A183" s="196" t="s">
        <v>351</v>
      </c>
      <c r="B183" s="197">
        <v>40542</v>
      </c>
      <c r="C183" s="196" t="s">
        <v>2022</v>
      </c>
      <c r="D183" s="196">
        <v>85.2</v>
      </c>
      <c r="E183" s="196" t="s">
        <v>2157</v>
      </c>
      <c r="F183" s="196">
        <v>85.1</v>
      </c>
      <c r="G183" s="196">
        <f t="shared" si="2"/>
        <v>42.55</v>
      </c>
      <c r="H183" s="196">
        <v>9600</v>
      </c>
      <c r="I183" s="196" t="s">
        <v>2159</v>
      </c>
      <c r="J183" s="196"/>
    </row>
    <row r="184" spans="1:10" ht="14.4" hidden="1" outlineLevel="1">
      <c r="A184" s="196" t="s">
        <v>351</v>
      </c>
      <c r="B184" s="197">
        <v>40543</v>
      </c>
      <c r="C184" s="196" t="s">
        <v>2157</v>
      </c>
      <c r="D184" s="196">
        <v>86</v>
      </c>
      <c r="E184" s="196" t="s">
        <v>2157</v>
      </c>
      <c r="F184" s="196">
        <v>85.1</v>
      </c>
      <c r="G184" s="196">
        <f t="shared" si="2"/>
        <v>42.55</v>
      </c>
      <c r="H184" s="196">
        <v>10200</v>
      </c>
      <c r="I184" s="196" t="s">
        <v>2158</v>
      </c>
      <c r="J184" s="196"/>
    </row>
    <row r="185" spans="1:10" ht="14.4" hidden="1" outlineLevel="1">
      <c r="A185" s="196" t="s">
        <v>351</v>
      </c>
      <c r="B185" s="197">
        <v>40546</v>
      </c>
      <c r="C185" s="196" t="s">
        <v>912</v>
      </c>
      <c r="D185" s="196">
        <v>89.5</v>
      </c>
      <c r="E185" s="196" t="s">
        <v>919</v>
      </c>
      <c r="F185" s="196">
        <v>86</v>
      </c>
      <c r="G185" s="196">
        <f t="shared" si="2"/>
        <v>43</v>
      </c>
      <c r="H185" s="196">
        <v>5600</v>
      </c>
      <c r="I185" s="196" t="s">
        <v>2156</v>
      </c>
      <c r="J185" s="196"/>
    </row>
    <row r="186" spans="1:10" ht="14.4" hidden="1" outlineLevel="1">
      <c r="A186" s="196" t="s">
        <v>351</v>
      </c>
      <c r="B186" s="197">
        <v>40547</v>
      </c>
      <c r="C186" s="196" t="s">
        <v>919</v>
      </c>
      <c r="D186" s="196">
        <v>94.9</v>
      </c>
      <c r="E186" s="196" t="s">
        <v>919</v>
      </c>
      <c r="F186" s="196">
        <v>90.6</v>
      </c>
      <c r="G186" s="196">
        <f t="shared" si="2"/>
        <v>45.3</v>
      </c>
      <c r="H186" s="196">
        <v>26400</v>
      </c>
      <c r="I186" s="196" t="s">
        <v>2155</v>
      </c>
      <c r="J186" s="196"/>
    </row>
    <row r="187" spans="1:10" ht="14.4" hidden="1" outlineLevel="1">
      <c r="A187" s="196" t="s">
        <v>351</v>
      </c>
      <c r="B187" s="197">
        <v>40548</v>
      </c>
      <c r="C187" s="196" t="s">
        <v>863</v>
      </c>
      <c r="D187" s="196">
        <v>92</v>
      </c>
      <c r="E187" s="196" t="s">
        <v>941</v>
      </c>
      <c r="F187" s="196">
        <v>90</v>
      </c>
      <c r="G187" s="196">
        <f t="shared" si="2"/>
        <v>45</v>
      </c>
      <c r="H187" s="196">
        <v>27500</v>
      </c>
      <c r="I187" s="196" t="s">
        <v>2154</v>
      </c>
      <c r="J187" s="196"/>
    </row>
    <row r="188" spans="1:10" ht="14.4" hidden="1" outlineLevel="1">
      <c r="A188" s="196" t="s">
        <v>351</v>
      </c>
      <c r="B188" s="197">
        <v>40549</v>
      </c>
      <c r="C188" s="196" t="s">
        <v>870</v>
      </c>
      <c r="D188" s="196">
        <v>90</v>
      </c>
      <c r="E188" s="196" t="s">
        <v>941</v>
      </c>
      <c r="F188" s="196">
        <v>90</v>
      </c>
      <c r="G188" s="196">
        <f t="shared" si="2"/>
        <v>45</v>
      </c>
      <c r="H188" s="196">
        <v>51900</v>
      </c>
      <c r="I188" s="196" t="s">
        <v>2153</v>
      </c>
      <c r="J188" s="196"/>
    </row>
    <row r="189" spans="1:10" ht="14.4" hidden="1" outlineLevel="1">
      <c r="A189" s="196" t="s">
        <v>351</v>
      </c>
      <c r="B189" s="197">
        <v>40550</v>
      </c>
      <c r="C189" s="196" t="s">
        <v>867</v>
      </c>
      <c r="D189" s="196">
        <v>90.5</v>
      </c>
      <c r="E189" s="196" t="s">
        <v>918</v>
      </c>
      <c r="F189" s="196">
        <v>90</v>
      </c>
      <c r="G189" s="196">
        <f t="shared" si="2"/>
        <v>45</v>
      </c>
      <c r="H189" s="196">
        <v>187600</v>
      </c>
      <c r="I189" s="196" t="s">
        <v>2152</v>
      </c>
      <c r="J189" s="196"/>
    </row>
    <row r="190" spans="1:10" ht="14.4" hidden="1" outlineLevel="1">
      <c r="A190" s="196" t="s">
        <v>351</v>
      </c>
      <c r="B190" s="197">
        <v>40553</v>
      </c>
      <c r="C190" s="196" t="s">
        <v>867</v>
      </c>
      <c r="D190" s="196">
        <v>90.5</v>
      </c>
      <c r="E190" s="196" t="s">
        <v>2150</v>
      </c>
      <c r="F190" s="196">
        <v>89.8</v>
      </c>
      <c r="G190" s="196">
        <f t="shared" si="2"/>
        <v>44.9</v>
      </c>
      <c r="H190" s="196">
        <v>11000</v>
      </c>
      <c r="I190" s="196" t="s">
        <v>2151</v>
      </c>
      <c r="J190" s="196"/>
    </row>
    <row r="191" spans="1:10" ht="14.4" hidden="1" outlineLevel="1">
      <c r="A191" s="196" t="s">
        <v>351</v>
      </c>
      <c r="B191" s="197">
        <v>40554</v>
      </c>
      <c r="C191" s="196" t="s">
        <v>2129</v>
      </c>
      <c r="D191" s="196">
        <v>92</v>
      </c>
      <c r="E191" s="196" t="s">
        <v>932</v>
      </c>
      <c r="F191" s="196">
        <v>89.9</v>
      </c>
      <c r="G191" s="196">
        <f t="shared" si="2"/>
        <v>44.95</v>
      </c>
      <c r="H191" s="196">
        <v>112600</v>
      </c>
      <c r="I191" s="196" t="s">
        <v>2149</v>
      </c>
      <c r="J191" s="196"/>
    </row>
    <row r="192" spans="1:10" ht="14.4" hidden="1" outlineLevel="1">
      <c r="A192" s="196" t="s">
        <v>351</v>
      </c>
      <c r="B192" s="197">
        <v>40555</v>
      </c>
      <c r="C192" s="196" t="s">
        <v>2129</v>
      </c>
      <c r="D192" s="196">
        <v>90</v>
      </c>
      <c r="E192" s="196" t="s">
        <v>627</v>
      </c>
      <c r="F192" s="196">
        <v>90</v>
      </c>
      <c r="G192" s="196">
        <f t="shared" si="2"/>
        <v>45</v>
      </c>
      <c r="H192" s="196">
        <v>11500</v>
      </c>
      <c r="I192" s="196" t="s">
        <v>2148</v>
      </c>
      <c r="J192" s="196"/>
    </row>
    <row r="193" spans="1:10" ht="14.4" hidden="1" outlineLevel="1">
      <c r="A193" s="196" t="s">
        <v>351</v>
      </c>
      <c r="B193" s="197">
        <v>40556</v>
      </c>
      <c r="C193" s="196" t="s">
        <v>915</v>
      </c>
      <c r="D193" s="196">
        <v>90</v>
      </c>
      <c r="E193" s="196" t="s">
        <v>627</v>
      </c>
      <c r="F193" s="196">
        <v>90</v>
      </c>
      <c r="G193" s="196">
        <f t="shared" si="2"/>
        <v>45</v>
      </c>
      <c r="H193" s="196">
        <v>30800</v>
      </c>
      <c r="I193" s="196" t="s">
        <v>2147</v>
      </c>
      <c r="J193" s="196"/>
    </row>
    <row r="194" spans="1:10" ht="14.4" hidden="1" outlineLevel="1">
      <c r="A194" s="196" t="s">
        <v>351</v>
      </c>
      <c r="B194" s="197">
        <v>40557</v>
      </c>
      <c r="C194" s="196" t="s">
        <v>870</v>
      </c>
      <c r="D194" s="196">
        <v>90.9</v>
      </c>
      <c r="E194" s="196" t="s">
        <v>870</v>
      </c>
      <c r="F194" s="196">
        <v>90.1</v>
      </c>
      <c r="G194" s="196">
        <f t="shared" si="2"/>
        <v>45.05</v>
      </c>
      <c r="H194" s="196">
        <v>28400</v>
      </c>
      <c r="I194" s="196" t="s">
        <v>2146</v>
      </c>
      <c r="J194" s="196"/>
    </row>
    <row r="195" spans="1:10" ht="14.4" hidden="1" outlineLevel="1">
      <c r="A195" s="196" t="s">
        <v>351</v>
      </c>
      <c r="B195" s="197">
        <v>40560</v>
      </c>
      <c r="C195" s="196" t="s">
        <v>2024</v>
      </c>
      <c r="D195" s="196">
        <v>90</v>
      </c>
      <c r="E195" s="196" t="s">
        <v>2024</v>
      </c>
      <c r="F195" s="196">
        <v>89</v>
      </c>
      <c r="G195" s="196">
        <f t="shared" si="2"/>
        <v>44.5</v>
      </c>
      <c r="H195" s="196">
        <v>3100</v>
      </c>
      <c r="I195" s="196" t="s">
        <v>2145</v>
      </c>
      <c r="J195" s="196"/>
    </row>
    <row r="196" spans="1:10" ht="14.4" hidden="1" outlineLevel="1">
      <c r="A196" s="196" t="s">
        <v>351</v>
      </c>
      <c r="B196" s="197">
        <v>40561</v>
      </c>
      <c r="C196" s="196" t="s">
        <v>870</v>
      </c>
      <c r="D196" s="196">
        <v>90.5</v>
      </c>
      <c r="E196" s="196" t="s">
        <v>2129</v>
      </c>
      <c r="F196" s="196">
        <v>90.2</v>
      </c>
      <c r="G196" s="196">
        <f t="shared" si="2"/>
        <v>45.1</v>
      </c>
      <c r="H196" s="196">
        <v>76300</v>
      </c>
      <c r="I196" s="196" t="s">
        <v>2144</v>
      </c>
      <c r="J196" s="196"/>
    </row>
    <row r="197" spans="1:10" ht="14.4" hidden="1" outlineLevel="1">
      <c r="A197" s="196" t="s">
        <v>351</v>
      </c>
      <c r="B197" s="197">
        <v>40563</v>
      </c>
      <c r="C197" s="196" t="s">
        <v>870</v>
      </c>
      <c r="D197" s="196">
        <v>90</v>
      </c>
      <c r="E197" s="196" t="s">
        <v>627</v>
      </c>
      <c r="F197" s="196">
        <v>88.4</v>
      </c>
      <c r="G197" s="196">
        <f t="shared" ref="G197:G260" si="3">F197/2</f>
        <v>44.2</v>
      </c>
      <c r="H197" s="196">
        <v>37100</v>
      </c>
      <c r="I197" s="196" t="s">
        <v>2143</v>
      </c>
      <c r="J197" s="196"/>
    </row>
    <row r="198" spans="1:10" ht="14.4" hidden="1" outlineLevel="1">
      <c r="A198" s="196" t="s">
        <v>351</v>
      </c>
      <c r="B198" s="197">
        <v>40564</v>
      </c>
      <c r="C198" s="196" t="s">
        <v>870</v>
      </c>
      <c r="D198" s="196">
        <v>92</v>
      </c>
      <c r="E198" s="196" t="s">
        <v>870</v>
      </c>
      <c r="F198" s="196">
        <v>91.4</v>
      </c>
      <c r="G198" s="196">
        <f t="shared" si="3"/>
        <v>45.7</v>
      </c>
      <c r="H198" s="196">
        <v>102800</v>
      </c>
      <c r="I198" s="196" t="s">
        <v>2142</v>
      </c>
      <c r="J198" s="196"/>
    </row>
    <row r="199" spans="1:10" ht="14.4" hidden="1" outlineLevel="1">
      <c r="A199" s="196" t="s">
        <v>351</v>
      </c>
      <c r="B199" s="197">
        <v>40567</v>
      </c>
      <c r="C199" s="196" t="s">
        <v>891</v>
      </c>
      <c r="D199" s="196">
        <v>91.5</v>
      </c>
      <c r="E199" s="196" t="s">
        <v>870</v>
      </c>
      <c r="F199" s="196">
        <v>90.1</v>
      </c>
      <c r="G199" s="196">
        <f t="shared" si="3"/>
        <v>45.05</v>
      </c>
      <c r="H199" s="196">
        <v>52600</v>
      </c>
      <c r="I199" s="196" t="s">
        <v>2141</v>
      </c>
      <c r="J199" s="196"/>
    </row>
    <row r="200" spans="1:10" ht="14.4" hidden="1" outlineLevel="1">
      <c r="A200" s="196" t="s">
        <v>351</v>
      </c>
      <c r="B200" s="197">
        <v>40568</v>
      </c>
      <c r="C200" s="196" t="s">
        <v>870</v>
      </c>
      <c r="D200" s="196">
        <v>91</v>
      </c>
      <c r="E200" s="196" t="s">
        <v>870</v>
      </c>
      <c r="F200" s="196">
        <v>90.1</v>
      </c>
      <c r="G200" s="196">
        <f t="shared" si="3"/>
        <v>45.05</v>
      </c>
      <c r="H200" s="196">
        <v>58500</v>
      </c>
      <c r="I200" s="196" t="s">
        <v>2140</v>
      </c>
      <c r="J200" s="196"/>
    </row>
    <row r="201" spans="1:10" ht="14.4" hidden="1" outlineLevel="1">
      <c r="A201" s="196" t="s">
        <v>351</v>
      </c>
      <c r="B201" s="197">
        <v>40569</v>
      </c>
      <c r="C201" s="196" t="s">
        <v>872</v>
      </c>
      <c r="D201" s="196">
        <v>91</v>
      </c>
      <c r="E201" s="196" t="s">
        <v>915</v>
      </c>
      <c r="F201" s="196">
        <v>90.1</v>
      </c>
      <c r="G201" s="196">
        <f t="shared" si="3"/>
        <v>45.05</v>
      </c>
      <c r="H201" s="196">
        <v>67500</v>
      </c>
      <c r="I201" s="196" t="s">
        <v>2139</v>
      </c>
      <c r="J201" s="196"/>
    </row>
    <row r="202" spans="1:10" ht="14.4" hidden="1" outlineLevel="1">
      <c r="A202" s="196" t="s">
        <v>351</v>
      </c>
      <c r="B202" s="197">
        <v>40570</v>
      </c>
      <c r="C202" s="196" t="s">
        <v>870</v>
      </c>
      <c r="D202" s="196">
        <v>90</v>
      </c>
      <c r="E202" s="196" t="s">
        <v>941</v>
      </c>
      <c r="F202" s="196">
        <v>89.5</v>
      </c>
      <c r="G202" s="196">
        <f t="shared" si="3"/>
        <v>44.75</v>
      </c>
      <c r="H202" s="196">
        <v>102100</v>
      </c>
      <c r="I202" s="196" t="s">
        <v>2138</v>
      </c>
      <c r="J202" s="196"/>
    </row>
    <row r="203" spans="1:10" ht="14.4" hidden="1" outlineLevel="1">
      <c r="A203" s="196" t="s">
        <v>351</v>
      </c>
      <c r="B203" s="197">
        <v>40571</v>
      </c>
      <c r="C203" s="196" t="s">
        <v>2129</v>
      </c>
      <c r="D203" s="196">
        <v>90</v>
      </c>
      <c r="E203" s="196" t="s">
        <v>915</v>
      </c>
      <c r="F203" s="196">
        <v>88.7</v>
      </c>
      <c r="G203" s="196">
        <f t="shared" si="3"/>
        <v>44.35</v>
      </c>
      <c r="H203" s="196">
        <v>8100</v>
      </c>
      <c r="I203" s="196" t="s">
        <v>2137</v>
      </c>
      <c r="J203" s="196"/>
    </row>
    <row r="204" spans="1:10" ht="14.4" hidden="1" outlineLevel="1">
      <c r="A204" s="196" t="s">
        <v>351</v>
      </c>
      <c r="B204" s="197">
        <v>40574</v>
      </c>
      <c r="C204" s="196" t="s">
        <v>941</v>
      </c>
      <c r="D204" s="196">
        <v>89.9</v>
      </c>
      <c r="E204" s="196" t="s">
        <v>941</v>
      </c>
      <c r="F204" s="196">
        <v>89.7</v>
      </c>
      <c r="G204" s="196">
        <f t="shared" si="3"/>
        <v>44.85</v>
      </c>
      <c r="H204" s="196">
        <v>16900</v>
      </c>
      <c r="I204" s="196" t="s">
        <v>2136</v>
      </c>
      <c r="J204" s="196"/>
    </row>
    <row r="205" spans="1:10" ht="14.4" hidden="1" outlineLevel="1">
      <c r="A205" s="196" t="s">
        <v>351</v>
      </c>
      <c r="B205" s="197">
        <v>40575</v>
      </c>
      <c r="C205" s="196" t="s">
        <v>870</v>
      </c>
      <c r="D205" s="196">
        <v>90</v>
      </c>
      <c r="E205" s="196" t="s">
        <v>941</v>
      </c>
      <c r="F205" s="196">
        <v>89.5</v>
      </c>
      <c r="G205" s="196">
        <f t="shared" si="3"/>
        <v>44.75</v>
      </c>
      <c r="H205" s="196">
        <v>9700</v>
      </c>
      <c r="I205" s="196" t="s">
        <v>2135</v>
      </c>
      <c r="J205" s="196"/>
    </row>
    <row r="206" spans="1:10" ht="14.4" hidden="1" outlineLevel="1">
      <c r="A206" s="196" t="s">
        <v>351</v>
      </c>
      <c r="B206" s="197">
        <v>40576</v>
      </c>
      <c r="C206" s="196" t="s">
        <v>2129</v>
      </c>
      <c r="D206" s="196">
        <v>89.9</v>
      </c>
      <c r="E206" s="196" t="s">
        <v>915</v>
      </c>
      <c r="F206" s="196">
        <v>88.5</v>
      </c>
      <c r="G206" s="196">
        <f t="shared" si="3"/>
        <v>44.25</v>
      </c>
      <c r="H206" s="196">
        <v>15800</v>
      </c>
      <c r="I206" s="196" t="s">
        <v>2134</v>
      </c>
      <c r="J206" s="196"/>
    </row>
    <row r="207" spans="1:10" ht="14.4" hidden="1" outlineLevel="1">
      <c r="A207" s="196" t="s">
        <v>351</v>
      </c>
      <c r="B207" s="197">
        <v>40577</v>
      </c>
      <c r="C207" s="196" t="s">
        <v>2129</v>
      </c>
      <c r="D207" s="196">
        <v>89.9</v>
      </c>
      <c r="E207" s="196" t="s">
        <v>627</v>
      </c>
      <c r="F207" s="196">
        <v>88</v>
      </c>
      <c r="G207" s="196">
        <f t="shared" si="3"/>
        <v>44</v>
      </c>
      <c r="H207" s="196">
        <v>12600</v>
      </c>
      <c r="I207" s="196" t="s">
        <v>2133</v>
      </c>
      <c r="J207" s="196"/>
    </row>
    <row r="208" spans="1:10" ht="14.4" hidden="1" outlineLevel="1">
      <c r="A208" s="196" t="s">
        <v>351</v>
      </c>
      <c r="B208" s="197">
        <v>40581</v>
      </c>
      <c r="C208" s="196" t="s">
        <v>872</v>
      </c>
      <c r="D208" s="196">
        <v>91</v>
      </c>
      <c r="E208" s="196" t="s">
        <v>2131</v>
      </c>
      <c r="F208" s="196">
        <v>88.9</v>
      </c>
      <c r="G208" s="196">
        <f t="shared" si="3"/>
        <v>44.45</v>
      </c>
      <c r="H208" s="196">
        <v>17000</v>
      </c>
      <c r="I208" s="196" t="s">
        <v>2132</v>
      </c>
      <c r="J208" s="196"/>
    </row>
    <row r="209" spans="1:10" ht="14.4" hidden="1" outlineLevel="1">
      <c r="A209" s="196" t="s">
        <v>351</v>
      </c>
      <c r="B209" s="197">
        <v>40582</v>
      </c>
      <c r="C209" s="196" t="s">
        <v>2129</v>
      </c>
      <c r="D209" s="196">
        <v>89.9</v>
      </c>
      <c r="E209" s="196" t="s">
        <v>627</v>
      </c>
      <c r="F209" s="196">
        <v>89.5</v>
      </c>
      <c r="G209" s="196">
        <f t="shared" si="3"/>
        <v>44.75</v>
      </c>
      <c r="H209" s="196">
        <v>15900</v>
      </c>
      <c r="I209" s="196" t="s">
        <v>2130</v>
      </c>
      <c r="J209" s="196"/>
    </row>
    <row r="210" spans="1:10" ht="14.4" hidden="1" outlineLevel="1">
      <c r="A210" s="196" t="s">
        <v>351</v>
      </c>
      <c r="B210" s="197">
        <v>40583</v>
      </c>
      <c r="C210" s="196" t="s">
        <v>932</v>
      </c>
      <c r="D210" s="196">
        <v>89.5</v>
      </c>
      <c r="E210" s="196" t="s">
        <v>627</v>
      </c>
      <c r="F210" s="196">
        <v>88.3</v>
      </c>
      <c r="G210" s="196">
        <f t="shared" si="3"/>
        <v>44.15</v>
      </c>
      <c r="H210" s="196">
        <v>8200</v>
      </c>
      <c r="I210" s="196" t="s">
        <v>2128</v>
      </c>
      <c r="J210" s="196"/>
    </row>
    <row r="211" spans="1:10" ht="14.4" hidden="1" outlineLevel="1">
      <c r="A211" s="196" t="s">
        <v>351</v>
      </c>
      <c r="B211" s="197">
        <v>40584</v>
      </c>
      <c r="C211" s="196" t="s">
        <v>2126</v>
      </c>
      <c r="D211" s="196">
        <v>88</v>
      </c>
      <c r="E211" s="196" t="s">
        <v>2126</v>
      </c>
      <c r="F211" s="196">
        <v>87.9</v>
      </c>
      <c r="G211" s="196">
        <f t="shared" si="3"/>
        <v>43.95</v>
      </c>
      <c r="H211" s="196">
        <v>1800</v>
      </c>
      <c r="I211" s="196" t="s">
        <v>2127</v>
      </c>
      <c r="J211" s="196"/>
    </row>
    <row r="212" spans="1:10" ht="14.4" hidden="1" outlineLevel="1">
      <c r="A212" s="196" t="s">
        <v>351</v>
      </c>
      <c r="B212" s="197">
        <v>40585</v>
      </c>
      <c r="C212" s="196" t="s">
        <v>627</v>
      </c>
      <c r="D212" s="196">
        <v>89</v>
      </c>
      <c r="E212" s="196" t="s">
        <v>627</v>
      </c>
      <c r="F212" s="196">
        <v>88</v>
      </c>
      <c r="G212" s="196">
        <f t="shared" si="3"/>
        <v>44</v>
      </c>
      <c r="H212" s="196">
        <v>9000</v>
      </c>
      <c r="I212" s="196" t="s">
        <v>2125</v>
      </c>
      <c r="J212" s="196"/>
    </row>
    <row r="213" spans="1:10" ht="14.4" hidden="1" outlineLevel="1">
      <c r="A213" s="196" t="s">
        <v>351</v>
      </c>
      <c r="B213" s="197">
        <v>40588</v>
      </c>
      <c r="C213" s="196" t="s">
        <v>627</v>
      </c>
      <c r="D213" s="196">
        <v>88.1</v>
      </c>
      <c r="E213" s="196" t="s">
        <v>2122</v>
      </c>
      <c r="F213" s="196">
        <v>88</v>
      </c>
      <c r="G213" s="196">
        <f t="shared" si="3"/>
        <v>44</v>
      </c>
      <c r="H213" s="196">
        <v>67900</v>
      </c>
      <c r="I213" s="196" t="s">
        <v>2124</v>
      </c>
      <c r="J213" s="196"/>
    </row>
    <row r="214" spans="1:10" ht="14.4" hidden="1" outlineLevel="1">
      <c r="A214" s="196" t="s">
        <v>351</v>
      </c>
      <c r="B214" s="197">
        <v>40589</v>
      </c>
      <c r="C214" s="196" t="s">
        <v>627</v>
      </c>
      <c r="D214" s="196">
        <v>89</v>
      </c>
      <c r="E214" s="196" t="s">
        <v>2122</v>
      </c>
      <c r="F214" s="196">
        <v>88.7</v>
      </c>
      <c r="G214" s="196">
        <f t="shared" si="3"/>
        <v>44.35</v>
      </c>
      <c r="H214" s="196">
        <v>10700</v>
      </c>
      <c r="I214" s="196" t="s">
        <v>2123</v>
      </c>
      <c r="J214" s="196"/>
    </row>
    <row r="215" spans="1:10" ht="14.4" hidden="1" outlineLevel="1">
      <c r="A215" s="196" t="s">
        <v>351</v>
      </c>
      <c r="B215" s="197">
        <v>40592</v>
      </c>
      <c r="C215" s="196" t="s">
        <v>932</v>
      </c>
      <c r="D215" s="196">
        <v>92.9</v>
      </c>
      <c r="E215" s="196" t="s">
        <v>627</v>
      </c>
      <c r="F215" s="196">
        <v>91.6</v>
      </c>
      <c r="G215" s="196">
        <f t="shared" si="3"/>
        <v>45.8</v>
      </c>
      <c r="H215" s="196">
        <v>358400</v>
      </c>
      <c r="I215" s="196" t="s">
        <v>2121</v>
      </c>
      <c r="J215" s="196"/>
    </row>
    <row r="216" spans="1:10" ht="14.4" hidden="1" outlineLevel="1">
      <c r="A216" s="196" t="s">
        <v>351</v>
      </c>
      <c r="B216" s="197">
        <v>40595</v>
      </c>
      <c r="C216" s="196" t="s">
        <v>872</v>
      </c>
      <c r="D216" s="196">
        <v>96</v>
      </c>
      <c r="E216" s="196" t="s">
        <v>872</v>
      </c>
      <c r="F216" s="196">
        <v>95.3</v>
      </c>
      <c r="G216" s="196">
        <f t="shared" si="3"/>
        <v>47.65</v>
      </c>
      <c r="H216" s="196">
        <v>348500</v>
      </c>
      <c r="I216" s="196" t="s">
        <v>2120</v>
      </c>
      <c r="J216" s="196"/>
    </row>
    <row r="217" spans="1:10" ht="14.4" hidden="1" outlineLevel="1">
      <c r="A217" s="196" t="s">
        <v>351</v>
      </c>
      <c r="B217" s="197">
        <v>40596</v>
      </c>
      <c r="C217" s="196" t="s">
        <v>626</v>
      </c>
      <c r="D217" s="196">
        <v>97</v>
      </c>
      <c r="E217" s="196" t="s">
        <v>856</v>
      </c>
      <c r="F217" s="196">
        <v>93.5</v>
      </c>
      <c r="G217" s="196">
        <f t="shared" si="3"/>
        <v>46.75</v>
      </c>
      <c r="H217" s="196">
        <v>344200</v>
      </c>
      <c r="I217" s="196" t="s">
        <v>2119</v>
      </c>
      <c r="J217" s="196"/>
    </row>
    <row r="218" spans="1:10" ht="14.4" hidden="1" outlineLevel="1">
      <c r="A218" s="196" t="s">
        <v>351</v>
      </c>
      <c r="B218" s="197">
        <v>40597</v>
      </c>
      <c r="C218" s="196" t="s">
        <v>908</v>
      </c>
      <c r="D218" s="196">
        <v>94.9</v>
      </c>
      <c r="E218" s="196" t="s">
        <v>863</v>
      </c>
      <c r="F218" s="196">
        <v>94</v>
      </c>
      <c r="G218" s="196">
        <f t="shared" si="3"/>
        <v>47</v>
      </c>
      <c r="H218" s="196">
        <v>14900</v>
      </c>
      <c r="I218" s="196" t="s">
        <v>2118</v>
      </c>
      <c r="J218" s="196"/>
    </row>
    <row r="219" spans="1:10" ht="14.4" hidden="1" outlineLevel="1">
      <c r="A219" s="196" t="s">
        <v>351</v>
      </c>
      <c r="B219" s="197">
        <v>40598</v>
      </c>
      <c r="C219" s="196" t="s">
        <v>908</v>
      </c>
      <c r="D219" s="196">
        <v>94.1</v>
      </c>
      <c r="E219" s="196" t="s">
        <v>847</v>
      </c>
      <c r="F219" s="196">
        <v>93</v>
      </c>
      <c r="G219" s="196">
        <f t="shared" si="3"/>
        <v>46.5</v>
      </c>
      <c r="H219" s="196">
        <v>14100</v>
      </c>
      <c r="I219" s="196" t="s">
        <v>2117</v>
      </c>
      <c r="J219" s="196"/>
    </row>
    <row r="220" spans="1:10" ht="14.4" hidden="1" outlineLevel="1">
      <c r="A220" s="196" t="s">
        <v>351</v>
      </c>
      <c r="B220" s="197">
        <v>40599</v>
      </c>
      <c r="C220" s="196" t="s">
        <v>621</v>
      </c>
      <c r="D220" s="196">
        <v>95</v>
      </c>
      <c r="E220" s="196" t="s">
        <v>863</v>
      </c>
      <c r="F220" s="196">
        <v>93.4</v>
      </c>
      <c r="G220" s="196">
        <f t="shared" si="3"/>
        <v>46.7</v>
      </c>
      <c r="H220" s="196">
        <v>36100</v>
      </c>
      <c r="I220" s="196" t="s">
        <v>2116</v>
      </c>
      <c r="J220" s="196"/>
    </row>
    <row r="221" spans="1:10" ht="14.4" hidden="1" outlineLevel="1">
      <c r="A221" s="196" t="s">
        <v>351</v>
      </c>
      <c r="B221" s="197">
        <v>40602</v>
      </c>
      <c r="C221" s="196" t="s">
        <v>858</v>
      </c>
      <c r="D221" s="196">
        <v>94.9</v>
      </c>
      <c r="E221" s="196" t="s">
        <v>856</v>
      </c>
      <c r="F221" s="196">
        <v>93.7</v>
      </c>
      <c r="G221" s="196">
        <f t="shared" si="3"/>
        <v>46.85</v>
      </c>
      <c r="H221" s="196">
        <v>11600</v>
      </c>
      <c r="I221" s="196" t="s">
        <v>2115</v>
      </c>
      <c r="J221" s="196"/>
    </row>
    <row r="222" spans="1:10" ht="14.4" hidden="1" outlineLevel="1">
      <c r="A222" s="196" t="s">
        <v>351</v>
      </c>
      <c r="B222" s="197">
        <v>40603</v>
      </c>
      <c r="C222" s="196" t="s">
        <v>854</v>
      </c>
      <c r="D222" s="196">
        <v>93.5</v>
      </c>
      <c r="E222" s="196" t="s">
        <v>870</v>
      </c>
      <c r="F222" s="196">
        <v>92.2</v>
      </c>
      <c r="G222" s="196">
        <f t="shared" si="3"/>
        <v>46.1</v>
      </c>
      <c r="H222" s="196">
        <v>15300</v>
      </c>
      <c r="I222" s="196" t="s">
        <v>2114</v>
      </c>
      <c r="J222" s="196"/>
    </row>
    <row r="223" spans="1:10" ht="14.4" hidden="1" outlineLevel="1">
      <c r="A223" s="196" t="s">
        <v>351</v>
      </c>
      <c r="B223" s="197">
        <v>40605</v>
      </c>
      <c r="C223" s="196" t="s">
        <v>2041</v>
      </c>
      <c r="D223" s="196">
        <v>90.1</v>
      </c>
      <c r="E223" s="196" t="s">
        <v>919</v>
      </c>
      <c r="F223" s="196">
        <v>87.1</v>
      </c>
      <c r="G223" s="196">
        <f t="shared" si="3"/>
        <v>43.55</v>
      </c>
      <c r="H223" s="196">
        <v>7100</v>
      </c>
      <c r="I223" s="196" t="s">
        <v>2113</v>
      </c>
      <c r="J223" s="196"/>
    </row>
    <row r="224" spans="1:10" ht="14.4" hidden="1" outlineLevel="1">
      <c r="A224" s="196" t="s">
        <v>351</v>
      </c>
      <c r="B224" s="197">
        <v>40606</v>
      </c>
      <c r="C224" s="196" t="s">
        <v>935</v>
      </c>
      <c r="D224" s="196">
        <v>90</v>
      </c>
      <c r="E224" s="196" t="s">
        <v>935</v>
      </c>
      <c r="F224" s="196">
        <v>90</v>
      </c>
      <c r="G224" s="196">
        <f t="shared" si="3"/>
        <v>45</v>
      </c>
      <c r="H224" s="196">
        <v>28200</v>
      </c>
      <c r="I224" s="196" t="s">
        <v>2112</v>
      </c>
      <c r="J224" s="196"/>
    </row>
    <row r="225" spans="1:10" ht="14.4" hidden="1" outlineLevel="1">
      <c r="A225" s="196" t="s">
        <v>351</v>
      </c>
      <c r="B225" s="197">
        <v>40609</v>
      </c>
      <c r="C225" s="196" t="s">
        <v>2100</v>
      </c>
      <c r="D225" s="196">
        <v>89</v>
      </c>
      <c r="E225" s="196" t="s">
        <v>627</v>
      </c>
      <c r="F225" s="196">
        <v>89</v>
      </c>
      <c r="G225" s="196">
        <f t="shared" si="3"/>
        <v>44.5</v>
      </c>
      <c r="H225" s="196">
        <v>14300</v>
      </c>
      <c r="I225" s="196" t="s">
        <v>2111</v>
      </c>
      <c r="J225" s="196"/>
    </row>
    <row r="226" spans="1:10" ht="14.4" hidden="1" outlineLevel="1">
      <c r="A226" s="196" t="s">
        <v>351</v>
      </c>
      <c r="B226" s="197">
        <v>40610</v>
      </c>
      <c r="C226" s="196" t="s">
        <v>941</v>
      </c>
      <c r="D226" s="196">
        <v>90</v>
      </c>
      <c r="E226" s="196" t="s">
        <v>941</v>
      </c>
      <c r="F226" s="196">
        <v>89.5</v>
      </c>
      <c r="G226" s="196">
        <f t="shared" si="3"/>
        <v>44.75</v>
      </c>
      <c r="H226" s="196">
        <v>10600</v>
      </c>
      <c r="I226" s="196" t="s">
        <v>2110</v>
      </c>
      <c r="J226" s="196"/>
    </row>
    <row r="227" spans="1:10" ht="14.4" hidden="1" outlineLevel="1">
      <c r="A227" s="196" t="s">
        <v>351</v>
      </c>
      <c r="B227" s="197">
        <v>40611</v>
      </c>
      <c r="C227" s="196" t="s">
        <v>627</v>
      </c>
      <c r="D227" s="196">
        <v>88.6</v>
      </c>
      <c r="E227" s="196" t="s">
        <v>627</v>
      </c>
      <c r="F227" s="196">
        <v>88.5</v>
      </c>
      <c r="G227" s="196">
        <f t="shared" si="3"/>
        <v>44.25</v>
      </c>
      <c r="H227" s="196">
        <v>15500</v>
      </c>
      <c r="I227" s="196" t="s">
        <v>2109</v>
      </c>
      <c r="J227" s="196"/>
    </row>
    <row r="228" spans="1:10" ht="14.4" hidden="1" outlineLevel="1">
      <c r="A228" s="196" t="s">
        <v>351</v>
      </c>
      <c r="B228" s="197">
        <v>40612</v>
      </c>
      <c r="C228" s="196" t="s">
        <v>932</v>
      </c>
      <c r="D228" s="196">
        <v>91</v>
      </c>
      <c r="E228" s="196" t="s">
        <v>932</v>
      </c>
      <c r="F228" s="196">
        <v>89.9</v>
      </c>
      <c r="G228" s="196">
        <f t="shared" si="3"/>
        <v>44.95</v>
      </c>
      <c r="H228" s="196">
        <v>62900</v>
      </c>
      <c r="I228" s="196" t="s">
        <v>2108</v>
      </c>
      <c r="J228" s="196"/>
    </row>
    <row r="229" spans="1:10" ht="14.4" hidden="1" outlineLevel="1">
      <c r="A229" s="196" t="s">
        <v>351</v>
      </c>
      <c r="B229" s="197">
        <v>40613</v>
      </c>
      <c r="C229" s="196" t="s">
        <v>2100</v>
      </c>
      <c r="D229" s="196">
        <v>92</v>
      </c>
      <c r="E229" s="196" t="s">
        <v>627</v>
      </c>
      <c r="F229" s="196">
        <v>88.1</v>
      </c>
      <c r="G229" s="196">
        <f t="shared" si="3"/>
        <v>44.05</v>
      </c>
      <c r="H229" s="196">
        <v>62100</v>
      </c>
      <c r="I229" s="196" t="s">
        <v>2107</v>
      </c>
      <c r="J229" s="196"/>
    </row>
    <row r="230" spans="1:10" ht="14.4" hidden="1" outlineLevel="1">
      <c r="A230" s="196" t="s">
        <v>351</v>
      </c>
      <c r="B230" s="197">
        <v>40616</v>
      </c>
      <c r="C230" s="196" t="s">
        <v>2100</v>
      </c>
      <c r="D230" s="196">
        <v>88.5</v>
      </c>
      <c r="E230" s="196" t="s">
        <v>627</v>
      </c>
      <c r="F230" s="196">
        <v>88.2</v>
      </c>
      <c r="G230" s="196">
        <f t="shared" si="3"/>
        <v>44.1</v>
      </c>
      <c r="H230" s="196">
        <v>59500</v>
      </c>
      <c r="I230" s="196" t="s">
        <v>2106</v>
      </c>
      <c r="J230" s="196"/>
    </row>
    <row r="231" spans="1:10" ht="14.4" hidden="1" outlineLevel="1">
      <c r="A231" s="196" t="s">
        <v>351</v>
      </c>
      <c r="B231" s="197">
        <v>40617</v>
      </c>
      <c r="C231" s="196" t="s">
        <v>941</v>
      </c>
      <c r="D231" s="196">
        <v>89.5</v>
      </c>
      <c r="E231" s="196" t="s">
        <v>627</v>
      </c>
      <c r="F231" s="196">
        <v>88.2</v>
      </c>
      <c r="G231" s="196">
        <f t="shared" si="3"/>
        <v>44.1</v>
      </c>
      <c r="H231" s="196">
        <v>86500</v>
      </c>
      <c r="I231" s="196" t="s">
        <v>2105</v>
      </c>
      <c r="J231" s="196"/>
    </row>
    <row r="232" spans="1:10" ht="14.4" hidden="1" outlineLevel="1">
      <c r="A232" s="196" t="s">
        <v>351</v>
      </c>
      <c r="B232" s="197">
        <v>40618</v>
      </c>
      <c r="C232" s="196" t="s">
        <v>870</v>
      </c>
      <c r="D232" s="196">
        <v>90</v>
      </c>
      <c r="E232" s="196" t="s">
        <v>938</v>
      </c>
      <c r="F232" s="196">
        <v>89.7</v>
      </c>
      <c r="G232" s="196">
        <f t="shared" si="3"/>
        <v>44.85</v>
      </c>
      <c r="H232" s="196">
        <v>97400</v>
      </c>
      <c r="I232" s="196" t="s">
        <v>2104</v>
      </c>
      <c r="J232" s="196"/>
    </row>
    <row r="233" spans="1:10" ht="14.4" hidden="1" outlineLevel="1">
      <c r="A233" s="196" t="s">
        <v>351</v>
      </c>
      <c r="B233" s="197">
        <v>40619</v>
      </c>
      <c r="C233" s="196" t="s">
        <v>941</v>
      </c>
      <c r="D233" s="196">
        <v>90</v>
      </c>
      <c r="E233" s="196" t="s">
        <v>914</v>
      </c>
      <c r="F233" s="196">
        <v>89.8</v>
      </c>
      <c r="G233" s="196">
        <f t="shared" si="3"/>
        <v>44.9</v>
      </c>
      <c r="H233" s="196">
        <v>8600</v>
      </c>
      <c r="I233" s="196" t="s">
        <v>2103</v>
      </c>
      <c r="J233" s="196"/>
    </row>
    <row r="234" spans="1:10" ht="14.4" hidden="1" outlineLevel="1">
      <c r="A234" s="196" t="s">
        <v>351</v>
      </c>
      <c r="B234" s="197">
        <v>40620</v>
      </c>
      <c r="C234" s="196" t="s">
        <v>921</v>
      </c>
      <c r="D234" s="196">
        <v>89.9</v>
      </c>
      <c r="E234" s="196" t="s">
        <v>912</v>
      </c>
      <c r="F234" s="196">
        <v>88.2</v>
      </c>
      <c r="G234" s="196">
        <f t="shared" si="3"/>
        <v>44.1</v>
      </c>
      <c r="H234" s="196">
        <v>9300</v>
      </c>
      <c r="I234" s="196" t="s">
        <v>2102</v>
      </c>
      <c r="J234" s="196"/>
    </row>
    <row r="235" spans="1:10" ht="14.4" hidden="1" outlineLevel="1">
      <c r="A235" s="196" t="s">
        <v>351</v>
      </c>
      <c r="B235" s="197">
        <v>40623</v>
      </c>
      <c r="C235" s="196" t="s">
        <v>941</v>
      </c>
      <c r="D235" s="196">
        <v>90</v>
      </c>
      <c r="E235" s="196" t="s">
        <v>2100</v>
      </c>
      <c r="F235" s="196">
        <v>89</v>
      </c>
      <c r="G235" s="196">
        <f t="shared" si="3"/>
        <v>44.5</v>
      </c>
      <c r="H235" s="196">
        <v>14600</v>
      </c>
      <c r="I235" s="196" t="s">
        <v>2101</v>
      </c>
      <c r="J235" s="196"/>
    </row>
    <row r="236" spans="1:10" ht="14.4" hidden="1" outlineLevel="1">
      <c r="A236" s="196" t="s">
        <v>351</v>
      </c>
      <c r="B236" s="197">
        <v>40624</v>
      </c>
      <c r="C236" s="196" t="s">
        <v>941</v>
      </c>
      <c r="D236" s="196">
        <v>90.5</v>
      </c>
      <c r="E236" s="196" t="s">
        <v>941</v>
      </c>
      <c r="F236" s="196">
        <v>90</v>
      </c>
      <c r="G236" s="196">
        <f t="shared" si="3"/>
        <v>45</v>
      </c>
      <c r="H236" s="196">
        <v>130900</v>
      </c>
      <c r="I236" s="196" t="s">
        <v>2099</v>
      </c>
      <c r="J236" s="196"/>
    </row>
    <row r="237" spans="1:10" ht="14.4" hidden="1" outlineLevel="1">
      <c r="A237" s="196" t="s">
        <v>351</v>
      </c>
      <c r="B237" s="197">
        <v>40625</v>
      </c>
      <c r="C237" s="196" t="s">
        <v>870</v>
      </c>
      <c r="D237" s="196">
        <v>90</v>
      </c>
      <c r="E237" s="196" t="s">
        <v>2097</v>
      </c>
      <c r="F237" s="196">
        <v>89</v>
      </c>
      <c r="G237" s="196">
        <f t="shared" si="3"/>
        <v>44.5</v>
      </c>
      <c r="H237" s="196">
        <v>7700</v>
      </c>
      <c r="I237" s="196" t="s">
        <v>2098</v>
      </c>
      <c r="J237" s="196"/>
    </row>
    <row r="238" spans="1:10" ht="14.4" hidden="1" outlineLevel="1">
      <c r="A238" s="196" t="s">
        <v>351</v>
      </c>
      <c r="B238" s="197">
        <v>40626</v>
      </c>
      <c r="C238" s="196" t="s">
        <v>870</v>
      </c>
      <c r="D238" s="196">
        <v>95</v>
      </c>
      <c r="E238" s="196" t="s">
        <v>870</v>
      </c>
      <c r="F238" s="196">
        <v>92.4</v>
      </c>
      <c r="G238" s="196">
        <f t="shared" si="3"/>
        <v>46.2</v>
      </c>
      <c r="H238" s="196">
        <v>369000</v>
      </c>
      <c r="I238" s="196" t="s">
        <v>2096</v>
      </c>
      <c r="J238" s="196"/>
    </row>
    <row r="239" spans="1:10" ht="14.4" hidden="1" outlineLevel="1">
      <c r="A239" s="196" t="s">
        <v>351</v>
      </c>
      <c r="B239" s="197">
        <v>40627</v>
      </c>
      <c r="C239" s="196" t="s">
        <v>863</v>
      </c>
      <c r="D239" s="196">
        <v>95.6</v>
      </c>
      <c r="E239" s="196" t="s">
        <v>2094</v>
      </c>
      <c r="F239" s="196">
        <v>94.8</v>
      </c>
      <c r="G239" s="196">
        <f t="shared" si="3"/>
        <v>47.4</v>
      </c>
      <c r="H239" s="196">
        <v>89300</v>
      </c>
      <c r="I239" s="196" t="s">
        <v>2095</v>
      </c>
      <c r="J239" s="196"/>
    </row>
    <row r="240" spans="1:10" ht="14.4" hidden="1" outlineLevel="1">
      <c r="A240" s="196" t="s">
        <v>351</v>
      </c>
      <c r="B240" s="197">
        <v>40630</v>
      </c>
      <c r="C240" s="196" t="s">
        <v>858</v>
      </c>
      <c r="D240" s="196">
        <v>95</v>
      </c>
      <c r="E240" s="196" t="s">
        <v>847</v>
      </c>
      <c r="F240" s="196">
        <v>94.2</v>
      </c>
      <c r="G240" s="196">
        <f t="shared" si="3"/>
        <v>47.1</v>
      </c>
      <c r="H240" s="196">
        <v>18700</v>
      </c>
      <c r="I240" s="196" t="s">
        <v>2093</v>
      </c>
      <c r="J240" s="196"/>
    </row>
    <row r="241" spans="1:10" ht="14.4" hidden="1" outlineLevel="1">
      <c r="A241" s="196" t="s">
        <v>351</v>
      </c>
      <c r="B241" s="197">
        <v>40631</v>
      </c>
      <c r="C241" s="196" t="s">
        <v>621</v>
      </c>
      <c r="D241" s="196">
        <v>95</v>
      </c>
      <c r="E241" s="196" t="s">
        <v>908</v>
      </c>
      <c r="F241" s="196">
        <v>94.5</v>
      </c>
      <c r="G241" s="196">
        <f t="shared" si="3"/>
        <v>47.25</v>
      </c>
      <c r="H241" s="196">
        <v>26000</v>
      </c>
      <c r="I241" s="196" t="s">
        <v>2092</v>
      </c>
      <c r="J241" s="196"/>
    </row>
    <row r="242" spans="1:10" ht="14.4" hidden="1" outlineLevel="1">
      <c r="A242" s="196" t="s">
        <v>351</v>
      </c>
      <c r="B242" s="197">
        <v>40632</v>
      </c>
      <c r="C242" s="196" t="s">
        <v>2043</v>
      </c>
      <c r="D242" s="196">
        <v>94.5</v>
      </c>
      <c r="E242" s="196" t="s">
        <v>903</v>
      </c>
      <c r="F242" s="196">
        <v>94.5</v>
      </c>
      <c r="G242" s="196">
        <f t="shared" si="3"/>
        <v>47.25</v>
      </c>
      <c r="H242" s="196">
        <v>26300</v>
      </c>
      <c r="I242" s="196" t="s">
        <v>2091</v>
      </c>
      <c r="J242" s="196"/>
    </row>
    <row r="243" spans="1:10" ht="14.4" hidden="1" outlineLevel="1">
      <c r="A243" s="196" t="s">
        <v>351</v>
      </c>
      <c r="B243" s="197">
        <v>40633</v>
      </c>
      <c r="C243" s="196" t="s">
        <v>863</v>
      </c>
      <c r="D243" s="196">
        <v>94</v>
      </c>
      <c r="E243" s="196" t="s">
        <v>863</v>
      </c>
      <c r="F243" s="196">
        <v>94</v>
      </c>
      <c r="G243" s="196">
        <f t="shared" si="3"/>
        <v>47</v>
      </c>
      <c r="H243" s="196">
        <v>9600</v>
      </c>
      <c r="I243" s="196" t="s">
        <v>2090</v>
      </c>
    </row>
    <row r="244" spans="1:10" s="192" customFormat="1" ht="14.4" hidden="1" outlineLevel="1">
      <c r="A244" s="198" t="s">
        <v>351</v>
      </c>
      <c r="B244" s="199">
        <v>40634</v>
      </c>
      <c r="C244" s="198" t="s">
        <v>908</v>
      </c>
      <c r="D244" s="198">
        <v>94.8</v>
      </c>
      <c r="E244" s="198" t="s">
        <v>908</v>
      </c>
      <c r="F244" s="198">
        <v>94.6</v>
      </c>
      <c r="G244" s="198">
        <f t="shared" si="3"/>
        <v>47.3</v>
      </c>
      <c r="H244" s="198">
        <v>64100</v>
      </c>
      <c r="I244" s="198" t="s">
        <v>2089</v>
      </c>
      <c r="J244" s="198">
        <f>AVERAGE(G244:G468)</f>
        <v>38.886888888888883</v>
      </c>
    </row>
    <row r="245" spans="1:10" ht="14.4" hidden="1" outlineLevel="1">
      <c r="A245" s="196" t="s">
        <v>351</v>
      </c>
      <c r="B245" s="197">
        <v>40637</v>
      </c>
      <c r="C245" s="196" t="s">
        <v>846</v>
      </c>
      <c r="D245" s="196">
        <v>97</v>
      </c>
      <c r="E245" s="196" t="s">
        <v>846</v>
      </c>
      <c r="F245" s="196">
        <v>96</v>
      </c>
      <c r="G245" s="196">
        <f t="shared" si="3"/>
        <v>48</v>
      </c>
      <c r="H245" s="196">
        <v>106400</v>
      </c>
      <c r="I245" s="196" t="s">
        <v>2088</v>
      </c>
      <c r="J245" s="196"/>
    </row>
    <row r="246" spans="1:10" ht="14.4" hidden="1" outlineLevel="1">
      <c r="A246" s="196" t="s">
        <v>351</v>
      </c>
      <c r="B246" s="197">
        <v>40638</v>
      </c>
      <c r="C246" s="196" t="s">
        <v>626</v>
      </c>
      <c r="D246" s="196">
        <v>98.5</v>
      </c>
      <c r="E246" s="196" t="s">
        <v>621</v>
      </c>
      <c r="F246" s="196">
        <v>97.3</v>
      </c>
      <c r="G246" s="196">
        <f t="shared" si="3"/>
        <v>48.65</v>
      </c>
      <c r="H246" s="196">
        <v>285100</v>
      </c>
      <c r="I246" s="196" t="s">
        <v>2087</v>
      </c>
      <c r="J246" s="196"/>
    </row>
    <row r="247" spans="1:10" ht="14.4" hidden="1" outlineLevel="1">
      <c r="A247" s="196" t="s">
        <v>351</v>
      </c>
      <c r="B247" s="197">
        <v>40639</v>
      </c>
      <c r="C247" s="196" t="s">
        <v>839</v>
      </c>
      <c r="D247" s="196">
        <v>98.5</v>
      </c>
      <c r="E247" s="196" t="s">
        <v>621</v>
      </c>
      <c r="F247" s="196">
        <v>95.5</v>
      </c>
      <c r="G247" s="196">
        <f t="shared" si="3"/>
        <v>47.75</v>
      </c>
      <c r="H247" s="196">
        <v>20200</v>
      </c>
      <c r="I247" s="196" t="s">
        <v>2086</v>
      </c>
      <c r="J247" s="196"/>
    </row>
    <row r="248" spans="1:10" ht="14.4" hidden="1" outlineLevel="1">
      <c r="A248" s="196" t="s">
        <v>351</v>
      </c>
      <c r="B248" s="197">
        <v>40640</v>
      </c>
      <c r="C248" s="196" t="s">
        <v>607</v>
      </c>
      <c r="D248" s="196">
        <v>97.4</v>
      </c>
      <c r="E248" s="196" t="s">
        <v>607</v>
      </c>
      <c r="F248" s="196">
        <v>97</v>
      </c>
      <c r="G248" s="196">
        <f t="shared" si="3"/>
        <v>48.5</v>
      </c>
      <c r="H248" s="196">
        <v>2100</v>
      </c>
      <c r="I248" s="196" t="s">
        <v>2085</v>
      </c>
      <c r="J248" s="196"/>
    </row>
    <row r="249" spans="1:10" ht="14.4" hidden="1" outlineLevel="1">
      <c r="A249" s="196" t="s">
        <v>351</v>
      </c>
      <c r="B249" s="197">
        <v>40641</v>
      </c>
      <c r="C249" s="196" t="s">
        <v>2065</v>
      </c>
      <c r="D249" s="196">
        <v>97</v>
      </c>
      <c r="E249" s="196" t="s">
        <v>621</v>
      </c>
      <c r="F249" s="196">
        <v>96.1</v>
      </c>
      <c r="G249" s="196">
        <f t="shared" si="3"/>
        <v>48.05</v>
      </c>
      <c r="H249" s="196">
        <v>20200</v>
      </c>
      <c r="I249" s="196" t="s">
        <v>2084</v>
      </c>
      <c r="J249" s="196"/>
    </row>
    <row r="250" spans="1:10" ht="14.4" hidden="1" outlineLevel="1">
      <c r="A250" s="196" t="s">
        <v>351</v>
      </c>
      <c r="B250" s="197">
        <v>40644</v>
      </c>
      <c r="C250" s="196" t="s">
        <v>842</v>
      </c>
      <c r="D250" s="196">
        <v>97.3</v>
      </c>
      <c r="E250" s="196" t="s">
        <v>2082</v>
      </c>
      <c r="F250" s="196">
        <v>96.6</v>
      </c>
      <c r="G250" s="196">
        <f t="shared" si="3"/>
        <v>48.3</v>
      </c>
      <c r="H250" s="196">
        <v>21800</v>
      </c>
      <c r="I250" s="196" t="s">
        <v>2083</v>
      </c>
      <c r="J250" s="196"/>
    </row>
    <row r="251" spans="1:10" ht="14.4" hidden="1" outlineLevel="1">
      <c r="A251" s="196" t="s">
        <v>351</v>
      </c>
      <c r="B251" s="197">
        <v>40645</v>
      </c>
      <c r="C251" s="196" t="s">
        <v>842</v>
      </c>
      <c r="D251" s="196">
        <v>103</v>
      </c>
      <c r="E251" s="196" t="s">
        <v>842</v>
      </c>
      <c r="F251" s="196">
        <v>100.2</v>
      </c>
      <c r="G251" s="196">
        <f t="shared" si="3"/>
        <v>50.1</v>
      </c>
      <c r="H251" s="196">
        <v>297200</v>
      </c>
      <c r="I251" s="196" t="s">
        <v>2081</v>
      </c>
      <c r="J251" s="196"/>
    </row>
    <row r="252" spans="1:10" ht="14.4" hidden="1" outlineLevel="1">
      <c r="A252" s="196" t="s">
        <v>351</v>
      </c>
      <c r="B252" s="197">
        <v>40651</v>
      </c>
      <c r="C252" s="196" t="s">
        <v>2079</v>
      </c>
      <c r="D252" s="196">
        <v>102</v>
      </c>
      <c r="E252" s="196" t="s">
        <v>600</v>
      </c>
      <c r="F252" s="196">
        <v>101.1</v>
      </c>
      <c r="G252" s="196">
        <f t="shared" si="3"/>
        <v>50.55</v>
      </c>
      <c r="H252" s="196">
        <v>59000</v>
      </c>
      <c r="I252" s="196" t="s">
        <v>2080</v>
      </c>
      <c r="J252" s="196"/>
    </row>
    <row r="253" spans="1:10" ht="14.4" hidden="1" outlineLevel="1">
      <c r="A253" s="196" t="s">
        <v>351</v>
      </c>
      <c r="B253" s="197">
        <v>40652</v>
      </c>
      <c r="C253" s="196" t="s">
        <v>589</v>
      </c>
      <c r="D253" s="196">
        <v>102</v>
      </c>
      <c r="E253" s="196" t="s">
        <v>633</v>
      </c>
      <c r="F253" s="196">
        <v>98.9</v>
      </c>
      <c r="G253" s="196">
        <f t="shared" si="3"/>
        <v>49.45</v>
      </c>
      <c r="H253" s="196">
        <v>43200</v>
      </c>
      <c r="I253" s="196" t="s">
        <v>2078</v>
      </c>
      <c r="J253" s="196"/>
    </row>
    <row r="254" spans="1:10" ht="14.4" hidden="1" outlineLevel="1">
      <c r="A254" s="196" t="s">
        <v>351</v>
      </c>
      <c r="B254" s="197">
        <v>40653</v>
      </c>
      <c r="C254" s="196" t="s">
        <v>2076</v>
      </c>
      <c r="D254" s="196">
        <v>100</v>
      </c>
      <c r="E254" s="196" t="s">
        <v>2076</v>
      </c>
      <c r="F254" s="196">
        <v>98.8</v>
      </c>
      <c r="G254" s="196">
        <f t="shared" si="3"/>
        <v>49.4</v>
      </c>
      <c r="H254" s="196">
        <v>16300</v>
      </c>
      <c r="I254" s="196" t="s">
        <v>2077</v>
      </c>
      <c r="J254" s="196"/>
    </row>
    <row r="255" spans="1:10" ht="14.4" hidden="1" outlineLevel="1">
      <c r="A255" s="196" t="s">
        <v>351</v>
      </c>
      <c r="B255" s="197">
        <v>40654</v>
      </c>
      <c r="C255" s="196" t="s">
        <v>839</v>
      </c>
      <c r="D255" s="196">
        <v>100</v>
      </c>
      <c r="E255" s="196" t="s">
        <v>842</v>
      </c>
      <c r="F255" s="196">
        <v>98</v>
      </c>
      <c r="G255" s="196">
        <f t="shared" si="3"/>
        <v>49</v>
      </c>
      <c r="H255" s="196">
        <v>15400</v>
      </c>
      <c r="I255" s="196" t="s">
        <v>2075</v>
      </c>
      <c r="J255" s="196"/>
    </row>
    <row r="256" spans="1:10" ht="14.4" hidden="1" outlineLevel="1">
      <c r="A256" s="196" t="s">
        <v>351</v>
      </c>
      <c r="B256" s="197">
        <v>40658</v>
      </c>
      <c r="C256" s="196" t="s">
        <v>633</v>
      </c>
      <c r="D256" s="196">
        <v>98</v>
      </c>
      <c r="E256" s="196" t="s">
        <v>842</v>
      </c>
      <c r="F256" s="196">
        <v>97</v>
      </c>
      <c r="G256" s="196">
        <f t="shared" si="3"/>
        <v>48.5</v>
      </c>
      <c r="H256" s="196">
        <v>69500</v>
      </c>
      <c r="I256" s="196" t="s">
        <v>2074</v>
      </c>
      <c r="J256" s="196"/>
    </row>
    <row r="257" spans="1:10" ht="14.4" hidden="1" outlineLevel="1">
      <c r="A257" s="196" t="s">
        <v>351</v>
      </c>
      <c r="B257" s="197">
        <v>40659</v>
      </c>
      <c r="C257" s="196" t="s">
        <v>2072</v>
      </c>
      <c r="D257" s="196">
        <v>97</v>
      </c>
      <c r="E257" s="196" t="s">
        <v>626</v>
      </c>
      <c r="F257" s="196">
        <v>96.1</v>
      </c>
      <c r="G257" s="196">
        <f t="shared" si="3"/>
        <v>48.05</v>
      </c>
      <c r="H257" s="196">
        <v>14600</v>
      </c>
      <c r="I257" s="196" t="s">
        <v>2073</v>
      </c>
      <c r="J257" s="196"/>
    </row>
    <row r="258" spans="1:10" ht="14.4" hidden="1" outlineLevel="1">
      <c r="A258" s="196" t="s">
        <v>351</v>
      </c>
      <c r="B258" s="197">
        <v>40660</v>
      </c>
      <c r="C258" s="196" t="s">
        <v>2065</v>
      </c>
      <c r="D258" s="196">
        <v>98</v>
      </c>
      <c r="E258" s="196" t="s">
        <v>626</v>
      </c>
      <c r="F258" s="196">
        <v>96.1</v>
      </c>
      <c r="G258" s="196">
        <f t="shared" si="3"/>
        <v>48.05</v>
      </c>
      <c r="H258" s="196">
        <v>54700</v>
      </c>
      <c r="I258" s="196" t="s">
        <v>2071</v>
      </c>
      <c r="J258" s="196"/>
    </row>
    <row r="259" spans="1:10" ht="14.4" hidden="1" outlineLevel="1">
      <c r="A259" s="196" t="s">
        <v>351</v>
      </c>
      <c r="B259" s="197">
        <v>40661</v>
      </c>
      <c r="C259" s="196" t="s">
        <v>2065</v>
      </c>
      <c r="D259" s="196">
        <v>99</v>
      </c>
      <c r="E259" s="196" t="s">
        <v>2065</v>
      </c>
      <c r="F259" s="196">
        <v>96.2</v>
      </c>
      <c r="G259" s="196">
        <f t="shared" si="3"/>
        <v>48.1</v>
      </c>
      <c r="H259" s="196">
        <v>30200</v>
      </c>
      <c r="I259" s="196" t="s">
        <v>2070</v>
      </c>
      <c r="J259" s="196"/>
    </row>
    <row r="260" spans="1:10" ht="14.4" hidden="1" outlineLevel="1">
      <c r="A260" s="196" t="s">
        <v>351</v>
      </c>
      <c r="B260" s="197">
        <v>40662</v>
      </c>
      <c r="C260" s="196" t="s">
        <v>2067</v>
      </c>
      <c r="D260" s="196">
        <v>97</v>
      </c>
      <c r="E260" s="196" t="s">
        <v>2068</v>
      </c>
      <c r="F260" s="196">
        <v>96.3</v>
      </c>
      <c r="G260" s="196">
        <f t="shared" si="3"/>
        <v>48.15</v>
      </c>
      <c r="H260" s="196">
        <v>13600</v>
      </c>
      <c r="I260" s="196" t="s">
        <v>2069</v>
      </c>
      <c r="J260" s="196"/>
    </row>
    <row r="261" spans="1:10" ht="14.4" hidden="1" outlineLevel="1">
      <c r="A261" s="196" t="s">
        <v>351</v>
      </c>
      <c r="B261" s="197">
        <v>40666</v>
      </c>
      <c r="C261" s="196" t="s">
        <v>2065</v>
      </c>
      <c r="D261" s="196">
        <v>96.5</v>
      </c>
      <c r="E261" s="196" t="s">
        <v>621</v>
      </c>
      <c r="F261" s="196">
        <v>95</v>
      </c>
      <c r="G261" s="196">
        <f t="shared" ref="G261:G324" si="4">F261/2</f>
        <v>47.5</v>
      </c>
      <c r="H261" s="196">
        <v>19800</v>
      </c>
      <c r="I261" s="196" t="s">
        <v>2066</v>
      </c>
      <c r="J261" s="196"/>
    </row>
    <row r="262" spans="1:10" ht="14.4" hidden="1" outlineLevel="1">
      <c r="A262" s="196" t="s">
        <v>351</v>
      </c>
      <c r="B262" s="197">
        <v>40667</v>
      </c>
      <c r="C262" s="196" t="s">
        <v>607</v>
      </c>
      <c r="D262" s="196">
        <v>95.1</v>
      </c>
      <c r="E262" s="196" t="s">
        <v>621</v>
      </c>
      <c r="F262" s="196">
        <v>95</v>
      </c>
      <c r="G262" s="196">
        <f t="shared" si="4"/>
        <v>47.5</v>
      </c>
      <c r="H262" s="196">
        <v>19200</v>
      </c>
      <c r="I262" s="196" t="s">
        <v>2064</v>
      </c>
      <c r="J262" s="196"/>
    </row>
    <row r="263" spans="1:10" ht="14.4" hidden="1" outlineLevel="1">
      <c r="A263" s="196" t="s">
        <v>351</v>
      </c>
      <c r="B263" s="197">
        <v>40668</v>
      </c>
      <c r="C263" s="196" t="s">
        <v>846</v>
      </c>
      <c r="D263" s="196">
        <v>94.5</v>
      </c>
      <c r="E263" s="196" t="s">
        <v>2062</v>
      </c>
      <c r="F263" s="196">
        <v>94.2</v>
      </c>
      <c r="G263" s="196">
        <f t="shared" si="4"/>
        <v>47.1</v>
      </c>
      <c r="H263" s="196">
        <v>1100</v>
      </c>
      <c r="I263" s="196" t="s">
        <v>2063</v>
      </c>
      <c r="J263" s="196"/>
    </row>
    <row r="264" spans="1:10" ht="14.4" hidden="1" outlineLevel="1">
      <c r="A264" s="196" t="s">
        <v>351</v>
      </c>
      <c r="B264" s="197">
        <v>40669</v>
      </c>
      <c r="C264" s="196" t="s">
        <v>621</v>
      </c>
      <c r="D264" s="196">
        <v>95</v>
      </c>
      <c r="E264" s="196" t="s">
        <v>621</v>
      </c>
      <c r="F264" s="196">
        <v>95</v>
      </c>
      <c r="G264" s="196">
        <f t="shared" si="4"/>
        <v>47.5</v>
      </c>
      <c r="H264" s="196">
        <v>13800</v>
      </c>
      <c r="I264" s="196" t="s">
        <v>2061</v>
      </c>
      <c r="J264" s="196"/>
    </row>
    <row r="265" spans="1:10" ht="14.4" hidden="1" outlineLevel="1">
      <c r="A265" s="196" t="s">
        <v>351</v>
      </c>
      <c r="B265" s="197">
        <v>40672</v>
      </c>
      <c r="C265" s="196" t="s">
        <v>846</v>
      </c>
      <c r="D265" s="196">
        <v>96.9</v>
      </c>
      <c r="E265" s="196" t="s">
        <v>908</v>
      </c>
      <c r="F265" s="196">
        <v>96.8</v>
      </c>
      <c r="G265" s="196">
        <f t="shared" si="4"/>
        <v>48.4</v>
      </c>
      <c r="H265" s="196">
        <v>6100</v>
      </c>
      <c r="I265" s="196" t="s">
        <v>2060</v>
      </c>
      <c r="J265" s="196"/>
    </row>
    <row r="266" spans="1:10" ht="14.4" hidden="1" outlineLevel="1">
      <c r="A266" s="196" t="s">
        <v>351</v>
      </c>
      <c r="B266" s="197">
        <v>40673</v>
      </c>
      <c r="C266" s="196" t="s">
        <v>908</v>
      </c>
      <c r="D266" s="196">
        <v>95.5</v>
      </c>
      <c r="E266" s="196" t="s">
        <v>908</v>
      </c>
      <c r="F266" s="196">
        <v>95</v>
      </c>
      <c r="G266" s="196">
        <f t="shared" si="4"/>
        <v>47.5</v>
      </c>
      <c r="H266" s="196">
        <v>55000</v>
      </c>
      <c r="I266" s="196" t="s">
        <v>2059</v>
      </c>
      <c r="J266" s="196"/>
    </row>
    <row r="267" spans="1:10" ht="14.4" hidden="1" outlineLevel="1">
      <c r="A267" s="196" t="s">
        <v>351</v>
      </c>
      <c r="B267" s="197">
        <v>40674</v>
      </c>
      <c r="C267" s="196" t="s">
        <v>847</v>
      </c>
      <c r="D267" s="196">
        <v>95.5</v>
      </c>
      <c r="E267" s="196" t="s">
        <v>847</v>
      </c>
      <c r="F267" s="196">
        <v>94.9</v>
      </c>
      <c r="G267" s="196">
        <f t="shared" si="4"/>
        <v>47.45</v>
      </c>
      <c r="H267" s="196">
        <v>14900</v>
      </c>
      <c r="I267" s="196" t="s">
        <v>2058</v>
      </c>
      <c r="J267" s="196"/>
    </row>
    <row r="268" spans="1:10" ht="14.4" hidden="1" outlineLevel="1">
      <c r="A268" s="196" t="s">
        <v>351</v>
      </c>
      <c r="B268" s="197">
        <v>40675</v>
      </c>
      <c r="C268" s="196" t="s">
        <v>621</v>
      </c>
      <c r="D268" s="196">
        <v>95.5</v>
      </c>
      <c r="E268" s="196" t="s">
        <v>621</v>
      </c>
      <c r="F268" s="196">
        <v>95.5</v>
      </c>
      <c r="G268" s="196">
        <f t="shared" si="4"/>
        <v>47.75</v>
      </c>
      <c r="H268" s="196">
        <v>63400</v>
      </c>
      <c r="I268" s="196" t="s">
        <v>2057</v>
      </c>
      <c r="J268" s="196"/>
    </row>
    <row r="269" spans="1:10" ht="14.4" hidden="1" outlineLevel="1">
      <c r="A269" s="196" t="s">
        <v>351</v>
      </c>
      <c r="B269" s="197">
        <v>40676</v>
      </c>
      <c r="C269" s="196" t="s">
        <v>908</v>
      </c>
      <c r="D269" s="196">
        <v>94</v>
      </c>
      <c r="E269" s="196" t="s">
        <v>847</v>
      </c>
      <c r="F269" s="196">
        <v>93</v>
      </c>
      <c r="G269" s="196">
        <f t="shared" si="4"/>
        <v>46.5</v>
      </c>
      <c r="H269" s="196">
        <v>15600</v>
      </c>
      <c r="I269" s="196" t="s">
        <v>2056</v>
      </c>
      <c r="J269" s="196"/>
    </row>
    <row r="270" spans="1:10" ht="14.4" hidden="1" outlineLevel="1">
      <c r="A270" s="196" t="s">
        <v>351</v>
      </c>
      <c r="B270" s="197">
        <v>40679</v>
      </c>
      <c r="C270" s="196" t="s">
        <v>908</v>
      </c>
      <c r="D270" s="196">
        <v>95</v>
      </c>
      <c r="E270" s="196" t="s">
        <v>847</v>
      </c>
      <c r="F270" s="196">
        <v>94.7</v>
      </c>
      <c r="G270" s="196">
        <f t="shared" si="4"/>
        <v>47.35</v>
      </c>
      <c r="H270" s="196">
        <v>3500</v>
      </c>
      <c r="I270" s="196" t="s">
        <v>2055</v>
      </c>
      <c r="J270" s="196"/>
    </row>
    <row r="271" spans="1:10" ht="14.4" hidden="1" outlineLevel="1">
      <c r="A271" s="196" t="s">
        <v>351</v>
      </c>
      <c r="B271" s="197">
        <v>40682</v>
      </c>
      <c r="C271" s="196" t="s">
        <v>621</v>
      </c>
      <c r="D271" s="196">
        <v>96.8</v>
      </c>
      <c r="E271" s="196" t="s">
        <v>621</v>
      </c>
      <c r="F271" s="196">
        <v>95.3</v>
      </c>
      <c r="G271" s="196">
        <f t="shared" si="4"/>
        <v>47.65</v>
      </c>
      <c r="H271" s="196">
        <v>49700</v>
      </c>
      <c r="I271" s="196" t="s">
        <v>2054</v>
      </c>
      <c r="J271" s="196"/>
    </row>
    <row r="272" spans="1:10" ht="14.4" hidden="1" outlineLevel="1">
      <c r="A272" s="196" t="s">
        <v>351</v>
      </c>
      <c r="B272" s="197">
        <v>40683</v>
      </c>
      <c r="C272" s="196" t="s">
        <v>621</v>
      </c>
      <c r="D272" s="196">
        <v>95</v>
      </c>
      <c r="E272" s="196" t="s">
        <v>621</v>
      </c>
      <c r="F272" s="196">
        <v>95</v>
      </c>
      <c r="G272" s="196">
        <f t="shared" si="4"/>
        <v>47.5</v>
      </c>
      <c r="H272" s="196">
        <v>18100</v>
      </c>
      <c r="I272" s="196" t="s">
        <v>2053</v>
      </c>
      <c r="J272" s="196"/>
    </row>
    <row r="273" spans="1:10" ht="14.4" hidden="1" outlineLevel="1">
      <c r="A273" s="196" t="s">
        <v>351</v>
      </c>
      <c r="B273" s="197">
        <v>40686</v>
      </c>
      <c r="C273" s="196" t="s">
        <v>854</v>
      </c>
      <c r="D273" s="196">
        <v>95</v>
      </c>
      <c r="E273" s="196" t="s">
        <v>847</v>
      </c>
      <c r="F273" s="196">
        <v>93.2</v>
      </c>
      <c r="G273" s="196">
        <f t="shared" si="4"/>
        <v>46.6</v>
      </c>
      <c r="H273" s="196">
        <v>9100</v>
      </c>
      <c r="I273" s="196" t="s">
        <v>2052</v>
      </c>
      <c r="J273" s="196"/>
    </row>
    <row r="274" spans="1:10" ht="14.4" hidden="1" outlineLevel="1">
      <c r="A274" s="196" t="s">
        <v>351</v>
      </c>
      <c r="B274" s="197">
        <v>40687</v>
      </c>
      <c r="C274" s="196" t="s">
        <v>856</v>
      </c>
      <c r="D274" s="196">
        <v>94</v>
      </c>
      <c r="E274" s="196" t="s">
        <v>847</v>
      </c>
      <c r="F274" s="196">
        <v>93</v>
      </c>
      <c r="G274" s="196">
        <f t="shared" si="4"/>
        <v>46.5</v>
      </c>
      <c r="H274" s="196">
        <v>26600</v>
      </c>
      <c r="I274" s="196" t="s">
        <v>2051</v>
      </c>
      <c r="J274" s="196"/>
    </row>
    <row r="275" spans="1:10" ht="14.4" hidden="1" outlineLevel="1">
      <c r="A275" s="196" t="s">
        <v>351</v>
      </c>
      <c r="B275" s="197">
        <v>40688</v>
      </c>
      <c r="C275" s="196" t="s">
        <v>891</v>
      </c>
      <c r="D275" s="196">
        <v>94</v>
      </c>
      <c r="E275" s="196" t="s">
        <v>891</v>
      </c>
      <c r="F275" s="196">
        <v>94</v>
      </c>
      <c r="G275" s="196">
        <f t="shared" si="4"/>
        <v>47</v>
      </c>
      <c r="H275" s="196">
        <v>27000</v>
      </c>
      <c r="I275" s="196" t="s">
        <v>2050</v>
      </c>
      <c r="J275" s="196"/>
    </row>
    <row r="276" spans="1:10" ht="14.4" hidden="1" outlineLevel="1">
      <c r="A276" s="196" t="s">
        <v>351</v>
      </c>
      <c r="B276" s="197">
        <v>40689</v>
      </c>
      <c r="C276" s="196" t="s">
        <v>856</v>
      </c>
      <c r="D276" s="196">
        <v>93.1</v>
      </c>
      <c r="E276" s="196" t="s">
        <v>847</v>
      </c>
      <c r="F276" s="196">
        <v>93.1</v>
      </c>
      <c r="G276" s="196">
        <f t="shared" si="4"/>
        <v>46.55</v>
      </c>
      <c r="H276" s="196">
        <v>22000</v>
      </c>
      <c r="I276" s="196" t="s">
        <v>2049</v>
      </c>
      <c r="J276" s="196"/>
    </row>
    <row r="277" spans="1:10" ht="14.4" hidden="1" outlineLevel="1">
      <c r="A277" s="196" t="s">
        <v>351</v>
      </c>
      <c r="B277" s="197">
        <v>40690</v>
      </c>
      <c r="C277" s="196" t="s">
        <v>847</v>
      </c>
      <c r="D277" s="196">
        <v>93</v>
      </c>
      <c r="E277" s="196" t="s">
        <v>847</v>
      </c>
      <c r="F277" s="196">
        <v>93</v>
      </c>
      <c r="G277" s="196">
        <f t="shared" si="4"/>
        <v>46.5</v>
      </c>
      <c r="H277" s="196">
        <v>11900</v>
      </c>
      <c r="I277" s="196" t="s">
        <v>2048</v>
      </c>
      <c r="J277" s="196"/>
    </row>
    <row r="278" spans="1:10" ht="14.4" hidden="1" outlineLevel="1">
      <c r="A278" s="196" t="s">
        <v>351</v>
      </c>
      <c r="B278" s="197">
        <v>40693</v>
      </c>
      <c r="C278" s="196" t="s">
        <v>621</v>
      </c>
      <c r="D278" s="196">
        <v>95</v>
      </c>
      <c r="E278" s="196" t="s">
        <v>872</v>
      </c>
      <c r="F278" s="196">
        <v>92</v>
      </c>
      <c r="G278" s="196">
        <f t="shared" si="4"/>
        <v>46</v>
      </c>
      <c r="H278" s="196">
        <v>14700</v>
      </c>
      <c r="I278" s="196" t="s">
        <v>2047</v>
      </c>
      <c r="J278" s="196"/>
    </row>
    <row r="279" spans="1:10" ht="14.4" hidden="1" outlineLevel="1">
      <c r="A279" s="196" t="s">
        <v>351</v>
      </c>
      <c r="B279" s="197">
        <v>40694</v>
      </c>
      <c r="C279" s="196" t="s">
        <v>891</v>
      </c>
      <c r="D279" s="196">
        <v>91.5</v>
      </c>
      <c r="E279" s="196" t="s">
        <v>891</v>
      </c>
      <c r="F279" s="196">
        <v>91.5</v>
      </c>
      <c r="G279" s="196">
        <f t="shared" si="4"/>
        <v>45.75</v>
      </c>
      <c r="H279" s="196">
        <v>1000</v>
      </c>
      <c r="I279" s="196" t="s">
        <v>2046</v>
      </c>
      <c r="J279" s="196"/>
    </row>
    <row r="280" spans="1:10" ht="14.4" hidden="1" outlineLevel="1">
      <c r="A280" s="196" t="s">
        <v>351</v>
      </c>
      <c r="B280" s="197">
        <v>40695</v>
      </c>
      <c r="C280" s="196" t="s">
        <v>863</v>
      </c>
      <c r="D280" s="196">
        <v>92.2</v>
      </c>
      <c r="E280" s="196" t="s">
        <v>863</v>
      </c>
      <c r="F280" s="196">
        <v>92</v>
      </c>
      <c r="G280" s="196">
        <f t="shared" si="4"/>
        <v>46</v>
      </c>
      <c r="H280" s="196">
        <v>10400</v>
      </c>
      <c r="I280" s="196" t="s">
        <v>2045</v>
      </c>
      <c r="J280" s="196"/>
    </row>
    <row r="281" spans="1:10" ht="14.4" hidden="1" outlineLevel="1">
      <c r="A281" s="196" t="s">
        <v>351</v>
      </c>
      <c r="B281" s="197">
        <v>40696</v>
      </c>
      <c r="C281" s="196" t="s">
        <v>2043</v>
      </c>
      <c r="D281" s="196">
        <v>93</v>
      </c>
      <c r="E281" s="196" t="s">
        <v>870</v>
      </c>
      <c r="F281" s="196">
        <v>90</v>
      </c>
      <c r="G281" s="196">
        <f t="shared" si="4"/>
        <v>45</v>
      </c>
      <c r="H281" s="196">
        <v>70200</v>
      </c>
      <c r="I281" s="196" t="s">
        <v>2044</v>
      </c>
      <c r="J281" s="196"/>
    </row>
    <row r="282" spans="1:10" ht="14.4" hidden="1" outlineLevel="1">
      <c r="A282" s="196" t="s">
        <v>351</v>
      </c>
      <c r="B282" s="197">
        <v>40697</v>
      </c>
      <c r="C282" s="196" t="s">
        <v>2041</v>
      </c>
      <c r="D282" s="196">
        <v>90.7</v>
      </c>
      <c r="E282" s="196" t="s">
        <v>938</v>
      </c>
      <c r="F282" s="196">
        <v>90</v>
      </c>
      <c r="G282" s="196">
        <f t="shared" si="4"/>
        <v>45</v>
      </c>
      <c r="H282" s="196">
        <v>42200</v>
      </c>
      <c r="I282" s="196" t="s">
        <v>2042</v>
      </c>
      <c r="J282" s="196"/>
    </row>
    <row r="283" spans="1:10" ht="14.4" hidden="1" outlineLevel="1">
      <c r="A283" s="196" t="s">
        <v>351</v>
      </c>
      <c r="B283" s="197">
        <v>40700</v>
      </c>
      <c r="C283" s="196" t="s">
        <v>870</v>
      </c>
      <c r="D283" s="196">
        <v>90.8</v>
      </c>
      <c r="E283" s="196" t="s">
        <v>870</v>
      </c>
      <c r="F283" s="196">
        <v>90.1</v>
      </c>
      <c r="G283" s="196">
        <f t="shared" si="4"/>
        <v>45.05</v>
      </c>
      <c r="H283" s="196">
        <v>22900</v>
      </c>
      <c r="I283" s="196" t="s">
        <v>2040</v>
      </c>
      <c r="J283" s="196"/>
    </row>
    <row r="284" spans="1:10" ht="14.4" hidden="1" outlineLevel="1">
      <c r="A284" s="196" t="s">
        <v>351</v>
      </c>
      <c r="B284" s="197">
        <v>40701</v>
      </c>
      <c r="C284" s="196" t="s">
        <v>870</v>
      </c>
      <c r="D284" s="196">
        <v>90</v>
      </c>
      <c r="E284" s="196" t="s">
        <v>870</v>
      </c>
      <c r="F284" s="196">
        <v>90</v>
      </c>
      <c r="G284" s="196">
        <f t="shared" si="4"/>
        <v>45</v>
      </c>
      <c r="H284" s="196">
        <v>1000</v>
      </c>
      <c r="I284" s="196" t="s">
        <v>2039</v>
      </c>
      <c r="J284" s="196"/>
    </row>
    <row r="285" spans="1:10" ht="14.4" hidden="1" outlineLevel="1">
      <c r="A285" s="196" t="s">
        <v>351</v>
      </c>
      <c r="B285" s="197">
        <v>40702</v>
      </c>
      <c r="C285" s="196" t="s">
        <v>870</v>
      </c>
      <c r="D285" s="196">
        <v>90.1</v>
      </c>
      <c r="E285" s="196" t="s">
        <v>870</v>
      </c>
      <c r="F285" s="196">
        <v>90.1</v>
      </c>
      <c r="G285" s="196">
        <f t="shared" si="4"/>
        <v>45.05</v>
      </c>
      <c r="H285" s="196">
        <v>1600</v>
      </c>
      <c r="I285" s="196" t="s">
        <v>2038</v>
      </c>
      <c r="J285" s="196"/>
    </row>
    <row r="286" spans="1:10" ht="14.4" hidden="1" outlineLevel="1">
      <c r="A286" s="196" t="s">
        <v>351</v>
      </c>
      <c r="B286" s="197">
        <v>40703</v>
      </c>
      <c r="C286" s="196" t="s">
        <v>870</v>
      </c>
      <c r="D286" s="196">
        <v>90</v>
      </c>
      <c r="E286" s="196" t="s">
        <v>911</v>
      </c>
      <c r="F286" s="196">
        <v>89.7</v>
      </c>
      <c r="G286" s="196">
        <f t="shared" si="4"/>
        <v>44.85</v>
      </c>
      <c r="H286" s="196">
        <v>11900</v>
      </c>
      <c r="I286" s="196" t="s">
        <v>2037</v>
      </c>
      <c r="J286" s="196"/>
    </row>
    <row r="287" spans="1:10" ht="14.4" hidden="1" outlineLevel="1">
      <c r="A287" s="196" t="s">
        <v>351</v>
      </c>
      <c r="B287" s="197">
        <v>40704</v>
      </c>
      <c r="C287" s="196" t="s">
        <v>932</v>
      </c>
      <c r="D287" s="196">
        <v>89.6</v>
      </c>
      <c r="E287" s="196" t="s">
        <v>941</v>
      </c>
      <c r="F287" s="196">
        <v>89</v>
      </c>
      <c r="G287" s="196">
        <f t="shared" si="4"/>
        <v>44.5</v>
      </c>
      <c r="H287" s="196">
        <v>26000</v>
      </c>
      <c r="I287" s="196" t="s">
        <v>2036</v>
      </c>
      <c r="J287" s="196"/>
    </row>
    <row r="288" spans="1:10" ht="14.4" hidden="1" outlineLevel="1">
      <c r="A288" s="196" t="s">
        <v>351</v>
      </c>
      <c r="B288" s="197">
        <v>40707</v>
      </c>
      <c r="C288" s="196" t="s">
        <v>627</v>
      </c>
      <c r="D288" s="196">
        <v>90</v>
      </c>
      <c r="E288" s="196" t="s">
        <v>627</v>
      </c>
      <c r="F288" s="196">
        <v>89</v>
      </c>
      <c r="G288" s="196">
        <f t="shared" si="4"/>
        <v>44.5</v>
      </c>
      <c r="H288" s="196">
        <v>4700</v>
      </c>
      <c r="I288" s="196" t="s">
        <v>2035</v>
      </c>
      <c r="J288" s="196"/>
    </row>
    <row r="289" spans="1:10" ht="14.4" hidden="1" outlineLevel="1">
      <c r="A289" s="196" t="s">
        <v>351</v>
      </c>
      <c r="B289" s="197">
        <v>40708</v>
      </c>
      <c r="C289" s="196" t="s">
        <v>627</v>
      </c>
      <c r="D289" s="196">
        <v>89.4</v>
      </c>
      <c r="E289" s="196" t="s">
        <v>912</v>
      </c>
      <c r="F289" s="196">
        <v>87.5</v>
      </c>
      <c r="G289" s="196">
        <f t="shared" si="4"/>
        <v>43.75</v>
      </c>
      <c r="H289" s="196">
        <v>13600</v>
      </c>
      <c r="I289" s="196" t="s">
        <v>2034</v>
      </c>
      <c r="J289" s="196"/>
    </row>
    <row r="290" spans="1:10" ht="14.4" hidden="1" outlineLevel="1">
      <c r="A290" s="196" t="s">
        <v>351</v>
      </c>
      <c r="B290" s="197">
        <v>40710</v>
      </c>
      <c r="C290" s="196" t="s">
        <v>2032</v>
      </c>
      <c r="D290" s="196">
        <v>89</v>
      </c>
      <c r="E290" s="196" t="s">
        <v>2022</v>
      </c>
      <c r="F290" s="196">
        <v>86.8</v>
      </c>
      <c r="G290" s="196">
        <f t="shared" si="4"/>
        <v>43.4</v>
      </c>
      <c r="H290" s="196">
        <v>10100</v>
      </c>
      <c r="I290" s="196" t="s">
        <v>2033</v>
      </c>
      <c r="J290" s="196"/>
    </row>
    <row r="291" spans="1:10" ht="14.4" hidden="1" outlineLevel="1">
      <c r="A291" s="196" t="s">
        <v>351</v>
      </c>
      <c r="B291" s="197">
        <v>40711</v>
      </c>
      <c r="C291" s="196" t="s">
        <v>941</v>
      </c>
      <c r="D291" s="196">
        <v>89</v>
      </c>
      <c r="E291" s="196" t="s">
        <v>627</v>
      </c>
      <c r="F291" s="196">
        <v>88.5</v>
      </c>
      <c r="G291" s="196">
        <f t="shared" si="4"/>
        <v>44.25</v>
      </c>
      <c r="H291" s="196">
        <v>600</v>
      </c>
      <c r="I291" s="196" t="s">
        <v>2031</v>
      </c>
      <c r="J291" s="196"/>
    </row>
    <row r="292" spans="1:10" ht="14.4" hidden="1" outlineLevel="1">
      <c r="A292" s="196" t="s">
        <v>351</v>
      </c>
      <c r="B292" s="197">
        <v>40714</v>
      </c>
      <c r="C292" s="196" t="s">
        <v>925</v>
      </c>
      <c r="D292" s="196">
        <v>86.1</v>
      </c>
      <c r="E292" s="196" t="s">
        <v>2022</v>
      </c>
      <c r="F292" s="196">
        <v>85.2</v>
      </c>
      <c r="G292" s="196">
        <f t="shared" si="4"/>
        <v>42.6</v>
      </c>
      <c r="H292" s="196">
        <v>5300</v>
      </c>
      <c r="I292" s="196" t="s">
        <v>2030</v>
      </c>
      <c r="J292" s="196"/>
    </row>
    <row r="293" spans="1:10" ht="14.4" hidden="1" outlineLevel="1">
      <c r="A293" s="196" t="s">
        <v>351</v>
      </c>
      <c r="B293" s="197">
        <v>40715</v>
      </c>
      <c r="C293" s="196" t="s">
        <v>2025</v>
      </c>
      <c r="D293" s="196">
        <v>85.3</v>
      </c>
      <c r="E293" s="196" t="s">
        <v>2022</v>
      </c>
      <c r="F293" s="196">
        <v>85.2</v>
      </c>
      <c r="G293" s="196">
        <f t="shared" si="4"/>
        <v>42.6</v>
      </c>
      <c r="H293" s="196">
        <v>18000</v>
      </c>
      <c r="I293" s="196" t="s">
        <v>2029</v>
      </c>
      <c r="J293" s="196"/>
    </row>
    <row r="294" spans="1:10" ht="14.4" hidden="1" outlineLevel="1">
      <c r="A294" s="196" t="s">
        <v>351</v>
      </c>
      <c r="B294" s="197">
        <v>40716</v>
      </c>
      <c r="C294" s="196" t="s">
        <v>2022</v>
      </c>
      <c r="D294" s="196">
        <v>85.1</v>
      </c>
      <c r="E294" s="196" t="s">
        <v>2022</v>
      </c>
      <c r="F294" s="196">
        <v>85.1</v>
      </c>
      <c r="G294" s="196">
        <f t="shared" si="4"/>
        <v>42.55</v>
      </c>
      <c r="H294" s="196">
        <v>12300</v>
      </c>
      <c r="I294" s="196" t="s">
        <v>2028</v>
      </c>
      <c r="J294" s="196"/>
    </row>
    <row r="295" spans="1:10" ht="14.4" hidden="1" outlineLevel="1">
      <c r="A295" s="196" t="s">
        <v>351</v>
      </c>
      <c r="B295" s="197">
        <v>40717</v>
      </c>
      <c r="C295" s="196" t="s">
        <v>2024</v>
      </c>
      <c r="D295" s="196">
        <v>86</v>
      </c>
      <c r="E295" s="196" t="s">
        <v>2025</v>
      </c>
      <c r="F295" s="196">
        <v>85.9</v>
      </c>
      <c r="G295" s="196">
        <f t="shared" si="4"/>
        <v>42.95</v>
      </c>
      <c r="H295" s="196">
        <v>13800</v>
      </c>
      <c r="I295" s="196" t="s">
        <v>2027</v>
      </c>
      <c r="J295" s="196"/>
    </row>
    <row r="296" spans="1:10" ht="14.4" hidden="1" outlineLevel="1">
      <c r="A296" s="196" t="s">
        <v>351</v>
      </c>
      <c r="B296" s="197">
        <v>40718</v>
      </c>
      <c r="C296" s="196" t="s">
        <v>2024</v>
      </c>
      <c r="D296" s="196">
        <v>85.5</v>
      </c>
      <c r="E296" s="196" t="s">
        <v>2025</v>
      </c>
      <c r="F296" s="196">
        <v>85.2</v>
      </c>
      <c r="G296" s="196">
        <f t="shared" si="4"/>
        <v>42.6</v>
      </c>
      <c r="H296" s="196">
        <v>6800</v>
      </c>
      <c r="I296" s="196" t="s">
        <v>2026</v>
      </c>
      <c r="J296" s="196"/>
    </row>
    <row r="297" spans="1:10" ht="14.4" hidden="1" outlineLevel="1">
      <c r="A297" s="196" t="s">
        <v>351</v>
      </c>
      <c r="B297" s="197">
        <v>40721</v>
      </c>
      <c r="C297" s="196" t="s">
        <v>2022</v>
      </c>
      <c r="D297" s="196">
        <v>85.9</v>
      </c>
      <c r="E297" s="196" t="s">
        <v>2022</v>
      </c>
      <c r="F297" s="196">
        <v>85.1</v>
      </c>
      <c r="G297" s="196">
        <f t="shared" si="4"/>
        <v>42.55</v>
      </c>
      <c r="H297" s="196">
        <v>33900</v>
      </c>
      <c r="I297" s="196" t="s">
        <v>2023</v>
      </c>
      <c r="J297" s="196"/>
    </row>
    <row r="298" spans="1:10" ht="14.4" hidden="1" outlineLevel="1">
      <c r="A298" s="196" t="s">
        <v>351</v>
      </c>
      <c r="B298" s="197">
        <v>40722</v>
      </c>
      <c r="C298" s="196" t="s">
        <v>2019</v>
      </c>
      <c r="D298" s="196">
        <v>85.9</v>
      </c>
      <c r="E298" s="196" t="s">
        <v>2020</v>
      </c>
      <c r="F298" s="196">
        <v>83.3</v>
      </c>
      <c r="G298" s="196">
        <f t="shared" si="4"/>
        <v>41.65</v>
      </c>
      <c r="H298" s="196">
        <v>5000</v>
      </c>
      <c r="I298" s="196" t="s">
        <v>2021</v>
      </c>
      <c r="J298" s="196"/>
    </row>
    <row r="299" spans="1:10" ht="14.4" hidden="1" outlineLevel="1">
      <c r="A299" s="196" t="s">
        <v>351</v>
      </c>
      <c r="B299" s="197">
        <v>40723</v>
      </c>
      <c r="C299" s="196" t="s">
        <v>1007</v>
      </c>
      <c r="D299" s="196">
        <v>83</v>
      </c>
      <c r="E299" s="196" t="s">
        <v>1007</v>
      </c>
      <c r="F299" s="196">
        <v>83</v>
      </c>
      <c r="G299" s="196">
        <f t="shared" si="4"/>
        <v>41.5</v>
      </c>
      <c r="H299" s="196">
        <v>4500</v>
      </c>
      <c r="I299" s="196" t="s">
        <v>2018</v>
      </c>
      <c r="J299" s="196"/>
    </row>
    <row r="300" spans="1:10" ht="14.4" hidden="1" outlineLevel="1">
      <c r="A300" s="196" t="s">
        <v>351</v>
      </c>
      <c r="B300" s="197">
        <v>40724</v>
      </c>
      <c r="C300" s="196" t="s">
        <v>1013</v>
      </c>
      <c r="D300" s="196">
        <v>83.1</v>
      </c>
      <c r="E300" s="196" t="s">
        <v>1037</v>
      </c>
      <c r="F300" s="196">
        <v>80.2</v>
      </c>
      <c r="G300" s="196">
        <f t="shared" si="4"/>
        <v>40.1</v>
      </c>
      <c r="H300" s="196">
        <v>20600</v>
      </c>
      <c r="I300" s="196" t="s">
        <v>2017</v>
      </c>
      <c r="J300" s="196"/>
    </row>
    <row r="301" spans="1:10" ht="14.4" hidden="1" outlineLevel="1">
      <c r="A301" s="196" t="s">
        <v>351</v>
      </c>
      <c r="B301" s="197">
        <v>40725</v>
      </c>
      <c r="C301" s="196" t="s">
        <v>2013</v>
      </c>
      <c r="D301" s="196">
        <v>80.3</v>
      </c>
      <c r="E301" s="196" t="s">
        <v>1037</v>
      </c>
      <c r="F301" s="196">
        <v>80.2</v>
      </c>
      <c r="G301" s="196">
        <f t="shared" si="4"/>
        <v>40.1</v>
      </c>
      <c r="H301" s="196">
        <v>2200</v>
      </c>
      <c r="I301" s="196" t="s">
        <v>2016</v>
      </c>
      <c r="J301" s="196"/>
    </row>
    <row r="302" spans="1:10" ht="14.4" hidden="1" outlineLevel="1">
      <c r="A302" s="196" t="s">
        <v>351</v>
      </c>
      <c r="B302" s="197">
        <v>40728</v>
      </c>
      <c r="C302" s="196" t="s">
        <v>1054</v>
      </c>
      <c r="D302" s="196">
        <v>84.5</v>
      </c>
      <c r="E302" s="196" t="s">
        <v>1054</v>
      </c>
      <c r="F302" s="196">
        <v>81</v>
      </c>
      <c r="G302" s="196">
        <f t="shared" si="4"/>
        <v>40.5</v>
      </c>
      <c r="H302" s="196">
        <v>5000</v>
      </c>
      <c r="I302" s="196" t="s">
        <v>2015</v>
      </c>
      <c r="J302" s="196"/>
    </row>
    <row r="303" spans="1:10" ht="14.4" hidden="1" outlineLevel="1">
      <c r="A303" s="196" t="s">
        <v>351</v>
      </c>
      <c r="B303" s="197">
        <v>40729</v>
      </c>
      <c r="C303" s="196" t="s">
        <v>952</v>
      </c>
      <c r="D303" s="196">
        <v>82</v>
      </c>
      <c r="E303" s="196" t="s">
        <v>2013</v>
      </c>
      <c r="F303" s="196">
        <v>80.3</v>
      </c>
      <c r="G303" s="196">
        <f t="shared" si="4"/>
        <v>40.15</v>
      </c>
      <c r="H303" s="196">
        <v>700</v>
      </c>
      <c r="I303" s="196" t="s">
        <v>2014</v>
      </c>
      <c r="J303" s="196"/>
    </row>
    <row r="304" spans="1:10" ht="14.4" hidden="1" outlineLevel="1">
      <c r="A304" s="196" t="s">
        <v>351</v>
      </c>
      <c r="B304" s="197">
        <v>40730</v>
      </c>
      <c r="C304" s="196" t="s">
        <v>1003</v>
      </c>
      <c r="D304" s="196">
        <v>81</v>
      </c>
      <c r="E304" s="196" t="s">
        <v>1003</v>
      </c>
      <c r="F304" s="196">
        <v>80.8</v>
      </c>
      <c r="G304" s="196">
        <f t="shared" si="4"/>
        <v>40.4</v>
      </c>
      <c r="H304" s="196">
        <v>200</v>
      </c>
      <c r="I304" s="196" t="s">
        <v>2012</v>
      </c>
      <c r="J304" s="196"/>
    </row>
    <row r="305" spans="1:10" ht="14.4" hidden="1" outlineLevel="1">
      <c r="A305" s="196" t="s">
        <v>351</v>
      </c>
      <c r="B305" s="197">
        <v>40731</v>
      </c>
      <c r="C305" s="196" t="s">
        <v>1007</v>
      </c>
      <c r="D305" s="196">
        <v>83.9</v>
      </c>
      <c r="E305" s="196" t="s">
        <v>1005</v>
      </c>
      <c r="F305" s="196">
        <v>80.7</v>
      </c>
      <c r="G305" s="196">
        <f t="shared" si="4"/>
        <v>40.35</v>
      </c>
      <c r="H305" s="196">
        <v>2100</v>
      </c>
      <c r="I305" s="196" t="s">
        <v>2011</v>
      </c>
      <c r="J305" s="196"/>
    </row>
    <row r="306" spans="1:10" ht="14.4" hidden="1" outlineLevel="1">
      <c r="A306" s="196" t="s">
        <v>351</v>
      </c>
      <c r="B306" s="197">
        <v>40735</v>
      </c>
      <c r="C306" s="196" t="s">
        <v>1003</v>
      </c>
      <c r="D306" s="196">
        <v>80.599999999999994</v>
      </c>
      <c r="E306" s="196" t="s">
        <v>950</v>
      </c>
      <c r="F306" s="196">
        <v>80.099999999999994</v>
      </c>
      <c r="G306" s="196">
        <f t="shared" si="4"/>
        <v>40.049999999999997</v>
      </c>
      <c r="H306" s="196">
        <v>6700</v>
      </c>
      <c r="I306" s="196" t="s">
        <v>2010</v>
      </c>
      <c r="J306" s="196"/>
    </row>
    <row r="307" spans="1:10" ht="14.4" hidden="1" outlineLevel="1">
      <c r="A307" s="196" t="s">
        <v>351</v>
      </c>
      <c r="B307" s="197">
        <v>40736</v>
      </c>
      <c r="C307" s="196" t="s">
        <v>2008</v>
      </c>
      <c r="D307" s="196">
        <v>78.7</v>
      </c>
      <c r="E307" s="196" t="s">
        <v>956</v>
      </c>
      <c r="F307" s="196">
        <v>78.099999999999994</v>
      </c>
      <c r="G307" s="196">
        <f t="shared" si="4"/>
        <v>39.049999999999997</v>
      </c>
      <c r="H307" s="196">
        <v>1800</v>
      </c>
      <c r="I307" s="196" t="s">
        <v>2009</v>
      </c>
      <c r="J307" s="196"/>
    </row>
    <row r="308" spans="1:10" ht="14.4" hidden="1" outlineLevel="1">
      <c r="A308" s="196" t="s">
        <v>351</v>
      </c>
      <c r="B308" s="197">
        <v>40737</v>
      </c>
      <c r="C308" s="196" t="s">
        <v>956</v>
      </c>
      <c r="D308" s="196">
        <v>80</v>
      </c>
      <c r="E308" s="196" t="s">
        <v>956</v>
      </c>
      <c r="F308" s="196">
        <v>79.7</v>
      </c>
      <c r="G308" s="196">
        <f t="shared" si="4"/>
        <v>39.85</v>
      </c>
      <c r="H308" s="196">
        <v>3700</v>
      </c>
      <c r="I308" s="196" t="s">
        <v>2007</v>
      </c>
      <c r="J308" s="196"/>
    </row>
    <row r="309" spans="1:10" ht="14.4" hidden="1" outlineLevel="1">
      <c r="A309" s="196" t="s">
        <v>351</v>
      </c>
      <c r="B309" s="197">
        <v>40739</v>
      </c>
      <c r="C309" s="196" t="s">
        <v>1052</v>
      </c>
      <c r="D309" s="196">
        <v>79.2</v>
      </c>
      <c r="E309" s="196" t="s">
        <v>956</v>
      </c>
      <c r="F309" s="196">
        <v>78.400000000000006</v>
      </c>
      <c r="G309" s="196">
        <f t="shared" si="4"/>
        <v>39.200000000000003</v>
      </c>
      <c r="H309" s="196">
        <v>1900</v>
      </c>
      <c r="I309" s="196" t="s">
        <v>2006</v>
      </c>
      <c r="J309" s="196"/>
    </row>
    <row r="310" spans="1:10" ht="14.4" hidden="1" outlineLevel="1">
      <c r="A310" s="196" t="s">
        <v>351</v>
      </c>
      <c r="B310" s="197">
        <v>40742</v>
      </c>
      <c r="C310" s="196" t="s">
        <v>990</v>
      </c>
      <c r="D310" s="196">
        <v>78.3</v>
      </c>
      <c r="E310" s="196" t="s">
        <v>962</v>
      </c>
      <c r="F310" s="196">
        <v>78.2</v>
      </c>
      <c r="G310" s="196">
        <f t="shared" si="4"/>
        <v>39.1</v>
      </c>
      <c r="H310" s="196">
        <v>7800</v>
      </c>
      <c r="I310" s="196" t="s">
        <v>2005</v>
      </c>
      <c r="J310" s="196"/>
    </row>
    <row r="311" spans="1:10" ht="14.4" hidden="1" outlineLevel="1">
      <c r="A311" s="196" t="s">
        <v>351</v>
      </c>
      <c r="B311" s="197">
        <v>40743</v>
      </c>
      <c r="C311" s="196" t="s">
        <v>972</v>
      </c>
      <c r="D311" s="196">
        <v>76.099999999999994</v>
      </c>
      <c r="E311" s="196" t="s">
        <v>972</v>
      </c>
      <c r="F311" s="196">
        <v>76</v>
      </c>
      <c r="G311" s="196">
        <f t="shared" si="4"/>
        <v>38</v>
      </c>
      <c r="H311" s="196">
        <v>1100</v>
      </c>
      <c r="I311" s="196" t="s">
        <v>2004</v>
      </c>
      <c r="J311" s="196"/>
    </row>
    <row r="312" spans="1:10" ht="14.4" hidden="1" outlineLevel="1">
      <c r="A312" s="196" t="s">
        <v>351</v>
      </c>
      <c r="B312" s="197">
        <v>40744</v>
      </c>
      <c r="C312" s="196" t="s">
        <v>1072</v>
      </c>
      <c r="D312" s="196">
        <v>76.3</v>
      </c>
      <c r="E312" s="196" t="s">
        <v>1072</v>
      </c>
      <c r="F312" s="196">
        <v>76.2</v>
      </c>
      <c r="G312" s="196">
        <f t="shared" si="4"/>
        <v>38.1</v>
      </c>
      <c r="H312" s="196">
        <v>600</v>
      </c>
      <c r="I312" s="196" t="s">
        <v>2003</v>
      </c>
      <c r="J312" s="196"/>
    </row>
    <row r="313" spans="1:10" ht="14.4" hidden="1" outlineLevel="1">
      <c r="A313" s="196" t="s">
        <v>351</v>
      </c>
      <c r="B313" s="197">
        <v>40745</v>
      </c>
      <c r="C313" s="196" t="s">
        <v>1070</v>
      </c>
      <c r="D313" s="196">
        <v>76.099999999999994</v>
      </c>
      <c r="E313" s="196" t="s">
        <v>1070</v>
      </c>
      <c r="F313" s="196">
        <v>76.099999999999994</v>
      </c>
      <c r="G313" s="196">
        <f t="shared" si="4"/>
        <v>38.049999999999997</v>
      </c>
      <c r="H313" s="196">
        <v>800</v>
      </c>
      <c r="I313" s="196" t="s">
        <v>1948</v>
      </c>
      <c r="J313" s="196"/>
    </row>
    <row r="314" spans="1:10" ht="14.4" hidden="1" outlineLevel="1">
      <c r="A314" s="196" t="s">
        <v>351</v>
      </c>
      <c r="B314" s="197">
        <v>40746</v>
      </c>
      <c r="C314" s="196" t="s">
        <v>1070</v>
      </c>
      <c r="D314" s="196">
        <v>76.099999999999994</v>
      </c>
      <c r="E314" s="196" t="s">
        <v>1112</v>
      </c>
      <c r="F314" s="196">
        <v>75.099999999999994</v>
      </c>
      <c r="G314" s="196">
        <f t="shared" si="4"/>
        <v>37.549999999999997</v>
      </c>
      <c r="H314" s="196">
        <v>24000</v>
      </c>
      <c r="I314" s="196" t="s">
        <v>2002</v>
      </c>
      <c r="J314" s="196"/>
    </row>
    <row r="315" spans="1:10" ht="14.4" hidden="1" outlineLevel="1">
      <c r="A315" s="196" t="s">
        <v>351</v>
      </c>
      <c r="B315" s="197">
        <v>40749</v>
      </c>
      <c r="C315" s="196" t="s">
        <v>1082</v>
      </c>
      <c r="D315" s="196">
        <v>75.099999999999994</v>
      </c>
      <c r="E315" s="196" t="s">
        <v>1119</v>
      </c>
      <c r="F315" s="196">
        <v>73.5</v>
      </c>
      <c r="G315" s="196">
        <f t="shared" si="4"/>
        <v>36.75</v>
      </c>
      <c r="H315" s="196">
        <v>5400</v>
      </c>
      <c r="I315" s="196" t="s">
        <v>2001</v>
      </c>
      <c r="J315" s="196"/>
    </row>
    <row r="316" spans="1:10" ht="14.4" hidden="1" outlineLevel="1">
      <c r="A316" s="196" t="s">
        <v>351</v>
      </c>
      <c r="B316" s="197">
        <v>40750</v>
      </c>
      <c r="C316" s="196" t="s">
        <v>1117</v>
      </c>
      <c r="D316" s="196">
        <v>73.099999999999994</v>
      </c>
      <c r="E316" s="196" t="s">
        <v>1119</v>
      </c>
      <c r="F316" s="196">
        <v>73</v>
      </c>
      <c r="G316" s="196">
        <f t="shared" si="4"/>
        <v>36.5</v>
      </c>
      <c r="H316" s="196">
        <v>1000</v>
      </c>
      <c r="I316" s="196" t="s">
        <v>2000</v>
      </c>
      <c r="J316" s="196"/>
    </row>
    <row r="317" spans="1:10" ht="14.4" hidden="1" outlineLevel="1">
      <c r="A317" s="196" t="s">
        <v>351</v>
      </c>
      <c r="B317" s="197">
        <v>40751</v>
      </c>
      <c r="C317" s="196" t="s">
        <v>980</v>
      </c>
      <c r="D317" s="196">
        <v>75</v>
      </c>
      <c r="E317" s="196" t="s">
        <v>1110</v>
      </c>
      <c r="F317" s="196">
        <v>74.900000000000006</v>
      </c>
      <c r="G317" s="196">
        <f t="shared" si="4"/>
        <v>37.450000000000003</v>
      </c>
      <c r="H317" s="196">
        <v>1000</v>
      </c>
      <c r="I317" s="196" t="s">
        <v>1999</v>
      </c>
      <c r="J317" s="196"/>
    </row>
    <row r="318" spans="1:10" ht="14.4" hidden="1" outlineLevel="1">
      <c r="A318" s="196" t="s">
        <v>351</v>
      </c>
      <c r="B318" s="197">
        <v>40752</v>
      </c>
      <c r="C318" s="196" t="s">
        <v>980</v>
      </c>
      <c r="D318" s="196">
        <v>75</v>
      </c>
      <c r="E318" s="196" t="s">
        <v>980</v>
      </c>
      <c r="F318" s="196">
        <v>75</v>
      </c>
      <c r="G318" s="196">
        <f t="shared" si="4"/>
        <v>37.5</v>
      </c>
      <c r="H318" s="196">
        <v>200</v>
      </c>
      <c r="I318" s="196" t="s">
        <v>1998</v>
      </c>
      <c r="J318" s="196"/>
    </row>
    <row r="319" spans="1:10" ht="14.4" hidden="1" outlineLevel="1">
      <c r="A319" s="196" t="s">
        <v>351</v>
      </c>
      <c r="B319" s="197">
        <v>40753</v>
      </c>
      <c r="C319" s="196" t="s">
        <v>972</v>
      </c>
      <c r="D319" s="196">
        <v>80</v>
      </c>
      <c r="E319" s="196" t="s">
        <v>972</v>
      </c>
      <c r="F319" s="196">
        <v>80</v>
      </c>
      <c r="G319" s="196">
        <f t="shared" si="4"/>
        <v>40</v>
      </c>
      <c r="H319" s="196">
        <v>2600</v>
      </c>
      <c r="I319" s="196" t="s">
        <v>1997</v>
      </c>
      <c r="J319" s="196"/>
    </row>
    <row r="320" spans="1:10" ht="14.4" hidden="1" outlineLevel="1">
      <c r="A320" s="196" t="s">
        <v>351</v>
      </c>
      <c r="B320" s="197">
        <v>40756</v>
      </c>
      <c r="C320" s="196" t="s">
        <v>995</v>
      </c>
      <c r="D320" s="196">
        <v>77.2</v>
      </c>
      <c r="E320" s="196" t="s">
        <v>1043</v>
      </c>
      <c r="F320" s="196">
        <v>77.099999999999994</v>
      </c>
      <c r="G320" s="196">
        <f t="shared" si="4"/>
        <v>38.549999999999997</v>
      </c>
      <c r="H320" s="196">
        <v>700</v>
      </c>
      <c r="I320" s="196" t="s">
        <v>1996</v>
      </c>
      <c r="J320" s="196"/>
    </row>
    <row r="321" spans="1:10" ht="14.4" hidden="1" outlineLevel="1">
      <c r="A321" s="196" t="s">
        <v>351</v>
      </c>
      <c r="B321" s="197">
        <v>40757</v>
      </c>
      <c r="C321" s="196" t="s">
        <v>974</v>
      </c>
      <c r="D321" s="196">
        <v>77</v>
      </c>
      <c r="E321" s="196" t="s">
        <v>1072</v>
      </c>
      <c r="F321" s="196">
        <v>76.2</v>
      </c>
      <c r="G321" s="196">
        <f t="shared" si="4"/>
        <v>38.1</v>
      </c>
      <c r="H321" s="196">
        <v>700</v>
      </c>
      <c r="I321" s="196" t="s">
        <v>1995</v>
      </c>
      <c r="J321" s="196"/>
    </row>
    <row r="322" spans="1:10" ht="14.4" hidden="1" outlineLevel="1">
      <c r="A322" s="196" t="s">
        <v>351</v>
      </c>
      <c r="B322" s="197">
        <v>40758</v>
      </c>
      <c r="C322" s="196" t="s">
        <v>1072</v>
      </c>
      <c r="D322" s="196">
        <v>76.2</v>
      </c>
      <c r="E322" s="196" t="s">
        <v>972</v>
      </c>
      <c r="F322" s="196">
        <v>76.099999999999994</v>
      </c>
      <c r="G322" s="196">
        <f t="shared" si="4"/>
        <v>38.049999999999997</v>
      </c>
      <c r="H322" s="196">
        <v>2300</v>
      </c>
      <c r="I322" s="196" t="s">
        <v>1994</v>
      </c>
      <c r="J322" s="196"/>
    </row>
    <row r="323" spans="1:10" ht="14.4" hidden="1" outlineLevel="1">
      <c r="A323" s="196" t="s">
        <v>351</v>
      </c>
      <c r="B323" s="197">
        <v>40759</v>
      </c>
      <c r="C323" s="196" t="s">
        <v>1070</v>
      </c>
      <c r="D323" s="196">
        <v>76.099999999999994</v>
      </c>
      <c r="E323" s="196" t="s">
        <v>1070</v>
      </c>
      <c r="F323" s="196">
        <v>76.099999999999994</v>
      </c>
      <c r="G323" s="196">
        <f t="shared" si="4"/>
        <v>38.049999999999997</v>
      </c>
      <c r="H323" s="196">
        <v>100</v>
      </c>
      <c r="I323" s="196" t="s">
        <v>1993</v>
      </c>
      <c r="J323" s="196"/>
    </row>
    <row r="324" spans="1:10" ht="14.4" hidden="1" outlineLevel="1">
      <c r="A324" s="196" t="s">
        <v>351</v>
      </c>
      <c r="B324" s="197">
        <v>40760</v>
      </c>
      <c r="C324" s="196" t="s">
        <v>972</v>
      </c>
      <c r="D324" s="196">
        <v>76</v>
      </c>
      <c r="E324" s="196" t="s">
        <v>980</v>
      </c>
      <c r="F324" s="196">
        <v>75.099999999999994</v>
      </c>
      <c r="G324" s="196">
        <f t="shared" si="4"/>
        <v>37.549999999999997</v>
      </c>
      <c r="H324" s="196">
        <v>1600</v>
      </c>
      <c r="I324" s="196" t="s">
        <v>1992</v>
      </c>
      <c r="J324" s="196"/>
    </row>
    <row r="325" spans="1:10" ht="14.4" hidden="1" outlineLevel="1">
      <c r="A325" s="196" t="s">
        <v>351</v>
      </c>
      <c r="B325" s="197">
        <v>40763</v>
      </c>
      <c r="C325" s="196" t="s">
        <v>1536</v>
      </c>
      <c r="D325" s="196">
        <v>79.599999999999994</v>
      </c>
      <c r="E325" s="196" t="s">
        <v>980</v>
      </c>
      <c r="F325" s="196">
        <v>78.8</v>
      </c>
      <c r="G325" s="196">
        <f t="shared" ref="G325:G388" si="5">F325/2</f>
        <v>39.4</v>
      </c>
      <c r="H325" s="196">
        <v>4100</v>
      </c>
      <c r="I325" s="196" t="s">
        <v>1991</v>
      </c>
      <c r="J325" s="196"/>
    </row>
    <row r="326" spans="1:10" ht="14.4" hidden="1" outlineLevel="1">
      <c r="A326" s="196" t="s">
        <v>351</v>
      </c>
      <c r="B326" s="197">
        <v>40764</v>
      </c>
      <c r="C326" s="196" t="s">
        <v>959</v>
      </c>
      <c r="D326" s="196">
        <v>80</v>
      </c>
      <c r="E326" s="196" t="s">
        <v>959</v>
      </c>
      <c r="F326" s="196">
        <v>80</v>
      </c>
      <c r="G326" s="196">
        <f t="shared" si="5"/>
        <v>40</v>
      </c>
      <c r="H326" s="196">
        <v>1500</v>
      </c>
      <c r="I326" s="196" t="s">
        <v>1990</v>
      </c>
      <c r="J326" s="196"/>
    </row>
    <row r="327" spans="1:10" s="192" customFormat="1" ht="14.4" hidden="1" outlineLevel="1">
      <c r="A327" s="196" t="s">
        <v>351</v>
      </c>
      <c r="B327" s="197">
        <v>40765</v>
      </c>
      <c r="C327" s="196" t="s">
        <v>972</v>
      </c>
      <c r="D327" s="196">
        <v>81.8</v>
      </c>
      <c r="E327" s="196" t="s">
        <v>972</v>
      </c>
      <c r="F327" s="196">
        <v>81.8</v>
      </c>
      <c r="G327" s="196">
        <f t="shared" si="5"/>
        <v>40.9</v>
      </c>
      <c r="H327" s="196">
        <v>800</v>
      </c>
      <c r="I327" s="196" t="s">
        <v>1989</v>
      </c>
      <c r="J327" s="196"/>
    </row>
    <row r="328" spans="1:10" ht="14.4" hidden="1" outlineLevel="1">
      <c r="A328" s="196" t="s">
        <v>351</v>
      </c>
      <c r="B328" s="197">
        <v>40766</v>
      </c>
      <c r="C328" s="196" t="s">
        <v>1043</v>
      </c>
      <c r="D328" s="196">
        <v>81.8</v>
      </c>
      <c r="E328" s="196" t="s">
        <v>1043</v>
      </c>
      <c r="F328" s="196">
        <v>77.5</v>
      </c>
      <c r="G328" s="196">
        <f t="shared" si="5"/>
        <v>38.75</v>
      </c>
      <c r="H328" s="196">
        <v>6000</v>
      </c>
      <c r="I328" s="196" t="s">
        <v>1988</v>
      </c>
      <c r="J328" s="196"/>
    </row>
    <row r="329" spans="1:10" ht="14.4" hidden="1" outlineLevel="1">
      <c r="A329" s="196" t="s">
        <v>351</v>
      </c>
      <c r="B329" s="197">
        <v>40767</v>
      </c>
      <c r="C329" s="196" t="s">
        <v>962</v>
      </c>
      <c r="D329" s="196">
        <v>78</v>
      </c>
      <c r="E329" s="196" t="s">
        <v>962</v>
      </c>
      <c r="F329" s="196">
        <v>78</v>
      </c>
      <c r="G329" s="196">
        <f t="shared" si="5"/>
        <v>39</v>
      </c>
      <c r="H329" s="196">
        <v>200</v>
      </c>
      <c r="I329" s="196" t="s">
        <v>1987</v>
      </c>
      <c r="J329" s="196"/>
    </row>
    <row r="330" spans="1:10" ht="14.4" hidden="1" outlineLevel="1">
      <c r="A330" s="196" t="s">
        <v>351</v>
      </c>
      <c r="B330" s="197">
        <v>40770</v>
      </c>
      <c r="C330" s="196" t="s">
        <v>962</v>
      </c>
      <c r="D330" s="196">
        <v>78.099999999999994</v>
      </c>
      <c r="E330" s="196" t="s">
        <v>962</v>
      </c>
      <c r="F330" s="196">
        <v>78.099999999999994</v>
      </c>
      <c r="G330" s="196">
        <f t="shared" si="5"/>
        <v>39.049999999999997</v>
      </c>
      <c r="H330" s="196">
        <v>1100</v>
      </c>
      <c r="I330" s="196" t="s">
        <v>1986</v>
      </c>
      <c r="J330" s="196"/>
    </row>
    <row r="331" spans="1:10" ht="14.4" hidden="1" outlineLevel="1">
      <c r="A331" s="196" t="s">
        <v>351</v>
      </c>
      <c r="B331" s="197">
        <v>40771</v>
      </c>
      <c r="C331" s="196" t="s">
        <v>956</v>
      </c>
      <c r="D331" s="196">
        <v>80</v>
      </c>
      <c r="E331" s="196" t="s">
        <v>956</v>
      </c>
      <c r="F331" s="196">
        <v>80</v>
      </c>
      <c r="G331" s="196">
        <f t="shared" si="5"/>
        <v>40</v>
      </c>
      <c r="H331" s="196">
        <v>1500</v>
      </c>
      <c r="I331" s="196" t="s">
        <v>1985</v>
      </c>
      <c r="J331" s="196"/>
    </row>
    <row r="332" spans="1:10" ht="14.4" hidden="1" outlineLevel="1">
      <c r="A332" s="196" t="s">
        <v>351</v>
      </c>
      <c r="B332" s="197">
        <v>40772</v>
      </c>
      <c r="C332" s="196" t="s">
        <v>952</v>
      </c>
      <c r="D332" s="196">
        <v>85</v>
      </c>
      <c r="E332" s="196" t="s">
        <v>950</v>
      </c>
      <c r="F332" s="196">
        <v>81.5</v>
      </c>
      <c r="G332" s="196">
        <f t="shared" si="5"/>
        <v>40.75</v>
      </c>
      <c r="H332" s="196">
        <v>12200</v>
      </c>
      <c r="I332" s="196" t="s">
        <v>1984</v>
      </c>
      <c r="J332" s="196"/>
    </row>
    <row r="333" spans="1:10" ht="14.4" hidden="1" outlineLevel="1">
      <c r="A333" s="196" t="s">
        <v>351</v>
      </c>
      <c r="B333" s="197">
        <v>40773</v>
      </c>
      <c r="C333" s="196" t="s">
        <v>952</v>
      </c>
      <c r="D333" s="196">
        <v>82</v>
      </c>
      <c r="E333" s="196" t="s">
        <v>950</v>
      </c>
      <c r="F333" s="196">
        <v>80.099999999999994</v>
      </c>
      <c r="G333" s="196">
        <f t="shared" si="5"/>
        <v>40.049999999999997</v>
      </c>
      <c r="H333" s="196">
        <v>20500</v>
      </c>
      <c r="I333" s="196" t="s">
        <v>1983</v>
      </c>
      <c r="J333" s="196"/>
    </row>
    <row r="334" spans="1:10" ht="14.4" hidden="1" outlineLevel="1">
      <c r="A334" s="196" t="s">
        <v>351</v>
      </c>
      <c r="B334" s="197">
        <v>40774</v>
      </c>
      <c r="C334" s="196" t="s">
        <v>1013</v>
      </c>
      <c r="D334" s="196">
        <v>83</v>
      </c>
      <c r="E334" s="196" t="s">
        <v>1037</v>
      </c>
      <c r="F334" s="196">
        <v>80.099999999999994</v>
      </c>
      <c r="G334" s="196">
        <f t="shared" si="5"/>
        <v>40.049999999999997</v>
      </c>
      <c r="H334" s="196">
        <v>2100</v>
      </c>
      <c r="I334" s="196" t="s">
        <v>1982</v>
      </c>
      <c r="J334" s="196"/>
    </row>
    <row r="335" spans="1:10" ht="14.4" hidden="1" outlineLevel="1">
      <c r="A335" s="196" t="s">
        <v>351</v>
      </c>
      <c r="B335" s="197">
        <v>40777</v>
      </c>
      <c r="C335" s="196" t="s">
        <v>1007</v>
      </c>
      <c r="D335" s="196">
        <v>83.2</v>
      </c>
      <c r="E335" s="196" t="s">
        <v>1054</v>
      </c>
      <c r="F335" s="196">
        <v>82.1</v>
      </c>
      <c r="G335" s="196">
        <f t="shared" si="5"/>
        <v>41.05</v>
      </c>
      <c r="H335" s="196">
        <v>3700</v>
      </c>
      <c r="I335" s="196" t="s">
        <v>1981</v>
      </c>
      <c r="J335" s="196"/>
    </row>
    <row r="336" spans="1:10" ht="14.4" hidden="1" outlineLevel="1">
      <c r="A336" s="196" t="s">
        <v>351</v>
      </c>
      <c r="B336" s="197">
        <v>40778</v>
      </c>
      <c r="C336" s="196" t="s">
        <v>1010</v>
      </c>
      <c r="D336" s="196">
        <v>80.5</v>
      </c>
      <c r="E336" s="196" t="s">
        <v>950</v>
      </c>
      <c r="F336" s="196">
        <v>80</v>
      </c>
      <c r="G336" s="196">
        <f t="shared" si="5"/>
        <v>40</v>
      </c>
      <c r="H336" s="196">
        <v>23300</v>
      </c>
      <c r="I336" s="196" t="s">
        <v>1980</v>
      </c>
      <c r="J336" s="196"/>
    </row>
    <row r="337" spans="1:10" ht="14.4" hidden="1" outlineLevel="1">
      <c r="A337" s="196" t="s">
        <v>351</v>
      </c>
      <c r="B337" s="197">
        <v>40779</v>
      </c>
      <c r="C337" s="196" t="s">
        <v>1052</v>
      </c>
      <c r="D337" s="196">
        <v>79.5</v>
      </c>
      <c r="E337" s="196" t="s">
        <v>997</v>
      </c>
      <c r="F337" s="196">
        <v>79.5</v>
      </c>
      <c r="G337" s="196">
        <f t="shared" si="5"/>
        <v>39.75</v>
      </c>
      <c r="H337" s="196">
        <v>2100</v>
      </c>
      <c r="I337" s="196" t="s">
        <v>1979</v>
      </c>
      <c r="J337" s="196"/>
    </row>
    <row r="338" spans="1:10" ht="14.4" hidden="1" outlineLevel="1">
      <c r="A338" s="196" t="s">
        <v>351</v>
      </c>
      <c r="B338" s="197">
        <v>40780</v>
      </c>
      <c r="C338" s="196" t="s">
        <v>1977</v>
      </c>
      <c r="D338" s="196">
        <v>80</v>
      </c>
      <c r="E338" s="196" t="s">
        <v>962</v>
      </c>
      <c r="F338" s="196">
        <v>80</v>
      </c>
      <c r="G338" s="196">
        <f t="shared" si="5"/>
        <v>40</v>
      </c>
      <c r="H338" s="196">
        <v>7600</v>
      </c>
      <c r="I338" s="196" t="s">
        <v>1978</v>
      </c>
      <c r="J338" s="196"/>
    </row>
    <row r="339" spans="1:10" ht="14.4" hidden="1" outlineLevel="1">
      <c r="A339" s="196" t="s">
        <v>351</v>
      </c>
      <c r="B339" s="197">
        <v>40781</v>
      </c>
      <c r="C339" s="196" t="s">
        <v>950</v>
      </c>
      <c r="D339" s="196">
        <v>80.099999999999994</v>
      </c>
      <c r="E339" s="196" t="s">
        <v>950</v>
      </c>
      <c r="F339" s="196">
        <v>80</v>
      </c>
      <c r="G339" s="196">
        <f t="shared" si="5"/>
        <v>40</v>
      </c>
      <c r="H339" s="196">
        <v>15900</v>
      </c>
      <c r="I339" s="196" t="s">
        <v>1976</v>
      </c>
      <c r="J339" s="196"/>
    </row>
    <row r="340" spans="1:10" ht="14.4" hidden="1" outlineLevel="1">
      <c r="A340" s="196" t="s">
        <v>351</v>
      </c>
      <c r="B340" s="197">
        <v>40785</v>
      </c>
      <c r="C340" s="196" t="s">
        <v>1052</v>
      </c>
      <c r="D340" s="196">
        <v>79.099999999999994</v>
      </c>
      <c r="E340" s="196" t="s">
        <v>992</v>
      </c>
      <c r="F340" s="196">
        <v>78.5</v>
      </c>
      <c r="G340" s="196">
        <f t="shared" si="5"/>
        <v>39.25</v>
      </c>
      <c r="H340" s="196">
        <v>700</v>
      </c>
      <c r="I340" s="196" t="s">
        <v>1975</v>
      </c>
      <c r="J340" s="196"/>
    </row>
    <row r="341" spans="1:10" ht="14.4" hidden="1" outlineLevel="1">
      <c r="A341" s="196" t="s">
        <v>351</v>
      </c>
      <c r="B341" s="197">
        <v>40787</v>
      </c>
      <c r="C341" s="196" t="s">
        <v>992</v>
      </c>
      <c r="D341" s="196">
        <v>78.5</v>
      </c>
      <c r="E341" s="196" t="s">
        <v>955</v>
      </c>
      <c r="F341" s="196">
        <v>78.2</v>
      </c>
      <c r="G341" s="196">
        <f t="shared" si="5"/>
        <v>39.1</v>
      </c>
      <c r="H341" s="196">
        <v>1400</v>
      </c>
      <c r="I341" s="196" t="s">
        <v>1974</v>
      </c>
      <c r="J341" s="196"/>
    </row>
    <row r="342" spans="1:10" ht="14.4" hidden="1" outlineLevel="1">
      <c r="A342" s="196" t="s">
        <v>351</v>
      </c>
      <c r="B342" s="197">
        <v>40788</v>
      </c>
      <c r="C342" s="196" t="s">
        <v>992</v>
      </c>
      <c r="D342" s="196">
        <v>78.5</v>
      </c>
      <c r="E342" s="196" t="s">
        <v>992</v>
      </c>
      <c r="F342" s="196">
        <v>78.5</v>
      </c>
      <c r="G342" s="196">
        <f t="shared" si="5"/>
        <v>39.25</v>
      </c>
      <c r="H342" s="196">
        <v>500</v>
      </c>
      <c r="I342" s="196" t="s">
        <v>1973</v>
      </c>
      <c r="J342" s="196"/>
    </row>
    <row r="343" spans="1:10" ht="14.4" hidden="1" outlineLevel="1">
      <c r="A343" s="196" t="s">
        <v>351</v>
      </c>
      <c r="B343" s="197">
        <v>40791</v>
      </c>
      <c r="C343" s="196" t="s">
        <v>1052</v>
      </c>
      <c r="D343" s="196">
        <v>79.5</v>
      </c>
      <c r="E343" s="196" t="s">
        <v>962</v>
      </c>
      <c r="F343" s="196">
        <v>78.3</v>
      </c>
      <c r="G343" s="196">
        <f t="shared" si="5"/>
        <v>39.15</v>
      </c>
      <c r="H343" s="196">
        <v>12300</v>
      </c>
      <c r="I343" s="196" t="s">
        <v>1972</v>
      </c>
      <c r="J343" s="196"/>
    </row>
    <row r="344" spans="1:10" ht="14.4" hidden="1" outlineLevel="1">
      <c r="A344" s="196" t="s">
        <v>351</v>
      </c>
      <c r="B344" s="197">
        <v>40792</v>
      </c>
      <c r="C344" s="196" t="s">
        <v>1090</v>
      </c>
      <c r="D344" s="196">
        <v>82</v>
      </c>
      <c r="E344" s="196" t="s">
        <v>1090</v>
      </c>
      <c r="F344" s="196">
        <v>82</v>
      </c>
      <c r="G344" s="196">
        <f t="shared" si="5"/>
        <v>41</v>
      </c>
      <c r="H344" s="196">
        <v>600</v>
      </c>
      <c r="I344" s="196" t="s">
        <v>1971</v>
      </c>
      <c r="J344" s="196"/>
    </row>
    <row r="345" spans="1:10" ht="14.4" hidden="1" outlineLevel="1">
      <c r="A345" s="196" t="s">
        <v>351</v>
      </c>
      <c r="B345" s="197">
        <v>40793</v>
      </c>
      <c r="C345" s="196" t="s">
        <v>950</v>
      </c>
      <c r="D345" s="196">
        <v>80</v>
      </c>
      <c r="E345" s="196" t="s">
        <v>950</v>
      </c>
      <c r="F345" s="196">
        <v>80</v>
      </c>
      <c r="G345" s="196">
        <f t="shared" si="5"/>
        <v>40</v>
      </c>
      <c r="H345" s="196">
        <v>2700</v>
      </c>
      <c r="I345" s="196" t="s">
        <v>745</v>
      </c>
      <c r="J345" s="196"/>
    </row>
    <row r="346" spans="1:10" ht="14.4" hidden="1" outlineLevel="1">
      <c r="A346" s="196" t="s">
        <v>351</v>
      </c>
      <c r="B346" s="197">
        <v>40794</v>
      </c>
      <c r="C346" s="196" t="s">
        <v>950</v>
      </c>
      <c r="D346" s="196">
        <v>80</v>
      </c>
      <c r="E346" s="196" t="s">
        <v>955</v>
      </c>
      <c r="F346" s="196">
        <v>79</v>
      </c>
      <c r="G346" s="196">
        <f t="shared" si="5"/>
        <v>39.5</v>
      </c>
      <c r="H346" s="196">
        <v>2900</v>
      </c>
      <c r="I346" s="196" t="s">
        <v>1970</v>
      </c>
      <c r="J346" s="196"/>
    </row>
    <row r="347" spans="1:10" ht="14.4" hidden="1" outlineLevel="1">
      <c r="A347" s="196" t="s">
        <v>351</v>
      </c>
      <c r="B347" s="197">
        <v>40795</v>
      </c>
      <c r="C347" s="196" t="s">
        <v>962</v>
      </c>
      <c r="D347" s="196">
        <v>79</v>
      </c>
      <c r="E347" s="196" t="s">
        <v>1968</v>
      </c>
      <c r="F347" s="196">
        <v>78.2</v>
      </c>
      <c r="G347" s="196">
        <f t="shared" si="5"/>
        <v>39.1</v>
      </c>
      <c r="H347" s="196">
        <v>5900</v>
      </c>
      <c r="I347" s="196" t="s">
        <v>1969</v>
      </c>
      <c r="J347" s="196"/>
    </row>
    <row r="348" spans="1:10" ht="14.4" hidden="1" outlineLevel="1">
      <c r="A348" s="196" t="s">
        <v>351</v>
      </c>
      <c r="B348" s="197">
        <v>40798</v>
      </c>
      <c r="C348" s="196" t="s">
        <v>956</v>
      </c>
      <c r="D348" s="196">
        <v>78.5</v>
      </c>
      <c r="E348" s="196" t="s">
        <v>956</v>
      </c>
      <c r="F348" s="196">
        <v>78.2</v>
      </c>
      <c r="G348" s="196">
        <f t="shared" si="5"/>
        <v>39.1</v>
      </c>
      <c r="H348" s="196">
        <v>1700</v>
      </c>
      <c r="I348" s="196" t="s">
        <v>1967</v>
      </c>
      <c r="J348" s="196"/>
    </row>
    <row r="349" spans="1:10" ht="14.4" hidden="1" outlineLevel="1">
      <c r="A349" s="196" t="s">
        <v>351</v>
      </c>
      <c r="B349" s="197">
        <v>40799</v>
      </c>
      <c r="C349" s="196" t="s">
        <v>992</v>
      </c>
      <c r="D349" s="196">
        <v>78.5</v>
      </c>
      <c r="E349" s="196" t="s">
        <v>992</v>
      </c>
      <c r="F349" s="196">
        <v>78.5</v>
      </c>
      <c r="G349" s="196">
        <f t="shared" si="5"/>
        <v>39.25</v>
      </c>
      <c r="H349" s="196">
        <v>9800</v>
      </c>
      <c r="I349" s="196" t="s">
        <v>1966</v>
      </c>
      <c r="J349" s="196"/>
    </row>
    <row r="350" spans="1:10" ht="14.4" hidden="1" outlineLevel="1">
      <c r="A350" s="196" t="s">
        <v>351</v>
      </c>
      <c r="B350" s="197">
        <v>40800</v>
      </c>
      <c r="C350" s="196" t="s">
        <v>1035</v>
      </c>
      <c r="D350" s="196">
        <v>79</v>
      </c>
      <c r="E350" s="196" t="s">
        <v>1035</v>
      </c>
      <c r="F350" s="196">
        <v>78.8</v>
      </c>
      <c r="G350" s="196">
        <f t="shared" si="5"/>
        <v>39.4</v>
      </c>
      <c r="H350" s="196">
        <v>6900</v>
      </c>
      <c r="I350" s="196" t="s">
        <v>1965</v>
      </c>
      <c r="J350" s="196"/>
    </row>
    <row r="351" spans="1:10" ht="14.4" hidden="1" outlineLevel="1">
      <c r="A351" s="196" t="s">
        <v>351</v>
      </c>
      <c r="B351" s="197">
        <v>40801</v>
      </c>
      <c r="C351" s="196" t="s">
        <v>962</v>
      </c>
      <c r="D351" s="196">
        <v>79</v>
      </c>
      <c r="E351" s="196" t="s">
        <v>962</v>
      </c>
      <c r="F351" s="196">
        <v>79</v>
      </c>
      <c r="G351" s="196">
        <f t="shared" si="5"/>
        <v>39.5</v>
      </c>
      <c r="H351" s="196">
        <v>400</v>
      </c>
      <c r="I351" s="196" t="s">
        <v>1964</v>
      </c>
      <c r="J351" s="196"/>
    </row>
    <row r="352" spans="1:10" ht="14.4" hidden="1" outlineLevel="1">
      <c r="A352" s="196" t="s">
        <v>351</v>
      </c>
      <c r="B352" s="197">
        <v>40802</v>
      </c>
      <c r="C352" s="196" t="s">
        <v>959</v>
      </c>
      <c r="D352" s="196">
        <v>80</v>
      </c>
      <c r="E352" s="196" t="s">
        <v>959</v>
      </c>
      <c r="F352" s="196">
        <v>80</v>
      </c>
      <c r="G352" s="196">
        <f t="shared" si="5"/>
        <v>40</v>
      </c>
      <c r="H352" s="196">
        <v>32100</v>
      </c>
      <c r="I352" s="196" t="s">
        <v>1963</v>
      </c>
      <c r="J352" s="196"/>
    </row>
    <row r="353" spans="1:10" ht="14.4" hidden="1" outlineLevel="1">
      <c r="A353" s="196" t="s">
        <v>351</v>
      </c>
      <c r="B353" s="197">
        <v>40806</v>
      </c>
      <c r="C353" s="196" t="s">
        <v>1037</v>
      </c>
      <c r="D353" s="196">
        <v>80.099999999999994</v>
      </c>
      <c r="E353" s="196" t="s">
        <v>955</v>
      </c>
      <c r="F353" s="196">
        <v>78.2</v>
      </c>
      <c r="G353" s="196">
        <f t="shared" si="5"/>
        <v>39.1</v>
      </c>
      <c r="H353" s="196">
        <v>45800</v>
      </c>
      <c r="I353" s="196" t="s">
        <v>1962</v>
      </c>
      <c r="J353" s="196"/>
    </row>
    <row r="354" spans="1:10" ht="14.4" hidden="1" outlineLevel="1">
      <c r="A354" s="196" t="s">
        <v>351</v>
      </c>
      <c r="B354" s="197">
        <v>40807</v>
      </c>
      <c r="C354" s="196" t="s">
        <v>950</v>
      </c>
      <c r="D354" s="196">
        <v>84.8</v>
      </c>
      <c r="E354" s="196" t="s">
        <v>950</v>
      </c>
      <c r="F354" s="196">
        <v>80</v>
      </c>
      <c r="G354" s="196">
        <f t="shared" si="5"/>
        <v>40</v>
      </c>
      <c r="H354" s="196">
        <v>23000</v>
      </c>
      <c r="I354" s="196" t="s">
        <v>1961</v>
      </c>
      <c r="J354" s="196"/>
    </row>
    <row r="355" spans="1:10" ht="14.4" hidden="1" outlineLevel="1">
      <c r="A355" s="196" t="s">
        <v>351</v>
      </c>
      <c r="B355" s="197">
        <v>40809</v>
      </c>
      <c r="C355" s="196" t="s">
        <v>1037</v>
      </c>
      <c r="D355" s="196">
        <v>80.099999999999994</v>
      </c>
      <c r="E355" s="196" t="s">
        <v>956</v>
      </c>
      <c r="F355" s="196">
        <v>79.400000000000006</v>
      </c>
      <c r="G355" s="196">
        <f t="shared" si="5"/>
        <v>39.700000000000003</v>
      </c>
      <c r="H355" s="196">
        <v>900</v>
      </c>
      <c r="I355" s="196" t="s">
        <v>1960</v>
      </c>
      <c r="J355" s="196"/>
    </row>
    <row r="356" spans="1:10" ht="14.4" hidden="1" outlineLevel="1">
      <c r="A356" s="196" t="s">
        <v>351</v>
      </c>
      <c r="B356" s="197">
        <v>40812</v>
      </c>
      <c r="C356" s="196" t="s">
        <v>950</v>
      </c>
      <c r="D356" s="196">
        <v>80</v>
      </c>
      <c r="E356" s="196" t="s">
        <v>997</v>
      </c>
      <c r="F356" s="196">
        <v>79</v>
      </c>
      <c r="G356" s="196">
        <f t="shared" si="5"/>
        <v>39.5</v>
      </c>
      <c r="H356" s="196">
        <v>1000</v>
      </c>
      <c r="I356" s="196" t="s">
        <v>1959</v>
      </c>
      <c r="J356" s="196"/>
    </row>
    <row r="357" spans="1:10" ht="14.4" hidden="1" outlineLevel="1">
      <c r="A357" s="196" t="s">
        <v>351</v>
      </c>
      <c r="B357" s="197">
        <v>40814</v>
      </c>
      <c r="C357" s="196" t="s">
        <v>997</v>
      </c>
      <c r="D357" s="196">
        <v>79</v>
      </c>
      <c r="E357" s="196" t="s">
        <v>1061</v>
      </c>
      <c r="F357" s="196">
        <v>78.599999999999994</v>
      </c>
      <c r="G357" s="196">
        <f t="shared" si="5"/>
        <v>39.299999999999997</v>
      </c>
      <c r="H357" s="196">
        <v>14600</v>
      </c>
      <c r="I357" s="196" t="s">
        <v>1958</v>
      </c>
      <c r="J357" s="196"/>
    </row>
    <row r="358" spans="1:10" ht="14.4" hidden="1" outlineLevel="1">
      <c r="A358" s="196" t="s">
        <v>351</v>
      </c>
      <c r="B358" s="197">
        <v>40815</v>
      </c>
      <c r="C358" s="196" t="s">
        <v>1061</v>
      </c>
      <c r="D358" s="196">
        <v>76.3</v>
      </c>
      <c r="E358" s="196" t="s">
        <v>980</v>
      </c>
      <c r="F358" s="196">
        <v>75.099999999999994</v>
      </c>
      <c r="G358" s="196">
        <f t="shared" si="5"/>
        <v>37.549999999999997</v>
      </c>
      <c r="H358" s="196">
        <v>46200</v>
      </c>
      <c r="I358" s="196" t="s">
        <v>1957</v>
      </c>
      <c r="J358" s="196"/>
    </row>
    <row r="359" spans="1:10" ht="14.4" hidden="1" outlineLevel="1">
      <c r="A359" s="196" t="s">
        <v>351</v>
      </c>
      <c r="B359" s="197">
        <v>40816</v>
      </c>
      <c r="C359" s="196" t="s">
        <v>974</v>
      </c>
      <c r="D359" s="196">
        <v>77</v>
      </c>
      <c r="E359" s="196" t="s">
        <v>974</v>
      </c>
      <c r="F359" s="196">
        <v>77</v>
      </c>
      <c r="G359" s="196">
        <f t="shared" si="5"/>
        <v>38.5</v>
      </c>
      <c r="H359" s="196">
        <v>900</v>
      </c>
      <c r="I359" s="196" t="s">
        <v>1956</v>
      </c>
      <c r="J359" s="196"/>
    </row>
    <row r="360" spans="1:10" ht="14.4" hidden="1" outlineLevel="1">
      <c r="A360" s="196" t="s">
        <v>351</v>
      </c>
      <c r="B360" s="197">
        <v>40819</v>
      </c>
      <c r="C360" s="196" t="s">
        <v>972</v>
      </c>
      <c r="D360" s="196">
        <v>76</v>
      </c>
      <c r="E360" s="196" t="s">
        <v>1082</v>
      </c>
      <c r="F360" s="196">
        <v>75.8</v>
      </c>
      <c r="G360" s="196">
        <f t="shared" si="5"/>
        <v>37.9</v>
      </c>
      <c r="H360" s="196">
        <v>6200</v>
      </c>
      <c r="I360" s="196" t="s">
        <v>1955</v>
      </c>
      <c r="J360" s="196"/>
    </row>
    <row r="361" spans="1:10" ht="14.4" hidden="1" outlineLevel="1">
      <c r="A361" s="196" t="s">
        <v>351</v>
      </c>
      <c r="B361" s="197">
        <v>40820</v>
      </c>
      <c r="C361" s="196" t="s">
        <v>962</v>
      </c>
      <c r="D361" s="196">
        <v>80</v>
      </c>
      <c r="E361" s="196" t="s">
        <v>962</v>
      </c>
      <c r="F361" s="196">
        <v>79.5</v>
      </c>
      <c r="G361" s="196">
        <f t="shared" si="5"/>
        <v>39.75</v>
      </c>
      <c r="H361" s="196">
        <v>18600</v>
      </c>
      <c r="I361" s="196" t="s">
        <v>1954</v>
      </c>
      <c r="J361" s="196"/>
    </row>
    <row r="362" spans="1:10" ht="14.4" hidden="1" outlineLevel="1">
      <c r="A362" s="196" t="s">
        <v>351</v>
      </c>
      <c r="B362" s="197">
        <v>40821</v>
      </c>
      <c r="C362" s="196" t="s">
        <v>1145</v>
      </c>
      <c r="D362" s="196">
        <v>77</v>
      </c>
      <c r="E362" s="196" t="s">
        <v>1145</v>
      </c>
      <c r="F362" s="196">
        <v>75.8</v>
      </c>
      <c r="G362" s="196">
        <f t="shared" si="5"/>
        <v>37.9</v>
      </c>
      <c r="H362" s="196">
        <v>4600</v>
      </c>
      <c r="I362" s="196" t="s">
        <v>1953</v>
      </c>
      <c r="J362" s="196"/>
    </row>
    <row r="363" spans="1:10" ht="14.4" hidden="1" outlineLevel="1">
      <c r="A363" s="196" t="s">
        <v>351</v>
      </c>
      <c r="B363" s="197">
        <v>40822</v>
      </c>
      <c r="C363" s="196" t="s">
        <v>1070</v>
      </c>
      <c r="D363" s="196">
        <v>76.2</v>
      </c>
      <c r="E363" s="196" t="s">
        <v>1070</v>
      </c>
      <c r="F363" s="196">
        <v>76.2</v>
      </c>
      <c r="G363" s="196">
        <f t="shared" si="5"/>
        <v>38.1</v>
      </c>
      <c r="H363" s="196">
        <v>6100</v>
      </c>
      <c r="I363" s="196" t="s">
        <v>1952</v>
      </c>
      <c r="J363" s="196"/>
    </row>
    <row r="364" spans="1:10" ht="14.4" hidden="1" outlineLevel="1">
      <c r="A364" s="196" t="s">
        <v>351</v>
      </c>
      <c r="B364" s="197">
        <v>40823</v>
      </c>
      <c r="C364" s="196" t="s">
        <v>972</v>
      </c>
      <c r="D364" s="196">
        <v>76</v>
      </c>
      <c r="E364" s="196" t="s">
        <v>972</v>
      </c>
      <c r="F364" s="196">
        <v>76</v>
      </c>
      <c r="G364" s="196">
        <f t="shared" si="5"/>
        <v>38</v>
      </c>
      <c r="H364" s="196">
        <v>300</v>
      </c>
      <c r="I364" s="196" t="s">
        <v>1951</v>
      </c>
      <c r="J364" s="196"/>
    </row>
    <row r="365" spans="1:10" ht="14.4" hidden="1" outlineLevel="1">
      <c r="A365" s="196" t="s">
        <v>351</v>
      </c>
      <c r="B365" s="197">
        <v>40826</v>
      </c>
      <c r="C365" s="196" t="s">
        <v>972</v>
      </c>
      <c r="D365" s="196">
        <v>76.2</v>
      </c>
      <c r="E365" s="196" t="s">
        <v>972</v>
      </c>
      <c r="F365" s="196">
        <v>76.099999999999994</v>
      </c>
      <c r="G365" s="196">
        <f t="shared" si="5"/>
        <v>38.049999999999997</v>
      </c>
      <c r="H365" s="196">
        <v>2000</v>
      </c>
      <c r="I365" s="196" t="s">
        <v>1950</v>
      </c>
      <c r="J365" s="196"/>
    </row>
    <row r="366" spans="1:10" ht="14.4" hidden="1" outlineLevel="1">
      <c r="A366" s="196" t="s">
        <v>351</v>
      </c>
      <c r="B366" s="197">
        <v>40828</v>
      </c>
      <c r="C366" s="196" t="s">
        <v>974</v>
      </c>
      <c r="D366" s="196">
        <v>77</v>
      </c>
      <c r="E366" s="196" t="s">
        <v>972</v>
      </c>
      <c r="F366" s="196">
        <v>76.099999999999994</v>
      </c>
      <c r="G366" s="196">
        <f t="shared" si="5"/>
        <v>38.049999999999997</v>
      </c>
      <c r="H366" s="196">
        <v>28000</v>
      </c>
      <c r="I366" s="196" t="s">
        <v>1949</v>
      </c>
      <c r="J366" s="196"/>
    </row>
    <row r="367" spans="1:10" ht="14.4" hidden="1" outlineLevel="1">
      <c r="A367" s="196" t="s">
        <v>351</v>
      </c>
      <c r="B367" s="197">
        <v>40829</v>
      </c>
      <c r="C367" s="196" t="s">
        <v>1070</v>
      </c>
      <c r="D367" s="196">
        <v>76.099999999999994</v>
      </c>
      <c r="E367" s="196" t="s">
        <v>1070</v>
      </c>
      <c r="F367" s="196">
        <v>76.099999999999994</v>
      </c>
      <c r="G367" s="196">
        <f t="shared" si="5"/>
        <v>38.049999999999997</v>
      </c>
      <c r="H367" s="196">
        <v>800</v>
      </c>
      <c r="I367" s="196" t="s">
        <v>1948</v>
      </c>
      <c r="J367" s="196"/>
    </row>
    <row r="368" spans="1:10" ht="14.4" hidden="1" outlineLevel="1">
      <c r="A368" s="196" t="s">
        <v>351</v>
      </c>
      <c r="B368" s="197">
        <v>40830</v>
      </c>
      <c r="C368" s="196" t="s">
        <v>1070</v>
      </c>
      <c r="D368" s="196">
        <v>76.099999999999994</v>
      </c>
      <c r="E368" s="196" t="s">
        <v>972</v>
      </c>
      <c r="F368" s="196">
        <v>76</v>
      </c>
      <c r="G368" s="196">
        <f t="shared" si="5"/>
        <v>38</v>
      </c>
      <c r="H368" s="196">
        <v>18300</v>
      </c>
      <c r="I368" s="196" t="s">
        <v>1947</v>
      </c>
      <c r="J368" s="196"/>
    </row>
    <row r="369" spans="1:10" ht="14.4" hidden="1" outlineLevel="1">
      <c r="A369" s="196" t="s">
        <v>351</v>
      </c>
      <c r="B369" s="197">
        <v>40833</v>
      </c>
      <c r="C369" s="196" t="s">
        <v>972</v>
      </c>
      <c r="D369" s="196">
        <v>76</v>
      </c>
      <c r="E369" s="196" t="s">
        <v>1082</v>
      </c>
      <c r="F369" s="196">
        <v>75.099999999999994</v>
      </c>
      <c r="G369" s="196">
        <f t="shared" si="5"/>
        <v>37.549999999999997</v>
      </c>
      <c r="H369" s="196">
        <v>4600</v>
      </c>
      <c r="I369" s="196" t="s">
        <v>1946</v>
      </c>
      <c r="J369" s="196"/>
    </row>
    <row r="370" spans="1:10" ht="14.4" hidden="1" outlineLevel="1">
      <c r="A370" s="196" t="s">
        <v>351</v>
      </c>
      <c r="B370" s="197">
        <v>40834</v>
      </c>
      <c r="C370" s="196" t="s">
        <v>972</v>
      </c>
      <c r="D370" s="196">
        <v>77</v>
      </c>
      <c r="E370" s="196" t="s">
        <v>1085</v>
      </c>
      <c r="F370" s="196">
        <v>74.7</v>
      </c>
      <c r="G370" s="196">
        <f t="shared" si="5"/>
        <v>37.35</v>
      </c>
      <c r="H370" s="196">
        <v>4400</v>
      </c>
      <c r="I370" s="196" t="s">
        <v>1945</v>
      </c>
      <c r="J370" s="196"/>
    </row>
    <row r="371" spans="1:10" ht="14.4" hidden="1" outlineLevel="1">
      <c r="A371" s="196" t="s">
        <v>351</v>
      </c>
      <c r="B371" s="197">
        <v>40835</v>
      </c>
      <c r="C371" s="196" t="s">
        <v>980</v>
      </c>
      <c r="D371" s="196">
        <v>75</v>
      </c>
      <c r="E371" s="196" t="s">
        <v>983</v>
      </c>
      <c r="F371" s="196">
        <v>75</v>
      </c>
      <c r="G371" s="196">
        <f t="shared" si="5"/>
        <v>37.5</v>
      </c>
      <c r="H371" s="196">
        <v>33400</v>
      </c>
      <c r="I371" s="196" t="s">
        <v>1944</v>
      </c>
      <c r="J371" s="196"/>
    </row>
    <row r="372" spans="1:10" ht="14.4" hidden="1" outlineLevel="1">
      <c r="A372" s="196" t="s">
        <v>351</v>
      </c>
      <c r="B372" s="197">
        <v>40836</v>
      </c>
      <c r="C372" s="196" t="s">
        <v>980</v>
      </c>
      <c r="D372" s="196">
        <v>75</v>
      </c>
      <c r="E372" s="196" t="s">
        <v>1511</v>
      </c>
      <c r="F372" s="196">
        <v>73.900000000000006</v>
      </c>
      <c r="G372" s="196">
        <f t="shared" si="5"/>
        <v>36.950000000000003</v>
      </c>
      <c r="H372" s="196">
        <v>16500</v>
      </c>
      <c r="I372" s="196" t="s">
        <v>1943</v>
      </c>
      <c r="J372" s="196"/>
    </row>
    <row r="373" spans="1:10" ht="14.4" hidden="1" outlineLevel="1">
      <c r="A373" s="196" t="s">
        <v>351</v>
      </c>
      <c r="B373" s="197">
        <v>40837</v>
      </c>
      <c r="C373" s="196" t="s">
        <v>1125</v>
      </c>
      <c r="D373" s="196">
        <v>73.900000000000006</v>
      </c>
      <c r="E373" s="196" t="s">
        <v>1125</v>
      </c>
      <c r="F373" s="196">
        <v>73.900000000000006</v>
      </c>
      <c r="G373" s="196">
        <f t="shared" si="5"/>
        <v>36.950000000000003</v>
      </c>
      <c r="H373" s="196">
        <v>100</v>
      </c>
      <c r="I373" s="196" t="s">
        <v>1942</v>
      </c>
      <c r="J373" s="196"/>
    </row>
    <row r="374" spans="1:10" ht="14.4" hidden="1" outlineLevel="1">
      <c r="A374" s="196" t="s">
        <v>351</v>
      </c>
      <c r="B374" s="197">
        <v>40840</v>
      </c>
      <c r="C374" s="196" t="s">
        <v>983</v>
      </c>
      <c r="D374" s="196">
        <v>74</v>
      </c>
      <c r="E374" s="196" t="s">
        <v>983</v>
      </c>
      <c r="F374" s="196">
        <v>74</v>
      </c>
      <c r="G374" s="196">
        <f t="shared" si="5"/>
        <v>37</v>
      </c>
      <c r="H374" s="196">
        <v>100</v>
      </c>
      <c r="I374" s="196" t="s">
        <v>1901</v>
      </c>
      <c r="J374" s="196"/>
    </row>
    <row r="375" spans="1:10" ht="14.4" hidden="1" outlineLevel="1">
      <c r="A375" s="196" t="s">
        <v>351</v>
      </c>
      <c r="B375" s="197">
        <v>40841</v>
      </c>
      <c r="C375" s="196" t="s">
        <v>980</v>
      </c>
      <c r="D375" s="196">
        <v>75</v>
      </c>
      <c r="E375" s="196" t="s">
        <v>983</v>
      </c>
      <c r="F375" s="196">
        <v>74.8</v>
      </c>
      <c r="G375" s="196">
        <f t="shared" si="5"/>
        <v>37.4</v>
      </c>
      <c r="H375" s="196">
        <v>400</v>
      </c>
      <c r="I375" s="196" t="s">
        <v>1941</v>
      </c>
      <c r="J375" s="196"/>
    </row>
    <row r="376" spans="1:10" ht="14.4" hidden="1" outlineLevel="1">
      <c r="A376" s="196" t="s">
        <v>351</v>
      </c>
      <c r="B376" s="197">
        <v>40843</v>
      </c>
      <c r="C376" s="196" t="s">
        <v>1127</v>
      </c>
      <c r="D376" s="196">
        <v>72</v>
      </c>
      <c r="E376" s="196" t="s">
        <v>1161</v>
      </c>
      <c r="F376" s="196">
        <v>71.2</v>
      </c>
      <c r="G376" s="196">
        <f t="shared" si="5"/>
        <v>35.6</v>
      </c>
      <c r="H376" s="196">
        <v>1000</v>
      </c>
      <c r="I376" s="196" t="s">
        <v>1940</v>
      </c>
      <c r="J376" s="196"/>
    </row>
    <row r="377" spans="1:10" ht="14.4" hidden="1" outlineLevel="1">
      <c r="A377" s="196" t="s">
        <v>351</v>
      </c>
      <c r="B377" s="197">
        <v>40844</v>
      </c>
      <c r="C377" s="196" t="s">
        <v>1175</v>
      </c>
      <c r="D377" s="196">
        <v>75</v>
      </c>
      <c r="E377" s="196" t="s">
        <v>1175</v>
      </c>
      <c r="F377" s="196">
        <v>75</v>
      </c>
      <c r="G377" s="196">
        <f t="shared" si="5"/>
        <v>37.5</v>
      </c>
      <c r="H377" s="196">
        <v>5900</v>
      </c>
      <c r="I377" s="196" t="s">
        <v>1939</v>
      </c>
      <c r="J377" s="196"/>
    </row>
    <row r="378" spans="1:10" ht="14.4" hidden="1" outlineLevel="1">
      <c r="A378" s="196" t="s">
        <v>351</v>
      </c>
      <c r="B378" s="197">
        <v>40847</v>
      </c>
      <c r="C378" s="196" t="s">
        <v>980</v>
      </c>
      <c r="D378" s="196">
        <v>75</v>
      </c>
      <c r="E378" s="196" t="s">
        <v>980</v>
      </c>
      <c r="F378" s="196">
        <v>75</v>
      </c>
      <c r="G378" s="196">
        <f t="shared" si="5"/>
        <v>37.5</v>
      </c>
      <c r="H378" s="196">
        <v>3200</v>
      </c>
      <c r="I378" s="196" t="s">
        <v>1938</v>
      </c>
      <c r="J378" s="196"/>
    </row>
    <row r="379" spans="1:10" ht="14.4" hidden="1" outlineLevel="1">
      <c r="A379" s="196" t="s">
        <v>351</v>
      </c>
      <c r="B379" s="197">
        <v>40848</v>
      </c>
      <c r="C379" s="196" t="s">
        <v>980</v>
      </c>
      <c r="D379" s="196">
        <v>75</v>
      </c>
      <c r="E379" s="196" t="s">
        <v>1117</v>
      </c>
      <c r="F379" s="196">
        <v>75</v>
      </c>
      <c r="G379" s="196">
        <f t="shared" si="5"/>
        <v>37.5</v>
      </c>
      <c r="H379" s="196">
        <v>3700</v>
      </c>
      <c r="I379" s="196" t="s">
        <v>1937</v>
      </c>
      <c r="J379" s="196"/>
    </row>
    <row r="380" spans="1:10" ht="14.4" hidden="1" outlineLevel="1">
      <c r="A380" s="196" t="s">
        <v>351</v>
      </c>
      <c r="B380" s="197">
        <v>40849</v>
      </c>
      <c r="C380" s="196" t="s">
        <v>1119</v>
      </c>
      <c r="D380" s="196">
        <v>74</v>
      </c>
      <c r="E380" s="196" t="s">
        <v>1127</v>
      </c>
      <c r="F380" s="196">
        <v>74</v>
      </c>
      <c r="G380" s="196">
        <f t="shared" si="5"/>
        <v>37</v>
      </c>
      <c r="H380" s="196">
        <v>2400</v>
      </c>
      <c r="I380" s="196" t="s">
        <v>1936</v>
      </c>
      <c r="J380" s="196"/>
    </row>
    <row r="381" spans="1:10" ht="14.4" hidden="1" outlineLevel="1">
      <c r="A381" s="196" t="s">
        <v>351</v>
      </c>
      <c r="B381" s="197">
        <v>40850</v>
      </c>
      <c r="C381" s="196" t="s">
        <v>1934</v>
      </c>
      <c r="D381" s="196">
        <v>74.099999999999994</v>
      </c>
      <c r="E381" s="196" t="s">
        <v>1934</v>
      </c>
      <c r="F381" s="196">
        <v>74.099999999999994</v>
      </c>
      <c r="G381" s="196">
        <f t="shared" si="5"/>
        <v>37.049999999999997</v>
      </c>
      <c r="H381" s="196">
        <v>300</v>
      </c>
      <c r="I381" s="196" t="s">
        <v>1935</v>
      </c>
      <c r="J381" s="196"/>
    </row>
    <row r="382" spans="1:10" ht="14.4" hidden="1" outlineLevel="1">
      <c r="A382" s="196" t="s">
        <v>351</v>
      </c>
      <c r="B382" s="197">
        <v>40855</v>
      </c>
      <c r="C382" s="196" t="s">
        <v>983</v>
      </c>
      <c r="D382" s="196">
        <v>77</v>
      </c>
      <c r="E382" s="196" t="s">
        <v>1119</v>
      </c>
      <c r="F382" s="196">
        <v>73</v>
      </c>
      <c r="G382" s="196">
        <f t="shared" si="5"/>
        <v>36.5</v>
      </c>
      <c r="H382" s="196">
        <v>3200</v>
      </c>
      <c r="I382" s="196" t="s">
        <v>1933</v>
      </c>
      <c r="J382" s="196"/>
    </row>
    <row r="383" spans="1:10" ht="14.4" hidden="1" outlineLevel="1">
      <c r="A383" s="196" t="s">
        <v>351</v>
      </c>
      <c r="B383" s="197">
        <v>40856</v>
      </c>
      <c r="C383" s="196" t="s">
        <v>1119</v>
      </c>
      <c r="D383" s="196">
        <v>74</v>
      </c>
      <c r="E383" s="196" t="s">
        <v>1196</v>
      </c>
      <c r="F383" s="196">
        <v>74</v>
      </c>
      <c r="G383" s="196">
        <f t="shared" si="5"/>
        <v>37</v>
      </c>
      <c r="H383" s="196">
        <v>3700</v>
      </c>
      <c r="I383" s="196" t="s">
        <v>1932</v>
      </c>
      <c r="J383" s="196"/>
    </row>
    <row r="384" spans="1:10" ht="14.4" hidden="1" outlineLevel="1">
      <c r="A384" s="196" t="s">
        <v>351</v>
      </c>
      <c r="B384" s="197">
        <v>40858</v>
      </c>
      <c r="C384" s="196" t="s">
        <v>983</v>
      </c>
      <c r="D384" s="196">
        <v>75</v>
      </c>
      <c r="E384" s="196" t="s">
        <v>983</v>
      </c>
      <c r="F384" s="196">
        <v>75</v>
      </c>
      <c r="G384" s="196">
        <f t="shared" si="5"/>
        <v>37.5</v>
      </c>
      <c r="H384" s="196">
        <v>1200</v>
      </c>
      <c r="I384" s="196" t="s">
        <v>1931</v>
      </c>
      <c r="J384" s="196"/>
    </row>
    <row r="385" spans="1:10" ht="14.4" hidden="1" outlineLevel="1">
      <c r="A385" s="196" t="s">
        <v>351</v>
      </c>
      <c r="B385" s="197">
        <v>40861</v>
      </c>
      <c r="C385" s="196" t="s">
        <v>1511</v>
      </c>
      <c r="D385" s="196">
        <v>73.5</v>
      </c>
      <c r="E385" s="196" t="s">
        <v>1511</v>
      </c>
      <c r="F385" s="196">
        <v>73.5</v>
      </c>
      <c r="G385" s="196">
        <f t="shared" si="5"/>
        <v>36.75</v>
      </c>
      <c r="H385" s="196">
        <v>1800</v>
      </c>
      <c r="I385" s="196" t="s">
        <v>1396</v>
      </c>
      <c r="J385" s="196"/>
    </row>
    <row r="386" spans="1:10" ht="14.4" hidden="1" outlineLevel="1">
      <c r="A386" s="196" t="s">
        <v>351</v>
      </c>
      <c r="B386" s="197">
        <v>40862</v>
      </c>
      <c r="C386" s="196" t="s">
        <v>1211</v>
      </c>
      <c r="D386" s="196">
        <v>71</v>
      </c>
      <c r="E386" s="196" t="s">
        <v>1211</v>
      </c>
      <c r="F386" s="196">
        <v>70.2</v>
      </c>
      <c r="G386" s="196">
        <f t="shared" si="5"/>
        <v>35.1</v>
      </c>
      <c r="H386" s="196">
        <v>1800</v>
      </c>
      <c r="I386" s="196" t="s">
        <v>1930</v>
      </c>
      <c r="J386" s="196"/>
    </row>
    <row r="387" spans="1:10" ht="14.4" hidden="1" outlineLevel="1">
      <c r="A387" s="196" t="s">
        <v>351</v>
      </c>
      <c r="B387" s="197">
        <v>40863</v>
      </c>
      <c r="C387" s="196" t="s">
        <v>1511</v>
      </c>
      <c r="D387" s="196">
        <v>73.5</v>
      </c>
      <c r="E387" s="196" t="s">
        <v>1211</v>
      </c>
      <c r="F387" s="196">
        <v>70.2</v>
      </c>
      <c r="G387" s="196">
        <f t="shared" si="5"/>
        <v>35.1</v>
      </c>
      <c r="H387" s="196">
        <v>12800</v>
      </c>
      <c r="I387" s="196" t="s">
        <v>1929</v>
      </c>
      <c r="J387" s="196"/>
    </row>
    <row r="388" spans="1:10" ht="14.4" hidden="1" outlineLevel="1">
      <c r="A388" s="196" t="s">
        <v>351</v>
      </c>
      <c r="B388" s="197">
        <v>40864</v>
      </c>
      <c r="C388" s="196" t="s">
        <v>1211</v>
      </c>
      <c r="D388" s="196">
        <v>70</v>
      </c>
      <c r="E388" s="196" t="s">
        <v>1211</v>
      </c>
      <c r="F388" s="196">
        <v>70</v>
      </c>
      <c r="G388" s="196">
        <f t="shared" si="5"/>
        <v>35</v>
      </c>
      <c r="H388" s="196">
        <v>9600</v>
      </c>
      <c r="I388" s="196" t="s">
        <v>1928</v>
      </c>
      <c r="J388" s="196"/>
    </row>
    <row r="389" spans="1:10" ht="14.4" hidden="1" outlineLevel="1">
      <c r="A389" s="196" t="s">
        <v>351</v>
      </c>
      <c r="B389" s="197">
        <v>40865</v>
      </c>
      <c r="C389" s="196" t="s">
        <v>1211</v>
      </c>
      <c r="D389" s="196">
        <v>71.5</v>
      </c>
      <c r="E389" s="196" t="s">
        <v>1211</v>
      </c>
      <c r="F389" s="196">
        <v>71</v>
      </c>
      <c r="G389" s="196">
        <f t="shared" ref="G389:G452" si="6">F389/2</f>
        <v>35.5</v>
      </c>
      <c r="H389" s="196">
        <v>10300</v>
      </c>
      <c r="I389" s="196" t="s">
        <v>1927</v>
      </c>
      <c r="J389" s="196"/>
    </row>
    <row r="390" spans="1:10" ht="14.4" hidden="1" outlineLevel="1">
      <c r="A390" s="196" t="s">
        <v>351</v>
      </c>
      <c r="B390" s="197">
        <v>40868</v>
      </c>
      <c r="C390" s="196" t="s">
        <v>1161</v>
      </c>
      <c r="D390" s="196">
        <v>71</v>
      </c>
      <c r="E390" s="196" t="s">
        <v>1185</v>
      </c>
      <c r="F390" s="196">
        <v>71</v>
      </c>
      <c r="G390" s="196">
        <f t="shared" si="6"/>
        <v>35.5</v>
      </c>
      <c r="H390" s="196">
        <v>4100</v>
      </c>
      <c r="I390" s="196" t="s">
        <v>1926</v>
      </c>
      <c r="J390" s="196"/>
    </row>
    <row r="391" spans="1:10" ht="14.4" hidden="1" outlineLevel="1">
      <c r="A391" s="196" t="s">
        <v>351</v>
      </c>
      <c r="B391" s="197">
        <v>40869</v>
      </c>
      <c r="C391" s="196" t="s">
        <v>1185</v>
      </c>
      <c r="D391" s="196">
        <v>70.099999999999994</v>
      </c>
      <c r="E391" s="196" t="s">
        <v>1185</v>
      </c>
      <c r="F391" s="196">
        <v>70.099999999999994</v>
      </c>
      <c r="G391" s="196">
        <f t="shared" si="6"/>
        <v>35.049999999999997</v>
      </c>
      <c r="H391" s="196">
        <v>9900</v>
      </c>
      <c r="I391" s="196" t="s">
        <v>1925</v>
      </c>
      <c r="J391" s="196"/>
    </row>
    <row r="392" spans="1:10" ht="14.4" hidden="1" outlineLevel="1">
      <c r="A392" s="196" t="s">
        <v>351</v>
      </c>
      <c r="B392" s="197">
        <v>40870</v>
      </c>
      <c r="C392" s="196" t="s">
        <v>1211</v>
      </c>
      <c r="D392" s="196">
        <v>71</v>
      </c>
      <c r="E392" s="196" t="s">
        <v>1216</v>
      </c>
      <c r="F392" s="196">
        <v>69</v>
      </c>
      <c r="G392" s="196">
        <f t="shared" si="6"/>
        <v>34.5</v>
      </c>
      <c r="H392" s="196">
        <v>13000</v>
      </c>
      <c r="I392" s="196" t="s">
        <v>1924</v>
      </c>
      <c r="J392" s="196"/>
    </row>
    <row r="393" spans="1:10" ht="14.4" hidden="1" outlineLevel="1">
      <c r="A393" s="196" t="s">
        <v>351</v>
      </c>
      <c r="B393" s="197">
        <v>40871</v>
      </c>
      <c r="C393" s="196" t="s">
        <v>1216</v>
      </c>
      <c r="D393" s="196">
        <v>70</v>
      </c>
      <c r="E393" s="196" t="s">
        <v>1220</v>
      </c>
      <c r="F393" s="196">
        <v>68.5</v>
      </c>
      <c r="G393" s="196">
        <f t="shared" si="6"/>
        <v>34.25</v>
      </c>
      <c r="H393" s="196">
        <v>23700</v>
      </c>
      <c r="I393" s="196" t="s">
        <v>1923</v>
      </c>
      <c r="J393" s="196"/>
    </row>
    <row r="394" spans="1:10" ht="14.4" hidden="1" outlineLevel="1">
      <c r="A394" s="196" t="s">
        <v>351</v>
      </c>
      <c r="B394" s="197">
        <v>40872</v>
      </c>
      <c r="C394" s="196" t="s">
        <v>1216</v>
      </c>
      <c r="D394" s="196">
        <v>69</v>
      </c>
      <c r="E394" s="196" t="s">
        <v>1498</v>
      </c>
      <c r="F394" s="196">
        <v>68.5</v>
      </c>
      <c r="G394" s="196">
        <f t="shared" si="6"/>
        <v>34.25</v>
      </c>
      <c r="H394" s="196">
        <v>8800</v>
      </c>
      <c r="I394" s="196" t="s">
        <v>1922</v>
      </c>
      <c r="J394" s="196"/>
    </row>
    <row r="395" spans="1:10" ht="14.4" hidden="1" outlineLevel="1">
      <c r="A395" s="196" t="s">
        <v>351</v>
      </c>
      <c r="B395" s="197">
        <v>40875</v>
      </c>
      <c r="C395" s="196" t="s">
        <v>1216</v>
      </c>
      <c r="D395" s="196">
        <v>70</v>
      </c>
      <c r="E395" s="196" t="s">
        <v>1224</v>
      </c>
      <c r="F395" s="196">
        <v>70</v>
      </c>
      <c r="G395" s="196">
        <f t="shared" si="6"/>
        <v>35</v>
      </c>
      <c r="H395" s="196">
        <v>14400</v>
      </c>
      <c r="I395" s="196" t="s">
        <v>1921</v>
      </c>
      <c r="J395" s="196"/>
    </row>
    <row r="396" spans="1:10" ht="14.4" hidden="1" outlineLevel="1">
      <c r="A396" s="196" t="s">
        <v>351</v>
      </c>
      <c r="B396" s="197">
        <v>40876</v>
      </c>
      <c r="C396" s="196" t="s">
        <v>1211</v>
      </c>
      <c r="D396" s="196">
        <v>72</v>
      </c>
      <c r="E396" s="196" t="s">
        <v>1224</v>
      </c>
      <c r="F396" s="196">
        <v>72</v>
      </c>
      <c r="G396" s="196">
        <f t="shared" si="6"/>
        <v>36</v>
      </c>
      <c r="H396" s="196">
        <v>8400</v>
      </c>
      <c r="I396" s="196" t="s">
        <v>1920</v>
      </c>
      <c r="J396" s="196"/>
    </row>
    <row r="397" spans="1:10" ht="14.4" hidden="1" outlineLevel="1">
      <c r="A397" s="196" t="s">
        <v>351</v>
      </c>
      <c r="B397" s="197">
        <v>40877</v>
      </c>
      <c r="C397" s="196" t="s">
        <v>1157</v>
      </c>
      <c r="D397" s="196">
        <v>74.900000000000006</v>
      </c>
      <c r="E397" s="196" t="s">
        <v>1157</v>
      </c>
      <c r="F397" s="196">
        <v>74.400000000000006</v>
      </c>
      <c r="G397" s="196">
        <f t="shared" si="6"/>
        <v>37.200000000000003</v>
      </c>
      <c r="H397" s="196">
        <v>5800</v>
      </c>
      <c r="I397" s="196" t="s">
        <v>1919</v>
      </c>
      <c r="J397" s="196"/>
    </row>
    <row r="398" spans="1:10" ht="14.4" hidden="1" outlineLevel="1">
      <c r="A398" s="196" t="s">
        <v>351</v>
      </c>
      <c r="B398" s="197">
        <v>40878</v>
      </c>
      <c r="C398" s="196" t="s">
        <v>980</v>
      </c>
      <c r="D398" s="196">
        <v>75</v>
      </c>
      <c r="E398" s="196" t="s">
        <v>1106</v>
      </c>
      <c r="F398" s="196">
        <v>74.099999999999994</v>
      </c>
      <c r="G398" s="196">
        <f t="shared" si="6"/>
        <v>37.049999999999997</v>
      </c>
      <c r="H398" s="196">
        <v>1000</v>
      </c>
      <c r="I398" s="196" t="s">
        <v>1918</v>
      </c>
      <c r="J398" s="196"/>
    </row>
    <row r="399" spans="1:10" ht="14.4" hidden="1" outlineLevel="1">
      <c r="A399" s="196" t="s">
        <v>351</v>
      </c>
      <c r="B399" s="197">
        <v>40879</v>
      </c>
      <c r="C399" s="196" t="s">
        <v>1106</v>
      </c>
      <c r="D399" s="196">
        <v>73.2</v>
      </c>
      <c r="E399" s="196" t="s">
        <v>1127</v>
      </c>
      <c r="F399" s="196">
        <v>72</v>
      </c>
      <c r="G399" s="196">
        <f t="shared" si="6"/>
        <v>36</v>
      </c>
      <c r="H399" s="196">
        <v>104100</v>
      </c>
      <c r="I399" s="196" t="s">
        <v>1917</v>
      </c>
      <c r="J399" s="196"/>
    </row>
    <row r="400" spans="1:10" ht="14.4" hidden="1" outlineLevel="1">
      <c r="A400" s="196" t="s">
        <v>351</v>
      </c>
      <c r="B400" s="197">
        <v>40882</v>
      </c>
      <c r="C400" s="196" t="s">
        <v>1127</v>
      </c>
      <c r="D400" s="196">
        <v>72</v>
      </c>
      <c r="E400" s="196" t="s">
        <v>1211</v>
      </c>
      <c r="F400" s="196">
        <v>70.5</v>
      </c>
      <c r="G400" s="196">
        <f t="shared" si="6"/>
        <v>35.25</v>
      </c>
      <c r="H400" s="196">
        <v>1700</v>
      </c>
      <c r="I400" s="196" t="s">
        <v>1916</v>
      </c>
      <c r="J400" s="196"/>
    </row>
    <row r="401" spans="1:10" ht="14.4" hidden="1" outlineLevel="1">
      <c r="A401" s="196" t="s">
        <v>351</v>
      </c>
      <c r="B401" s="197">
        <v>40883</v>
      </c>
      <c r="C401" s="196" t="s">
        <v>1157</v>
      </c>
      <c r="D401" s="196">
        <v>74</v>
      </c>
      <c r="E401" s="196" t="s">
        <v>1157</v>
      </c>
      <c r="F401" s="196">
        <v>73.900000000000006</v>
      </c>
      <c r="G401" s="196">
        <f t="shared" si="6"/>
        <v>36.950000000000003</v>
      </c>
      <c r="H401" s="196">
        <v>3100</v>
      </c>
      <c r="I401" s="196" t="s">
        <v>1915</v>
      </c>
      <c r="J401" s="196"/>
    </row>
    <row r="402" spans="1:10" ht="14.4" hidden="1" outlineLevel="1">
      <c r="A402" s="196" t="s">
        <v>351</v>
      </c>
      <c r="B402" s="197">
        <v>40884</v>
      </c>
      <c r="C402" s="196" t="s">
        <v>1127</v>
      </c>
      <c r="D402" s="196">
        <v>73.900000000000006</v>
      </c>
      <c r="E402" s="196" t="s">
        <v>1127</v>
      </c>
      <c r="F402" s="196">
        <v>72.5</v>
      </c>
      <c r="G402" s="196">
        <f t="shared" si="6"/>
        <v>36.25</v>
      </c>
      <c r="H402" s="196">
        <v>3700</v>
      </c>
      <c r="I402" s="196" t="s">
        <v>1914</v>
      </c>
      <c r="J402" s="196"/>
    </row>
    <row r="403" spans="1:10" ht="14.4" hidden="1" outlineLevel="1">
      <c r="A403" s="196" t="s">
        <v>351</v>
      </c>
      <c r="B403" s="197">
        <v>40886</v>
      </c>
      <c r="C403" s="196" t="s">
        <v>1127</v>
      </c>
      <c r="D403" s="196">
        <v>73.5</v>
      </c>
      <c r="E403" s="196" t="s">
        <v>1127</v>
      </c>
      <c r="F403" s="196">
        <v>72</v>
      </c>
      <c r="G403" s="196">
        <f t="shared" si="6"/>
        <v>36</v>
      </c>
      <c r="H403" s="196">
        <v>12500</v>
      </c>
      <c r="I403" s="196" t="s">
        <v>1913</v>
      </c>
      <c r="J403" s="196"/>
    </row>
    <row r="404" spans="1:10" ht="14.4" hidden="1" outlineLevel="1">
      <c r="A404" s="196" t="s">
        <v>351</v>
      </c>
      <c r="B404" s="197">
        <v>40889</v>
      </c>
      <c r="C404" s="196" t="s">
        <v>1127</v>
      </c>
      <c r="D404" s="196">
        <v>72.099999999999994</v>
      </c>
      <c r="E404" s="196" t="s">
        <v>1127</v>
      </c>
      <c r="F404" s="196">
        <v>72</v>
      </c>
      <c r="G404" s="196">
        <f t="shared" si="6"/>
        <v>36</v>
      </c>
      <c r="H404" s="196">
        <v>5100</v>
      </c>
      <c r="I404" s="196" t="s">
        <v>1912</v>
      </c>
      <c r="J404" s="196"/>
    </row>
    <row r="405" spans="1:10" ht="14.4" hidden="1" outlineLevel="1">
      <c r="A405" s="196" t="s">
        <v>351</v>
      </c>
      <c r="B405" s="197">
        <v>40890</v>
      </c>
      <c r="C405" s="196" t="s">
        <v>1127</v>
      </c>
      <c r="D405" s="196">
        <v>72</v>
      </c>
      <c r="E405" s="196" t="s">
        <v>1127</v>
      </c>
      <c r="F405" s="196">
        <v>72</v>
      </c>
      <c r="G405" s="196">
        <f t="shared" si="6"/>
        <v>36</v>
      </c>
      <c r="H405" s="196">
        <v>700</v>
      </c>
      <c r="I405" s="196" t="s">
        <v>1911</v>
      </c>
      <c r="J405" s="196"/>
    </row>
    <row r="406" spans="1:10" ht="14.4" hidden="1" outlineLevel="1">
      <c r="A406" s="196" t="s">
        <v>351</v>
      </c>
      <c r="B406" s="197">
        <v>40891</v>
      </c>
      <c r="C406" s="196" t="s">
        <v>1161</v>
      </c>
      <c r="D406" s="196">
        <v>72</v>
      </c>
      <c r="E406" s="196" t="s">
        <v>1161</v>
      </c>
      <c r="F406" s="196">
        <v>72</v>
      </c>
      <c r="G406" s="196">
        <f t="shared" si="6"/>
        <v>36</v>
      </c>
      <c r="H406" s="196">
        <v>4200</v>
      </c>
      <c r="I406" s="196" t="s">
        <v>1910</v>
      </c>
      <c r="J406" s="196"/>
    </row>
    <row r="407" spans="1:10" ht="14.4" hidden="1" outlineLevel="1">
      <c r="A407" s="196" t="s">
        <v>351</v>
      </c>
      <c r="B407" s="197">
        <v>40892</v>
      </c>
      <c r="C407" s="196" t="s">
        <v>1161</v>
      </c>
      <c r="D407" s="196">
        <v>71</v>
      </c>
      <c r="E407" s="196" t="s">
        <v>1161</v>
      </c>
      <c r="F407" s="196">
        <v>71</v>
      </c>
      <c r="G407" s="196">
        <f t="shared" si="6"/>
        <v>35.5</v>
      </c>
      <c r="H407" s="196">
        <v>100</v>
      </c>
      <c r="I407" s="196" t="s">
        <v>1909</v>
      </c>
      <c r="J407" s="196"/>
    </row>
    <row r="408" spans="1:10" ht="14.4" hidden="1" outlineLevel="1">
      <c r="A408" s="196" t="s">
        <v>351</v>
      </c>
      <c r="B408" s="197">
        <v>40893</v>
      </c>
      <c r="C408" s="196" t="s">
        <v>1127</v>
      </c>
      <c r="D408" s="196">
        <v>72</v>
      </c>
      <c r="E408" s="196" t="s">
        <v>1498</v>
      </c>
      <c r="F408" s="196">
        <v>68.900000000000006</v>
      </c>
      <c r="G408" s="196">
        <f t="shared" si="6"/>
        <v>34.450000000000003</v>
      </c>
      <c r="H408" s="196">
        <v>1400</v>
      </c>
      <c r="I408" s="196" t="s">
        <v>1908</v>
      </c>
      <c r="J408" s="196"/>
    </row>
    <row r="409" spans="1:10" ht="14.4" hidden="1" outlineLevel="1">
      <c r="A409" s="196" t="s">
        <v>351</v>
      </c>
      <c r="B409" s="197">
        <v>40896</v>
      </c>
      <c r="C409" s="196" t="s">
        <v>1211</v>
      </c>
      <c r="D409" s="196">
        <v>70</v>
      </c>
      <c r="E409" s="196" t="s">
        <v>1211</v>
      </c>
      <c r="F409" s="196">
        <v>70</v>
      </c>
      <c r="G409" s="196">
        <f t="shared" si="6"/>
        <v>35</v>
      </c>
      <c r="H409" s="196">
        <v>1600</v>
      </c>
      <c r="I409" s="196" t="s">
        <v>1907</v>
      </c>
      <c r="J409" s="196"/>
    </row>
    <row r="410" spans="1:10" ht="14.4" hidden="1" outlineLevel="1">
      <c r="A410" s="196" t="s">
        <v>351</v>
      </c>
      <c r="B410" s="197">
        <v>40897</v>
      </c>
      <c r="C410" s="196" t="s">
        <v>1211</v>
      </c>
      <c r="D410" s="196">
        <v>70</v>
      </c>
      <c r="E410" s="196" t="s">
        <v>1669</v>
      </c>
      <c r="F410" s="196">
        <v>68.400000000000006</v>
      </c>
      <c r="G410" s="196">
        <f t="shared" si="6"/>
        <v>34.200000000000003</v>
      </c>
      <c r="H410" s="196">
        <v>3200</v>
      </c>
      <c r="I410" s="196" t="s">
        <v>1906</v>
      </c>
      <c r="J410" s="196"/>
    </row>
    <row r="411" spans="1:10" ht="14.4" hidden="1" outlineLevel="1">
      <c r="A411" s="196" t="s">
        <v>351</v>
      </c>
      <c r="B411" s="197">
        <v>40900</v>
      </c>
      <c r="C411" s="196" t="s">
        <v>1127</v>
      </c>
      <c r="D411" s="196">
        <v>72</v>
      </c>
      <c r="E411" s="196" t="s">
        <v>1127</v>
      </c>
      <c r="F411" s="196">
        <v>72</v>
      </c>
      <c r="G411" s="196">
        <f t="shared" si="6"/>
        <v>36</v>
      </c>
      <c r="H411" s="196">
        <v>300</v>
      </c>
      <c r="I411" s="196" t="s">
        <v>1905</v>
      </c>
      <c r="J411" s="196"/>
    </row>
    <row r="412" spans="1:10" ht="14.4" hidden="1" outlineLevel="1">
      <c r="A412" s="196" t="s">
        <v>351</v>
      </c>
      <c r="B412" s="197">
        <v>40904</v>
      </c>
      <c r="C412" s="196" t="s">
        <v>1127</v>
      </c>
      <c r="D412" s="196">
        <v>75</v>
      </c>
      <c r="E412" s="196" t="s">
        <v>1127</v>
      </c>
      <c r="F412" s="196">
        <v>75</v>
      </c>
      <c r="G412" s="196">
        <f t="shared" si="6"/>
        <v>37.5</v>
      </c>
      <c r="H412" s="196">
        <v>2700</v>
      </c>
      <c r="I412" s="196" t="s">
        <v>1904</v>
      </c>
      <c r="J412" s="196"/>
    </row>
    <row r="413" spans="1:10" ht="14.4" hidden="1" outlineLevel="1">
      <c r="A413" s="196" t="s">
        <v>351</v>
      </c>
      <c r="B413" s="197">
        <v>40905</v>
      </c>
      <c r="C413" s="196" t="s">
        <v>980</v>
      </c>
      <c r="D413" s="196">
        <v>75</v>
      </c>
      <c r="E413" s="196" t="s">
        <v>1110</v>
      </c>
      <c r="F413" s="196">
        <v>75</v>
      </c>
      <c r="G413" s="196">
        <f t="shared" si="6"/>
        <v>37.5</v>
      </c>
      <c r="H413" s="196">
        <v>3200</v>
      </c>
      <c r="I413" s="196" t="s">
        <v>1903</v>
      </c>
      <c r="J413" s="196"/>
    </row>
    <row r="414" spans="1:10" ht="14.4" hidden="1" outlineLevel="1">
      <c r="A414" s="196" t="s">
        <v>351</v>
      </c>
      <c r="B414" s="197">
        <v>40906</v>
      </c>
      <c r="C414" s="196" t="s">
        <v>1187</v>
      </c>
      <c r="D414" s="196">
        <v>72.099999999999994</v>
      </c>
      <c r="E414" s="196" t="s">
        <v>1187</v>
      </c>
      <c r="F414" s="196">
        <v>72.099999999999994</v>
      </c>
      <c r="G414" s="196">
        <f t="shared" si="6"/>
        <v>36.049999999999997</v>
      </c>
      <c r="H414" s="196">
        <v>300</v>
      </c>
      <c r="I414" s="196" t="s">
        <v>1902</v>
      </c>
      <c r="J414" s="196"/>
    </row>
    <row r="415" spans="1:10" ht="14.4" hidden="1" outlineLevel="1">
      <c r="A415" s="196" t="s">
        <v>351</v>
      </c>
      <c r="B415" s="197">
        <v>40907</v>
      </c>
      <c r="C415" s="196" t="s">
        <v>983</v>
      </c>
      <c r="D415" s="196">
        <v>74</v>
      </c>
      <c r="E415" s="196" t="s">
        <v>983</v>
      </c>
      <c r="F415" s="196">
        <v>74</v>
      </c>
      <c r="G415" s="196">
        <f t="shared" si="6"/>
        <v>37</v>
      </c>
      <c r="H415" s="196">
        <v>100</v>
      </c>
      <c r="I415" s="196" t="s">
        <v>1901</v>
      </c>
      <c r="J415" s="196"/>
    </row>
    <row r="416" spans="1:10" ht="14.4" hidden="1" outlineLevel="1">
      <c r="A416" s="196" t="s">
        <v>351</v>
      </c>
      <c r="B416" s="197">
        <v>40910</v>
      </c>
      <c r="C416" s="196" t="s">
        <v>1187</v>
      </c>
      <c r="D416" s="196">
        <v>72.099999999999994</v>
      </c>
      <c r="E416" s="196" t="s">
        <v>1187</v>
      </c>
      <c r="F416" s="196">
        <v>72.099999999999994</v>
      </c>
      <c r="G416" s="196">
        <f t="shared" si="6"/>
        <v>36.049999999999997</v>
      </c>
      <c r="H416" s="196">
        <v>1000</v>
      </c>
      <c r="I416" s="196" t="s">
        <v>1900</v>
      </c>
      <c r="J416" s="196"/>
    </row>
    <row r="417" spans="1:10" ht="14.4" hidden="1" outlineLevel="1">
      <c r="A417" s="196" t="s">
        <v>351</v>
      </c>
      <c r="B417" s="197">
        <v>40911</v>
      </c>
      <c r="C417" s="196" t="s">
        <v>1160</v>
      </c>
      <c r="D417" s="196">
        <v>71.5</v>
      </c>
      <c r="E417" s="196" t="s">
        <v>1160</v>
      </c>
      <c r="F417" s="196">
        <v>71.5</v>
      </c>
      <c r="G417" s="196">
        <f t="shared" si="6"/>
        <v>35.75</v>
      </c>
      <c r="H417" s="196">
        <v>500</v>
      </c>
      <c r="I417" s="196" t="s">
        <v>1898</v>
      </c>
      <c r="J417" s="196"/>
    </row>
    <row r="418" spans="1:10" ht="14.4" hidden="1" outlineLevel="1">
      <c r="A418" s="196" t="s">
        <v>351</v>
      </c>
      <c r="B418" s="197">
        <v>40912</v>
      </c>
      <c r="C418" s="196" t="s">
        <v>1374</v>
      </c>
      <c r="D418" s="196">
        <v>72.3</v>
      </c>
      <c r="E418" s="196" t="s">
        <v>1374</v>
      </c>
      <c r="F418" s="196">
        <v>72.3</v>
      </c>
      <c r="G418" s="196">
        <f t="shared" si="6"/>
        <v>36.15</v>
      </c>
      <c r="H418" s="196">
        <v>300</v>
      </c>
      <c r="I418" s="196" t="s">
        <v>1899</v>
      </c>
      <c r="J418" s="196"/>
    </row>
    <row r="419" spans="1:10" ht="14.4" hidden="1" outlineLevel="1">
      <c r="A419" s="196" t="s">
        <v>351</v>
      </c>
      <c r="B419" s="197">
        <v>40913</v>
      </c>
      <c r="C419" s="196" t="s">
        <v>1160</v>
      </c>
      <c r="D419" s="196">
        <v>71.5</v>
      </c>
      <c r="E419" s="196" t="s">
        <v>1160</v>
      </c>
      <c r="F419" s="196">
        <v>71.5</v>
      </c>
      <c r="G419" s="196">
        <f t="shared" si="6"/>
        <v>35.75</v>
      </c>
      <c r="H419" s="196">
        <v>500</v>
      </c>
      <c r="I419" s="196" t="s">
        <v>1898</v>
      </c>
      <c r="J419" s="196"/>
    </row>
    <row r="420" spans="1:10" ht="14.4" hidden="1" outlineLevel="1">
      <c r="A420" s="196" t="s">
        <v>351</v>
      </c>
      <c r="B420" s="197">
        <v>40917</v>
      </c>
      <c r="C420" s="196" t="s">
        <v>1376</v>
      </c>
      <c r="D420" s="196">
        <v>72.900000000000006</v>
      </c>
      <c r="E420" s="196" t="s">
        <v>1160</v>
      </c>
      <c r="F420" s="196">
        <v>71.7</v>
      </c>
      <c r="G420" s="196">
        <f t="shared" si="6"/>
        <v>35.85</v>
      </c>
      <c r="H420" s="196">
        <v>700</v>
      </c>
      <c r="I420" s="196" t="s">
        <v>1897</v>
      </c>
      <c r="J420" s="196"/>
    </row>
    <row r="421" spans="1:10" ht="14.4" hidden="1" outlineLevel="1">
      <c r="A421" s="196" t="s">
        <v>351</v>
      </c>
      <c r="B421" s="197">
        <v>40918</v>
      </c>
      <c r="C421" s="196" t="s">
        <v>1160</v>
      </c>
      <c r="D421" s="196">
        <v>71.5</v>
      </c>
      <c r="E421" s="196" t="s">
        <v>1216</v>
      </c>
      <c r="F421" s="196">
        <v>70.5</v>
      </c>
      <c r="G421" s="196">
        <f t="shared" si="6"/>
        <v>35.25</v>
      </c>
      <c r="H421" s="196">
        <v>4200</v>
      </c>
      <c r="I421" s="196" t="s">
        <v>1896</v>
      </c>
      <c r="J421" s="196"/>
    </row>
    <row r="422" spans="1:10" ht="14.4" hidden="1" outlineLevel="1">
      <c r="A422" s="196" t="s">
        <v>351</v>
      </c>
      <c r="B422" s="197">
        <v>40919</v>
      </c>
      <c r="C422" s="196" t="s">
        <v>1211</v>
      </c>
      <c r="D422" s="196">
        <v>70</v>
      </c>
      <c r="E422" s="196" t="s">
        <v>1211</v>
      </c>
      <c r="F422" s="196">
        <v>70</v>
      </c>
      <c r="G422" s="196">
        <f t="shared" si="6"/>
        <v>35</v>
      </c>
      <c r="H422" s="196">
        <v>15000</v>
      </c>
      <c r="I422" s="196" t="s">
        <v>1895</v>
      </c>
      <c r="J422" s="196"/>
    </row>
    <row r="423" spans="1:10" ht="14.4" hidden="1" outlineLevel="1">
      <c r="A423" s="196" t="s">
        <v>351</v>
      </c>
      <c r="B423" s="197">
        <v>40920</v>
      </c>
      <c r="C423" s="196" t="s">
        <v>1211</v>
      </c>
      <c r="D423" s="196">
        <v>70</v>
      </c>
      <c r="E423" s="196" t="s">
        <v>1211</v>
      </c>
      <c r="F423" s="196">
        <v>70</v>
      </c>
      <c r="G423" s="196">
        <f t="shared" si="6"/>
        <v>35</v>
      </c>
      <c r="H423" s="196">
        <v>20000</v>
      </c>
      <c r="I423" s="196" t="s">
        <v>1894</v>
      </c>
      <c r="J423" s="196"/>
    </row>
    <row r="424" spans="1:10" ht="14.4" hidden="1" outlineLevel="1">
      <c r="A424" s="196" t="s">
        <v>351</v>
      </c>
      <c r="B424" s="197">
        <v>40921</v>
      </c>
      <c r="C424" s="196" t="s">
        <v>983</v>
      </c>
      <c r="D424" s="196">
        <v>74</v>
      </c>
      <c r="E424" s="196" t="s">
        <v>1127</v>
      </c>
      <c r="F424" s="196">
        <v>73</v>
      </c>
      <c r="G424" s="196">
        <f t="shared" si="6"/>
        <v>36.5</v>
      </c>
      <c r="H424" s="196">
        <v>200</v>
      </c>
      <c r="I424" s="196" t="s">
        <v>1893</v>
      </c>
      <c r="J424" s="196"/>
    </row>
    <row r="425" spans="1:10" ht="14.4" hidden="1" outlineLevel="1">
      <c r="A425" s="196" t="s">
        <v>351</v>
      </c>
      <c r="B425" s="197">
        <v>40925</v>
      </c>
      <c r="C425" s="196" t="s">
        <v>1125</v>
      </c>
      <c r="D425" s="196">
        <v>74</v>
      </c>
      <c r="E425" s="196" t="s">
        <v>1211</v>
      </c>
      <c r="F425" s="196">
        <v>70.3</v>
      </c>
      <c r="G425" s="196">
        <f t="shared" si="6"/>
        <v>35.15</v>
      </c>
      <c r="H425" s="196">
        <v>4200</v>
      </c>
      <c r="I425" s="196" t="s">
        <v>1892</v>
      </c>
      <c r="J425" s="196"/>
    </row>
    <row r="426" spans="1:10" ht="14.4" hidden="1" outlineLevel="1">
      <c r="A426" s="196" t="s">
        <v>351</v>
      </c>
      <c r="B426" s="197">
        <v>40926</v>
      </c>
      <c r="C426" s="196" t="s">
        <v>1211</v>
      </c>
      <c r="D426" s="196">
        <v>70</v>
      </c>
      <c r="E426" s="196" t="s">
        <v>1211</v>
      </c>
      <c r="F426" s="196">
        <v>70</v>
      </c>
      <c r="G426" s="196">
        <f t="shared" si="6"/>
        <v>35</v>
      </c>
      <c r="H426" s="196">
        <v>1000</v>
      </c>
      <c r="I426" s="196" t="s">
        <v>1891</v>
      </c>
      <c r="J426" s="196"/>
    </row>
    <row r="427" spans="1:10" ht="14.4" hidden="1" outlineLevel="1">
      <c r="A427" s="196" t="s">
        <v>351</v>
      </c>
      <c r="B427" s="197">
        <v>40927</v>
      </c>
      <c r="C427" s="196" t="s">
        <v>1211</v>
      </c>
      <c r="D427" s="196">
        <v>70</v>
      </c>
      <c r="E427" s="196" t="s">
        <v>1211</v>
      </c>
      <c r="F427" s="196">
        <v>70</v>
      </c>
      <c r="G427" s="196">
        <f t="shared" si="6"/>
        <v>35</v>
      </c>
      <c r="H427" s="196">
        <v>4400</v>
      </c>
      <c r="I427" s="196" t="s">
        <v>1890</v>
      </c>
      <c r="J427" s="196"/>
    </row>
    <row r="428" spans="1:10" ht="14.4" hidden="1" outlineLevel="1">
      <c r="A428" s="196" t="s">
        <v>351</v>
      </c>
      <c r="B428" s="197">
        <v>40928</v>
      </c>
      <c r="C428" s="196" t="s">
        <v>1211</v>
      </c>
      <c r="D428" s="196">
        <v>70</v>
      </c>
      <c r="E428" s="196" t="s">
        <v>1547</v>
      </c>
      <c r="F428" s="196">
        <v>69.599999999999994</v>
      </c>
      <c r="G428" s="196">
        <f t="shared" si="6"/>
        <v>34.799999999999997</v>
      </c>
      <c r="H428" s="196">
        <v>7100</v>
      </c>
      <c r="I428" s="196" t="s">
        <v>1889</v>
      </c>
      <c r="J428" s="196"/>
    </row>
    <row r="429" spans="1:10" ht="14.4" hidden="1" outlineLevel="1">
      <c r="A429" s="196" t="s">
        <v>351</v>
      </c>
      <c r="B429" s="197">
        <v>40931</v>
      </c>
      <c r="C429" s="196" t="s">
        <v>1547</v>
      </c>
      <c r="D429" s="196">
        <v>69.599999999999994</v>
      </c>
      <c r="E429" s="196" t="s">
        <v>1216</v>
      </c>
      <c r="F429" s="196">
        <v>69.3</v>
      </c>
      <c r="G429" s="196">
        <f t="shared" si="6"/>
        <v>34.65</v>
      </c>
      <c r="H429" s="196">
        <v>4600</v>
      </c>
      <c r="I429" s="196" t="s">
        <v>1888</v>
      </c>
      <c r="J429" s="196"/>
    </row>
    <row r="430" spans="1:10" ht="14.4" hidden="1" outlineLevel="1">
      <c r="A430" s="196" t="s">
        <v>351</v>
      </c>
      <c r="B430" s="197">
        <v>40932</v>
      </c>
      <c r="C430" s="196" t="s">
        <v>1216</v>
      </c>
      <c r="D430" s="196">
        <v>69</v>
      </c>
      <c r="E430" s="196" t="s">
        <v>1225</v>
      </c>
      <c r="F430" s="196">
        <v>67.5</v>
      </c>
      <c r="G430" s="196">
        <f t="shared" si="6"/>
        <v>33.75</v>
      </c>
      <c r="H430" s="196">
        <v>6100</v>
      </c>
      <c r="I430" s="196" t="s">
        <v>1887</v>
      </c>
      <c r="J430" s="196"/>
    </row>
    <row r="431" spans="1:10" ht="14.4" hidden="1" outlineLevel="1">
      <c r="A431" s="196" t="s">
        <v>351</v>
      </c>
      <c r="B431" s="197">
        <v>40933</v>
      </c>
      <c r="C431" s="196" t="s">
        <v>1224</v>
      </c>
      <c r="D431" s="196">
        <v>70.900000000000006</v>
      </c>
      <c r="E431" s="196" t="s">
        <v>1224</v>
      </c>
      <c r="F431" s="196">
        <v>70.900000000000006</v>
      </c>
      <c r="G431" s="196">
        <f t="shared" si="6"/>
        <v>35.450000000000003</v>
      </c>
      <c r="H431" s="196">
        <v>400</v>
      </c>
      <c r="I431" s="196" t="s">
        <v>1886</v>
      </c>
      <c r="J431" s="196"/>
    </row>
    <row r="432" spans="1:10" ht="14.4" hidden="1" outlineLevel="1">
      <c r="A432" s="196" t="s">
        <v>351</v>
      </c>
      <c r="B432" s="197">
        <v>40934</v>
      </c>
      <c r="C432" s="196" t="s">
        <v>1216</v>
      </c>
      <c r="D432" s="196">
        <v>69</v>
      </c>
      <c r="E432" s="196" t="s">
        <v>1216</v>
      </c>
      <c r="F432" s="196">
        <v>69</v>
      </c>
      <c r="G432" s="196">
        <f t="shared" si="6"/>
        <v>34.5</v>
      </c>
      <c r="H432" s="196">
        <v>100</v>
      </c>
      <c r="I432" s="196" t="s">
        <v>1885</v>
      </c>
      <c r="J432" s="196"/>
    </row>
    <row r="433" spans="1:10" ht="14.4" hidden="1" outlineLevel="1">
      <c r="A433" s="196" t="s">
        <v>351</v>
      </c>
      <c r="B433" s="197">
        <v>40935</v>
      </c>
      <c r="C433" s="196" t="s">
        <v>1211</v>
      </c>
      <c r="D433" s="196">
        <v>71</v>
      </c>
      <c r="E433" s="196" t="s">
        <v>1211</v>
      </c>
      <c r="F433" s="196">
        <v>70.099999999999994</v>
      </c>
      <c r="G433" s="196">
        <f t="shared" si="6"/>
        <v>35.049999999999997</v>
      </c>
      <c r="H433" s="196">
        <v>19700</v>
      </c>
      <c r="I433" s="196" t="s">
        <v>1884</v>
      </c>
      <c r="J433" s="196"/>
    </row>
    <row r="434" spans="1:10" ht="14.4" hidden="1" outlineLevel="1">
      <c r="A434" s="196" t="s">
        <v>351</v>
      </c>
      <c r="B434" s="197">
        <v>40938</v>
      </c>
      <c r="C434" s="196" t="s">
        <v>1127</v>
      </c>
      <c r="D434" s="196">
        <v>72</v>
      </c>
      <c r="E434" s="196" t="s">
        <v>1216</v>
      </c>
      <c r="F434" s="196">
        <v>69.5</v>
      </c>
      <c r="G434" s="196">
        <f t="shared" si="6"/>
        <v>34.75</v>
      </c>
      <c r="H434" s="196">
        <v>4300</v>
      </c>
      <c r="I434" s="196" t="s">
        <v>1883</v>
      </c>
      <c r="J434" s="196"/>
    </row>
    <row r="435" spans="1:10" ht="14.4" hidden="1" outlineLevel="1">
      <c r="A435" s="196" t="s">
        <v>351</v>
      </c>
      <c r="B435" s="197">
        <v>40939</v>
      </c>
      <c r="C435" s="196" t="s">
        <v>1366</v>
      </c>
      <c r="D435" s="196">
        <v>70</v>
      </c>
      <c r="E435" s="196" t="s">
        <v>1366</v>
      </c>
      <c r="F435" s="196">
        <v>69.7</v>
      </c>
      <c r="G435" s="196">
        <f t="shared" si="6"/>
        <v>34.85</v>
      </c>
      <c r="H435" s="196">
        <v>8200</v>
      </c>
      <c r="I435" s="196" t="s">
        <v>1882</v>
      </c>
      <c r="J435" s="196"/>
    </row>
    <row r="436" spans="1:10" ht="14.4" hidden="1" outlineLevel="1">
      <c r="A436" s="196" t="s">
        <v>351</v>
      </c>
      <c r="B436" s="197">
        <v>40940</v>
      </c>
      <c r="C436" s="196" t="s">
        <v>1214</v>
      </c>
      <c r="D436" s="196">
        <v>71</v>
      </c>
      <c r="E436" s="196" t="s">
        <v>1214</v>
      </c>
      <c r="F436" s="196">
        <v>70.5</v>
      </c>
      <c r="G436" s="196">
        <f t="shared" si="6"/>
        <v>35.25</v>
      </c>
      <c r="H436" s="196">
        <v>200</v>
      </c>
      <c r="I436" s="196" t="s">
        <v>1881</v>
      </c>
      <c r="J436" s="196"/>
    </row>
    <row r="437" spans="1:10" ht="14.4" hidden="1" outlineLevel="1">
      <c r="A437" s="196" t="s">
        <v>351</v>
      </c>
      <c r="B437" s="197">
        <v>40941</v>
      </c>
      <c r="C437" s="196" t="s">
        <v>1476</v>
      </c>
      <c r="D437" s="196">
        <v>68</v>
      </c>
      <c r="E437" s="196" t="s">
        <v>1476</v>
      </c>
      <c r="F437" s="196">
        <v>68</v>
      </c>
      <c r="G437" s="196">
        <f t="shared" si="6"/>
        <v>34</v>
      </c>
      <c r="H437" s="196">
        <v>1000</v>
      </c>
      <c r="I437" s="196" t="s">
        <v>1880</v>
      </c>
      <c r="J437" s="196"/>
    </row>
    <row r="438" spans="1:10" ht="14.4" hidden="1" outlineLevel="1">
      <c r="A438" s="196" t="s">
        <v>351</v>
      </c>
      <c r="B438" s="197">
        <v>40945</v>
      </c>
      <c r="C438" s="196" t="s">
        <v>1229</v>
      </c>
      <c r="D438" s="196">
        <v>66.599999999999994</v>
      </c>
      <c r="E438" s="196" t="s">
        <v>1237</v>
      </c>
      <c r="F438" s="196">
        <v>66.3</v>
      </c>
      <c r="G438" s="196">
        <f t="shared" si="6"/>
        <v>33.15</v>
      </c>
      <c r="H438" s="196">
        <v>1500</v>
      </c>
      <c r="I438" s="196" t="s">
        <v>1879</v>
      </c>
      <c r="J438" s="196"/>
    </row>
    <row r="439" spans="1:10" ht="14.4" hidden="1" outlineLevel="1">
      <c r="A439" s="196" t="s">
        <v>351</v>
      </c>
      <c r="B439" s="197">
        <v>40947</v>
      </c>
      <c r="C439" s="196" t="s">
        <v>1225</v>
      </c>
      <c r="D439" s="196">
        <v>67</v>
      </c>
      <c r="E439" s="196" t="s">
        <v>1237</v>
      </c>
      <c r="F439" s="196">
        <v>66</v>
      </c>
      <c r="G439" s="196">
        <f t="shared" si="6"/>
        <v>33</v>
      </c>
      <c r="H439" s="196">
        <v>5000</v>
      </c>
      <c r="I439" s="196" t="s">
        <v>1878</v>
      </c>
      <c r="J439" s="196"/>
    </row>
    <row r="440" spans="1:10" ht="14.4" hidden="1" outlineLevel="1">
      <c r="A440" s="196" t="s">
        <v>351</v>
      </c>
      <c r="B440" s="197">
        <v>40948</v>
      </c>
      <c r="C440" s="196" t="s">
        <v>1237</v>
      </c>
      <c r="D440" s="196">
        <v>66</v>
      </c>
      <c r="E440" s="196" t="s">
        <v>1238</v>
      </c>
      <c r="F440" s="196">
        <v>65.8</v>
      </c>
      <c r="G440" s="196">
        <f t="shared" si="6"/>
        <v>32.9</v>
      </c>
      <c r="H440" s="196">
        <v>3000</v>
      </c>
      <c r="I440" s="196" t="s">
        <v>1877</v>
      </c>
      <c r="J440" s="196"/>
    </row>
    <row r="441" spans="1:10" ht="14.4" hidden="1" outlineLevel="1">
      <c r="A441" s="196" t="s">
        <v>351</v>
      </c>
      <c r="B441" s="197">
        <v>40952</v>
      </c>
      <c r="C441" s="196" t="s">
        <v>1253</v>
      </c>
      <c r="D441" s="196">
        <v>64</v>
      </c>
      <c r="E441" s="196" t="s">
        <v>1351</v>
      </c>
      <c r="F441" s="196">
        <v>62.9</v>
      </c>
      <c r="G441" s="196">
        <f t="shared" si="6"/>
        <v>31.45</v>
      </c>
      <c r="H441" s="196">
        <v>20800</v>
      </c>
      <c r="I441" s="196" t="s">
        <v>1876</v>
      </c>
      <c r="J441" s="196"/>
    </row>
    <row r="442" spans="1:10" ht="14.4" hidden="1" outlineLevel="1">
      <c r="A442" s="196" t="s">
        <v>351</v>
      </c>
      <c r="B442" s="197">
        <v>40953</v>
      </c>
      <c r="C442" s="196" t="s">
        <v>1351</v>
      </c>
      <c r="D442" s="196">
        <v>60</v>
      </c>
      <c r="E442" s="196" t="s">
        <v>468</v>
      </c>
      <c r="F442" s="196">
        <v>58</v>
      </c>
      <c r="G442" s="196">
        <f t="shared" si="6"/>
        <v>29</v>
      </c>
      <c r="H442" s="196">
        <v>22400</v>
      </c>
      <c r="I442" s="196" t="s">
        <v>1875</v>
      </c>
      <c r="J442" s="196"/>
    </row>
    <row r="443" spans="1:10" ht="14.4" hidden="1" outlineLevel="1">
      <c r="A443" s="196" t="s">
        <v>351</v>
      </c>
      <c r="B443" s="197">
        <v>40954</v>
      </c>
      <c r="C443" s="196" t="s">
        <v>1716</v>
      </c>
      <c r="D443" s="196">
        <v>57.5</v>
      </c>
      <c r="E443" s="196" t="s">
        <v>484</v>
      </c>
      <c r="F443" s="196">
        <v>56</v>
      </c>
      <c r="G443" s="196">
        <f t="shared" si="6"/>
        <v>28</v>
      </c>
      <c r="H443" s="196">
        <v>1300</v>
      </c>
      <c r="I443" s="196" t="s">
        <v>1874</v>
      </c>
      <c r="J443" s="196"/>
    </row>
    <row r="444" spans="1:10" ht="14.4" hidden="1" outlineLevel="1">
      <c r="A444" s="196" t="s">
        <v>351</v>
      </c>
      <c r="B444" s="197">
        <v>40955</v>
      </c>
      <c r="C444" s="196" t="s">
        <v>478</v>
      </c>
      <c r="D444" s="196">
        <v>64</v>
      </c>
      <c r="E444" s="196" t="s">
        <v>478</v>
      </c>
      <c r="F444" s="196">
        <v>63.4</v>
      </c>
      <c r="G444" s="196">
        <f t="shared" si="6"/>
        <v>31.7</v>
      </c>
      <c r="H444" s="196">
        <v>8600</v>
      </c>
      <c r="I444" s="196" t="s">
        <v>1873</v>
      </c>
      <c r="J444" s="196"/>
    </row>
    <row r="445" spans="1:10" ht="14.4" hidden="1" outlineLevel="1">
      <c r="A445" s="196" t="s">
        <v>351</v>
      </c>
      <c r="B445" s="197">
        <v>40956</v>
      </c>
      <c r="C445" s="196" t="s">
        <v>1253</v>
      </c>
      <c r="D445" s="196">
        <v>69</v>
      </c>
      <c r="E445" s="196" t="s">
        <v>1253</v>
      </c>
      <c r="F445" s="196">
        <v>65.5</v>
      </c>
      <c r="G445" s="196">
        <f t="shared" si="6"/>
        <v>32.75</v>
      </c>
      <c r="H445" s="196">
        <v>4500</v>
      </c>
      <c r="I445" s="196" t="s">
        <v>1872</v>
      </c>
      <c r="J445" s="196"/>
    </row>
    <row r="446" spans="1:10" ht="14.4" hidden="1" outlineLevel="1">
      <c r="A446" s="196" t="s">
        <v>351</v>
      </c>
      <c r="B446" s="197">
        <v>40960</v>
      </c>
      <c r="C446" s="196" t="s">
        <v>1244</v>
      </c>
      <c r="D446" s="196">
        <v>65</v>
      </c>
      <c r="E446" s="196" t="s">
        <v>1244</v>
      </c>
      <c r="F446" s="196">
        <v>65</v>
      </c>
      <c r="G446" s="196">
        <f t="shared" si="6"/>
        <v>32.5</v>
      </c>
      <c r="H446" s="196">
        <v>1500</v>
      </c>
      <c r="I446" s="196" t="s">
        <v>1871</v>
      </c>
      <c r="J446" s="196"/>
    </row>
    <row r="447" spans="1:10" ht="14.4" hidden="1" outlineLevel="1">
      <c r="A447" s="196" t="s">
        <v>351</v>
      </c>
      <c r="B447" s="197">
        <v>40962</v>
      </c>
      <c r="C447" s="196" t="s">
        <v>1237</v>
      </c>
      <c r="D447" s="196">
        <v>70</v>
      </c>
      <c r="E447" s="196" t="s">
        <v>1237</v>
      </c>
      <c r="F447" s="196">
        <v>69.7</v>
      </c>
      <c r="G447" s="196">
        <f t="shared" si="6"/>
        <v>34.85</v>
      </c>
      <c r="H447" s="196">
        <v>4300</v>
      </c>
      <c r="I447" s="196" t="s">
        <v>1870</v>
      </c>
      <c r="J447" s="196"/>
    </row>
    <row r="448" spans="1:10" ht="14.4" hidden="1" outlineLevel="1">
      <c r="A448" s="196" t="s">
        <v>351</v>
      </c>
      <c r="B448" s="197">
        <v>40963</v>
      </c>
      <c r="C448" s="196" t="s">
        <v>1242</v>
      </c>
      <c r="D448" s="196">
        <v>68</v>
      </c>
      <c r="E448" s="196" t="s">
        <v>1242</v>
      </c>
      <c r="F448" s="196">
        <v>68</v>
      </c>
      <c r="G448" s="196">
        <f t="shared" si="6"/>
        <v>34</v>
      </c>
      <c r="H448" s="196">
        <v>520</v>
      </c>
      <c r="I448" s="196" t="s">
        <v>1869</v>
      </c>
      <c r="J448" s="196"/>
    </row>
    <row r="449" spans="1:10" ht="14.4" hidden="1" outlineLevel="1">
      <c r="A449" s="196" t="s">
        <v>351</v>
      </c>
      <c r="B449" s="197">
        <v>40966</v>
      </c>
      <c r="C449" s="196" t="s">
        <v>1225</v>
      </c>
      <c r="D449" s="196">
        <v>67</v>
      </c>
      <c r="E449" s="196" t="s">
        <v>1240</v>
      </c>
      <c r="F449" s="196">
        <v>65.5</v>
      </c>
      <c r="G449" s="196">
        <f t="shared" si="6"/>
        <v>32.75</v>
      </c>
      <c r="H449" s="196">
        <v>902</v>
      </c>
      <c r="I449" s="196" t="s">
        <v>1868</v>
      </c>
      <c r="J449" s="196"/>
    </row>
    <row r="450" spans="1:10" ht="14.4" hidden="1" outlineLevel="1">
      <c r="A450" s="196" t="s">
        <v>351</v>
      </c>
      <c r="B450" s="197">
        <v>40967</v>
      </c>
      <c r="C450" s="196" t="s">
        <v>1242</v>
      </c>
      <c r="D450" s="196">
        <v>65</v>
      </c>
      <c r="E450" s="196" t="s">
        <v>1310</v>
      </c>
      <c r="F450" s="196">
        <v>62</v>
      </c>
      <c r="G450" s="196">
        <f t="shared" si="6"/>
        <v>31</v>
      </c>
      <c r="H450" s="196">
        <v>188000</v>
      </c>
      <c r="I450" s="196" t="s">
        <v>1867</v>
      </c>
      <c r="J450" s="196"/>
    </row>
    <row r="451" spans="1:10" ht="14.4" hidden="1" outlineLevel="1">
      <c r="A451" s="196" t="s">
        <v>351</v>
      </c>
      <c r="B451" s="197">
        <v>40969</v>
      </c>
      <c r="C451" s="196" t="s">
        <v>1302</v>
      </c>
      <c r="D451" s="196">
        <v>65</v>
      </c>
      <c r="E451" s="196" t="s">
        <v>1302</v>
      </c>
      <c r="F451" s="196">
        <v>62.1</v>
      </c>
      <c r="G451" s="196">
        <f t="shared" si="6"/>
        <v>31.05</v>
      </c>
      <c r="H451" s="196">
        <v>201</v>
      </c>
      <c r="I451" s="196" t="s">
        <v>1866</v>
      </c>
      <c r="J451" s="196"/>
    </row>
    <row r="452" spans="1:10" ht="14.4" hidden="1" outlineLevel="1">
      <c r="A452" s="196" t="s">
        <v>351</v>
      </c>
      <c r="B452" s="197">
        <v>40970</v>
      </c>
      <c r="C452" s="196" t="s">
        <v>1310</v>
      </c>
      <c r="D452" s="196">
        <v>62.5</v>
      </c>
      <c r="E452" s="196" t="s">
        <v>1310</v>
      </c>
      <c r="F452" s="196">
        <v>62.1</v>
      </c>
      <c r="G452" s="196">
        <f t="shared" si="6"/>
        <v>31.05</v>
      </c>
      <c r="H452" s="196">
        <v>1305</v>
      </c>
      <c r="I452" s="196" t="s">
        <v>1865</v>
      </c>
      <c r="J452" s="196"/>
    </row>
    <row r="453" spans="1:10" ht="14.4" hidden="1" outlineLevel="1">
      <c r="A453" s="196" t="s">
        <v>351</v>
      </c>
      <c r="B453" s="197">
        <v>40973</v>
      </c>
      <c r="C453" s="196" t="s">
        <v>1310</v>
      </c>
      <c r="D453" s="196">
        <v>65</v>
      </c>
      <c r="E453" s="196" t="s">
        <v>1310</v>
      </c>
      <c r="F453" s="196">
        <v>62</v>
      </c>
      <c r="G453" s="196">
        <f t="shared" ref="G453:G516" si="7">F453/2</f>
        <v>31</v>
      </c>
      <c r="H453" s="196">
        <v>2202</v>
      </c>
      <c r="I453" s="196" t="s">
        <v>1864</v>
      </c>
      <c r="J453" s="196"/>
    </row>
    <row r="454" spans="1:10" ht="14.4" hidden="1" outlineLevel="1">
      <c r="A454" s="196" t="s">
        <v>351</v>
      </c>
      <c r="B454" s="197">
        <v>40974</v>
      </c>
      <c r="C454" s="196" t="s">
        <v>1237</v>
      </c>
      <c r="D454" s="196">
        <v>66</v>
      </c>
      <c r="E454" s="196" t="s">
        <v>1343</v>
      </c>
      <c r="F454" s="196">
        <v>63</v>
      </c>
      <c r="G454" s="196">
        <f t="shared" si="7"/>
        <v>31.5</v>
      </c>
      <c r="H454" s="196">
        <v>212</v>
      </c>
      <c r="I454" s="196" t="s">
        <v>1863</v>
      </c>
      <c r="J454" s="196"/>
    </row>
    <row r="455" spans="1:10" ht="14.4" hidden="1" outlineLevel="1">
      <c r="A455" s="196" t="s">
        <v>351</v>
      </c>
      <c r="B455" s="197">
        <v>40976</v>
      </c>
      <c r="C455" s="196" t="s">
        <v>1310</v>
      </c>
      <c r="D455" s="196">
        <v>62</v>
      </c>
      <c r="E455" s="196" t="s">
        <v>1310</v>
      </c>
      <c r="F455" s="196">
        <v>62</v>
      </c>
      <c r="G455" s="196">
        <f t="shared" si="7"/>
        <v>31</v>
      </c>
      <c r="H455" s="196">
        <v>3000</v>
      </c>
      <c r="I455" s="196" t="s">
        <v>1862</v>
      </c>
      <c r="J455" s="196"/>
    </row>
    <row r="456" spans="1:10" ht="14.4" hidden="1" outlineLevel="1">
      <c r="A456" s="196" t="s">
        <v>351</v>
      </c>
      <c r="B456" s="197">
        <v>40977</v>
      </c>
      <c r="C456" s="196" t="s">
        <v>1302</v>
      </c>
      <c r="D456" s="196">
        <v>62.1</v>
      </c>
      <c r="E456" s="196" t="s">
        <v>1302</v>
      </c>
      <c r="F456" s="196">
        <v>62.1</v>
      </c>
      <c r="G456" s="196">
        <f t="shared" si="7"/>
        <v>31.05</v>
      </c>
      <c r="H456" s="196">
        <v>8</v>
      </c>
      <c r="I456" s="196" t="s">
        <v>1861</v>
      </c>
      <c r="J456" s="196"/>
    </row>
    <row r="457" spans="1:10" ht="14.4" hidden="1" outlineLevel="1">
      <c r="A457" s="196" t="s">
        <v>351</v>
      </c>
      <c r="B457" s="197">
        <v>40980</v>
      </c>
      <c r="C457" s="196" t="s">
        <v>1859</v>
      </c>
      <c r="D457" s="196">
        <v>64</v>
      </c>
      <c r="E457" s="196" t="s">
        <v>1302</v>
      </c>
      <c r="F457" s="196">
        <v>64</v>
      </c>
      <c r="G457" s="196">
        <f t="shared" si="7"/>
        <v>32</v>
      </c>
      <c r="H457" s="196">
        <v>380</v>
      </c>
      <c r="I457" s="196" t="s">
        <v>1860</v>
      </c>
      <c r="J457" s="196"/>
    </row>
    <row r="458" spans="1:10" ht="14.4" hidden="1" outlineLevel="1">
      <c r="A458" s="196" t="s">
        <v>351</v>
      </c>
      <c r="B458" s="197">
        <v>40981</v>
      </c>
      <c r="C458" s="196" t="s">
        <v>1302</v>
      </c>
      <c r="D458" s="196">
        <v>62.1</v>
      </c>
      <c r="E458" s="196" t="s">
        <v>1302</v>
      </c>
      <c r="F458" s="196">
        <v>62.1</v>
      </c>
      <c r="G458" s="196">
        <f t="shared" si="7"/>
        <v>31.05</v>
      </c>
      <c r="H458" s="196">
        <v>1049</v>
      </c>
      <c r="I458" s="196" t="s">
        <v>1858</v>
      </c>
      <c r="J458" s="196"/>
    </row>
    <row r="459" spans="1:10" ht="14.4" hidden="1" outlineLevel="1">
      <c r="A459" s="196" t="s">
        <v>351</v>
      </c>
      <c r="B459" s="197">
        <v>40982</v>
      </c>
      <c r="C459" s="196" t="s">
        <v>1302</v>
      </c>
      <c r="D459" s="196">
        <v>64</v>
      </c>
      <c r="E459" s="196" t="s">
        <v>1302</v>
      </c>
      <c r="F459" s="196">
        <v>63.1</v>
      </c>
      <c r="G459" s="196">
        <f t="shared" si="7"/>
        <v>31.55</v>
      </c>
      <c r="H459" s="196">
        <v>1540</v>
      </c>
      <c r="I459" s="196" t="s">
        <v>1857</v>
      </c>
      <c r="J459" s="196"/>
    </row>
    <row r="460" spans="1:10" ht="14.4" hidden="1" outlineLevel="1">
      <c r="A460" s="196" t="s">
        <v>351</v>
      </c>
      <c r="B460" s="197">
        <v>40983</v>
      </c>
      <c r="C460" s="196" t="s">
        <v>1346</v>
      </c>
      <c r="D460" s="196">
        <v>62.5</v>
      </c>
      <c r="E460" s="196" t="s">
        <v>1346</v>
      </c>
      <c r="F460" s="196">
        <v>62.5</v>
      </c>
      <c r="G460" s="196">
        <f t="shared" si="7"/>
        <v>31.25</v>
      </c>
      <c r="H460" s="196">
        <v>2860</v>
      </c>
      <c r="I460" s="196" t="s">
        <v>1856</v>
      </c>
      <c r="J460" s="196"/>
    </row>
    <row r="461" spans="1:10" ht="14.4" hidden="1" outlineLevel="1">
      <c r="A461" s="196" t="s">
        <v>351</v>
      </c>
      <c r="B461" s="197">
        <v>40987</v>
      </c>
      <c r="C461" s="196" t="s">
        <v>1253</v>
      </c>
      <c r="D461" s="196">
        <v>64</v>
      </c>
      <c r="E461" s="196" t="s">
        <v>1253</v>
      </c>
      <c r="F461" s="196">
        <v>64</v>
      </c>
      <c r="G461" s="196">
        <f t="shared" si="7"/>
        <v>32</v>
      </c>
      <c r="H461" s="196">
        <v>100</v>
      </c>
      <c r="I461" s="196" t="s">
        <v>1855</v>
      </c>
      <c r="J461" s="196"/>
    </row>
    <row r="462" spans="1:10" ht="14.4" hidden="1" outlineLevel="1">
      <c r="A462" s="196" t="s">
        <v>351</v>
      </c>
      <c r="B462" s="197">
        <v>40988</v>
      </c>
      <c r="C462" s="196" t="s">
        <v>1652</v>
      </c>
      <c r="D462" s="196">
        <v>67.900000000000006</v>
      </c>
      <c r="E462" s="196" t="s">
        <v>1237</v>
      </c>
      <c r="F462" s="196">
        <v>66</v>
      </c>
      <c r="G462" s="196">
        <f t="shared" si="7"/>
        <v>33</v>
      </c>
      <c r="H462" s="196">
        <v>106</v>
      </c>
      <c r="I462" s="196" t="s">
        <v>1854</v>
      </c>
      <c r="J462" s="196"/>
    </row>
    <row r="463" spans="1:10" ht="14.4" hidden="1" outlineLevel="1">
      <c r="A463" s="196" t="s">
        <v>351</v>
      </c>
      <c r="B463" s="197">
        <v>40989</v>
      </c>
      <c r="C463" s="196" t="s">
        <v>1242</v>
      </c>
      <c r="D463" s="196">
        <v>65</v>
      </c>
      <c r="E463" s="196" t="s">
        <v>1339</v>
      </c>
      <c r="F463" s="196">
        <v>60.5</v>
      </c>
      <c r="G463" s="196">
        <f t="shared" si="7"/>
        <v>30.25</v>
      </c>
      <c r="H463" s="196">
        <v>1100</v>
      </c>
      <c r="I463" s="196" t="s">
        <v>1853</v>
      </c>
      <c r="J463" s="196"/>
    </row>
    <row r="464" spans="1:10" ht="14.4" hidden="1" outlineLevel="1">
      <c r="A464" s="196" t="s">
        <v>351</v>
      </c>
      <c r="B464" s="197">
        <v>40990</v>
      </c>
      <c r="C464" s="196" t="s">
        <v>1339</v>
      </c>
      <c r="D464" s="196">
        <v>60.6</v>
      </c>
      <c r="E464" s="196" t="s">
        <v>1339</v>
      </c>
      <c r="F464" s="196">
        <v>60.5</v>
      </c>
      <c r="G464" s="196">
        <f t="shared" si="7"/>
        <v>30.25</v>
      </c>
      <c r="H464" s="196">
        <v>7495</v>
      </c>
      <c r="I464" s="196" t="s">
        <v>1852</v>
      </c>
      <c r="J464" s="196"/>
    </row>
    <row r="465" spans="1:10" ht="14.4" hidden="1" outlineLevel="1">
      <c r="A465" s="196" t="s">
        <v>351</v>
      </c>
      <c r="B465" s="197">
        <v>40991</v>
      </c>
      <c r="C465" s="196" t="s">
        <v>1315</v>
      </c>
      <c r="D465" s="196">
        <v>61</v>
      </c>
      <c r="E465" s="196" t="s">
        <v>1315</v>
      </c>
      <c r="F465" s="196">
        <v>61</v>
      </c>
      <c r="G465" s="196">
        <f t="shared" si="7"/>
        <v>30.5</v>
      </c>
      <c r="H465" s="196">
        <v>5140</v>
      </c>
      <c r="I465" s="196" t="s">
        <v>1851</v>
      </c>
      <c r="J465" s="196"/>
    </row>
    <row r="466" spans="1:10" ht="14.4" hidden="1" outlineLevel="1">
      <c r="A466" s="196" t="s">
        <v>351</v>
      </c>
      <c r="B466" s="197">
        <v>40995</v>
      </c>
      <c r="C466" s="196" t="s">
        <v>1322</v>
      </c>
      <c r="D466" s="196">
        <v>61</v>
      </c>
      <c r="E466" s="196" t="s">
        <v>1322</v>
      </c>
      <c r="F466" s="196">
        <v>61</v>
      </c>
      <c r="G466" s="196">
        <f t="shared" si="7"/>
        <v>30.5</v>
      </c>
      <c r="H466" s="196">
        <v>2001</v>
      </c>
      <c r="I466" s="196" t="s">
        <v>1850</v>
      </c>
      <c r="J466" s="196"/>
    </row>
    <row r="467" spans="1:10" ht="14.4" hidden="1" outlineLevel="1">
      <c r="A467" s="196" t="s">
        <v>351</v>
      </c>
      <c r="B467" s="197">
        <v>40997</v>
      </c>
      <c r="C467" s="196" t="s">
        <v>1244</v>
      </c>
      <c r="D467" s="196">
        <v>64.5</v>
      </c>
      <c r="E467" s="196" t="s">
        <v>1244</v>
      </c>
      <c r="F467" s="196">
        <v>64.5</v>
      </c>
      <c r="G467" s="196">
        <f t="shared" si="7"/>
        <v>32.25</v>
      </c>
      <c r="H467" s="196">
        <v>2</v>
      </c>
      <c r="I467" s="196" t="s">
        <v>1849</v>
      </c>
      <c r="J467" s="196"/>
    </row>
    <row r="468" spans="1:10" ht="14.4" hidden="1" outlineLevel="1">
      <c r="A468" s="196" t="s">
        <v>351</v>
      </c>
      <c r="B468" s="197">
        <v>40998</v>
      </c>
      <c r="C468" s="196" t="s">
        <v>1310</v>
      </c>
      <c r="D468" s="196">
        <v>63.5</v>
      </c>
      <c r="E468" s="196" t="s">
        <v>1310</v>
      </c>
      <c r="F468" s="196">
        <v>62.6</v>
      </c>
      <c r="G468" s="196">
        <f t="shared" si="7"/>
        <v>31.3</v>
      </c>
      <c r="H468" s="196">
        <v>5401</v>
      </c>
      <c r="I468" s="196" t="s">
        <v>1848</v>
      </c>
      <c r="J468" s="196"/>
    </row>
    <row r="469" spans="1:10" s="192" customFormat="1" ht="14.4" hidden="1" outlineLevel="1" collapsed="1">
      <c r="A469" s="198" t="s">
        <v>351</v>
      </c>
      <c r="B469" s="199">
        <v>41001</v>
      </c>
      <c r="C469" s="198" t="s">
        <v>1346</v>
      </c>
      <c r="D469" s="198">
        <v>62.5</v>
      </c>
      <c r="E469" s="198" t="s">
        <v>1310</v>
      </c>
      <c r="F469" s="198">
        <v>62.4</v>
      </c>
      <c r="G469" s="198">
        <f t="shared" si="7"/>
        <v>31.2</v>
      </c>
      <c r="H469" s="198">
        <v>10436</v>
      </c>
      <c r="I469" s="198" t="s">
        <v>1847</v>
      </c>
      <c r="J469" s="198">
        <f>AVERAGE(G469:G696)</f>
        <v>31.157017543859663</v>
      </c>
    </row>
    <row r="470" spans="1:10" ht="14.4" hidden="1" outlineLevel="1">
      <c r="A470" s="196" t="s">
        <v>351</v>
      </c>
      <c r="B470" s="197">
        <v>41002</v>
      </c>
      <c r="C470" s="196" t="s">
        <v>1268</v>
      </c>
      <c r="D470" s="196">
        <v>63.6</v>
      </c>
      <c r="E470" s="196" t="s">
        <v>1268</v>
      </c>
      <c r="F470" s="196">
        <v>63.6</v>
      </c>
      <c r="G470" s="196">
        <f t="shared" si="7"/>
        <v>31.8</v>
      </c>
      <c r="H470" s="196">
        <v>5</v>
      </c>
      <c r="I470" s="196" t="s">
        <v>1846</v>
      </c>
      <c r="J470" s="196"/>
    </row>
    <row r="471" spans="1:10" ht="14.4" hidden="1" outlineLevel="1">
      <c r="A471" s="196" t="s">
        <v>351</v>
      </c>
      <c r="B471" s="197">
        <v>41003</v>
      </c>
      <c r="C471" s="196" t="s">
        <v>1259</v>
      </c>
      <c r="D471" s="196">
        <v>63.3</v>
      </c>
      <c r="E471" s="196" t="s">
        <v>1259</v>
      </c>
      <c r="F471" s="196">
        <v>63.3</v>
      </c>
      <c r="G471" s="196">
        <f t="shared" si="7"/>
        <v>31.65</v>
      </c>
      <c r="H471" s="196">
        <v>5</v>
      </c>
      <c r="I471" s="196" t="s">
        <v>1845</v>
      </c>
      <c r="J471" s="196"/>
    </row>
    <row r="472" spans="1:10" ht="14.4" hidden="1" outlineLevel="1">
      <c r="A472" s="196" t="s">
        <v>351</v>
      </c>
      <c r="B472" s="197">
        <v>41010</v>
      </c>
      <c r="C472" s="196" t="s">
        <v>1310</v>
      </c>
      <c r="D472" s="196">
        <v>62</v>
      </c>
      <c r="E472" s="196" t="s">
        <v>1314</v>
      </c>
      <c r="F472" s="196">
        <v>62</v>
      </c>
      <c r="G472" s="196">
        <f t="shared" si="7"/>
        <v>31</v>
      </c>
      <c r="H472" s="196">
        <v>211</v>
      </c>
      <c r="I472" s="196" t="s">
        <v>1844</v>
      </c>
      <c r="J472" s="196"/>
    </row>
    <row r="473" spans="1:10" ht="14.4" hidden="1" outlineLevel="1">
      <c r="A473" s="196" t="s">
        <v>351</v>
      </c>
      <c r="B473" s="197">
        <v>41015</v>
      </c>
      <c r="C473" s="196" t="s">
        <v>1351</v>
      </c>
      <c r="D473" s="196">
        <v>62</v>
      </c>
      <c r="E473" s="196" t="s">
        <v>1351</v>
      </c>
      <c r="F473" s="196">
        <v>62</v>
      </c>
      <c r="G473" s="196">
        <f t="shared" si="7"/>
        <v>31</v>
      </c>
      <c r="H473" s="196">
        <v>716</v>
      </c>
      <c r="I473" s="196" t="s">
        <v>1843</v>
      </c>
      <c r="J473" s="196"/>
    </row>
    <row r="474" spans="1:10" ht="14.4" hidden="1" outlineLevel="1">
      <c r="A474" s="196" t="s">
        <v>351</v>
      </c>
      <c r="B474" s="197">
        <v>41016</v>
      </c>
      <c r="C474" s="196" t="s">
        <v>1351</v>
      </c>
      <c r="D474" s="196">
        <v>61.7</v>
      </c>
      <c r="E474" s="196" t="s">
        <v>1351</v>
      </c>
      <c r="F474" s="196">
        <v>61.7</v>
      </c>
      <c r="G474" s="196">
        <f t="shared" si="7"/>
        <v>30.85</v>
      </c>
      <c r="H474" s="196">
        <v>290</v>
      </c>
      <c r="I474" s="196" t="s">
        <v>1842</v>
      </c>
      <c r="J474" s="196"/>
    </row>
    <row r="475" spans="1:10" ht="14.4" hidden="1" outlineLevel="1">
      <c r="A475" s="196" t="s">
        <v>351</v>
      </c>
      <c r="B475" s="197">
        <v>41017</v>
      </c>
      <c r="C475" s="196" t="s">
        <v>1315</v>
      </c>
      <c r="D475" s="196">
        <v>61</v>
      </c>
      <c r="E475" s="196" t="s">
        <v>1315</v>
      </c>
      <c r="F475" s="196">
        <v>61</v>
      </c>
      <c r="G475" s="196">
        <f t="shared" si="7"/>
        <v>30.5</v>
      </c>
      <c r="H475" s="196">
        <v>26</v>
      </c>
      <c r="I475" s="196" t="s">
        <v>1841</v>
      </c>
      <c r="J475" s="196"/>
    </row>
    <row r="476" spans="1:10" ht="14.4" hidden="1" outlineLevel="1">
      <c r="A476" s="196" t="s">
        <v>351</v>
      </c>
      <c r="B476" s="197">
        <v>41018</v>
      </c>
      <c r="C476" s="196" t="s">
        <v>1835</v>
      </c>
      <c r="D476" s="196">
        <v>60.1</v>
      </c>
      <c r="E476" s="196" t="s">
        <v>1351</v>
      </c>
      <c r="F476" s="196">
        <v>60</v>
      </c>
      <c r="G476" s="196">
        <f t="shared" si="7"/>
        <v>30</v>
      </c>
      <c r="H476" s="196">
        <v>1600</v>
      </c>
      <c r="I476" s="196" t="s">
        <v>1840</v>
      </c>
      <c r="J476" s="196"/>
    </row>
    <row r="477" spans="1:10" ht="14.4" hidden="1" outlineLevel="1">
      <c r="A477" s="196" t="s">
        <v>351</v>
      </c>
      <c r="B477" s="197">
        <v>41019</v>
      </c>
      <c r="C477" s="196" t="s">
        <v>1838</v>
      </c>
      <c r="D477" s="196">
        <v>61.7</v>
      </c>
      <c r="E477" s="196" t="s">
        <v>1835</v>
      </c>
      <c r="F477" s="196">
        <v>60.1</v>
      </c>
      <c r="G477" s="196">
        <f t="shared" si="7"/>
        <v>30.05</v>
      </c>
      <c r="H477" s="196">
        <v>913</v>
      </c>
      <c r="I477" s="196" t="s">
        <v>1839</v>
      </c>
      <c r="J477" s="196"/>
    </row>
    <row r="478" spans="1:10" ht="14.4" hidden="1" outlineLevel="1">
      <c r="A478" s="196" t="s">
        <v>351</v>
      </c>
      <c r="B478" s="197">
        <v>41022</v>
      </c>
      <c r="C478" s="196" t="s">
        <v>1835</v>
      </c>
      <c r="D478" s="196">
        <v>60.1</v>
      </c>
      <c r="E478" s="196" t="s">
        <v>1835</v>
      </c>
      <c r="F478" s="196">
        <v>60.1</v>
      </c>
      <c r="G478" s="196">
        <f t="shared" si="7"/>
        <v>30.05</v>
      </c>
      <c r="H478" s="196">
        <v>145</v>
      </c>
      <c r="I478" s="196" t="s">
        <v>1837</v>
      </c>
      <c r="J478" s="196"/>
    </row>
    <row r="479" spans="1:10" ht="14.4" hidden="1" outlineLevel="1">
      <c r="A479" s="196" t="s">
        <v>351</v>
      </c>
      <c r="B479" s="197">
        <v>41023</v>
      </c>
      <c r="C479" s="196" t="s">
        <v>1835</v>
      </c>
      <c r="D479" s="196">
        <v>60.1</v>
      </c>
      <c r="E479" s="196" t="s">
        <v>1351</v>
      </c>
      <c r="F479" s="196">
        <v>60</v>
      </c>
      <c r="G479" s="196">
        <f t="shared" si="7"/>
        <v>30</v>
      </c>
      <c r="H479" s="196">
        <v>5104</v>
      </c>
      <c r="I479" s="196" t="s">
        <v>1836</v>
      </c>
      <c r="J479" s="196"/>
    </row>
    <row r="480" spans="1:10" ht="14.4" hidden="1" outlineLevel="1">
      <c r="A480" s="196" t="s">
        <v>351</v>
      </c>
      <c r="B480" s="197">
        <v>41024</v>
      </c>
      <c r="C480" s="196" t="s">
        <v>1833</v>
      </c>
      <c r="D480" s="196">
        <v>60</v>
      </c>
      <c r="E480" s="196" t="s">
        <v>1833</v>
      </c>
      <c r="F480" s="196">
        <v>60</v>
      </c>
      <c r="G480" s="196">
        <f t="shared" si="7"/>
        <v>30</v>
      </c>
      <c r="H480" s="196">
        <v>126</v>
      </c>
      <c r="I480" s="196" t="s">
        <v>1834</v>
      </c>
      <c r="J480" s="196"/>
    </row>
    <row r="481" spans="1:10" ht="14.4" hidden="1" outlineLevel="1">
      <c r="A481" s="196" t="s">
        <v>351</v>
      </c>
      <c r="B481" s="197">
        <v>41025</v>
      </c>
      <c r="C481" s="196" t="s">
        <v>1831</v>
      </c>
      <c r="D481" s="196">
        <v>60.5</v>
      </c>
      <c r="E481" s="196" t="s">
        <v>471</v>
      </c>
      <c r="F481" s="196">
        <v>60.5</v>
      </c>
      <c r="G481" s="196">
        <f t="shared" si="7"/>
        <v>30.25</v>
      </c>
      <c r="H481" s="196">
        <v>2534</v>
      </c>
      <c r="I481" s="196" t="s">
        <v>1832</v>
      </c>
      <c r="J481" s="196"/>
    </row>
    <row r="482" spans="1:10" ht="14.4" hidden="1" outlineLevel="1">
      <c r="A482" s="196" t="s">
        <v>351</v>
      </c>
      <c r="B482" s="197">
        <v>41026</v>
      </c>
      <c r="C482" s="196" t="s">
        <v>471</v>
      </c>
      <c r="D482" s="196">
        <v>59.1</v>
      </c>
      <c r="E482" s="196" t="s">
        <v>471</v>
      </c>
      <c r="F482" s="196">
        <v>59</v>
      </c>
      <c r="G482" s="196">
        <f t="shared" si="7"/>
        <v>29.5</v>
      </c>
      <c r="H482" s="196">
        <v>474</v>
      </c>
      <c r="I482" s="196" t="s">
        <v>1830</v>
      </c>
      <c r="J482" s="196"/>
    </row>
    <row r="483" spans="1:10" ht="14.4" hidden="1" outlineLevel="1">
      <c r="A483" s="196" t="s">
        <v>351</v>
      </c>
      <c r="B483" s="197">
        <v>41029</v>
      </c>
      <c r="C483" s="196" t="s">
        <v>471</v>
      </c>
      <c r="D483" s="196">
        <v>61</v>
      </c>
      <c r="E483" s="196" t="s">
        <v>471</v>
      </c>
      <c r="F483" s="196">
        <v>61</v>
      </c>
      <c r="G483" s="196">
        <f t="shared" si="7"/>
        <v>30.5</v>
      </c>
      <c r="H483" s="196">
        <v>151</v>
      </c>
      <c r="I483" s="196" t="s">
        <v>1829</v>
      </c>
      <c r="J483" s="196"/>
    </row>
    <row r="484" spans="1:10" ht="14.4" hidden="1" outlineLevel="1">
      <c r="A484" s="196" t="s">
        <v>351</v>
      </c>
      <c r="B484" s="197">
        <v>41031</v>
      </c>
      <c r="C484" s="196" t="s">
        <v>1351</v>
      </c>
      <c r="D484" s="196">
        <v>60</v>
      </c>
      <c r="E484" s="196" t="s">
        <v>471</v>
      </c>
      <c r="F484" s="196">
        <v>59.1</v>
      </c>
      <c r="G484" s="196">
        <f t="shared" si="7"/>
        <v>29.55</v>
      </c>
      <c r="H484" s="196">
        <v>7383</v>
      </c>
      <c r="I484" s="196" t="s">
        <v>1828</v>
      </c>
      <c r="J484" s="196"/>
    </row>
    <row r="485" spans="1:10" ht="14.4" hidden="1" outlineLevel="1">
      <c r="A485" s="196" t="s">
        <v>351</v>
      </c>
      <c r="B485" s="197">
        <v>41032</v>
      </c>
      <c r="C485" s="196" t="s">
        <v>471</v>
      </c>
      <c r="D485" s="196">
        <v>59</v>
      </c>
      <c r="E485" s="196" t="s">
        <v>471</v>
      </c>
      <c r="F485" s="196">
        <v>59</v>
      </c>
      <c r="G485" s="196">
        <f t="shared" si="7"/>
        <v>29.5</v>
      </c>
      <c r="H485" s="196">
        <v>210</v>
      </c>
      <c r="I485" s="196" t="s">
        <v>1827</v>
      </c>
      <c r="J485" s="196"/>
    </row>
    <row r="486" spans="1:10" ht="14.4" hidden="1" outlineLevel="1">
      <c r="A486" s="196" t="s">
        <v>351</v>
      </c>
      <c r="B486" s="197">
        <v>41033</v>
      </c>
      <c r="C486" s="196" t="s">
        <v>1825</v>
      </c>
      <c r="D486" s="196">
        <v>59</v>
      </c>
      <c r="E486" s="196" t="s">
        <v>1825</v>
      </c>
      <c r="F486" s="196">
        <v>58.6</v>
      </c>
      <c r="G486" s="196">
        <f t="shared" si="7"/>
        <v>29.3</v>
      </c>
      <c r="H486" s="196">
        <v>300</v>
      </c>
      <c r="I486" s="196" t="s">
        <v>1826</v>
      </c>
      <c r="J486" s="196"/>
    </row>
    <row r="487" spans="1:10" ht="14.4" hidden="1" outlineLevel="1">
      <c r="A487" s="196" t="s">
        <v>351</v>
      </c>
      <c r="B487" s="197">
        <v>41037</v>
      </c>
      <c r="C487" s="196" t="s">
        <v>479</v>
      </c>
      <c r="D487" s="196">
        <v>58.5</v>
      </c>
      <c r="E487" s="196" t="s">
        <v>479</v>
      </c>
      <c r="F487" s="196">
        <v>58.5</v>
      </c>
      <c r="G487" s="196">
        <f t="shared" si="7"/>
        <v>29.25</v>
      </c>
      <c r="H487" s="196">
        <v>3000</v>
      </c>
      <c r="I487" s="196" t="s">
        <v>1824</v>
      </c>
      <c r="J487" s="196"/>
    </row>
    <row r="488" spans="1:10" ht="14.4" hidden="1" outlineLevel="1">
      <c r="A488" s="196" t="s">
        <v>351</v>
      </c>
      <c r="B488" s="197">
        <v>41038</v>
      </c>
      <c r="C488" s="196" t="s">
        <v>1821</v>
      </c>
      <c r="D488" s="196">
        <v>58.5</v>
      </c>
      <c r="E488" s="196" t="s">
        <v>1821</v>
      </c>
      <c r="F488" s="196">
        <v>57.2</v>
      </c>
      <c r="G488" s="196">
        <f t="shared" si="7"/>
        <v>28.6</v>
      </c>
      <c r="H488" s="196">
        <v>2232</v>
      </c>
      <c r="I488" s="196" t="s">
        <v>1823</v>
      </c>
      <c r="J488" s="196"/>
    </row>
    <row r="489" spans="1:10" ht="14.4" hidden="1" outlineLevel="1">
      <c r="A489" s="196" t="s">
        <v>351</v>
      </c>
      <c r="B489" s="197">
        <v>41039</v>
      </c>
      <c r="C489" s="196" t="s">
        <v>1821</v>
      </c>
      <c r="D489" s="196">
        <v>56.2</v>
      </c>
      <c r="E489" s="196" t="s">
        <v>1821</v>
      </c>
      <c r="F489" s="196">
        <v>56.2</v>
      </c>
      <c r="G489" s="196">
        <f t="shared" si="7"/>
        <v>28.1</v>
      </c>
      <c r="H489" s="196">
        <v>1072</v>
      </c>
      <c r="I489" s="196" t="s">
        <v>1822</v>
      </c>
      <c r="J489" s="196"/>
    </row>
    <row r="490" spans="1:10" ht="14.4" hidden="1" outlineLevel="1">
      <c r="A490" s="196" t="s">
        <v>351</v>
      </c>
      <c r="B490" s="197">
        <v>41040</v>
      </c>
      <c r="C490" s="196" t="s">
        <v>1814</v>
      </c>
      <c r="D490" s="196">
        <v>57</v>
      </c>
      <c r="E490" s="196" t="s">
        <v>1819</v>
      </c>
      <c r="F490" s="196">
        <v>57</v>
      </c>
      <c r="G490" s="196">
        <f t="shared" si="7"/>
        <v>28.5</v>
      </c>
      <c r="H490" s="196">
        <v>372</v>
      </c>
      <c r="I490" s="196" t="s">
        <v>1820</v>
      </c>
      <c r="J490" s="196"/>
    </row>
    <row r="491" spans="1:10" ht="14.4" hidden="1" outlineLevel="1">
      <c r="A491" s="196" t="s">
        <v>351</v>
      </c>
      <c r="B491" s="197">
        <v>41043</v>
      </c>
      <c r="C491" s="196" t="s">
        <v>468</v>
      </c>
      <c r="D491" s="196">
        <v>58</v>
      </c>
      <c r="E491" s="196" t="s">
        <v>484</v>
      </c>
      <c r="F491" s="196">
        <v>56.2</v>
      </c>
      <c r="G491" s="196">
        <f t="shared" si="7"/>
        <v>28.1</v>
      </c>
      <c r="H491" s="196">
        <v>1705</v>
      </c>
      <c r="I491" s="196" t="s">
        <v>1818</v>
      </c>
      <c r="J491" s="196"/>
    </row>
    <row r="492" spans="1:10" ht="14.4" hidden="1" outlineLevel="1">
      <c r="A492" s="196" t="s">
        <v>351</v>
      </c>
      <c r="B492" s="197">
        <v>41044</v>
      </c>
      <c r="C492" s="196" t="s">
        <v>484</v>
      </c>
      <c r="D492" s="196">
        <v>57.8</v>
      </c>
      <c r="E492" s="196" t="s">
        <v>484</v>
      </c>
      <c r="F492" s="196">
        <v>57</v>
      </c>
      <c r="G492" s="196">
        <f t="shared" si="7"/>
        <v>28.5</v>
      </c>
      <c r="H492" s="196">
        <v>2150</v>
      </c>
      <c r="I492" s="196" t="s">
        <v>1817</v>
      </c>
      <c r="J492" s="196"/>
    </row>
    <row r="493" spans="1:10" ht="14.4" hidden="1" outlineLevel="1">
      <c r="A493" s="196" t="s">
        <v>351</v>
      </c>
      <c r="B493" s="197">
        <v>41045</v>
      </c>
      <c r="C493" s="196" t="s">
        <v>1814</v>
      </c>
      <c r="D493" s="196">
        <v>57.9</v>
      </c>
      <c r="E493" s="196" t="s">
        <v>1815</v>
      </c>
      <c r="F493" s="196">
        <v>57.9</v>
      </c>
      <c r="G493" s="196">
        <f t="shared" si="7"/>
        <v>28.95</v>
      </c>
      <c r="H493" s="196">
        <v>8866</v>
      </c>
      <c r="I493" s="196" t="s">
        <v>1816</v>
      </c>
      <c r="J493" s="196"/>
    </row>
    <row r="494" spans="1:10" ht="14.4" hidden="1" outlineLevel="1">
      <c r="A494" s="196" t="s">
        <v>351</v>
      </c>
      <c r="B494" s="197">
        <v>41046</v>
      </c>
      <c r="C494" s="196" t="s">
        <v>1778</v>
      </c>
      <c r="D494" s="196">
        <v>60.1</v>
      </c>
      <c r="E494" s="196" t="s">
        <v>1778</v>
      </c>
      <c r="F494" s="196">
        <v>58</v>
      </c>
      <c r="G494" s="196">
        <f t="shared" si="7"/>
        <v>29</v>
      </c>
      <c r="H494" s="196">
        <v>2660</v>
      </c>
      <c r="I494" s="196" t="s">
        <v>1813</v>
      </c>
      <c r="J494" s="196"/>
    </row>
    <row r="495" spans="1:10" ht="14.4" hidden="1" outlineLevel="1">
      <c r="A495" s="196" t="s">
        <v>351</v>
      </c>
      <c r="B495" s="197">
        <v>41047</v>
      </c>
      <c r="C495" s="196" t="s">
        <v>1719</v>
      </c>
      <c r="D495" s="196">
        <v>55.8</v>
      </c>
      <c r="E495" s="196" t="s">
        <v>1719</v>
      </c>
      <c r="F495" s="196">
        <v>55.4</v>
      </c>
      <c r="G495" s="196">
        <f t="shared" si="7"/>
        <v>27.7</v>
      </c>
      <c r="H495" s="196">
        <v>250</v>
      </c>
      <c r="I495" s="196" t="s">
        <v>1812</v>
      </c>
      <c r="J495" s="196"/>
    </row>
    <row r="496" spans="1:10" ht="14.4" hidden="1" outlineLevel="1">
      <c r="A496" s="196" t="s">
        <v>351</v>
      </c>
      <c r="B496" s="197">
        <v>41051</v>
      </c>
      <c r="C496" s="196" t="s">
        <v>471</v>
      </c>
      <c r="D496" s="196">
        <v>59</v>
      </c>
      <c r="E496" s="196" t="s">
        <v>1810</v>
      </c>
      <c r="F496" s="196">
        <v>57.2</v>
      </c>
      <c r="G496" s="196">
        <f t="shared" si="7"/>
        <v>28.6</v>
      </c>
      <c r="H496" s="196">
        <v>556</v>
      </c>
      <c r="I496" s="196" t="s">
        <v>1811</v>
      </c>
      <c r="J496" s="196"/>
    </row>
    <row r="497" spans="1:10" ht="14.4" hidden="1" outlineLevel="1">
      <c r="A497" s="196" t="s">
        <v>351</v>
      </c>
      <c r="B497" s="197">
        <v>41052</v>
      </c>
      <c r="C497" s="196" t="s">
        <v>1808</v>
      </c>
      <c r="D497" s="196">
        <v>57.5</v>
      </c>
      <c r="E497" s="196" t="s">
        <v>1805</v>
      </c>
      <c r="F497" s="196">
        <v>57.5</v>
      </c>
      <c r="G497" s="196">
        <f t="shared" si="7"/>
        <v>28.75</v>
      </c>
      <c r="H497" s="196">
        <v>3996</v>
      </c>
      <c r="I497" s="196" t="s">
        <v>1809</v>
      </c>
      <c r="J497" s="196"/>
    </row>
    <row r="498" spans="1:10" ht="14.4" hidden="1" outlineLevel="1">
      <c r="A498" s="196" t="s">
        <v>351</v>
      </c>
      <c r="B498" s="197">
        <v>41053</v>
      </c>
      <c r="C498" s="196" t="s">
        <v>1719</v>
      </c>
      <c r="D498" s="196">
        <v>57.9</v>
      </c>
      <c r="E498" s="196" t="s">
        <v>1719</v>
      </c>
      <c r="F498" s="196">
        <v>57.9</v>
      </c>
      <c r="G498" s="196">
        <f t="shared" si="7"/>
        <v>28.95</v>
      </c>
      <c r="H498" s="196">
        <v>30153</v>
      </c>
      <c r="I498" s="196" t="s">
        <v>1807</v>
      </c>
      <c r="J498" s="196"/>
    </row>
    <row r="499" spans="1:10" ht="14.4" hidden="1" outlineLevel="1">
      <c r="A499" s="196" t="s">
        <v>351</v>
      </c>
      <c r="B499" s="197">
        <v>41054</v>
      </c>
      <c r="C499" s="196" t="s">
        <v>1803</v>
      </c>
      <c r="D499" s="196">
        <v>56.5</v>
      </c>
      <c r="E499" s="196" t="s">
        <v>1805</v>
      </c>
      <c r="F499" s="196">
        <v>56.5</v>
      </c>
      <c r="G499" s="196">
        <f t="shared" si="7"/>
        <v>28.25</v>
      </c>
      <c r="H499" s="196">
        <v>1020</v>
      </c>
      <c r="I499" s="196" t="s">
        <v>1806</v>
      </c>
      <c r="J499" s="196"/>
    </row>
    <row r="500" spans="1:10" ht="14.4" hidden="1" outlineLevel="1">
      <c r="A500" s="196" t="s">
        <v>351</v>
      </c>
      <c r="B500" s="197">
        <v>41057</v>
      </c>
      <c r="C500" s="196" t="s">
        <v>1803</v>
      </c>
      <c r="D500" s="196">
        <v>56.5</v>
      </c>
      <c r="E500" s="196" t="s">
        <v>1721</v>
      </c>
      <c r="F500" s="196">
        <v>54.5</v>
      </c>
      <c r="G500" s="196">
        <f t="shared" si="7"/>
        <v>27.25</v>
      </c>
      <c r="H500" s="196">
        <v>7200</v>
      </c>
      <c r="I500" s="196" t="s">
        <v>1804</v>
      </c>
      <c r="J500" s="196"/>
    </row>
    <row r="501" spans="1:10" ht="14.4" hidden="1" outlineLevel="1">
      <c r="A501" s="196" t="s">
        <v>351</v>
      </c>
      <c r="B501" s="197">
        <v>41058</v>
      </c>
      <c r="C501" s="196" t="s">
        <v>1728</v>
      </c>
      <c r="D501" s="196">
        <v>53</v>
      </c>
      <c r="E501" s="196" t="s">
        <v>1728</v>
      </c>
      <c r="F501" s="196">
        <v>53</v>
      </c>
      <c r="G501" s="196">
        <f t="shared" si="7"/>
        <v>26.5</v>
      </c>
      <c r="H501" s="196">
        <v>2308</v>
      </c>
      <c r="I501" s="196" t="s">
        <v>1802</v>
      </c>
      <c r="J501" s="196"/>
    </row>
    <row r="502" spans="1:10" ht="14.4" hidden="1" outlineLevel="1">
      <c r="A502" s="196" t="s">
        <v>351</v>
      </c>
      <c r="B502" s="197">
        <v>41059</v>
      </c>
      <c r="C502" s="196" t="s">
        <v>1740</v>
      </c>
      <c r="D502" s="196">
        <v>54</v>
      </c>
      <c r="E502" s="196" t="s">
        <v>1728</v>
      </c>
      <c r="F502" s="196">
        <v>53.5</v>
      </c>
      <c r="G502" s="196">
        <f t="shared" si="7"/>
        <v>26.75</v>
      </c>
      <c r="H502" s="196">
        <v>1800</v>
      </c>
      <c r="I502" s="196" t="s">
        <v>1801</v>
      </c>
      <c r="J502" s="196"/>
    </row>
    <row r="503" spans="1:10" ht="14.4" hidden="1" outlineLevel="1">
      <c r="A503" s="196" t="s">
        <v>351</v>
      </c>
      <c r="B503" s="197">
        <v>41060</v>
      </c>
      <c r="C503" s="196" t="s">
        <v>1771</v>
      </c>
      <c r="D503" s="196">
        <v>54.5</v>
      </c>
      <c r="E503" s="196" t="s">
        <v>1721</v>
      </c>
      <c r="F503" s="196">
        <v>54</v>
      </c>
      <c r="G503" s="196">
        <f t="shared" si="7"/>
        <v>27</v>
      </c>
      <c r="H503" s="196">
        <v>120</v>
      </c>
      <c r="I503" s="196" t="s">
        <v>1800</v>
      </c>
      <c r="J503" s="196"/>
    </row>
    <row r="504" spans="1:10" ht="14.4" hidden="1" outlineLevel="1">
      <c r="A504" s="196" t="s">
        <v>351</v>
      </c>
      <c r="B504" s="197">
        <v>41061</v>
      </c>
      <c r="C504" s="196" t="s">
        <v>1756</v>
      </c>
      <c r="D504" s="196">
        <v>55</v>
      </c>
      <c r="E504" s="196" t="s">
        <v>1740</v>
      </c>
      <c r="F504" s="196">
        <v>53.9</v>
      </c>
      <c r="G504" s="196">
        <f t="shared" si="7"/>
        <v>26.95</v>
      </c>
      <c r="H504" s="196">
        <v>1201</v>
      </c>
      <c r="I504" s="196" t="s">
        <v>1799</v>
      </c>
      <c r="J504" s="196"/>
    </row>
    <row r="505" spans="1:10" ht="14.4" hidden="1" outlineLevel="1">
      <c r="A505" s="196" t="s">
        <v>351</v>
      </c>
      <c r="B505" s="197">
        <v>41065</v>
      </c>
      <c r="C505" s="196" t="s">
        <v>1721</v>
      </c>
      <c r="D505" s="196">
        <v>54</v>
      </c>
      <c r="E505" s="196" t="s">
        <v>1740</v>
      </c>
      <c r="F505" s="196">
        <v>53.5</v>
      </c>
      <c r="G505" s="196">
        <f t="shared" si="7"/>
        <v>26.75</v>
      </c>
      <c r="H505" s="196">
        <v>1500</v>
      </c>
      <c r="I505" s="196" t="s">
        <v>1798</v>
      </c>
      <c r="J505" s="196"/>
    </row>
    <row r="506" spans="1:10" ht="14.4" hidden="1" outlineLevel="1">
      <c r="A506" s="196" t="s">
        <v>351</v>
      </c>
      <c r="B506" s="197">
        <v>41066</v>
      </c>
      <c r="C506" s="196" t="s">
        <v>1761</v>
      </c>
      <c r="D506" s="196">
        <v>53.1</v>
      </c>
      <c r="E506" s="196" t="s">
        <v>1788</v>
      </c>
      <c r="F506" s="196">
        <v>52.6</v>
      </c>
      <c r="G506" s="196">
        <f t="shared" si="7"/>
        <v>26.3</v>
      </c>
      <c r="H506" s="196">
        <v>1324</v>
      </c>
      <c r="I506" s="196" t="s">
        <v>1797</v>
      </c>
      <c r="J506" s="196"/>
    </row>
    <row r="507" spans="1:10" ht="14.4" hidden="1" outlineLevel="1">
      <c r="A507" s="196" t="s">
        <v>351</v>
      </c>
      <c r="B507" s="197">
        <v>41067</v>
      </c>
      <c r="C507" s="196" t="s">
        <v>1788</v>
      </c>
      <c r="D507" s="196">
        <v>52.6</v>
      </c>
      <c r="E507" s="196" t="s">
        <v>1732</v>
      </c>
      <c r="F507" s="196">
        <v>52.6</v>
      </c>
      <c r="G507" s="196">
        <f t="shared" si="7"/>
        <v>26.3</v>
      </c>
      <c r="H507" s="196">
        <v>8001</v>
      </c>
      <c r="I507" s="196" t="s">
        <v>1796</v>
      </c>
      <c r="J507" s="196"/>
    </row>
    <row r="508" spans="1:10" ht="14.4" hidden="1" outlineLevel="1">
      <c r="A508" s="196" t="s">
        <v>351</v>
      </c>
      <c r="B508" s="197">
        <v>41068</v>
      </c>
      <c r="C508" s="196" t="s">
        <v>1721</v>
      </c>
      <c r="D508" s="196">
        <v>54</v>
      </c>
      <c r="E508" s="196" t="s">
        <v>1721</v>
      </c>
      <c r="F508" s="196">
        <v>54</v>
      </c>
      <c r="G508" s="196">
        <f t="shared" si="7"/>
        <v>27</v>
      </c>
      <c r="H508" s="196">
        <v>2002</v>
      </c>
      <c r="I508" s="196" t="s">
        <v>1795</v>
      </c>
      <c r="J508" s="196"/>
    </row>
    <row r="509" spans="1:10" ht="14.4" hidden="1" outlineLevel="1">
      <c r="A509" s="196" t="s">
        <v>351</v>
      </c>
      <c r="B509" s="197">
        <v>41072</v>
      </c>
      <c r="C509" s="196" t="s">
        <v>1721</v>
      </c>
      <c r="D509" s="196">
        <v>54</v>
      </c>
      <c r="E509" s="196" t="s">
        <v>1788</v>
      </c>
      <c r="F509" s="196">
        <v>52.9</v>
      </c>
      <c r="G509" s="196">
        <f t="shared" si="7"/>
        <v>26.45</v>
      </c>
      <c r="H509" s="196">
        <v>254</v>
      </c>
      <c r="I509" s="196" t="s">
        <v>1794</v>
      </c>
      <c r="J509" s="196"/>
    </row>
    <row r="510" spans="1:10" ht="14.4" hidden="1" outlineLevel="1">
      <c r="A510" s="196" t="s">
        <v>351</v>
      </c>
      <c r="B510" s="197">
        <v>41073</v>
      </c>
      <c r="C510" s="196" t="s">
        <v>1732</v>
      </c>
      <c r="D510" s="196">
        <v>55</v>
      </c>
      <c r="E510" s="196" t="s">
        <v>1732</v>
      </c>
      <c r="F510" s="196">
        <v>55</v>
      </c>
      <c r="G510" s="196">
        <f t="shared" si="7"/>
        <v>27.5</v>
      </c>
      <c r="H510" s="196">
        <v>32799</v>
      </c>
      <c r="I510" s="196" t="s">
        <v>1793</v>
      </c>
      <c r="J510" s="196"/>
    </row>
    <row r="511" spans="1:10" ht="14.4" hidden="1" outlineLevel="1">
      <c r="A511" s="196" t="s">
        <v>351</v>
      </c>
      <c r="B511" s="197">
        <v>41074</v>
      </c>
      <c r="C511" s="196" t="s">
        <v>1732</v>
      </c>
      <c r="D511" s="196">
        <v>56</v>
      </c>
      <c r="E511" s="196" t="s">
        <v>1732</v>
      </c>
      <c r="F511" s="196">
        <v>55.5</v>
      </c>
      <c r="G511" s="196">
        <f t="shared" si="7"/>
        <v>27.75</v>
      </c>
      <c r="H511" s="196">
        <v>21113</v>
      </c>
      <c r="I511" s="196" t="s">
        <v>1792</v>
      </c>
      <c r="J511" s="196"/>
    </row>
    <row r="512" spans="1:10" ht="14.4" hidden="1" outlineLevel="1">
      <c r="A512" s="196" t="s">
        <v>351</v>
      </c>
      <c r="B512" s="197">
        <v>41075</v>
      </c>
      <c r="C512" s="196" t="s">
        <v>484</v>
      </c>
      <c r="D512" s="196">
        <v>58</v>
      </c>
      <c r="E512" s="196" t="s">
        <v>484</v>
      </c>
      <c r="F512" s="196">
        <v>56.4</v>
      </c>
      <c r="G512" s="196">
        <f t="shared" si="7"/>
        <v>28.2</v>
      </c>
      <c r="H512" s="196">
        <v>6261</v>
      </c>
      <c r="I512" s="196" t="s">
        <v>1791</v>
      </c>
      <c r="J512" s="196"/>
    </row>
    <row r="513" spans="1:10" ht="14.4" hidden="1" outlineLevel="1">
      <c r="A513" s="196" t="s">
        <v>351</v>
      </c>
      <c r="B513" s="197">
        <v>41078</v>
      </c>
      <c r="C513" s="196" t="s">
        <v>1756</v>
      </c>
      <c r="D513" s="196">
        <v>55</v>
      </c>
      <c r="E513" s="196" t="s">
        <v>1756</v>
      </c>
      <c r="F513" s="196">
        <v>55</v>
      </c>
      <c r="G513" s="196">
        <f t="shared" si="7"/>
        <v>27.5</v>
      </c>
      <c r="H513" s="196">
        <v>7000</v>
      </c>
      <c r="I513" s="196" t="s">
        <v>1790</v>
      </c>
      <c r="J513" s="196"/>
    </row>
    <row r="514" spans="1:10" ht="14.4" hidden="1" outlineLevel="1">
      <c r="A514" s="196" t="s">
        <v>351</v>
      </c>
      <c r="B514" s="197">
        <v>41079</v>
      </c>
      <c r="C514" s="196" t="s">
        <v>1788</v>
      </c>
      <c r="D514" s="196">
        <v>58</v>
      </c>
      <c r="E514" s="196" t="s">
        <v>1788</v>
      </c>
      <c r="F514" s="196">
        <v>56</v>
      </c>
      <c r="G514" s="196">
        <f t="shared" si="7"/>
        <v>28</v>
      </c>
      <c r="H514" s="196">
        <v>7521</v>
      </c>
      <c r="I514" s="196" t="s">
        <v>1789</v>
      </c>
      <c r="J514" s="196"/>
    </row>
    <row r="515" spans="1:10" ht="14.4" hidden="1" outlineLevel="1">
      <c r="A515" s="196" t="s">
        <v>351</v>
      </c>
      <c r="B515" s="197">
        <v>41080</v>
      </c>
      <c r="C515" s="196" t="s">
        <v>1756</v>
      </c>
      <c r="D515" s="196">
        <v>56</v>
      </c>
      <c r="E515" s="196" t="s">
        <v>1756</v>
      </c>
      <c r="F515" s="196">
        <v>55</v>
      </c>
      <c r="G515" s="196">
        <f t="shared" si="7"/>
        <v>27.5</v>
      </c>
      <c r="H515" s="196">
        <v>21982</v>
      </c>
      <c r="I515" s="196" t="s">
        <v>1787</v>
      </c>
      <c r="J515" s="196"/>
    </row>
    <row r="516" spans="1:10" ht="14.4" hidden="1" outlineLevel="1">
      <c r="A516" s="196" t="s">
        <v>351</v>
      </c>
      <c r="B516" s="197">
        <v>41081</v>
      </c>
      <c r="C516" s="196" t="s">
        <v>484</v>
      </c>
      <c r="D516" s="196">
        <v>56</v>
      </c>
      <c r="E516" s="196" t="s">
        <v>1721</v>
      </c>
      <c r="F516" s="196">
        <v>55.9</v>
      </c>
      <c r="G516" s="196">
        <f t="shared" si="7"/>
        <v>27.95</v>
      </c>
      <c r="H516" s="196">
        <v>13407</v>
      </c>
      <c r="I516" s="196" t="s">
        <v>1786</v>
      </c>
      <c r="J516" s="196"/>
    </row>
    <row r="517" spans="1:10" ht="14.4" hidden="1" outlineLevel="1">
      <c r="A517" s="196" t="s">
        <v>351</v>
      </c>
      <c r="B517" s="197">
        <v>41082</v>
      </c>
      <c r="C517" s="196" t="s">
        <v>484</v>
      </c>
      <c r="D517" s="196">
        <v>56</v>
      </c>
      <c r="E517" s="196" t="s">
        <v>1756</v>
      </c>
      <c r="F517" s="196">
        <v>55</v>
      </c>
      <c r="G517" s="196">
        <f t="shared" ref="G517:G580" si="8">F517/2</f>
        <v>27.5</v>
      </c>
      <c r="H517" s="196">
        <v>2100</v>
      </c>
      <c r="I517" s="196" t="s">
        <v>1785</v>
      </c>
      <c r="J517" s="196"/>
    </row>
    <row r="518" spans="1:10" ht="14.4" hidden="1" outlineLevel="1">
      <c r="A518" s="196" t="s">
        <v>351</v>
      </c>
      <c r="B518" s="197">
        <v>41085</v>
      </c>
      <c r="C518" s="196" t="s">
        <v>1756</v>
      </c>
      <c r="D518" s="196">
        <v>55</v>
      </c>
      <c r="E518" s="196" t="s">
        <v>1721</v>
      </c>
      <c r="F518" s="196">
        <v>55</v>
      </c>
      <c r="G518" s="196">
        <f t="shared" si="8"/>
        <v>27.5</v>
      </c>
      <c r="H518" s="196">
        <v>183400</v>
      </c>
      <c r="I518" s="196" t="s">
        <v>1784</v>
      </c>
      <c r="J518" s="196"/>
    </row>
    <row r="519" spans="1:10" ht="14.4" hidden="1" outlineLevel="1">
      <c r="A519" s="196" t="s">
        <v>351</v>
      </c>
      <c r="B519" s="197">
        <v>41086</v>
      </c>
      <c r="C519" s="196" t="s">
        <v>1756</v>
      </c>
      <c r="D519" s="196">
        <v>55</v>
      </c>
      <c r="E519" s="196" t="s">
        <v>1740</v>
      </c>
      <c r="F519" s="196">
        <v>55</v>
      </c>
      <c r="G519" s="196">
        <f t="shared" si="8"/>
        <v>27.5</v>
      </c>
      <c r="H519" s="196">
        <v>34255</v>
      </c>
      <c r="I519" s="196" t="s">
        <v>1783</v>
      </c>
      <c r="J519" s="196"/>
    </row>
    <row r="520" spans="1:10" ht="14.4" hidden="1" outlineLevel="1">
      <c r="A520" s="196" t="s">
        <v>351</v>
      </c>
      <c r="B520" s="197">
        <v>41087</v>
      </c>
      <c r="C520" s="196" t="s">
        <v>1724</v>
      </c>
      <c r="D520" s="196">
        <v>54.1</v>
      </c>
      <c r="E520" s="196" t="s">
        <v>1724</v>
      </c>
      <c r="F520" s="196">
        <v>54.1</v>
      </c>
      <c r="G520" s="196">
        <f t="shared" si="8"/>
        <v>27.05</v>
      </c>
      <c r="H520" s="196">
        <v>13</v>
      </c>
      <c r="I520" s="196" t="s">
        <v>1782</v>
      </c>
      <c r="J520" s="196"/>
    </row>
    <row r="521" spans="1:10" ht="14.4" hidden="1" outlineLevel="1">
      <c r="A521" s="196" t="s">
        <v>351</v>
      </c>
      <c r="B521" s="197">
        <v>41088</v>
      </c>
      <c r="C521" s="196" t="s">
        <v>1780</v>
      </c>
      <c r="D521" s="196">
        <v>56.3</v>
      </c>
      <c r="E521" s="196" t="s">
        <v>1780</v>
      </c>
      <c r="F521" s="196">
        <v>56.3</v>
      </c>
      <c r="G521" s="196">
        <f t="shared" si="8"/>
        <v>28.15</v>
      </c>
      <c r="H521" s="196">
        <v>20</v>
      </c>
      <c r="I521" s="196" t="s">
        <v>1781</v>
      </c>
      <c r="J521" s="196"/>
    </row>
    <row r="522" spans="1:10" ht="14.4" hidden="1" outlineLevel="1">
      <c r="A522" s="196" t="s">
        <v>351</v>
      </c>
      <c r="B522" s="197">
        <v>41089</v>
      </c>
      <c r="C522" s="196" t="s">
        <v>1778</v>
      </c>
      <c r="D522" s="196">
        <v>57.9</v>
      </c>
      <c r="E522" s="196" t="s">
        <v>1756</v>
      </c>
      <c r="F522" s="196">
        <v>55.3</v>
      </c>
      <c r="G522" s="196">
        <f t="shared" si="8"/>
        <v>27.65</v>
      </c>
      <c r="H522" s="196">
        <v>18</v>
      </c>
      <c r="I522" s="196" t="s">
        <v>1779</v>
      </c>
      <c r="J522" s="196"/>
    </row>
    <row r="523" spans="1:10" ht="14.4" hidden="1" outlineLevel="1">
      <c r="A523" s="196" t="s">
        <v>351</v>
      </c>
      <c r="B523" s="197">
        <v>41092</v>
      </c>
      <c r="C523" s="196" t="s">
        <v>468</v>
      </c>
      <c r="D523" s="196">
        <v>58</v>
      </c>
      <c r="E523" s="196" t="s">
        <v>468</v>
      </c>
      <c r="F523" s="196">
        <v>58</v>
      </c>
      <c r="G523" s="196">
        <f t="shared" si="8"/>
        <v>29</v>
      </c>
      <c r="H523" s="196">
        <v>1</v>
      </c>
      <c r="I523" s="196" t="s">
        <v>1777</v>
      </c>
      <c r="J523" s="196"/>
    </row>
    <row r="524" spans="1:10" ht="14.4" hidden="1" outlineLevel="1">
      <c r="A524" s="196" t="s">
        <v>351</v>
      </c>
      <c r="B524" s="197">
        <v>41094</v>
      </c>
      <c r="C524" s="196" t="s">
        <v>1756</v>
      </c>
      <c r="D524" s="196">
        <v>57.7</v>
      </c>
      <c r="E524" s="196" t="s">
        <v>1756</v>
      </c>
      <c r="F524" s="196">
        <v>55.8</v>
      </c>
      <c r="G524" s="196">
        <f t="shared" si="8"/>
        <v>27.9</v>
      </c>
      <c r="H524" s="196">
        <v>140</v>
      </c>
      <c r="I524" s="196" t="s">
        <v>1776</v>
      </c>
      <c r="J524" s="196"/>
    </row>
    <row r="525" spans="1:10" ht="14.4" hidden="1" outlineLevel="1">
      <c r="A525" s="196" t="s">
        <v>351</v>
      </c>
      <c r="B525" s="197">
        <v>41095</v>
      </c>
      <c r="C525" s="196" t="s">
        <v>1774</v>
      </c>
      <c r="D525" s="196">
        <v>55.8</v>
      </c>
      <c r="E525" s="196" t="s">
        <v>1756</v>
      </c>
      <c r="F525" s="196">
        <v>55</v>
      </c>
      <c r="G525" s="196">
        <f t="shared" si="8"/>
        <v>27.5</v>
      </c>
      <c r="H525" s="196">
        <v>2000</v>
      </c>
      <c r="I525" s="196" t="s">
        <v>1775</v>
      </c>
      <c r="J525" s="196"/>
    </row>
    <row r="526" spans="1:10" ht="14.4" hidden="1" outlineLevel="1">
      <c r="A526" s="196" t="s">
        <v>351</v>
      </c>
      <c r="B526" s="197">
        <v>41096</v>
      </c>
      <c r="C526" s="196" t="s">
        <v>1712</v>
      </c>
      <c r="D526" s="196">
        <v>55.1</v>
      </c>
      <c r="E526" s="196" t="s">
        <v>1756</v>
      </c>
      <c r="F526" s="196">
        <v>55</v>
      </c>
      <c r="G526" s="196">
        <f t="shared" si="8"/>
        <v>27.5</v>
      </c>
      <c r="H526" s="196">
        <v>24900</v>
      </c>
      <c r="I526" s="196" t="s">
        <v>1773</v>
      </c>
      <c r="J526" s="196"/>
    </row>
    <row r="527" spans="1:10" ht="14.4" hidden="1" outlineLevel="1">
      <c r="A527" s="196" t="s">
        <v>351</v>
      </c>
      <c r="B527" s="197">
        <v>41099</v>
      </c>
      <c r="C527" s="196" t="s">
        <v>1771</v>
      </c>
      <c r="D527" s="196">
        <v>54.5</v>
      </c>
      <c r="E527" s="196" t="s">
        <v>1771</v>
      </c>
      <c r="F527" s="196">
        <v>54.5</v>
      </c>
      <c r="G527" s="196">
        <f t="shared" si="8"/>
        <v>27.25</v>
      </c>
      <c r="H527" s="196">
        <v>1500</v>
      </c>
      <c r="I527" s="196" t="s">
        <v>1772</v>
      </c>
      <c r="J527" s="196"/>
    </row>
    <row r="528" spans="1:10" ht="14.4" hidden="1" outlineLevel="1">
      <c r="A528" s="196" t="s">
        <v>351</v>
      </c>
      <c r="B528" s="197">
        <v>41100</v>
      </c>
      <c r="C528" s="196" t="s">
        <v>1769</v>
      </c>
      <c r="D528" s="196">
        <v>54.3</v>
      </c>
      <c r="E528" s="196" t="s">
        <v>1721</v>
      </c>
      <c r="F528" s="196">
        <v>54</v>
      </c>
      <c r="G528" s="196">
        <f t="shared" si="8"/>
        <v>27</v>
      </c>
      <c r="H528" s="196">
        <v>510</v>
      </c>
      <c r="I528" s="196" t="s">
        <v>1770</v>
      </c>
      <c r="J528" s="196"/>
    </row>
    <row r="529" spans="1:10" ht="14.4" hidden="1" outlineLevel="1">
      <c r="A529" s="196" t="s">
        <v>351</v>
      </c>
      <c r="B529" s="197">
        <v>41101</v>
      </c>
      <c r="C529" s="196" t="s">
        <v>1721</v>
      </c>
      <c r="D529" s="196">
        <v>54</v>
      </c>
      <c r="E529" s="196" t="s">
        <v>1721</v>
      </c>
      <c r="F529" s="196">
        <v>54</v>
      </c>
      <c r="G529" s="196">
        <f t="shared" si="8"/>
        <v>27</v>
      </c>
      <c r="H529" s="196">
        <v>600</v>
      </c>
      <c r="I529" s="196" t="s">
        <v>1768</v>
      </c>
      <c r="J529" s="196"/>
    </row>
    <row r="530" spans="1:10" ht="14.4" hidden="1" outlineLevel="1">
      <c r="A530" s="196" t="s">
        <v>351</v>
      </c>
      <c r="B530" s="197">
        <v>41102</v>
      </c>
      <c r="C530" s="196" t="s">
        <v>1766</v>
      </c>
      <c r="D530" s="196">
        <v>55</v>
      </c>
      <c r="E530" s="196" t="s">
        <v>1766</v>
      </c>
      <c r="F530" s="196">
        <v>55</v>
      </c>
      <c r="G530" s="196">
        <f t="shared" si="8"/>
        <v>27.5</v>
      </c>
      <c r="H530" s="196">
        <v>14000</v>
      </c>
      <c r="I530" s="196" t="s">
        <v>1767</v>
      </c>
      <c r="J530" s="196"/>
    </row>
    <row r="531" spans="1:10" ht="14.4" hidden="1" outlineLevel="1">
      <c r="A531" s="196" t="s">
        <v>351</v>
      </c>
      <c r="B531" s="197">
        <v>41103</v>
      </c>
      <c r="C531" s="196" t="s">
        <v>1721</v>
      </c>
      <c r="D531" s="196">
        <v>55</v>
      </c>
      <c r="E531" s="196" t="s">
        <v>1721</v>
      </c>
      <c r="F531" s="196">
        <v>54.2</v>
      </c>
      <c r="G531" s="196">
        <f t="shared" si="8"/>
        <v>27.1</v>
      </c>
      <c r="H531" s="196">
        <v>1237</v>
      </c>
      <c r="I531" s="196" t="s">
        <v>1765</v>
      </c>
      <c r="J531" s="196"/>
    </row>
    <row r="532" spans="1:10" ht="14.4" hidden="1" outlineLevel="1">
      <c r="A532" s="196" t="s">
        <v>351</v>
      </c>
      <c r="B532" s="197">
        <v>41106</v>
      </c>
      <c r="C532" s="196" t="s">
        <v>1756</v>
      </c>
      <c r="D532" s="196">
        <v>55</v>
      </c>
      <c r="E532" s="196" t="s">
        <v>1721</v>
      </c>
      <c r="F532" s="196">
        <v>54</v>
      </c>
      <c r="G532" s="196">
        <f t="shared" si="8"/>
        <v>27</v>
      </c>
      <c r="H532" s="196">
        <v>1523</v>
      </c>
      <c r="I532" s="196" t="s">
        <v>1764</v>
      </c>
      <c r="J532" s="196"/>
    </row>
    <row r="533" spans="1:10" ht="14.4" hidden="1" outlineLevel="1">
      <c r="A533" s="196" t="s">
        <v>351</v>
      </c>
      <c r="B533" s="197">
        <v>41107</v>
      </c>
      <c r="C533" s="196" t="s">
        <v>1757</v>
      </c>
      <c r="D533" s="196">
        <v>55</v>
      </c>
      <c r="E533" s="196" t="s">
        <v>1757</v>
      </c>
      <c r="F533" s="196">
        <v>54</v>
      </c>
      <c r="G533" s="196">
        <f t="shared" si="8"/>
        <v>27</v>
      </c>
      <c r="H533" s="196">
        <v>1700</v>
      </c>
      <c r="I533" s="196" t="s">
        <v>1763</v>
      </c>
      <c r="J533" s="196"/>
    </row>
    <row r="534" spans="1:10" ht="14.4" hidden="1" outlineLevel="1">
      <c r="A534" s="196" t="s">
        <v>351</v>
      </c>
      <c r="B534" s="197">
        <v>41108</v>
      </c>
      <c r="C534" s="196" t="s">
        <v>1761</v>
      </c>
      <c r="D534" s="196">
        <v>53.1</v>
      </c>
      <c r="E534" s="196" t="s">
        <v>1761</v>
      </c>
      <c r="F534" s="196">
        <v>53.1</v>
      </c>
      <c r="G534" s="196">
        <f t="shared" si="8"/>
        <v>26.55</v>
      </c>
      <c r="H534" s="196">
        <v>40</v>
      </c>
      <c r="I534" s="196" t="s">
        <v>1762</v>
      </c>
      <c r="J534" s="196"/>
    </row>
    <row r="535" spans="1:10" ht="14.4" hidden="1" outlineLevel="1">
      <c r="A535" s="196" t="s">
        <v>351</v>
      </c>
      <c r="B535" s="197">
        <v>41109</v>
      </c>
      <c r="C535" s="196" t="s">
        <v>1759</v>
      </c>
      <c r="D535" s="196">
        <v>53.5</v>
      </c>
      <c r="E535" s="196" t="s">
        <v>1759</v>
      </c>
      <c r="F535" s="196">
        <v>53.5</v>
      </c>
      <c r="G535" s="196">
        <f t="shared" si="8"/>
        <v>26.75</v>
      </c>
      <c r="H535" s="196">
        <v>300</v>
      </c>
      <c r="I535" s="196" t="s">
        <v>1760</v>
      </c>
      <c r="J535" s="196"/>
    </row>
    <row r="536" spans="1:10" ht="14.4" hidden="1" outlineLevel="1">
      <c r="A536" s="196" t="s">
        <v>351</v>
      </c>
      <c r="B536" s="197">
        <v>41110</v>
      </c>
      <c r="C536" s="196" t="s">
        <v>1756</v>
      </c>
      <c r="D536" s="196">
        <v>55</v>
      </c>
      <c r="E536" s="196" t="s">
        <v>1757</v>
      </c>
      <c r="F536" s="196">
        <v>53</v>
      </c>
      <c r="G536" s="196">
        <f t="shared" si="8"/>
        <v>26.5</v>
      </c>
      <c r="H536" s="196">
        <v>4851</v>
      </c>
      <c r="I536" s="196" t="s">
        <v>1758</v>
      </c>
      <c r="J536" s="196"/>
    </row>
    <row r="537" spans="1:10" ht="14.4" hidden="1" outlineLevel="1">
      <c r="A537" s="196" t="s">
        <v>351</v>
      </c>
      <c r="B537" s="197">
        <v>41113</v>
      </c>
      <c r="C537" s="196" t="s">
        <v>1754</v>
      </c>
      <c r="D537" s="196">
        <v>51.4</v>
      </c>
      <c r="E537" s="196" t="s">
        <v>1754</v>
      </c>
      <c r="F537" s="196">
        <v>51.4</v>
      </c>
      <c r="G537" s="196">
        <f t="shared" si="8"/>
        <v>25.7</v>
      </c>
      <c r="H537" s="196">
        <v>26</v>
      </c>
      <c r="I537" s="196" t="s">
        <v>1755</v>
      </c>
      <c r="J537" s="196"/>
    </row>
    <row r="538" spans="1:10" ht="14.4" hidden="1" outlineLevel="1">
      <c r="A538" s="196" t="s">
        <v>351</v>
      </c>
      <c r="B538" s="197">
        <v>41114</v>
      </c>
      <c r="C538" s="196" t="s">
        <v>1732</v>
      </c>
      <c r="D538" s="196">
        <v>52</v>
      </c>
      <c r="E538" s="196" t="s">
        <v>1747</v>
      </c>
      <c r="F538" s="196">
        <v>51.8</v>
      </c>
      <c r="G538" s="196">
        <f t="shared" si="8"/>
        <v>25.9</v>
      </c>
      <c r="H538" s="196">
        <v>2850</v>
      </c>
      <c r="I538" s="196" t="s">
        <v>1753</v>
      </c>
      <c r="J538" s="196"/>
    </row>
    <row r="539" spans="1:10" ht="14.4" hidden="1" outlineLevel="1">
      <c r="A539" s="196" t="s">
        <v>351</v>
      </c>
      <c r="B539" s="197">
        <v>41115</v>
      </c>
      <c r="C539" s="196" t="s">
        <v>1741</v>
      </c>
      <c r="D539" s="196">
        <v>52</v>
      </c>
      <c r="E539" s="196" t="s">
        <v>1741</v>
      </c>
      <c r="F539" s="196">
        <v>52</v>
      </c>
      <c r="G539" s="196">
        <f t="shared" si="8"/>
        <v>26</v>
      </c>
      <c r="H539" s="196">
        <v>4700</v>
      </c>
      <c r="I539" s="196" t="s">
        <v>1752</v>
      </c>
      <c r="J539" s="196"/>
    </row>
    <row r="540" spans="1:10" ht="14.4" hidden="1" outlineLevel="1">
      <c r="A540" s="196" t="s">
        <v>351</v>
      </c>
      <c r="B540" s="197">
        <v>41116</v>
      </c>
      <c r="C540" s="196" t="s">
        <v>1747</v>
      </c>
      <c r="D540" s="196">
        <v>52.9</v>
      </c>
      <c r="E540" s="196" t="s">
        <v>1750</v>
      </c>
      <c r="F540" s="196">
        <v>52</v>
      </c>
      <c r="G540" s="196">
        <f t="shared" si="8"/>
        <v>26</v>
      </c>
      <c r="H540" s="196">
        <v>23310</v>
      </c>
      <c r="I540" s="196" t="s">
        <v>1751</v>
      </c>
      <c r="J540" s="196"/>
    </row>
    <row r="541" spans="1:10" ht="14.4" hidden="1" outlineLevel="1">
      <c r="A541" s="196" t="s">
        <v>351</v>
      </c>
      <c r="B541" s="197">
        <v>41117</v>
      </c>
      <c r="C541" s="196" t="s">
        <v>1747</v>
      </c>
      <c r="D541" s="196">
        <v>52</v>
      </c>
      <c r="E541" s="196" t="s">
        <v>1748</v>
      </c>
      <c r="F541" s="196">
        <v>51.7</v>
      </c>
      <c r="G541" s="196">
        <f t="shared" si="8"/>
        <v>25.85</v>
      </c>
      <c r="H541" s="196">
        <v>44130</v>
      </c>
      <c r="I541" s="196" t="s">
        <v>1749</v>
      </c>
      <c r="J541" s="196"/>
    </row>
    <row r="542" spans="1:10" ht="14.4" hidden="1" outlineLevel="1">
      <c r="A542" s="196" t="s">
        <v>351</v>
      </c>
      <c r="B542" s="197">
        <v>41120</v>
      </c>
      <c r="C542" s="196" t="s">
        <v>1732</v>
      </c>
      <c r="D542" s="196">
        <v>55</v>
      </c>
      <c r="E542" s="196" t="s">
        <v>1745</v>
      </c>
      <c r="F542" s="196">
        <v>51.9</v>
      </c>
      <c r="G542" s="196">
        <f t="shared" si="8"/>
        <v>25.95</v>
      </c>
      <c r="H542" s="196">
        <v>211337</v>
      </c>
      <c r="I542" s="196" t="s">
        <v>1746</v>
      </c>
      <c r="J542" s="196"/>
    </row>
    <row r="543" spans="1:10" ht="14.4" hidden="1" outlineLevel="1">
      <c r="A543" s="196" t="s">
        <v>351</v>
      </c>
      <c r="B543" s="197">
        <v>41121</v>
      </c>
      <c r="C543" s="196" t="s">
        <v>1732</v>
      </c>
      <c r="D543" s="196">
        <v>52</v>
      </c>
      <c r="E543" s="196" t="s">
        <v>1743</v>
      </c>
      <c r="F543" s="196">
        <v>51.9</v>
      </c>
      <c r="G543" s="196">
        <f t="shared" si="8"/>
        <v>25.95</v>
      </c>
      <c r="H543" s="196">
        <v>19931</v>
      </c>
      <c r="I543" s="196" t="s">
        <v>1744</v>
      </c>
      <c r="J543" s="196"/>
    </row>
    <row r="544" spans="1:10" ht="14.4" hidden="1" outlineLevel="1">
      <c r="A544" s="196" t="s">
        <v>351</v>
      </c>
      <c r="B544" s="197">
        <v>41123</v>
      </c>
      <c r="C544" s="196" t="s">
        <v>1740</v>
      </c>
      <c r="D544" s="196">
        <v>54</v>
      </c>
      <c r="E544" s="196" t="s">
        <v>1741</v>
      </c>
      <c r="F544" s="196">
        <v>52.8</v>
      </c>
      <c r="G544" s="196">
        <f t="shared" si="8"/>
        <v>26.4</v>
      </c>
      <c r="H544" s="196">
        <v>21720</v>
      </c>
      <c r="I544" s="196" t="s">
        <v>1742</v>
      </c>
      <c r="J544" s="196"/>
    </row>
    <row r="545" spans="1:10" ht="14.4" hidden="1" outlineLevel="1">
      <c r="A545" s="196" t="s">
        <v>351</v>
      </c>
      <c r="B545" s="197">
        <v>41124</v>
      </c>
      <c r="C545" s="196" t="s">
        <v>1727</v>
      </c>
      <c r="D545" s="196">
        <v>54.4</v>
      </c>
      <c r="E545" s="196" t="s">
        <v>1728</v>
      </c>
      <c r="F545" s="196">
        <v>53.5</v>
      </c>
      <c r="G545" s="196">
        <f t="shared" si="8"/>
        <v>26.75</v>
      </c>
      <c r="H545" s="196">
        <v>137095</v>
      </c>
      <c r="I545" s="196" t="s">
        <v>1739</v>
      </c>
      <c r="J545" s="196"/>
    </row>
    <row r="546" spans="1:10" ht="14.4" hidden="1" outlineLevel="1">
      <c r="A546" s="196" t="s">
        <v>351</v>
      </c>
      <c r="B546" s="197">
        <v>41127</v>
      </c>
      <c r="C546" s="196" t="s">
        <v>1736</v>
      </c>
      <c r="D546" s="196">
        <v>54</v>
      </c>
      <c r="E546" s="196" t="s">
        <v>1736</v>
      </c>
      <c r="F546" s="196">
        <v>53.6</v>
      </c>
      <c r="G546" s="196">
        <f t="shared" si="8"/>
        <v>26.8</v>
      </c>
      <c r="H546" s="196">
        <v>175996</v>
      </c>
      <c r="I546" s="196" t="s">
        <v>1738</v>
      </c>
      <c r="J546" s="196"/>
    </row>
    <row r="547" spans="1:10" ht="14.4" hidden="1" outlineLevel="1">
      <c r="A547" s="196" t="s">
        <v>351</v>
      </c>
      <c r="B547" s="197">
        <v>41128</v>
      </c>
      <c r="C547" s="196" t="s">
        <v>1736</v>
      </c>
      <c r="D547" s="196">
        <v>53.6</v>
      </c>
      <c r="E547" s="196" t="s">
        <v>1736</v>
      </c>
      <c r="F547" s="196">
        <v>53.6</v>
      </c>
      <c r="G547" s="196">
        <f t="shared" si="8"/>
        <v>26.8</v>
      </c>
      <c r="H547" s="196">
        <v>1000</v>
      </c>
      <c r="I547" s="196" t="s">
        <v>1737</v>
      </c>
      <c r="J547" s="196"/>
    </row>
    <row r="548" spans="1:10" ht="14.4" hidden="1" outlineLevel="1">
      <c r="A548" s="196" t="s">
        <v>351</v>
      </c>
      <c r="B548" s="197">
        <v>41129</v>
      </c>
      <c r="C548" s="196" t="s">
        <v>1722</v>
      </c>
      <c r="D548" s="196">
        <v>53.9</v>
      </c>
      <c r="E548" s="196" t="s">
        <v>1722</v>
      </c>
      <c r="F548" s="196">
        <v>53.9</v>
      </c>
      <c r="G548" s="196">
        <f t="shared" si="8"/>
        <v>26.95</v>
      </c>
      <c r="H548" s="196">
        <v>10</v>
      </c>
      <c r="I548" s="196" t="s">
        <v>1735</v>
      </c>
      <c r="J548" s="196"/>
    </row>
    <row r="549" spans="1:10" ht="14.4" hidden="1" outlineLevel="1">
      <c r="A549" s="196" t="s">
        <v>351</v>
      </c>
      <c r="B549" s="197">
        <v>41130</v>
      </c>
      <c r="C549" s="196" t="s">
        <v>1722</v>
      </c>
      <c r="D549" s="196">
        <v>53.9</v>
      </c>
      <c r="E549" s="196" t="s">
        <v>1722</v>
      </c>
      <c r="F549" s="196">
        <v>53.9</v>
      </c>
      <c r="G549" s="196">
        <f t="shared" si="8"/>
        <v>26.95</v>
      </c>
      <c r="H549" s="196">
        <v>15</v>
      </c>
      <c r="I549" s="196" t="s">
        <v>1734</v>
      </c>
      <c r="J549" s="196"/>
    </row>
    <row r="550" spans="1:10" ht="14.4" hidden="1" outlineLevel="1">
      <c r="A550" s="196" t="s">
        <v>351</v>
      </c>
      <c r="B550" s="197">
        <v>41131</v>
      </c>
      <c r="C550" s="196" t="s">
        <v>1732</v>
      </c>
      <c r="D550" s="196">
        <v>52.2</v>
      </c>
      <c r="E550" s="196" t="s">
        <v>1732</v>
      </c>
      <c r="F550" s="196">
        <v>52.1</v>
      </c>
      <c r="G550" s="196">
        <f t="shared" si="8"/>
        <v>26.05</v>
      </c>
      <c r="H550" s="196">
        <v>3165</v>
      </c>
      <c r="I550" s="196" t="s">
        <v>1733</v>
      </c>
      <c r="J550" s="196"/>
    </row>
    <row r="551" spans="1:10" ht="14.4" hidden="1" outlineLevel="1">
      <c r="A551" s="196" t="s">
        <v>351</v>
      </c>
      <c r="B551" s="197">
        <v>41134</v>
      </c>
      <c r="C551" s="196" t="s">
        <v>1730</v>
      </c>
      <c r="D551" s="196">
        <v>51.9</v>
      </c>
      <c r="E551" s="196" t="s">
        <v>1730</v>
      </c>
      <c r="F551" s="196">
        <v>51.8</v>
      </c>
      <c r="G551" s="196">
        <f t="shared" si="8"/>
        <v>25.9</v>
      </c>
      <c r="H551" s="196">
        <v>301</v>
      </c>
      <c r="I551" s="196" t="s">
        <v>1731</v>
      </c>
      <c r="J551" s="196"/>
    </row>
    <row r="552" spans="1:10" ht="14.4" hidden="1" outlineLevel="1">
      <c r="A552" s="196" t="s">
        <v>351</v>
      </c>
      <c r="B552" s="197">
        <v>41135</v>
      </c>
      <c r="C552" s="196" t="s">
        <v>1727</v>
      </c>
      <c r="D552" s="196">
        <v>53.9</v>
      </c>
      <c r="E552" s="196" t="s">
        <v>1728</v>
      </c>
      <c r="F552" s="196">
        <v>53</v>
      </c>
      <c r="G552" s="196">
        <f t="shared" si="8"/>
        <v>26.5</v>
      </c>
      <c r="H552" s="196">
        <v>8080</v>
      </c>
      <c r="I552" s="196" t="s">
        <v>1729</v>
      </c>
      <c r="J552" s="196"/>
    </row>
    <row r="553" spans="1:10" ht="14.4" hidden="1" outlineLevel="1">
      <c r="A553" s="196" t="s">
        <v>351</v>
      </c>
      <c r="B553" s="197">
        <v>41136</v>
      </c>
      <c r="C553" s="196" t="s">
        <v>1721</v>
      </c>
      <c r="D553" s="196">
        <v>54</v>
      </c>
      <c r="E553" s="196" t="s">
        <v>1722</v>
      </c>
      <c r="F553" s="196">
        <v>54</v>
      </c>
      <c r="G553" s="196">
        <f t="shared" si="8"/>
        <v>27</v>
      </c>
      <c r="H553" s="196">
        <v>11860</v>
      </c>
      <c r="I553" s="196" t="s">
        <v>1726</v>
      </c>
      <c r="J553" s="196"/>
    </row>
    <row r="554" spans="1:10" ht="14.4" hidden="1" outlineLevel="1">
      <c r="A554" s="196" t="s">
        <v>351</v>
      </c>
      <c r="B554" s="197">
        <v>41137</v>
      </c>
      <c r="C554" s="196" t="s">
        <v>1724</v>
      </c>
      <c r="D554" s="196">
        <v>54.1</v>
      </c>
      <c r="E554" s="196" t="s">
        <v>1721</v>
      </c>
      <c r="F554" s="196">
        <v>54</v>
      </c>
      <c r="G554" s="196">
        <f t="shared" si="8"/>
        <v>27</v>
      </c>
      <c r="H554" s="196">
        <v>8244</v>
      </c>
      <c r="I554" s="196" t="s">
        <v>1725</v>
      </c>
      <c r="J554" s="196"/>
    </row>
    <row r="555" spans="1:10" ht="14.4" hidden="1" outlineLevel="1">
      <c r="A555" s="196" t="s">
        <v>351</v>
      </c>
      <c r="B555" s="197">
        <v>41138</v>
      </c>
      <c r="C555" s="196" t="s">
        <v>1721</v>
      </c>
      <c r="D555" s="196">
        <v>55.1</v>
      </c>
      <c r="E555" s="196" t="s">
        <v>1722</v>
      </c>
      <c r="F555" s="196">
        <v>54.9</v>
      </c>
      <c r="G555" s="196">
        <f t="shared" si="8"/>
        <v>27.45</v>
      </c>
      <c r="H555" s="196">
        <v>11795</v>
      </c>
      <c r="I555" s="196" t="s">
        <v>1723</v>
      </c>
      <c r="J555" s="196"/>
    </row>
    <row r="556" spans="1:10" ht="14.4" hidden="1" outlineLevel="1">
      <c r="A556" s="196" t="s">
        <v>351</v>
      </c>
      <c r="B556" s="197">
        <v>41141</v>
      </c>
      <c r="C556" s="196" t="s">
        <v>1719</v>
      </c>
      <c r="D556" s="196">
        <v>56.6</v>
      </c>
      <c r="E556" s="196" t="s">
        <v>1719</v>
      </c>
      <c r="F556" s="196">
        <v>56</v>
      </c>
      <c r="G556" s="196">
        <f t="shared" si="8"/>
        <v>28</v>
      </c>
      <c r="H556" s="196">
        <v>15201</v>
      </c>
      <c r="I556" s="196" t="s">
        <v>1720</v>
      </c>
      <c r="J556" s="196"/>
    </row>
    <row r="557" spans="1:10" ht="14.4" hidden="1" outlineLevel="1">
      <c r="A557" s="196" t="s">
        <v>351</v>
      </c>
      <c r="B557" s="197">
        <v>41142</v>
      </c>
      <c r="C557" s="196" t="s">
        <v>484</v>
      </c>
      <c r="D557" s="196">
        <v>57.6</v>
      </c>
      <c r="E557" s="196" t="s">
        <v>484</v>
      </c>
      <c r="F557" s="196">
        <v>57</v>
      </c>
      <c r="G557" s="196">
        <f t="shared" si="8"/>
        <v>28.5</v>
      </c>
      <c r="H557" s="196">
        <v>12228</v>
      </c>
      <c r="I557" s="196" t="s">
        <v>1718</v>
      </c>
      <c r="J557" s="196"/>
    </row>
    <row r="558" spans="1:10" ht="14.4" hidden="1" outlineLevel="1">
      <c r="A558" s="196" t="s">
        <v>351</v>
      </c>
      <c r="B558" s="197">
        <v>41143</v>
      </c>
      <c r="C558" s="196" t="s">
        <v>1715</v>
      </c>
      <c r="D558" s="196">
        <v>58.6</v>
      </c>
      <c r="E558" s="196" t="s">
        <v>1716</v>
      </c>
      <c r="F558" s="196">
        <v>58</v>
      </c>
      <c r="G558" s="196">
        <f t="shared" si="8"/>
        <v>29</v>
      </c>
      <c r="H558" s="196">
        <v>195822</v>
      </c>
      <c r="I558" s="196" t="s">
        <v>1717</v>
      </c>
      <c r="J558" s="196"/>
    </row>
    <row r="559" spans="1:10" ht="14.4" hidden="1" outlineLevel="1">
      <c r="A559" s="196" t="s">
        <v>351</v>
      </c>
      <c r="B559" s="197">
        <v>41144</v>
      </c>
      <c r="C559" s="196" t="s">
        <v>468</v>
      </c>
      <c r="D559" s="196">
        <v>58.8</v>
      </c>
      <c r="E559" s="196" t="s">
        <v>469</v>
      </c>
      <c r="F559" s="196">
        <v>58</v>
      </c>
      <c r="G559" s="196">
        <f t="shared" si="8"/>
        <v>29</v>
      </c>
      <c r="H559" s="196">
        <v>40940</v>
      </c>
      <c r="I559" s="196" t="s">
        <v>1714</v>
      </c>
      <c r="J559" s="196"/>
    </row>
    <row r="560" spans="1:10" ht="14.4" hidden="1" outlineLevel="1">
      <c r="A560" s="196" t="s">
        <v>351</v>
      </c>
      <c r="B560" s="197">
        <v>41145</v>
      </c>
      <c r="C560" s="196" t="s">
        <v>1712</v>
      </c>
      <c r="D560" s="196">
        <v>58.5</v>
      </c>
      <c r="E560" s="196" t="s">
        <v>1712</v>
      </c>
      <c r="F560" s="196">
        <v>57.5</v>
      </c>
      <c r="G560" s="196">
        <f t="shared" si="8"/>
        <v>28.75</v>
      </c>
      <c r="H560" s="196">
        <v>25540</v>
      </c>
      <c r="I560" s="196" t="s">
        <v>1713</v>
      </c>
      <c r="J560" s="196"/>
    </row>
    <row r="561" spans="1:10" ht="14.4" hidden="1" outlineLevel="1">
      <c r="A561" s="196" t="s">
        <v>351</v>
      </c>
      <c r="B561" s="197">
        <v>41148</v>
      </c>
      <c r="C561" s="196" t="s">
        <v>468</v>
      </c>
      <c r="D561" s="196">
        <v>59.3</v>
      </c>
      <c r="E561" s="196" t="s">
        <v>468</v>
      </c>
      <c r="F561" s="196">
        <v>58.8</v>
      </c>
      <c r="G561" s="196">
        <f t="shared" si="8"/>
        <v>29.4</v>
      </c>
      <c r="H561" s="196">
        <v>83114</v>
      </c>
      <c r="I561" s="196" t="s">
        <v>1711</v>
      </c>
      <c r="J561" s="196"/>
    </row>
    <row r="562" spans="1:10" ht="14.4" hidden="1" outlineLevel="1">
      <c r="A562" s="196" t="s">
        <v>351</v>
      </c>
      <c r="B562" s="197">
        <v>41149</v>
      </c>
      <c r="C562" s="196" t="s">
        <v>1709</v>
      </c>
      <c r="D562" s="196">
        <v>62.8</v>
      </c>
      <c r="E562" s="196" t="s">
        <v>1709</v>
      </c>
      <c r="F562" s="196">
        <v>61</v>
      </c>
      <c r="G562" s="196">
        <f t="shared" si="8"/>
        <v>30.5</v>
      </c>
      <c r="H562" s="196">
        <v>370630</v>
      </c>
      <c r="I562" s="196" t="s">
        <v>1710</v>
      </c>
      <c r="J562" s="196"/>
    </row>
    <row r="563" spans="1:10" ht="14.4" hidden="1" outlineLevel="1">
      <c r="A563" s="196" t="s">
        <v>351</v>
      </c>
      <c r="B563" s="197">
        <v>41150</v>
      </c>
      <c r="C563" s="196" t="s">
        <v>1315</v>
      </c>
      <c r="D563" s="196">
        <v>61</v>
      </c>
      <c r="E563" s="196" t="s">
        <v>1351</v>
      </c>
      <c r="F563" s="196">
        <v>60.7</v>
      </c>
      <c r="G563" s="196">
        <f t="shared" si="8"/>
        <v>30.35</v>
      </c>
      <c r="H563" s="196">
        <v>71322</v>
      </c>
      <c r="I563" s="196" t="s">
        <v>1708</v>
      </c>
      <c r="J563" s="196"/>
    </row>
    <row r="564" spans="1:10" ht="14.4" hidden="1" outlineLevel="1">
      <c r="A564" s="196" t="s">
        <v>351</v>
      </c>
      <c r="B564" s="197">
        <v>41151</v>
      </c>
      <c r="C564" s="196" t="s">
        <v>1351</v>
      </c>
      <c r="D564" s="196">
        <v>61</v>
      </c>
      <c r="E564" s="196" t="s">
        <v>1351</v>
      </c>
      <c r="F564" s="196">
        <v>60.7</v>
      </c>
      <c r="G564" s="196">
        <f t="shared" si="8"/>
        <v>30.35</v>
      </c>
      <c r="H564" s="196">
        <v>63513</v>
      </c>
      <c r="I564" s="196" t="s">
        <v>1707</v>
      </c>
      <c r="J564" s="196"/>
    </row>
    <row r="565" spans="1:10" ht="14.4" hidden="1" outlineLevel="1">
      <c r="A565" s="196" t="s">
        <v>351</v>
      </c>
      <c r="B565" s="197">
        <v>41155</v>
      </c>
      <c r="C565" s="196" t="s">
        <v>1417</v>
      </c>
      <c r="D565" s="196">
        <v>63.8</v>
      </c>
      <c r="E565" s="196" t="s">
        <v>1310</v>
      </c>
      <c r="F565" s="196">
        <v>63.2</v>
      </c>
      <c r="G565" s="196">
        <f t="shared" si="8"/>
        <v>31.6</v>
      </c>
      <c r="H565" s="196">
        <v>8528</v>
      </c>
      <c r="I565" s="196" t="s">
        <v>1706</v>
      </c>
      <c r="J565" s="196"/>
    </row>
    <row r="566" spans="1:10" ht="14.4" hidden="1" outlineLevel="1">
      <c r="A566" s="196" t="s">
        <v>351</v>
      </c>
      <c r="B566" s="197">
        <v>41156</v>
      </c>
      <c r="C566" s="196" t="s">
        <v>1295</v>
      </c>
      <c r="D566" s="196">
        <v>64.5</v>
      </c>
      <c r="E566" s="196" t="s">
        <v>1343</v>
      </c>
      <c r="F566" s="196">
        <v>63</v>
      </c>
      <c r="G566" s="196">
        <f t="shared" si="8"/>
        <v>31.5</v>
      </c>
      <c r="H566" s="196">
        <v>18872</v>
      </c>
      <c r="I566" s="196" t="s">
        <v>1705</v>
      </c>
      <c r="J566" s="196"/>
    </row>
    <row r="567" spans="1:10" s="192" customFormat="1" ht="14.4" hidden="1" outlineLevel="1">
      <c r="A567" s="196" t="s">
        <v>351</v>
      </c>
      <c r="B567" s="197">
        <v>41157</v>
      </c>
      <c r="C567" s="196" t="s">
        <v>1302</v>
      </c>
      <c r="D567" s="196">
        <v>63</v>
      </c>
      <c r="E567" s="196" t="s">
        <v>1310</v>
      </c>
      <c r="F567" s="196">
        <v>63</v>
      </c>
      <c r="G567" s="196">
        <f t="shared" si="8"/>
        <v>31.5</v>
      </c>
      <c r="H567" s="196">
        <v>240210</v>
      </c>
      <c r="I567" s="196" t="s">
        <v>1704</v>
      </c>
      <c r="J567" s="196"/>
    </row>
    <row r="568" spans="1:10" ht="14.4" hidden="1" outlineLevel="1">
      <c r="A568" s="196" t="s">
        <v>351</v>
      </c>
      <c r="B568" s="197">
        <v>41158</v>
      </c>
      <c r="C568" s="196" t="s">
        <v>1343</v>
      </c>
      <c r="D568" s="196">
        <v>64</v>
      </c>
      <c r="E568" s="196" t="s">
        <v>1310</v>
      </c>
      <c r="F568" s="196">
        <v>63.8</v>
      </c>
      <c r="G568" s="196">
        <f t="shared" si="8"/>
        <v>31.9</v>
      </c>
      <c r="H568" s="196">
        <v>79278</v>
      </c>
      <c r="I568" s="196" t="s">
        <v>1703</v>
      </c>
      <c r="J568" s="196"/>
    </row>
    <row r="569" spans="1:10" ht="14.4" hidden="1" outlineLevel="1">
      <c r="A569" s="196" t="s">
        <v>351</v>
      </c>
      <c r="B569" s="197">
        <v>41159</v>
      </c>
      <c r="C569" s="196" t="s">
        <v>1244</v>
      </c>
      <c r="D569" s="196">
        <v>64.7</v>
      </c>
      <c r="E569" s="196" t="s">
        <v>1253</v>
      </c>
      <c r="F569" s="196">
        <v>64.2</v>
      </c>
      <c r="G569" s="196">
        <f t="shared" si="8"/>
        <v>32.1</v>
      </c>
      <c r="H569" s="196">
        <v>5897</v>
      </c>
      <c r="I569" s="196" t="s">
        <v>1702</v>
      </c>
      <c r="J569" s="196"/>
    </row>
    <row r="570" spans="1:10" ht="14.4" hidden="1" outlineLevel="1">
      <c r="A570" s="196" t="s">
        <v>351</v>
      </c>
      <c r="B570" s="197">
        <v>41162</v>
      </c>
      <c r="C570" s="196" t="s">
        <v>1287</v>
      </c>
      <c r="D570" s="196">
        <v>67</v>
      </c>
      <c r="E570" s="196" t="s">
        <v>1287</v>
      </c>
      <c r="F570" s="196">
        <v>66.7</v>
      </c>
      <c r="G570" s="196">
        <f t="shared" si="8"/>
        <v>33.35</v>
      </c>
      <c r="H570" s="196">
        <v>31032</v>
      </c>
      <c r="I570" s="196" t="s">
        <v>1701</v>
      </c>
      <c r="J570" s="196"/>
    </row>
    <row r="571" spans="1:10" ht="14.4" hidden="1" outlineLevel="1">
      <c r="A571" s="196" t="s">
        <v>351</v>
      </c>
      <c r="B571" s="197">
        <v>41163</v>
      </c>
      <c r="C571" s="196" t="s">
        <v>1222</v>
      </c>
      <c r="D571" s="196">
        <v>72</v>
      </c>
      <c r="E571" s="196" t="s">
        <v>1222</v>
      </c>
      <c r="F571" s="196">
        <v>68.099999999999994</v>
      </c>
      <c r="G571" s="196">
        <f t="shared" si="8"/>
        <v>34.049999999999997</v>
      </c>
      <c r="H571" s="196">
        <v>25352</v>
      </c>
      <c r="I571" s="196" t="s">
        <v>1700</v>
      </c>
      <c r="J571" s="196"/>
    </row>
    <row r="572" spans="1:10" ht="14.4" hidden="1" outlineLevel="1">
      <c r="A572" s="196" t="s">
        <v>351</v>
      </c>
      <c r="B572" s="197">
        <v>41164</v>
      </c>
      <c r="C572" s="196" t="s">
        <v>1498</v>
      </c>
      <c r="D572" s="196">
        <v>68.900000000000006</v>
      </c>
      <c r="E572" s="196" t="s">
        <v>1242</v>
      </c>
      <c r="F572" s="196">
        <v>65</v>
      </c>
      <c r="G572" s="196">
        <f t="shared" si="8"/>
        <v>32.5</v>
      </c>
      <c r="H572" s="196">
        <v>7128</v>
      </c>
      <c r="I572" s="196" t="s">
        <v>1699</v>
      </c>
      <c r="J572" s="196"/>
    </row>
    <row r="573" spans="1:10" ht="14.4" hidden="1" outlineLevel="1">
      <c r="A573" s="196" t="s">
        <v>351</v>
      </c>
      <c r="B573" s="197">
        <v>41165</v>
      </c>
      <c r="C573" s="196" t="s">
        <v>1380</v>
      </c>
      <c r="D573" s="196">
        <v>72</v>
      </c>
      <c r="E573" s="196" t="s">
        <v>1380</v>
      </c>
      <c r="F573" s="196">
        <v>70.3</v>
      </c>
      <c r="G573" s="196">
        <f t="shared" si="8"/>
        <v>35.15</v>
      </c>
      <c r="H573" s="196">
        <v>130776</v>
      </c>
      <c r="I573" s="196" t="s">
        <v>1698</v>
      </c>
      <c r="J573" s="196"/>
    </row>
    <row r="574" spans="1:10" ht="14.4" hidden="1" outlineLevel="1">
      <c r="A574" s="196" t="s">
        <v>351</v>
      </c>
      <c r="B574" s="197">
        <v>41166</v>
      </c>
      <c r="C574" s="196" t="s">
        <v>1161</v>
      </c>
      <c r="D574" s="196">
        <v>73</v>
      </c>
      <c r="E574" s="196" t="s">
        <v>1224</v>
      </c>
      <c r="F574" s="196">
        <v>72.900000000000006</v>
      </c>
      <c r="G574" s="196">
        <f t="shared" si="8"/>
        <v>36.450000000000003</v>
      </c>
      <c r="H574" s="196">
        <v>207453</v>
      </c>
      <c r="I574" s="196" t="s">
        <v>1697</v>
      </c>
      <c r="J574" s="196"/>
    </row>
    <row r="575" spans="1:10" ht="14.4" hidden="1" outlineLevel="1">
      <c r="A575" s="196" t="s">
        <v>351</v>
      </c>
      <c r="B575" s="197">
        <v>41169</v>
      </c>
      <c r="C575" s="196" t="s">
        <v>1376</v>
      </c>
      <c r="D575" s="196">
        <v>75</v>
      </c>
      <c r="E575" s="196" t="s">
        <v>1127</v>
      </c>
      <c r="F575" s="196">
        <v>74.3</v>
      </c>
      <c r="G575" s="196">
        <f t="shared" si="8"/>
        <v>37.15</v>
      </c>
      <c r="H575" s="196">
        <v>69931</v>
      </c>
      <c r="I575" s="196" t="s">
        <v>1696</v>
      </c>
      <c r="J575" s="196"/>
    </row>
    <row r="576" spans="1:10" ht="14.4" hidden="1" outlineLevel="1">
      <c r="A576" s="196" t="s">
        <v>351</v>
      </c>
      <c r="B576" s="197">
        <v>41170</v>
      </c>
      <c r="C576" s="196" t="s">
        <v>1119</v>
      </c>
      <c r="D576" s="196">
        <v>74</v>
      </c>
      <c r="E576" s="196" t="s">
        <v>1183</v>
      </c>
      <c r="F576" s="196">
        <v>73.099999999999994</v>
      </c>
      <c r="G576" s="196">
        <f t="shared" si="8"/>
        <v>36.549999999999997</v>
      </c>
      <c r="H576" s="196">
        <v>65320</v>
      </c>
      <c r="I576" s="196" t="s">
        <v>1695</v>
      </c>
      <c r="J576" s="196"/>
    </row>
    <row r="577" spans="1:10" ht="14.4" hidden="1" outlineLevel="1">
      <c r="A577" s="196" t="s">
        <v>351</v>
      </c>
      <c r="B577" s="197">
        <v>41171</v>
      </c>
      <c r="C577" s="196" t="s">
        <v>1161</v>
      </c>
      <c r="D577" s="196">
        <v>73.5</v>
      </c>
      <c r="E577" s="196" t="s">
        <v>1161</v>
      </c>
      <c r="F577" s="196">
        <v>71.099999999999994</v>
      </c>
      <c r="G577" s="196">
        <f t="shared" si="8"/>
        <v>35.549999999999997</v>
      </c>
      <c r="H577" s="196">
        <v>13201</v>
      </c>
      <c r="I577" s="196" t="s">
        <v>1694</v>
      </c>
      <c r="J577" s="196"/>
    </row>
    <row r="578" spans="1:10" ht="14.4" hidden="1" outlineLevel="1">
      <c r="A578" s="196" t="s">
        <v>351</v>
      </c>
      <c r="B578" s="197">
        <v>41172</v>
      </c>
      <c r="C578" s="196" t="s">
        <v>1161</v>
      </c>
      <c r="D578" s="196">
        <v>73.400000000000006</v>
      </c>
      <c r="E578" s="196" t="s">
        <v>1211</v>
      </c>
      <c r="F578" s="196">
        <v>70.099999999999994</v>
      </c>
      <c r="G578" s="196">
        <f t="shared" si="8"/>
        <v>35.049999999999997</v>
      </c>
      <c r="H578" s="196">
        <v>13625</v>
      </c>
      <c r="I578" s="196" t="s">
        <v>1693</v>
      </c>
      <c r="J578" s="196"/>
    </row>
    <row r="579" spans="1:10" ht="14.4" hidden="1" outlineLevel="1">
      <c r="A579" s="196" t="s">
        <v>351</v>
      </c>
      <c r="B579" s="197">
        <v>41173</v>
      </c>
      <c r="C579" s="196" t="s">
        <v>1211</v>
      </c>
      <c r="D579" s="196">
        <v>72</v>
      </c>
      <c r="E579" s="196" t="s">
        <v>1211</v>
      </c>
      <c r="F579" s="196">
        <v>70</v>
      </c>
      <c r="G579" s="196">
        <f t="shared" si="8"/>
        <v>35</v>
      </c>
      <c r="H579" s="196">
        <v>5701</v>
      </c>
      <c r="I579" s="196" t="s">
        <v>1692</v>
      </c>
      <c r="J579" s="196"/>
    </row>
    <row r="580" spans="1:10" ht="14.4" hidden="1" outlineLevel="1">
      <c r="A580" s="196" t="s">
        <v>351</v>
      </c>
      <c r="B580" s="197">
        <v>41176</v>
      </c>
      <c r="C580" s="196" t="s">
        <v>1169</v>
      </c>
      <c r="D580" s="196">
        <v>72</v>
      </c>
      <c r="E580" s="196" t="s">
        <v>1690</v>
      </c>
      <c r="F580" s="196">
        <v>68.7</v>
      </c>
      <c r="G580" s="196">
        <f t="shared" si="8"/>
        <v>34.35</v>
      </c>
      <c r="H580" s="196">
        <v>23408</v>
      </c>
      <c r="I580" s="196" t="s">
        <v>1691</v>
      </c>
      <c r="J580" s="196"/>
    </row>
    <row r="581" spans="1:10" ht="14.4" hidden="1" outlineLevel="1">
      <c r="A581" s="196" t="s">
        <v>351</v>
      </c>
      <c r="B581" s="197">
        <v>41177</v>
      </c>
      <c r="C581" s="196" t="s">
        <v>1228</v>
      </c>
      <c r="D581" s="196">
        <v>71.5</v>
      </c>
      <c r="E581" s="196" t="s">
        <v>1228</v>
      </c>
      <c r="F581" s="196">
        <v>71.3</v>
      </c>
      <c r="G581" s="196">
        <f t="shared" ref="G581:G644" si="9">F581/2</f>
        <v>35.65</v>
      </c>
      <c r="H581" s="196">
        <v>5460</v>
      </c>
      <c r="I581" s="196" t="s">
        <v>1689</v>
      </c>
      <c r="J581" s="196"/>
    </row>
    <row r="582" spans="1:10" ht="14.4" hidden="1" outlineLevel="1">
      <c r="A582" s="196" t="s">
        <v>351</v>
      </c>
      <c r="B582" s="197">
        <v>41178</v>
      </c>
      <c r="C582" s="196" t="s">
        <v>1164</v>
      </c>
      <c r="D582" s="196">
        <v>75</v>
      </c>
      <c r="E582" s="196" t="s">
        <v>1178</v>
      </c>
      <c r="F582" s="196">
        <v>74.7</v>
      </c>
      <c r="G582" s="196">
        <f t="shared" si="9"/>
        <v>37.35</v>
      </c>
      <c r="H582" s="196">
        <v>223024</v>
      </c>
      <c r="I582" s="196" t="s">
        <v>1688</v>
      </c>
      <c r="J582" s="196"/>
    </row>
    <row r="583" spans="1:10" ht="14.4" hidden="1" outlineLevel="1">
      <c r="A583" s="196" t="s">
        <v>351</v>
      </c>
      <c r="B583" s="197">
        <v>41179</v>
      </c>
      <c r="C583" s="196" t="s">
        <v>972</v>
      </c>
      <c r="D583" s="196">
        <v>76</v>
      </c>
      <c r="E583" s="196" t="s">
        <v>1516</v>
      </c>
      <c r="F583" s="196">
        <v>75</v>
      </c>
      <c r="G583" s="196">
        <f t="shared" si="9"/>
        <v>37.5</v>
      </c>
      <c r="H583" s="196">
        <v>209308</v>
      </c>
      <c r="I583" s="196" t="s">
        <v>1687</v>
      </c>
      <c r="J583" s="196"/>
    </row>
    <row r="584" spans="1:10" ht="14.4" hidden="1" outlineLevel="1">
      <c r="A584" s="196" t="s">
        <v>351</v>
      </c>
      <c r="B584" s="197">
        <v>41180</v>
      </c>
      <c r="C584" s="196" t="s">
        <v>1201</v>
      </c>
      <c r="D584" s="196">
        <v>75</v>
      </c>
      <c r="E584" s="196" t="s">
        <v>1201</v>
      </c>
      <c r="F584" s="196">
        <v>75</v>
      </c>
      <c r="G584" s="196">
        <f t="shared" si="9"/>
        <v>37.5</v>
      </c>
      <c r="H584" s="196">
        <v>208486</v>
      </c>
      <c r="I584" s="196" t="s">
        <v>1686</v>
      </c>
      <c r="J584" s="196"/>
    </row>
    <row r="585" spans="1:10" ht="14.4" hidden="1" outlineLevel="1">
      <c r="A585" s="196" t="s">
        <v>351</v>
      </c>
      <c r="B585" s="197">
        <v>41183</v>
      </c>
      <c r="C585" s="196" t="s">
        <v>1110</v>
      </c>
      <c r="D585" s="196">
        <v>74.900000000000006</v>
      </c>
      <c r="E585" s="196" t="s">
        <v>1127</v>
      </c>
      <c r="F585" s="196">
        <v>72.099999999999994</v>
      </c>
      <c r="G585" s="196">
        <f t="shared" si="9"/>
        <v>36.049999999999997</v>
      </c>
      <c r="H585" s="196">
        <v>9700</v>
      </c>
      <c r="I585" s="196" t="s">
        <v>1685</v>
      </c>
      <c r="J585" s="196"/>
    </row>
    <row r="586" spans="1:10" ht="14.4" hidden="1" outlineLevel="1">
      <c r="A586" s="196" t="s">
        <v>351</v>
      </c>
      <c r="B586" s="197">
        <v>41184</v>
      </c>
      <c r="C586" s="196" t="s">
        <v>1187</v>
      </c>
      <c r="D586" s="196">
        <v>74.8</v>
      </c>
      <c r="E586" s="196" t="s">
        <v>1187</v>
      </c>
      <c r="F586" s="196">
        <v>74.5</v>
      </c>
      <c r="G586" s="196">
        <f t="shared" si="9"/>
        <v>37.25</v>
      </c>
      <c r="H586" s="196">
        <v>1512</v>
      </c>
      <c r="I586" s="196" t="s">
        <v>1684</v>
      </c>
      <c r="J586" s="196"/>
    </row>
    <row r="587" spans="1:10" ht="14.4" hidden="1" outlineLevel="1">
      <c r="A587" s="196" t="s">
        <v>351</v>
      </c>
      <c r="B587" s="197">
        <v>41185</v>
      </c>
      <c r="C587" s="196" t="s">
        <v>1119</v>
      </c>
      <c r="D587" s="196">
        <v>74.5</v>
      </c>
      <c r="E587" s="196" t="s">
        <v>1161</v>
      </c>
      <c r="F587" s="196">
        <v>71.3</v>
      </c>
      <c r="G587" s="196">
        <f t="shared" si="9"/>
        <v>35.65</v>
      </c>
      <c r="H587" s="196">
        <v>26231</v>
      </c>
      <c r="I587" s="196" t="s">
        <v>1683</v>
      </c>
      <c r="J587" s="196"/>
    </row>
    <row r="588" spans="1:10" ht="14.4" hidden="1" outlineLevel="1">
      <c r="A588" s="196" t="s">
        <v>351</v>
      </c>
      <c r="B588" s="197">
        <v>41186</v>
      </c>
      <c r="C588" s="196" t="s">
        <v>1160</v>
      </c>
      <c r="D588" s="196">
        <v>74</v>
      </c>
      <c r="E588" s="196" t="s">
        <v>1160</v>
      </c>
      <c r="F588" s="196">
        <v>71.5</v>
      </c>
      <c r="G588" s="196">
        <f t="shared" si="9"/>
        <v>35.75</v>
      </c>
      <c r="H588" s="196">
        <v>7209</v>
      </c>
      <c r="I588" s="196" t="s">
        <v>1682</v>
      </c>
      <c r="J588" s="196"/>
    </row>
    <row r="589" spans="1:10" ht="14.4" hidden="1" outlineLevel="1">
      <c r="A589" s="196" t="s">
        <v>351</v>
      </c>
      <c r="B589" s="197">
        <v>41187</v>
      </c>
      <c r="C589" s="196" t="s">
        <v>1160</v>
      </c>
      <c r="D589" s="196">
        <v>74</v>
      </c>
      <c r="E589" s="196" t="s">
        <v>1160</v>
      </c>
      <c r="F589" s="196">
        <v>71.5</v>
      </c>
      <c r="G589" s="196">
        <f t="shared" si="9"/>
        <v>35.75</v>
      </c>
      <c r="H589" s="196">
        <v>725</v>
      </c>
      <c r="I589" s="196" t="s">
        <v>1681</v>
      </c>
      <c r="J589" s="196"/>
    </row>
    <row r="590" spans="1:10" ht="14.4" hidden="1" outlineLevel="1">
      <c r="A590" s="196" t="s">
        <v>351</v>
      </c>
      <c r="B590" s="197">
        <v>41190</v>
      </c>
      <c r="C590" s="196" t="s">
        <v>1160</v>
      </c>
      <c r="D590" s="196">
        <v>71.5</v>
      </c>
      <c r="E590" s="196" t="s">
        <v>1160</v>
      </c>
      <c r="F590" s="196">
        <v>71.5</v>
      </c>
      <c r="G590" s="196">
        <f t="shared" si="9"/>
        <v>35.75</v>
      </c>
      <c r="H590" s="196">
        <v>90</v>
      </c>
      <c r="I590" s="196" t="s">
        <v>1680</v>
      </c>
      <c r="J590" s="196"/>
    </row>
    <row r="591" spans="1:10" ht="14.4" hidden="1" outlineLevel="1">
      <c r="A591" s="196" t="s">
        <v>351</v>
      </c>
      <c r="B591" s="197">
        <v>41191</v>
      </c>
      <c r="C591" s="196" t="s">
        <v>1678</v>
      </c>
      <c r="D591" s="196">
        <v>73.8</v>
      </c>
      <c r="E591" s="196" t="s">
        <v>1202</v>
      </c>
      <c r="F591" s="196">
        <v>71.2</v>
      </c>
      <c r="G591" s="196">
        <f t="shared" si="9"/>
        <v>35.6</v>
      </c>
      <c r="H591" s="196">
        <v>24740</v>
      </c>
      <c r="I591" s="196" t="s">
        <v>1679</v>
      </c>
      <c r="J591" s="196"/>
    </row>
    <row r="592" spans="1:10" ht="14.4" hidden="1" outlineLevel="1">
      <c r="A592" s="196" t="s">
        <v>351</v>
      </c>
      <c r="B592" s="197">
        <v>41192</v>
      </c>
      <c r="C592" s="196" t="s">
        <v>1202</v>
      </c>
      <c r="D592" s="196">
        <v>71.400000000000006</v>
      </c>
      <c r="E592" s="196" t="s">
        <v>1211</v>
      </c>
      <c r="F592" s="196">
        <v>70</v>
      </c>
      <c r="G592" s="196">
        <f t="shared" si="9"/>
        <v>35</v>
      </c>
      <c r="H592" s="196">
        <v>6803</v>
      </c>
      <c r="I592" s="196" t="s">
        <v>1677</v>
      </c>
      <c r="J592" s="196"/>
    </row>
    <row r="593" spans="1:10" ht="14.4" hidden="1" outlineLevel="1">
      <c r="A593" s="196" t="s">
        <v>351</v>
      </c>
      <c r="B593" s="197">
        <v>41193</v>
      </c>
      <c r="C593" s="196" t="s">
        <v>1211</v>
      </c>
      <c r="D593" s="196">
        <v>70.099999999999994</v>
      </c>
      <c r="E593" s="196" t="s">
        <v>1211</v>
      </c>
      <c r="F593" s="196">
        <v>70</v>
      </c>
      <c r="G593" s="196">
        <f t="shared" si="9"/>
        <v>35</v>
      </c>
      <c r="H593" s="196">
        <v>15558</v>
      </c>
      <c r="I593" s="196" t="s">
        <v>1676</v>
      </c>
      <c r="J593" s="196"/>
    </row>
    <row r="594" spans="1:10" ht="14.4" hidden="1" outlineLevel="1">
      <c r="A594" s="196" t="s">
        <v>351</v>
      </c>
      <c r="B594" s="197">
        <v>41197</v>
      </c>
      <c r="C594" s="196" t="s">
        <v>1547</v>
      </c>
      <c r="D594" s="196">
        <v>70</v>
      </c>
      <c r="E594" s="196" t="s">
        <v>1366</v>
      </c>
      <c r="F594" s="196">
        <v>69.599999999999994</v>
      </c>
      <c r="G594" s="196">
        <f t="shared" si="9"/>
        <v>34.799999999999997</v>
      </c>
      <c r="H594" s="196">
        <v>800</v>
      </c>
      <c r="I594" s="196" t="s">
        <v>1675</v>
      </c>
      <c r="J594" s="196"/>
    </row>
    <row r="595" spans="1:10" ht="14.4" hidden="1" outlineLevel="1">
      <c r="A595" s="196" t="s">
        <v>351</v>
      </c>
      <c r="B595" s="197">
        <v>41198</v>
      </c>
      <c r="C595" s="196" t="s">
        <v>1216</v>
      </c>
      <c r="D595" s="196">
        <v>71</v>
      </c>
      <c r="E595" s="196" t="s">
        <v>1220</v>
      </c>
      <c r="F595" s="196">
        <v>69</v>
      </c>
      <c r="G595" s="196">
        <f t="shared" si="9"/>
        <v>34.5</v>
      </c>
      <c r="H595" s="196">
        <v>24240</v>
      </c>
      <c r="I595" s="196" t="s">
        <v>1674</v>
      </c>
      <c r="J595" s="196"/>
    </row>
    <row r="596" spans="1:10" ht="14.4" hidden="1" outlineLevel="1">
      <c r="A596" s="196" t="s">
        <v>351</v>
      </c>
      <c r="B596" s="197">
        <v>41199</v>
      </c>
      <c r="C596" s="196" t="s">
        <v>1216</v>
      </c>
      <c r="D596" s="196">
        <v>69</v>
      </c>
      <c r="E596" s="196" t="s">
        <v>1220</v>
      </c>
      <c r="F596" s="196">
        <v>68.5</v>
      </c>
      <c r="G596" s="196">
        <f t="shared" si="9"/>
        <v>34.25</v>
      </c>
      <c r="H596" s="196">
        <v>4563</v>
      </c>
      <c r="I596" s="196" t="s">
        <v>1673</v>
      </c>
      <c r="J596" s="196"/>
    </row>
    <row r="597" spans="1:10" ht="14.4" hidden="1" outlineLevel="1">
      <c r="A597" s="196" t="s">
        <v>351</v>
      </c>
      <c r="B597" s="197">
        <v>41200</v>
      </c>
      <c r="C597" s="196" t="s">
        <v>1220</v>
      </c>
      <c r="D597" s="196">
        <v>69</v>
      </c>
      <c r="E597" s="196" t="s">
        <v>1664</v>
      </c>
      <c r="F597" s="196">
        <v>68.2</v>
      </c>
      <c r="G597" s="196">
        <f t="shared" si="9"/>
        <v>34.1</v>
      </c>
      <c r="H597" s="196">
        <v>3401</v>
      </c>
      <c r="I597" s="196" t="s">
        <v>1672</v>
      </c>
      <c r="J597" s="196"/>
    </row>
    <row r="598" spans="1:10" ht="14.4" hidden="1" outlineLevel="1">
      <c r="A598" s="196" t="s">
        <v>351</v>
      </c>
      <c r="B598" s="197">
        <v>41201</v>
      </c>
      <c r="C598" s="196" t="s">
        <v>1220</v>
      </c>
      <c r="D598" s="196">
        <v>69</v>
      </c>
      <c r="E598" s="196" t="s">
        <v>1220</v>
      </c>
      <c r="F598" s="196">
        <v>69</v>
      </c>
      <c r="G598" s="196">
        <f t="shared" si="9"/>
        <v>34.5</v>
      </c>
      <c r="H598" s="196">
        <v>550</v>
      </c>
      <c r="I598" s="196" t="s">
        <v>1671</v>
      </c>
      <c r="J598" s="196"/>
    </row>
    <row r="599" spans="1:10" ht="14.4" hidden="1" outlineLevel="1">
      <c r="A599" s="196" t="s">
        <v>351</v>
      </c>
      <c r="B599" s="197">
        <v>41204</v>
      </c>
      <c r="C599" s="196" t="s">
        <v>1669</v>
      </c>
      <c r="D599" s="196">
        <v>68.5</v>
      </c>
      <c r="E599" s="196" t="s">
        <v>1224</v>
      </c>
      <c r="F599" s="196">
        <v>68.5</v>
      </c>
      <c r="G599" s="196">
        <f t="shared" si="9"/>
        <v>34.25</v>
      </c>
      <c r="H599" s="196">
        <v>6525</v>
      </c>
      <c r="I599" s="196" t="s">
        <v>1670</v>
      </c>
      <c r="J599" s="196"/>
    </row>
    <row r="600" spans="1:10" ht="14.4" hidden="1" outlineLevel="1">
      <c r="A600" s="196" t="s">
        <v>351</v>
      </c>
      <c r="B600" s="197">
        <v>41205</v>
      </c>
      <c r="C600" s="196" t="s">
        <v>1613</v>
      </c>
      <c r="D600" s="196">
        <v>69.400000000000006</v>
      </c>
      <c r="E600" s="196" t="s">
        <v>1216</v>
      </c>
      <c r="F600" s="196">
        <v>69</v>
      </c>
      <c r="G600" s="196">
        <f t="shared" si="9"/>
        <v>34.5</v>
      </c>
      <c r="H600" s="196">
        <v>4745</v>
      </c>
      <c r="I600" s="196" t="s">
        <v>1668</v>
      </c>
      <c r="J600" s="196"/>
    </row>
    <row r="601" spans="1:10" ht="14.4" hidden="1" outlineLevel="1">
      <c r="A601" s="196" t="s">
        <v>351</v>
      </c>
      <c r="B601" s="197">
        <v>41206</v>
      </c>
      <c r="C601" s="196" t="s">
        <v>1366</v>
      </c>
      <c r="D601" s="196">
        <v>69.5</v>
      </c>
      <c r="E601" s="196" t="s">
        <v>1224</v>
      </c>
      <c r="F601" s="196">
        <v>68.3</v>
      </c>
      <c r="G601" s="196">
        <f t="shared" si="9"/>
        <v>34.15</v>
      </c>
      <c r="H601" s="196">
        <v>2717</v>
      </c>
      <c r="I601" s="196" t="s">
        <v>1667</v>
      </c>
      <c r="J601" s="196"/>
    </row>
    <row r="602" spans="1:10" ht="14.4" hidden="1" outlineLevel="1">
      <c r="A602" s="196" t="s">
        <v>351</v>
      </c>
      <c r="B602" s="197">
        <v>41207</v>
      </c>
      <c r="C602" s="196" t="s">
        <v>1216</v>
      </c>
      <c r="D602" s="196">
        <v>69</v>
      </c>
      <c r="E602" s="196" t="s">
        <v>1216</v>
      </c>
      <c r="F602" s="196">
        <v>69</v>
      </c>
      <c r="G602" s="196">
        <f t="shared" si="9"/>
        <v>34.5</v>
      </c>
      <c r="H602" s="196">
        <v>620</v>
      </c>
      <c r="I602" s="196" t="s">
        <v>1666</v>
      </c>
      <c r="J602" s="196"/>
    </row>
    <row r="603" spans="1:10" ht="14.4" hidden="1" outlineLevel="1">
      <c r="A603" s="196" t="s">
        <v>351</v>
      </c>
      <c r="B603" s="197">
        <v>41208</v>
      </c>
      <c r="C603" s="196" t="s">
        <v>1664</v>
      </c>
      <c r="D603" s="196">
        <v>68.2</v>
      </c>
      <c r="E603" s="196" t="s">
        <v>1224</v>
      </c>
      <c r="F603" s="196">
        <v>68.099999999999994</v>
      </c>
      <c r="G603" s="196">
        <f t="shared" si="9"/>
        <v>34.049999999999997</v>
      </c>
      <c r="H603" s="196">
        <v>1056</v>
      </c>
      <c r="I603" s="196" t="s">
        <v>1665</v>
      </c>
      <c r="J603" s="196"/>
    </row>
    <row r="604" spans="1:10" ht="14.4" hidden="1" outlineLevel="1">
      <c r="A604" s="196" t="s">
        <v>351</v>
      </c>
      <c r="B604" s="197">
        <v>41212</v>
      </c>
      <c r="C604" s="196" t="s">
        <v>1498</v>
      </c>
      <c r="D604" s="196">
        <v>68.099999999999994</v>
      </c>
      <c r="E604" s="196" t="s">
        <v>1224</v>
      </c>
      <c r="F604" s="196">
        <v>68</v>
      </c>
      <c r="G604" s="196">
        <f t="shared" si="9"/>
        <v>34</v>
      </c>
      <c r="H604" s="196">
        <v>2974</v>
      </c>
      <c r="I604" s="196" t="s">
        <v>1663</v>
      </c>
      <c r="J604" s="196"/>
    </row>
    <row r="605" spans="1:10" ht="14.4" hidden="1" outlineLevel="1">
      <c r="A605" s="196" t="s">
        <v>351</v>
      </c>
      <c r="B605" s="197">
        <v>41213</v>
      </c>
      <c r="C605" s="196" t="s">
        <v>1224</v>
      </c>
      <c r="D605" s="196">
        <v>68</v>
      </c>
      <c r="E605" s="196" t="s">
        <v>1224</v>
      </c>
      <c r="F605" s="196">
        <v>68</v>
      </c>
      <c r="G605" s="196">
        <f t="shared" si="9"/>
        <v>34</v>
      </c>
      <c r="H605" s="196">
        <v>1</v>
      </c>
      <c r="I605" s="196" t="s">
        <v>1662</v>
      </c>
      <c r="J605" s="196"/>
    </row>
    <row r="606" spans="1:10" ht="14.4" hidden="1" outlineLevel="1">
      <c r="A606" s="196" t="s">
        <v>351</v>
      </c>
      <c r="B606" s="197">
        <v>41214</v>
      </c>
      <c r="C606" s="196" t="s">
        <v>1225</v>
      </c>
      <c r="D606" s="196">
        <v>68.5</v>
      </c>
      <c r="E606" s="196" t="s">
        <v>1380</v>
      </c>
      <c r="F606" s="196">
        <v>66.5</v>
      </c>
      <c r="G606" s="196">
        <f t="shared" si="9"/>
        <v>33.25</v>
      </c>
      <c r="H606" s="196">
        <v>215</v>
      </c>
      <c r="I606" s="196" t="s">
        <v>1661</v>
      </c>
      <c r="J606" s="196"/>
    </row>
    <row r="607" spans="1:10" ht="14.4" hidden="1" outlineLevel="1">
      <c r="A607" s="196" t="s">
        <v>351</v>
      </c>
      <c r="B607" s="197">
        <v>41215</v>
      </c>
      <c r="C607" s="196" t="s">
        <v>1380</v>
      </c>
      <c r="D607" s="196">
        <v>66.099999999999994</v>
      </c>
      <c r="E607" s="196" t="s">
        <v>1380</v>
      </c>
      <c r="F607" s="196">
        <v>66.099999999999994</v>
      </c>
      <c r="G607" s="196">
        <f t="shared" si="9"/>
        <v>33.049999999999997</v>
      </c>
      <c r="H607" s="196">
        <v>600</v>
      </c>
      <c r="I607" s="196" t="s">
        <v>1660</v>
      </c>
      <c r="J607" s="196"/>
    </row>
    <row r="608" spans="1:10" ht="14.4" hidden="1" outlineLevel="1">
      <c r="A608" s="196" t="s">
        <v>351</v>
      </c>
      <c r="B608" s="197">
        <v>41218</v>
      </c>
      <c r="C608" s="196" t="s">
        <v>1224</v>
      </c>
      <c r="D608" s="196">
        <v>71</v>
      </c>
      <c r="E608" s="196" t="s">
        <v>1224</v>
      </c>
      <c r="F608" s="196">
        <v>68.5</v>
      </c>
      <c r="G608" s="196">
        <f t="shared" si="9"/>
        <v>34.25</v>
      </c>
      <c r="H608" s="196">
        <v>976</v>
      </c>
      <c r="I608" s="196" t="s">
        <v>1659</v>
      </c>
      <c r="J608" s="196"/>
    </row>
    <row r="609" spans="1:10" ht="14.4" hidden="1" outlineLevel="1">
      <c r="A609" s="196" t="s">
        <v>351</v>
      </c>
      <c r="B609" s="197">
        <v>41219</v>
      </c>
      <c r="C609" s="196" t="s">
        <v>1232</v>
      </c>
      <c r="D609" s="196">
        <v>67</v>
      </c>
      <c r="E609" s="196" t="s">
        <v>1232</v>
      </c>
      <c r="F609" s="196">
        <v>67</v>
      </c>
      <c r="G609" s="196">
        <f t="shared" si="9"/>
        <v>33.5</v>
      </c>
      <c r="H609" s="196">
        <v>308</v>
      </c>
      <c r="I609" s="196" t="s">
        <v>1658</v>
      </c>
      <c r="J609" s="196"/>
    </row>
    <row r="610" spans="1:10" ht="14.4" hidden="1" outlineLevel="1">
      <c r="A610" s="196" t="s">
        <v>351</v>
      </c>
      <c r="B610" s="197">
        <v>41220</v>
      </c>
      <c r="C610" s="196" t="s">
        <v>1385</v>
      </c>
      <c r="D610" s="196">
        <v>70</v>
      </c>
      <c r="E610" s="196" t="s">
        <v>1385</v>
      </c>
      <c r="F610" s="196">
        <v>69.5</v>
      </c>
      <c r="G610" s="196">
        <f t="shared" si="9"/>
        <v>34.75</v>
      </c>
      <c r="H610" s="196">
        <v>2330</v>
      </c>
      <c r="I610" s="196" t="s">
        <v>1657</v>
      </c>
      <c r="J610" s="196"/>
    </row>
    <row r="611" spans="1:10" ht="14.4" hidden="1" outlineLevel="1">
      <c r="A611" s="196" t="s">
        <v>351</v>
      </c>
      <c r="B611" s="197">
        <v>41221</v>
      </c>
      <c r="C611" s="196" t="s">
        <v>1229</v>
      </c>
      <c r="D611" s="196">
        <v>69</v>
      </c>
      <c r="E611" s="196" t="s">
        <v>1385</v>
      </c>
      <c r="F611" s="196">
        <v>68.7</v>
      </c>
      <c r="G611" s="196">
        <f t="shared" si="9"/>
        <v>34.35</v>
      </c>
      <c r="H611" s="196">
        <v>3041</v>
      </c>
      <c r="I611" s="196" t="s">
        <v>1656</v>
      </c>
      <c r="J611" s="196"/>
    </row>
    <row r="612" spans="1:10" ht="14.4" hidden="1" outlineLevel="1">
      <c r="A612" s="196" t="s">
        <v>351</v>
      </c>
      <c r="B612" s="197">
        <v>41222</v>
      </c>
      <c r="C612" s="196" t="s">
        <v>1220</v>
      </c>
      <c r="D612" s="196">
        <v>68.5</v>
      </c>
      <c r="E612" s="196" t="s">
        <v>1385</v>
      </c>
      <c r="F612" s="196">
        <v>66.599999999999994</v>
      </c>
      <c r="G612" s="196">
        <f t="shared" si="9"/>
        <v>33.299999999999997</v>
      </c>
      <c r="H612" s="196">
        <v>1201</v>
      </c>
      <c r="I612" s="196" t="s">
        <v>1655</v>
      </c>
      <c r="J612" s="196"/>
    </row>
    <row r="613" spans="1:10" ht="14.4" hidden="1" outlineLevel="1">
      <c r="A613" s="196" t="s">
        <v>351</v>
      </c>
      <c r="B613" s="197">
        <v>41225</v>
      </c>
      <c r="C613" s="196" t="s">
        <v>1214</v>
      </c>
      <c r="D613" s="196">
        <v>69.900000000000006</v>
      </c>
      <c r="E613" s="196" t="s">
        <v>1214</v>
      </c>
      <c r="F613" s="196">
        <v>69.900000000000006</v>
      </c>
      <c r="G613" s="196">
        <f t="shared" si="9"/>
        <v>34.950000000000003</v>
      </c>
      <c r="H613" s="196">
        <v>200</v>
      </c>
      <c r="I613" s="196" t="s">
        <v>1654</v>
      </c>
      <c r="J613" s="196"/>
    </row>
    <row r="614" spans="1:10" ht="14.4" hidden="1" outlineLevel="1">
      <c r="A614" s="196" t="s">
        <v>351</v>
      </c>
      <c r="B614" s="197">
        <v>41228</v>
      </c>
      <c r="C614" s="196" t="s">
        <v>1652</v>
      </c>
      <c r="D614" s="196">
        <v>68</v>
      </c>
      <c r="E614" s="196" t="s">
        <v>1652</v>
      </c>
      <c r="F614" s="196">
        <v>68</v>
      </c>
      <c r="G614" s="196">
        <f t="shared" si="9"/>
        <v>34</v>
      </c>
      <c r="H614" s="196">
        <v>950</v>
      </c>
      <c r="I614" s="196" t="s">
        <v>1653</v>
      </c>
      <c r="J614" s="196"/>
    </row>
    <row r="615" spans="1:10" ht="14.4" hidden="1" outlineLevel="1">
      <c r="A615" s="196" t="s">
        <v>351</v>
      </c>
      <c r="B615" s="197">
        <v>41229</v>
      </c>
      <c r="C615" s="196" t="s">
        <v>1224</v>
      </c>
      <c r="D615" s="196">
        <v>68</v>
      </c>
      <c r="E615" s="196" t="s">
        <v>1224</v>
      </c>
      <c r="F615" s="196">
        <v>68</v>
      </c>
      <c r="G615" s="196">
        <f t="shared" si="9"/>
        <v>34</v>
      </c>
      <c r="H615" s="196">
        <v>2050</v>
      </c>
      <c r="I615" s="196" t="s">
        <v>1651</v>
      </c>
      <c r="J615" s="196"/>
    </row>
    <row r="616" spans="1:10" ht="14.4" hidden="1" outlineLevel="1">
      <c r="A616" s="196" t="s">
        <v>351</v>
      </c>
      <c r="B616" s="197">
        <v>41232</v>
      </c>
      <c r="C616" s="196" t="s">
        <v>1415</v>
      </c>
      <c r="D616" s="196">
        <v>66.900000000000006</v>
      </c>
      <c r="E616" s="196" t="s">
        <v>1237</v>
      </c>
      <c r="F616" s="196">
        <v>66</v>
      </c>
      <c r="G616" s="196">
        <f t="shared" si="9"/>
        <v>33</v>
      </c>
      <c r="H616" s="196">
        <v>1410</v>
      </c>
      <c r="I616" s="196" t="s">
        <v>1650</v>
      </c>
      <c r="J616" s="196"/>
    </row>
    <row r="617" spans="1:10" ht="14.4" hidden="1" outlineLevel="1">
      <c r="A617" s="196" t="s">
        <v>351</v>
      </c>
      <c r="B617" s="197">
        <v>41233</v>
      </c>
      <c r="C617" s="196" t="s">
        <v>1237</v>
      </c>
      <c r="D617" s="196">
        <v>66.099999999999994</v>
      </c>
      <c r="E617" s="196" t="s">
        <v>1240</v>
      </c>
      <c r="F617" s="196">
        <v>65.8</v>
      </c>
      <c r="G617" s="196">
        <f t="shared" si="9"/>
        <v>32.9</v>
      </c>
      <c r="H617" s="196">
        <v>2754</v>
      </c>
      <c r="I617" s="196" t="s">
        <v>1649</v>
      </c>
      <c r="J617" s="196"/>
    </row>
    <row r="618" spans="1:10" ht="14.4" hidden="1" outlineLevel="1">
      <c r="A618" s="196" t="s">
        <v>351</v>
      </c>
      <c r="B618" s="197">
        <v>41234</v>
      </c>
      <c r="C618" s="196" t="s">
        <v>1280</v>
      </c>
      <c r="D618" s="196">
        <v>65.7</v>
      </c>
      <c r="E618" s="196" t="s">
        <v>1242</v>
      </c>
      <c r="F618" s="196">
        <v>65.2</v>
      </c>
      <c r="G618" s="196">
        <f t="shared" si="9"/>
        <v>32.6</v>
      </c>
      <c r="H618" s="196">
        <v>16025</v>
      </c>
      <c r="I618" s="196" t="s">
        <v>1648</v>
      </c>
      <c r="J618" s="196"/>
    </row>
    <row r="619" spans="1:10" ht="14.4" hidden="1" outlineLevel="1">
      <c r="A619" s="196" t="s">
        <v>351</v>
      </c>
      <c r="B619" s="197">
        <v>41235</v>
      </c>
      <c r="C619" s="196" t="s">
        <v>1240</v>
      </c>
      <c r="D619" s="196">
        <v>66.8</v>
      </c>
      <c r="E619" s="196" t="s">
        <v>1242</v>
      </c>
      <c r="F619" s="196">
        <v>65.2</v>
      </c>
      <c r="G619" s="196">
        <f t="shared" si="9"/>
        <v>32.6</v>
      </c>
      <c r="H619" s="196">
        <v>46086</v>
      </c>
      <c r="I619" s="196" t="s">
        <v>1647</v>
      </c>
      <c r="J619" s="196"/>
    </row>
    <row r="620" spans="1:10" ht="14.4" hidden="1" outlineLevel="1">
      <c r="A620" s="196" t="s">
        <v>351</v>
      </c>
      <c r="B620" s="197">
        <v>41239</v>
      </c>
      <c r="C620" s="196" t="s">
        <v>1237</v>
      </c>
      <c r="D620" s="196">
        <v>66</v>
      </c>
      <c r="E620" s="196" t="s">
        <v>1362</v>
      </c>
      <c r="F620" s="196">
        <v>65.099999999999994</v>
      </c>
      <c r="G620" s="196">
        <f t="shared" si="9"/>
        <v>32.549999999999997</v>
      </c>
      <c r="H620" s="196">
        <v>2100</v>
      </c>
      <c r="I620" s="196" t="s">
        <v>1646</v>
      </c>
      <c r="J620" s="196"/>
    </row>
    <row r="621" spans="1:10" ht="14.4" hidden="1" outlineLevel="1">
      <c r="A621" s="196" t="s">
        <v>351</v>
      </c>
      <c r="B621" s="197">
        <v>41241</v>
      </c>
      <c r="C621" s="196" t="s">
        <v>1362</v>
      </c>
      <c r="D621" s="196">
        <v>65.099999999999994</v>
      </c>
      <c r="E621" s="196" t="s">
        <v>1242</v>
      </c>
      <c r="F621" s="196">
        <v>65</v>
      </c>
      <c r="G621" s="196">
        <f t="shared" si="9"/>
        <v>32.5</v>
      </c>
      <c r="H621" s="196">
        <v>4060</v>
      </c>
      <c r="I621" s="196" t="s">
        <v>1645</v>
      </c>
      <c r="J621" s="196"/>
    </row>
    <row r="622" spans="1:10" ht="14.4" hidden="1" outlineLevel="1">
      <c r="A622" s="196" t="s">
        <v>351</v>
      </c>
      <c r="B622" s="197">
        <v>41242</v>
      </c>
      <c r="C622" s="196" t="s">
        <v>1298</v>
      </c>
      <c r="D622" s="196">
        <v>65</v>
      </c>
      <c r="E622" s="196" t="s">
        <v>1343</v>
      </c>
      <c r="F622" s="196">
        <v>65</v>
      </c>
      <c r="G622" s="196">
        <f t="shared" si="9"/>
        <v>32.5</v>
      </c>
      <c r="H622" s="196">
        <v>22020</v>
      </c>
      <c r="I622" s="196" t="s">
        <v>1644</v>
      </c>
      <c r="J622" s="196"/>
    </row>
    <row r="623" spans="1:10" ht="14.4" hidden="1" outlineLevel="1">
      <c r="A623" s="196" t="s">
        <v>351</v>
      </c>
      <c r="B623" s="197">
        <v>41243</v>
      </c>
      <c r="C623" s="196" t="s">
        <v>1237</v>
      </c>
      <c r="D623" s="196">
        <v>66</v>
      </c>
      <c r="E623" s="196" t="s">
        <v>1240</v>
      </c>
      <c r="F623" s="196">
        <v>66</v>
      </c>
      <c r="G623" s="196">
        <f t="shared" si="9"/>
        <v>33</v>
      </c>
      <c r="H623" s="196">
        <v>602</v>
      </c>
      <c r="I623" s="196" t="s">
        <v>1643</v>
      </c>
      <c r="J623" s="196"/>
    </row>
    <row r="624" spans="1:10" ht="14.4" hidden="1" outlineLevel="1">
      <c r="A624" s="196" t="s">
        <v>351</v>
      </c>
      <c r="B624" s="197">
        <v>41246</v>
      </c>
      <c r="C624" s="196" t="s">
        <v>1237</v>
      </c>
      <c r="D624" s="196">
        <v>66</v>
      </c>
      <c r="E624" s="196" t="s">
        <v>1242</v>
      </c>
      <c r="F624" s="196">
        <v>65.2</v>
      </c>
      <c r="G624" s="196">
        <f t="shared" si="9"/>
        <v>32.6</v>
      </c>
      <c r="H624" s="196">
        <v>500</v>
      </c>
      <c r="I624" s="196" t="s">
        <v>1642</v>
      </c>
      <c r="J624" s="196"/>
    </row>
    <row r="625" spans="1:10" ht="14.4" hidden="1" outlineLevel="1">
      <c r="A625" s="196" t="s">
        <v>351</v>
      </c>
      <c r="B625" s="197">
        <v>41248</v>
      </c>
      <c r="C625" s="196" t="s">
        <v>1423</v>
      </c>
      <c r="D625" s="196">
        <v>65.2</v>
      </c>
      <c r="E625" s="196" t="s">
        <v>1242</v>
      </c>
      <c r="F625" s="196">
        <v>65</v>
      </c>
      <c r="G625" s="196">
        <f t="shared" si="9"/>
        <v>32.5</v>
      </c>
      <c r="H625" s="196">
        <v>189040</v>
      </c>
      <c r="I625" s="196" t="s">
        <v>1641</v>
      </c>
      <c r="J625" s="196"/>
    </row>
    <row r="626" spans="1:10" ht="14.4" hidden="1" outlineLevel="1">
      <c r="A626" s="196" t="s">
        <v>351</v>
      </c>
      <c r="B626" s="197">
        <v>41249</v>
      </c>
      <c r="C626" s="196" t="s">
        <v>1240</v>
      </c>
      <c r="D626" s="196">
        <v>65.5</v>
      </c>
      <c r="E626" s="196" t="s">
        <v>1242</v>
      </c>
      <c r="F626" s="196">
        <v>65.3</v>
      </c>
      <c r="G626" s="196">
        <f t="shared" si="9"/>
        <v>32.65</v>
      </c>
      <c r="H626" s="196">
        <v>20</v>
      </c>
      <c r="I626" s="196" t="s">
        <v>1640</v>
      </c>
      <c r="J626" s="196"/>
    </row>
    <row r="627" spans="1:10" ht="14.4" hidden="1" outlineLevel="1">
      <c r="A627" s="196" t="s">
        <v>351</v>
      </c>
      <c r="B627" s="197">
        <v>41250</v>
      </c>
      <c r="C627" s="196" t="s">
        <v>1242</v>
      </c>
      <c r="D627" s="196">
        <v>65</v>
      </c>
      <c r="E627" s="196" t="s">
        <v>1242</v>
      </c>
      <c r="F627" s="196">
        <v>65</v>
      </c>
      <c r="G627" s="196">
        <f t="shared" si="9"/>
        <v>32.5</v>
      </c>
      <c r="H627" s="196">
        <v>6608</v>
      </c>
      <c r="I627" s="196" t="s">
        <v>1639</v>
      </c>
      <c r="J627" s="196"/>
    </row>
    <row r="628" spans="1:10" ht="14.4" hidden="1" outlineLevel="1">
      <c r="A628" s="196" t="s">
        <v>351</v>
      </c>
      <c r="B628" s="197">
        <v>41253</v>
      </c>
      <c r="C628" s="196" t="s">
        <v>1242</v>
      </c>
      <c r="D628" s="196">
        <v>65</v>
      </c>
      <c r="E628" s="196" t="s">
        <v>1242</v>
      </c>
      <c r="F628" s="196">
        <v>65</v>
      </c>
      <c r="G628" s="196">
        <f t="shared" si="9"/>
        <v>32.5</v>
      </c>
      <c r="H628" s="196">
        <v>1660</v>
      </c>
      <c r="I628" s="196" t="s">
        <v>1638</v>
      </c>
      <c r="J628" s="196"/>
    </row>
    <row r="629" spans="1:10" ht="14.4" hidden="1" outlineLevel="1">
      <c r="A629" s="196" t="s">
        <v>351</v>
      </c>
      <c r="B629" s="197">
        <v>41254</v>
      </c>
      <c r="C629" s="196" t="s">
        <v>1237</v>
      </c>
      <c r="D629" s="196">
        <v>66</v>
      </c>
      <c r="E629" s="196" t="s">
        <v>1237</v>
      </c>
      <c r="F629" s="196">
        <v>66</v>
      </c>
      <c r="G629" s="196">
        <f t="shared" si="9"/>
        <v>33</v>
      </c>
      <c r="H629" s="196">
        <v>1000</v>
      </c>
      <c r="I629" s="196" t="s">
        <v>1637</v>
      </c>
      <c r="J629" s="196"/>
    </row>
    <row r="630" spans="1:10" ht="14.4" hidden="1" outlineLevel="1">
      <c r="A630" s="196" t="s">
        <v>351</v>
      </c>
      <c r="B630" s="197">
        <v>41255</v>
      </c>
      <c r="C630" s="196" t="s">
        <v>1237</v>
      </c>
      <c r="D630" s="196">
        <v>68</v>
      </c>
      <c r="E630" s="196" t="s">
        <v>1237</v>
      </c>
      <c r="F630" s="196">
        <v>67</v>
      </c>
      <c r="G630" s="196">
        <f t="shared" si="9"/>
        <v>33.5</v>
      </c>
      <c r="H630" s="196">
        <v>5057</v>
      </c>
      <c r="I630" s="196" t="s">
        <v>1636</v>
      </c>
      <c r="J630" s="196"/>
    </row>
    <row r="631" spans="1:10" ht="14.4" hidden="1" outlineLevel="1">
      <c r="A631" s="196" t="s">
        <v>351</v>
      </c>
      <c r="B631" s="197">
        <v>41256</v>
      </c>
      <c r="C631" s="196" t="s">
        <v>1498</v>
      </c>
      <c r="D631" s="196">
        <v>68.400000000000006</v>
      </c>
      <c r="E631" s="196" t="s">
        <v>1225</v>
      </c>
      <c r="F631" s="196">
        <v>67</v>
      </c>
      <c r="G631" s="196">
        <f t="shared" si="9"/>
        <v>33.5</v>
      </c>
      <c r="H631" s="196">
        <v>2103</v>
      </c>
      <c r="I631" s="196" t="s">
        <v>1635</v>
      </c>
      <c r="J631" s="196"/>
    </row>
    <row r="632" spans="1:10" ht="14.4" hidden="1" outlineLevel="1">
      <c r="A632" s="196" t="s">
        <v>351</v>
      </c>
      <c r="B632" s="197">
        <v>41257</v>
      </c>
      <c r="C632" s="196" t="s">
        <v>1237</v>
      </c>
      <c r="D632" s="196">
        <v>67</v>
      </c>
      <c r="E632" s="196" t="s">
        <v>1242</v>
      </c>
      <c r="F632" s="196">
        <v>65.099999999999994</v>
      </c>
      <c r="G632" s="196">
        <f t="shared" si="9"/>
        <v>32.549999999999997</v>
      </c>
      <c r="H632" s="196">
        <v>2610</v>
      </c>
      <c r="I632" s="196" t="s">
        <v>1634</v>
      </c>
      <c r="J632" s="196"/>
    </row>
    <row r="633" spans="1:10" ht="14.4" hidden="1" outlineLevel="1">
      <c r="A633" s="196" t="s">
        <v>351</v>
      </c>
      <c r="B633" s="197">
        <v>41260</v>
      </c>
      <c r="C633" s="196" t="s">
        <v>1362</v>
      </c>
      <c r="D633" s="196">
        <v>65.099999999999994</v>
      </c>
      <c r="E633" s="196" t="s">
        <v>1242</v>
      </c>
      <c r="F633" s="196">
        <v>65.099999999999994</v>
      </c>
      <c r="G633" s="196">
        <f t="shared" si="9"/>
        <v>32.549999999999997</v>
      </c>
      <c r="H633" s="196">
        <v>608</v>
      </c>
      <c r="I633" s="196" t="s">
        <v>1633</v>
      </c>
      <c r="J633" s="196"/>
    </row>
    <row r="634" spans="1:10" ht="14.4" hidden="1" outlineLevel="1">
      <c r="A634" s="196" t="s">
        <v>351</v>
      </c>
      <c r="B634" s="197">
        <v>41262</v>
      </c>
      <c r="C634" s="196" t="s">
        <v>1298</v>
      </c>
      <c r="D634" s="196">
        <v>65</v>
      </c>
      <c r="E634" s="196" t="s">
        <v>1298</v>
      </c>
      <c r="F634" s="196">
        <v>65</v>
      </c>
      <c r="G634" s="196">
        <f t="shared" si="9"/>
        <v>32.5</v>
      </c>
      <c r="H634" s="196">
        <v>204</v>
      </c>
      <c r="I634" s="196" t="s">
        <v>1632</v>
      </c>
      <c r="J634" s="196"/>
    </row>
    <row r="635" spans="1:10" ht="14.4" hidden="1" outlineLevel="1">
      <c r="A635" s="196" t="s">
        <v>351</v>
      </c>
      <c r="B635" s="197">
        <v>41263</v>
      </c>
      <c r="C635" s="196" t="s">
        <v>1242</v>
      </c>
      <c r="D635" s="196">
        <v>65</v>
      </c>
      <c r="E635" s="196" t="s">
        <v>1242</v>
      </c>
      <c r="F635" s="196">
        <v>65</v>
      </c>
      <c r="G635" s="196">
        <f t="shared" si="9"/>
        <v>32.5</v>
      </c>
      <c r="H635" s="196">
        <v>800</v>
      </c>
      <c r="I635" s="196" t="s">
        <v>1631</v>
      </c>
      <c r="J635" s="196"/>
    </row>
    <row r="636" spans="1:10" ht="14.4" hidden="1" outlineLevel="1">
      <c r="A636" s="196" t="s">
        <v>351</v>
      </c>
      <c r="B636" s="197">
        <v>41264</v>
      </c>
      <c r="C636" s="196" t="s">
        <v>1242</v>
      </c>
      <c r="D636" s="196">
        <v>65</v>
      </c>
      <c r="E636" s="196" t="s">
        <v>1242</v>
      </c>
      <c r="F636" s="196">
        <v>65</v>
      </c>
      <c r="G636" s="196">
        <f t="shared" si="9"/>
        <v>32.5</v>
      </c>
      <c r="H636" s="196">
        <v>4000</v>
      </c>
      <c r="I636" s="196" t="s">
        <v>1630</v>
      </c>
      <c r="J636" s="196"/>
    </row>
    <row r="637" spans="1:10" ht="14.4" hidden="1" outlineLevel="1">
      <c r="A637" s="196" t="s">
        <v>351</v>
      </c>
      <c r="B637" s="197">
        <v>41267</v>
      </c>
      <c r="C637" s="196" t="s">
        <v>1244</v>
      </c>
      <c r="D637" s="196">
        <v>64.8</v>
      </c>
      <c r="E637" s="196" t="s">
        <v>1244</v>
      </c>
      <c r="F637" s="196">
        <v>64.599999999999994</v>
      </c>
      <c r="G637" s="196">
        <f t="shared" si="9"/>
        <v>32.299999999999997</v>
      </c>
      <c r="H637" s="196">
        <v>1200</v>
      </c>
      <c r="I637" s="196" t="s">
        <v>1629</v>
      </c>
      <c r="J637" s="196"/>
    </row>
    <row r="638" spans="1:10" ht="14.4" hidden="1" outlineLevel="1">
      <c r="A638" s="196" t="s">
        <v>351</v>
      </c>
      <c r="B638" s="197">
        <v>41269</v>
      </c>
      <c r="C638" s="196" t="s">
        <v>1573</v>
      </c>
      <c r="D638" s="196">
        <v>68</v>
      </c>
      <c r="E638" s="196" t="s">
        <v>1573</v>
      </c>
      <c r="F638" s="196">
        <v>67.5</v>
      </c>
      <c r="G638" s="196">
        <f t="shared" si="9"/>
        <v>33.75</v>
      </c>
      <c r="H638" s="196">
        <v>377</v>
      </c>
      <c r="I638" s="196" t="s">
        <v>1628</v>
      </c>
      <c r="J638" s="196"/>
    </row>
    <row r="639" spans="1:10" ht="14.4" hidden="1" outlineLevel="1">
      <c r="A639" s="196" t="s">
        <v>351</v>
      </c>
      <c r="B639" s="197">
        <v>41274</v>
      </c>
      <c r="C639" s="196" t="s">
        <v>1573</v>
      </c>
      <c r="D639" s="196">
        <v>67.400000000000006</v>
      </c>
      <c r="E639" s="196" t="s">
        <v>1573</v>
      </c>
      <c r="F639" s="196">
        <v>67.400000000000006</v>
      </c>
      <c r="G639" s="196">
        <f t="shared" si="9"/>
        <v>33.700000000000003</v>
      </c>
      <c r="H639" s="196">
        <v>5</v>
      </c>
      <c r="I639" s="196" t="s">
        <v>1627</v>
      </c>
      <c r="J639" s="196"/>
    </row>
    <row r="640" spans="1:10" ht="14.4" hidden="1" outlineLevel="1">
      <c r="A640" s="196" t="s">
        <v>351</v>
      </c>
      <c r="B640" s="197">
        <v>41276</v>
      </c>
      <c r="C640" s="196" t="s">
        <v>1225</v>
      </c>
      <c r="D640" s="196">
        <v>67.5</v>
      </c>
      <c r="E640" s="196" t="s">
        <v>1225</v>
      </c>
      <c r="F640" s="196">
        <v>67.5</v>
      </c>
      <c r="G640" s="196">
        <f t="shared" si="9"/>
        <v>33.75</v>
      </c>
      <c r="H640" s="196">
        <v>11500</v>
      </c>
      <c r="I640" s="196" t="s">
        <v>1626</v>
      </c>
      <c r="J640" s="196"/>
    </row>
    <row r="641" spans="1:10" ht="14.4" hidden="1" outlineLevel="1">
      <c r="A641" s="196" t="s">
        <v>351</v>
      </c>
      <c r="B641" s="197">
        <v>41277</v>
      </c>
      <c r="C641" s="196" t="s">
        <v>1225</v>
      </c>
      <c r="D641" s="196">
        <v>68</v>
      </c>
      <c r="E641" s="196" t="s">
        <v>1225</v>
      </c>
      <c r="F641" s="196">
        <v>67.599999999999994</v>
      </c>
      <c r="G641" s="196">
        <f t="shared" si="9"/>
        <v>33.799999999999997</v>
      </c>
      <c r="H641" s="196">
        <v>4952</v>
      </c>
      <c r="I641" s="196" t="s">
        <v>1625</v>
      </c>
      <c r="J641" s="196"/>
    </row>
    <row r="642" spans="1:10" ht="14.4" hidden="1" outlineLevel="1">
      <c r="A642" s="196" t="s">
        <v>351</v>
      </c>
      <c r="B642" s="197">
        <v>41278</v>
      </c>
      <c r="C642" s="196" t="s">
        <v>1498</v>
      </c>
      <c r="D642" s="196">
        <v>68.5</v>
      </c>
      <c r="E642" s="196" t="s">
        <v>1498</v>
      </c>
      <c r="F642" s="196">
        <v>68.2</v>
      </c>
      <c r="G642" s="196">
        <f t="shared" si="9"/>
        <v>34.1</v>
      </c>
      <c r="H642" s="196">
        <v>3200</v>
      </c>
      <c r="I642" s="196" t="s">
        <v>1624</v>
      </c>
      <c r="J642" s="196"/>
    </row>
    <row r="643" spans="1:10" ht="14.4" hidden="1" outlineLevel="1">
      <c r="A643" s="196" t="s">
        <v>351</v>
      </c>
      <c r="B643" s="197">
        <v>41281</v>
      </c>
      <c r="C643" s="196" t="s">
        <v>88</v>
      </c>
      <c r="D643" s="196" t="s">
        <v>88</v>
      </c>
      <c r="E643" s="196" t="s">
        <v>88</v>
      </c>
      <c r="F643" s="196">
        <v>68.2</v>
      </c>
      <c r="G643" s="196">
        <f t="shared" si="9"/>
        <v>34.1</v>
      </c>
      <c r="H643" s="196">
        <v>0</v>
      </c>
      <c r="I643" s="196" t="s">
        <v>611</v>
      </c>
      <c r="J643" s="196"/>
    </row>
    <row r="644" spans="1:10" ht="14.4" hidden="1" outlineLevel="1">
      <c r="A644" s="196" t="s">
        <v>351</v>
      </c>
      <c r="B644" s="197">
        <v>41282</v>
      </c>
      <c r="C644" s="196" t="s">
        <v>88</v>
      </c>
      <c r="D644" s="196" t="s">
        <v>88</v>
      </c>
      <c r="E644" s="196" t="s">
        <v>88</v>
      </c>
      <c r="F644" s="196">
        <v>68.2</v>
      </c>
      <c r="G644" s="196">
        <f t="shared" si="9"/>
        <v>34.1</v>
      </c>
      <c r="H644" s="196">
        <v>0</v>
      </c>
      <c r="I644" s="196" t="s">
        <v>611</v>
      </c>
      <c r="J644" s="196"/>
    </row>
    <row r="645" spans="1:10" ht="14.4" hidden="1" outlineLevel="1">
      <c r="A645" s="196" t="s">
        <v>351</v>
      </c>
      <c r="B645" s="197">
        <v>41283</v>
      </c>
      <c r="C645" s="196" t="s">
        <v>1385</v>
      </c>
      <c r="D645" s="196">
        <v>68</v>
      </c>
      <c r="E645" s="196" t="s">
        <v>1385</v>
      </c>
      <c r="F645" s="196">
        <v>68</v>
      </c>
      <c r="G645" s="196">
        <f t="shared" ref="G645:G708" si="10">F645/2</f>
        <v>34</v>
      </c>
      <c r="H645" s="196">
        <v>125600</v>
      </c>
      <c r="I645" s="196" t="s">
        <v>1623</v>
      </c>
      <c r="J645" s="196"/>
    </row>
    <row r="646" spans="1:10" ht="14.4" hidden="1" outlineLevel="1">
      <c r="A646" s="196" t="s">
        <v>351</v>
      </c>
      <c r="B646" s="197">
        <v>41284</v>
      </c>
      <c r="C646" s="196" t="s">
        <v>1224</v>
      </c>
      <c r="D646" s="196">
        <v>68.8</v>
      </c>
      <c r="E646" s="196" t="s">
        <v>1224</v>
      </c>
      <c r="F646" s="196">
        <v>68.5</v>
      </c>
      <c r="G646" s="196">
        <f t="shared" si="10"/>
        <v>34.25</v>
      </c>
      <c r="H646" s="196">
        <v>67265</v>
      </c>
      <c r="I646" s="196" t="s">
        <v>1622</v>
      </c>
      <c r="J646" s="196"/>
    </row>
    <row r="647" spans="1:10" ht="14.4" hidden="1" outlineLevel="1">
      <c r="A647" s="196" t="s">
        <v>351</v>
      </c>
      <c r="B647" s="197">
        <v>41285</v>
      </c>
      <c r="C647" s="196" t="s">
        <v>1463</v>
      </c>
      <c r="D647" s="196">
        <v>68.900000000000006</v>
      </c>
      <c r="E647" s="196" t="s">
        <v>1463</v>
      </c>
      <c r="F647" s="196">
        <v>68.5</v>
      </c>
      <c r="G647" s="196">
        <f t="shared" si="10"/>
        <v>34.25</v>
      </c>
      <c r="H647" s="196">
        <v>2103</v>
      </c>
      <c r="I647" s="196" t="s">
        <v>1621</v>
      </c>
      <c r="J647" s="196"/>
    </row>
    <row r="648" spans="1:10" ht="14.4" hidden="1" outlineLevel="1">
      <c r="A648" s="196" t="s">
        <v>351</v>
      </c>
      <c r="B648" s="197">
        <v>41289</v>
      </c>
      <c r="C648" s="196" t="s">
        <v>1211</v>
      </c>
      <c r="D648" s="196">
        <v>72.8</v>
      </c>
      <c r="E648" s="196" t="s">
        <v>1211</v>
      </c>
      <c r="F648" s="196">
        <v>72.599999999999994</v>
      </c>
      <c r="G648" s="196">
        <f t="shared" si="10"/>
        <v>36.299999999999997</v>
      </c>
      <c r="H648" s="196">
        <v>1655</v>
      </c>
      <c r="I648" s="196" t="s">
        <v>1620</v>
      </c>
      <c r="J648" s="196"/>
    </row>
    <row r="649" spans="1:10" ht="14.4" hidden="1" outlineLevel="1">
      <c r="A649" s="196" t="s">
        <v>351</v>
      </c>
      <c r="B649" s="197">
        <v>41290</v>
      </c>
      <c r="C649" s="196" t="s">
        <v>1127</v>
      </c>
      <c r="D649" s="196">
        <v>72</v>
      </c>
      <c r="E649" s="196" t="s">
        <v>1216</v>
      </c>
      <c r="F649" s="196">
        <v>69</v>
      </c>
      <c r="G649" s="196">
        <f t="shared" si="10"/>
        <v>34.5</v>
      </c>
      <c r="H649" s="196">
        <v>700</v>
      </c>
      <c r="I649" s="196" t="s">
        <v>1619</v>
      </c>
      <c r="J649" s="196"/>
    </row>
    <row r="650" spans="1:10" ht="14.4" hidden="1" outlineLevel="1">
      <c r="A650" s="196" t="s">
        <v>351</v>
      </c>
      <c r="B650" s="197">
        <v>41291</v>
      </c>
      <c r="C650" s="196" t="s">
        <v>1500</v>
      </c>
      <c r="D650" s="196">
        <v>71.900000000000006</v>
      </c>
      <c r="E650" s="196" t="s">
        <v>1216</v>
      </c>
      <c r="F650" s="196">
        <v>71.900000000000006</v>
      </c>
      <c r="G650" s="196">
        <f t="shared" si="10"/>
        <v>35.950000000000003</v>
      </c>
      <c r="H650" s="196">
        <v>5402</v>
      </c>
      <c r="I650" s="196" t="s">
        <v>1618</v>
      </c>
      <c r="J650" s="196"/>
    </row>
    <row r="651" spans="1:10" ht="14.4" hidden="1" outlineLevel="1">
      <c r="A651" s="196" t="s">
        <v>351</v>
      </c>
      <c r="B651" s="197">
        <v>41292</v>
      </c>
      <c r="C651" s="196" t="s">
        <v>1160</v>
      </c>
      <c r="D651" s="196">
        <v>72</v>
      </c>
      <c r="E651" s="196" t="s">
        <v>1161</v>
      </c>
      <c r="F651" s="196">
        <v>71</v>
      </c>
      <c r="G651" s="196">
        <f t="shared" si="10"/>
        <v>35.5</v>
      </c>
      <c r="H651" s="196">
        <v>68822</v>
      </c>
      <c r="I651" s="196" t="s">
        <v>1617</v>
      </c>
      <c r="J651" s="196"/>
    </row>
    <row r="652" spans="1:10" ht="14.4" hidden="1" outlineLevel="1">
      <c r="A652" s="196" t="s">
        <v>351</v>
      </c>
      <c r="B652" s="197">
        <v>41295</v>
      </c>
      <c r="C652" s="196" t="s">
        <v>1161</v>
      </c>
      <c r="D652" s="196">
        <v>71</v>
      </c>
      <c r="E652" s="196" t="s">
        <v>1169</v>
      </c>
      <c r="F652" s="196">
        <v>70.5</v>
      </c>
      <c r="G652" s="196">
        <f t="shared" si="10"/>
        <v>35.25</v>
      </c>
      <c r="H652" s="196">
        <v>12240</v>
      </c>
      <c r="I652" s="196" t="s">
        <v>1616</v>
      </c>
      <c r="J652" s="196"/>
    </row>
    <row r="653" spans="1:10" ht="14.4" hidden="1" outlineLevel="1">
      <c r="A653" s="196" t="s">
        <v>351</v>
      </c>
      <c r="B653" s="197">
        <v>41296</v>
      </c>
      <c r="C653" s="196" t="s">
        <v>1169</v>
      </c>
      <c r="D653" s="196">
        <v>70.5</v>
      </c>
      <c r="E653" s="196" t="s">
        <v>1216</v>
      </c>
      <c r="F653" s="196">
        <v>69.400000000000006</v>
      </c>
      <c r="G653" s="196">
        <f t="shared" si="10"/>
        <v>34.700000000000003</v>
      </c>
      <c r="H653" s="196">
        <v>847</v>
      </c>
      <c r="I653" s="196" t="s">
        <v>1615</v>
      </c>
      <c r="J653" s="196"/>
    </row>
    <row r="654" spans="1:10" ht="14.4" hidden="1" outlineLevel="1">
      <c r="A654" s="196" t="s">
        <v>351</v>
      </c>
      <c r="B654" s="197">
        <v>41297</v>
      </c>
      <c r="C654" s="196" t="s">
        <v>1613</v>
      </c>
      <c r="D654" s="196">
        <v>69.400000000000006</v>
      </c>
      <c r="E654" s="196" t="s">
        <v>1613</v>
      </c>
      <c r="F654" s="196">
        <v>69.400000000000006</v>
      </c>
      <c r="G654" s="196">
        <f t="shared" si="10"/>
        <v>34.700000000000003</v>
      </c>
      <c r="H654" s="196">
        <v>1500</v>
      </c>
      <c r="I654" s="196" t="s">
        <v>1614</v>
      </c>
      <c r="J654" s="196"/>
    </row>
    <row r="655" spans="1:10" ht="14.4" hidden="1" outlineLevel="1">
      <c r="A655" s="196" t="s">
        <v>351</v>
      </c>
      <c r="B655" s="197">
        <v>41298</v>
      </c>
      <c r="C655" s="196" t="s">
        <v>1216</v>
      </c>
      <c r="D655" s="196">
        <v>69</v>
      </c>
      <c r="E655" s="196" t="s">
        <v>1225</v>
      </c>
      <c r="F655" s="196">
        <v>67</v>
      </c>
      <c r="G655" s="196">
        <f t="shared" si="10"/>
        <v>33.5</v>
      </c>
      <c r="H655" s="196">
        <v>102078</v>
      </c>
      <c r="I655" s="196" t="s">
        <v>1612</v>
      </c>
      <c r="J655" s="196"/>
    </row>
    <row r="656" spans="1:10" ht="14.4" hidden="1" outlineLevel="1">
      <c r="A656" s="196" t="s">
        <v>351</v>
      </c>
      <c r="B656" s="197">
        <v>41302</v>
      </c>
      <c r="C656" s="196" t="s">
        <v>1225</v>
      </c>
      <c r="D656" s="196">
        <v>67.099999999999994</v>
      </c>
      <c r="E656" s="196" t="s">
        <v>1225</v>
      </c>
      <c r="F656" s="196">
        <v>67.099999999999994</v>
      </c>
      <c r="G656" s="196">
        <f t="shared" si="10"/>
        <v>33.549999999999997</v>
      </c>
      <c r="H656" s="196">
        <v>11699</v>
      </c>
      <c r="I656" s="196" t="s">
        <v>1611</v>
      </c>
      <c r="J656" s="196"/>
    </row>
    <row r="657" spans="1:10" ht="14.4" hidden="1" outlineLevel="1">
      <c r="A657" s="196" t="s">
        <v>351</v>
      </c>
      <c r="B657" s="197">
        <v>41303</v>
      </c>
      <c r="C657" s="196" t="s">
        <v>1225</v>
      </c>
      <c r="D657" s="196">
        <v>67</v>
      </c>
      <c r="E657" s="196" t="s">
        <v>1385</v>
      </c>
      <c r="F657" s="196">
        <v>66.5</v>
      </c>
      <c r="G657" s="196">
        <f t="shared" si="10"/>
        <v>33.25</v>
      </c>
      <c r="H657" s="196">
        <v>76519</v>
      </c>
      <c r="I657" s="196" t="s">
        <v>1610</v>
      </c>
      <c r="J657" s="196"/>
    </row>
    <row r="658" spans="1:10" ht="14.4" hidden="1" outlineLevel="1">
      <c r="A658" s="196" t="s">
        <v>351</v>
      </c>
      <c r="B658" s="197">
        <v>41304</v>
      </c>
      <c r="C658" s="196" t="s">
        <v>1225</v>
      </c>
      <c r="D658" s="196">
        <v>69.2</v>
      </c>
      <c r="E658" s="196" t="s">
        <v>1385</v>
      </c>
      <c r="F658" s="196">
        <v>66.599999999999994</v>
      </c>
      <c r="G658" s="196">
        <f t="shared" si="10"/>
        <v>33.299999999999997</v>
      </c>
      <c r="H658" s="196">
        <v>182370</v>
      </c>
      <c r="I658" s="196" t="s">
        <v>1609</v>
      </c>
      <c r="J658" s="196"/>
    </row>
    <row r="659" spans="1:10" ht="14.4" hidden="1" outlineLevel="1">
      <c r="A659" s="196" t="s">
        <v>351</v>
      </c>
      <c r="B659" s="197">
        <v>41305</v>
      </c>
      <c r="C659" s="196" t="s">
        <v>1225</v>
      </c>
      <c r="D659" s="196">
        <v>67</v>
      </c>
      <c r="E659" s="196" t="s">
        <v>1225</v>
      </c>
      <c r="F659" s="196">
        <v>67</v>
      </c>
      <c r="G659" s="196">
        <f t="shared" si="10"/>
        <v>33.5</v>
      </c>
      <c r="H659" s="196">
        <v>100</v>
      </c>
      <c r="I659" s="196" t="s">
        <v>1608</v>
      </c>
      <c r="J659" s="196"/>
    </row>
    <row r="660" spans="1:10" ht="14.4" hidden="1" outlineLevel="1">
      <c r="A660" s="196" t="s">
        <v>351</v>
      </c>
      <c r="B660" s="197">
        <v>41306</v>
      </c>
      <c r="C660" s="196" t="s">
        <v>1224</v>
      </c>
      <c r="D660" s="196">
        <v>68</v>
      </c>
      <c r="E660" s="196" t="s">
        <v>1224</v>
      </c>
      <c r="F660" s="196">
        <v>68</v>
      </c>
      <c r="G660" s="196">
        <f t="shared" si="10"/>
        <v>34</v>
      </c>
      <c r="H660" s="196">
        <v>107</v>
      </c>
      <c r="I660" s="196" t="s">
        <v>1607</v>
      </c>
      <c r="J660" s="196"/>
    </row>
    <row r="661" spans="1:10" ht="14.4" hidden="1" outlineLevel="1">
      <c r="A661" s="196" t="s">
        <v>351</v>
      </c>
      <c r="B661" s="197">
        <v>41310</v>
      </c>
      <c r="C661" s="196" t="s">
        <v>1224</v>
      </c>
      <c r="D661" s="196">
        <v>68</v>
      </c>
      <c r="E661" s="196" t="s">
        <v>1225</v>
      </c>
      <c r="F661" s="196">
        <v>67</v>
      </c>
      <c r="G661" s="196">
        <f t="shared" si="10"/>
        <v>33.5</v>
      </c>
      <c r="H661" s="196">
        <v>150</v>
      </c>
      <c r="I661" s="196" t="s">
        <v>1606</v>
      </c>
      <c r="J661" s="196"/>
    </row>
    <row r="662" spans="1:10" ht="14.4" hidden="1" outlineLevel="1">
      <c r="A662" s="196" t="s">
        <v>351</v>
      </c>
      <c r="B662" s="197">
        <v>41311</v>
      </c>
      <c r="C662" s="196" t="s">
        <v>1225</v>
      </c>
      <c r="D662" s="196">
        <v>67</v>
      </c>
      <c r="E662" s="196" t="s">
        <v>1225</v>
      </c>
      <c r="F662" s="196">
        <v>67</v>
      </c>
      <c r="G662" s="196">
        <f t="shared" si="10"/>
        <v>33.5</v>
      </c>
      <c r="H662" s="196">
        <v>90</v>
      </c>
      <c r="I662" s="196" t="s">
        <v>1605</v>
      </c>
      <c r="J662" s="196"/>
    </row>
    <row r="663" spans="1:10" ht="14.4" hidden="1" outlineLevel="1">
      <c r="A663" s="196" t="s">
        <v>351</v>
      </c>
      <c r="B663" s="197">
        <v>41312</v>
      </c>
      <c r="C663" s="196" t="s">
        <v>1225</v>
      </c>
      <c r="D663" s="196">
        <v>67.3</v>
      </c>
      <c r="E663" s="196" t="s">
        <v>1385</v>
      </c>
      <c r="F663" s="196">
        <v>66.7</v>
      </c>
      <c r="G663" s="196">
        <f t="shared" si="10"/>
        <v>33.35</v>
      </c>
      <c r="H663" s="196">
        <v>10013</v>
      </c>
      <c r="I663" s="196" t="s">
        <v>1604</v>
      </c>
      <c r="J663" s="196"/>
    </row>
    <row r="664" spans="1:10" ht="14.4" hidden="1" outlineLevel="1">
      <c r="A664" s="196" t="s">
        <v>351</v>
      </c>
      <c r="B664" s="197">
        <v>41313</v>
      </c>
      <c r="C664" s="196" t="s">
        <v>1385</v>
      </c>
      <c r="D664" s="196">
        <v>66.5</v>
      </c>
      <c r="E664" s="196" t="s">
        <v>1237</v>
      </c>
      <c r="F664" s="196">
        <v>66</v>
      </c>
      <c r="G664" s="196">
        <f t="shared" si="10"/>
        <v>33</v>
      </c>
      <c r="H664" s="196">
        <v>100</v>
      </c>
      <c r="I664" s="196" t="s">
        <v>1603</v>
      </c>
      <c r="J664" s="196"/>
    </row>
    <row r="665" spans="1:10" ht="14.4" hidden="1" outlineLevel="1">
      <c r="A665" s="196" t="s">
        <v>351</v>
      </c>
      <c r="B665" s="197">
        <v>41316</v>
      </c>
      <c r="C665" s="196" t="s">
        <v>1225</v>
      </c>
      <c r="D665" s="196">
        <v>67</v>
      </c>
      <c r="E665" s="196" t="s">
        <v>1225</v>
      </c>
      <c r="F665" s="196">
        <v>67</v>
      </c>
      <c r="G665" s="196">
        <f t="shared" si="10"/>
        <v>33.5</v>
      </c>
      <c r="H665" s="196">
        <v>10</v>
      </c>
      <c r="I665" s="196" t="s">
        <v>1602</v>
      </c>
      <c r="J665" s="196"/>
    </row>
    <row r="666" spans="1:10" ht="14.4" hidden="1" outlineLevel="1">
      <c r="A666" s="196" t="s">
        <v>351</v>
      </c>
      <c r="B666" s="197">
        <v>41317</v>
      </c>
      <c r="C666" s="196" t="s">
        <v>1220</v>
      </c>
      <c r="D666" s="196">
        <v>68.5</v>
      </c>
      <c r="E666" s="196" t="s">
        <v>1220</v>
      </c>
      <c r="F666" s="196">
        <v>68.5</v>
      </c>
      <c r="G666" s="196">
        <f t="shared" si="10"/>
        <v>34.25</v>
      </c>
      <c r="H666" s="196">
        <v>100</v>
      </c>
      <c r="I666" s="196" t="s">
        <v>1601</v>
      </c>
      <c r="J666" s="196"/>
    </row>
    <row r="667" spans="1:10" ht="14.4" hidden="1" outlineLevel="1">
      <c r="A667" s="196" t="s">
        <v>351</v>
      </c>
      <c r="B667" s="197">
        <v>41318</v>
      </c>
      <c r="C667" s="196" t="s">
        <v>1224</v>
      </c>
      <c r="D667" s="196">
        <v>68</v>
      </c>
      <c r="E667" s="196" t="s">
        <v>1224</v>
      </c>
      <c r="F667" s="196">
        <v>68</v>
      </c>
      <c r="G667" s="196">
        <f t="shared" si="10"/>
        <v>34</v>
      </c>
      <c r="H667" s="196">
        <v>3775</v>
      </c>
      <c r="I667" s="196" t="s">
        <v>1600</v>
      </c>
      <c r="J667" s="196"/>
    </row>
    <row r="668" spans="1:10" ht="14.4" hidden="1" outlineLevel="1">
      <c r="A668" s="196" t="s">
        <v>351</v>
      </c>
      <c r="B668" s="197">
        <v>41319</v>
      </c>
      <c r="C668" s="196" t="s">
        <v>1224</v>
      </c>
      <c r="D668" s="196">
        <v>68</v>
      </c>
      <c r="E668" s="196" t="s">
        <v>1224</v>
      </c>
      <c r="F668" s="196">
        <v>68</v>
      </c>
      <c r="G668" s="196">
        <f t="shared" si="10"/>
        <v>34</v>
      </c>
      <c r="H668" s="196">
        <v>1440</v>
      </c>
      <c r="I668" s="196" t="s">
        <v>1599</v>
      </c>
      <c r="J668" s="196"/>
    </row>
    <row r="669" spans="1:10" ht="14.4" hidden="1" outlineLevel="1">
      <c r="A669" s="196" t="s">
        <v>351</v>
      </c>
      <c r="B669" s="197">
        <v>41320</v>
      </c>
      <c r="C669" s="196" t="s">
        <v>1225</v>
      </c>
      <c r="D669" s="196">
        <v>67</v>
      </c>
      <c r="E669" s="196" t="s">
        <v>1225</v>
      </c>
      <c r="F669" s="196">
        <v>67</v>
      </c>
      <c r="G669" s="196">
        <f t="shared" si="10"/>
        <v>33.5</v>
      </c>
      <c r="H669" s="196">
        <v>20</v>
      </c>
      <c r="I669" s="196" t="s">
        <v>1598</v>
      </c>
      <c r="J669" s="196"/>
    </row>
    <row r="670" spans="1:10" ht="14.4" hidden="1" outlineLevel="1">
      <c r="A670" s="196" t="s">
        <v>351</v>
      </c>
      <c r="B670" s="197">
        <v>41323</v>
      </c>
      <c r="C670" s="196" t="s">
        <v>1242</v>
      </c>
      <c r="D670" s="196">
        <v>68.900000000000006</v>
      </c>
      <c r="E670" s="196" t="s">
        <v>1351</v>
      </c>
      <c r="F670" s="196">
        <v>0</v>
      </c>
      <c r="G670" s="196">
        <f t="shared" si="10"/>
        <v>0</v>
      </c>
      <c r="H670" s="196">
        <v>1700</v>
      </c>
      <c r="I670" s="196" t="s">
        <v>1597</v>
      </c>
      <c r="J670" s="196"/>
    </row>
    <row r="671" spans="1:10" ht="14.4" hidden="1" outlineLevel="1">
      <c r="A671" s="196" t="s">
        <v>351</v>
      </c>
      <c r="B671" s="197">
        <v>41324</v>
      </c>
      <c r="C671" s="196" t="s">
        <v>1224</v>
      </c>
      <c r="D671" s="196">
        <v>68.5</v>
      </c>
      <c r="E671" s="196" t="s">
        <v>1224</v>
      </c>
      <c r="F671" s="196">
        <v>0</v>
      </c>
      <c r="G671" s="196">
        <f t="shared" si="10"/>
        <v>0</v>
      </c>
      <c r="H671" s="196">
        <v>1505</v>
      </c>
      <c r="I671" s="196" t="s">
        <v>1596</v>
      </c>
      <c r="J671" s="196"/>
    </row>
    <row r="672" spans="1:10" ht="14.4" hidden="1" outlineLevel="1">
      <c r="A672" s="196" t="s">
        <v>351</v>
      </c>
      <c r="B672" s="197">
        <v>41325</v>
      </c>
      <c r="C672" s="196" t="s">
        <v>1225</v>
      </c>
      <c r="D672" s="196">
        <v>67</v>
      </c>
      <c r="E672" s="196" t="s">
        <v>1225</v>
      </c>
      <c r="F672" s="196">
        <v>67</v>
      </c>
      <c r="G672" s="196">
        <f t="shared" si="10"/>
        <v>33.5</v>
      </c>
      <c r="H672" s="196">
        <v>3000</v>
      </c>
      <c r="I672" s="196" t="s">
        <v>1595</v>
      </c>
      <c r="J672" s="196"/>
    </row>
    <row r="673" spans="1:10" ht="14.4" hidden="1" outlineLevel="1">
      <c r="A673" s="196" t="s">
        <v>351</v>
      </c>
      <c r="B673" s="197">
        <v>41326</v>
      </c>
      <c r="C673" s="196" t="s">
        <v>1225</v>
      </c>
      <c r="D673" s="196">
        <v>67</v>
      </c>
      <c r="E673" s="196" t="s">
        <v>1237</v>
      </c>
      <c r="F673" s="196">
        <v>66</v>
      </c>
      <c r="G673" s="196">
        <f t="shared" si="10"/>
        <v>33</v>
      </c>
      <c r="H673" s="196">
        <v>2020</v>
      </c>
      <c r="I673" s="196" t="s">
        <v>1594</v>
      </c>
      <c r="J673" s="196"/>
    </row>
    <row r="674" spans="1:10" ht="14.4" hidden="1" outlineLevel="1">
      <c r="A674" s="196" t="s">
        <v>351</v>
      </c>
      <c r="B674" s="197">
        <v>41327</v>
      </c>
      <c r="C674" s="196" t="s">
        <v>1225</v>
      </c>
      <c r="D674" s="196">
        <v>67</v>
      </c>
      <c r="E674" s="196" t="s">
        <v>1237</v>
      </c>
      <c r="F674" s="196">
        <v>66</v>
      </c>
      <c r="G674" s="196">
        <f t="shared" si="10"/>
        <v>33</v>
      </c>
      <c r="H674" s="196">
        <v>24779</v>
      </c>
      <c r="I674" s="196" t="s">
        <v>1593</v>
      </c>
      <c r="J674" s="196"/>
    </row>
    <row r="675" spans="1:10" ht="14.4" hidden="1" outlineLevel="1">
      <c r="A675" s="196" t="s">
        <v>351</v>
      </c>
      <c r="B675" s="197">
        <v>41331</v>
      </c>
      <c r="C675" s="196" t="s">
        <v>1237</v>
      </c>
      <c r="D675" s="196">
        <v>66</v>
      </c>
      <c r="E675" s="196" t="s">
        <v>1253</v>
      </c>
      <c r="F675" s="196">
        <v>64.7</v>
      </c>
      <c r="G675" s="196">
        <f t="shared" si="10"/>
        <v>32.35</v>
      </c>
      <c r="H675" s="196">
        <v>2895</v>
      </c>
      <c r="I675" s="196" t="s">
        <v>1592</v>
      </c>
      <c r="J675" s="196"/>
    </row>
    <row r="676" spans="1:10" ht="14.4" hidden="1" outlineLevel="1">
      <c r="A676" s="196" t="s">
        <v>351</v>
      </c>
      <c r="B676" s="197">
        <v>41332</v>
      </c>
      <c r="C676" s="196" t="s">
        <v>1274</v>
      </c>
      <c r="D676" s="196">
        <v>64.099999999999994</v>
      </c>
      <c r="E676" s="196" t="s">
        <v>1274</v>
      </c>
      <c r="F676" s="196">
        <v>64.099999999999994</v>
      </c>
      <c r="G676" s="196">
        <f t="shared" si="10"/>
        <v>32.049999999999997</v>
      </c>
      <c r="H676" s="196">
        <v>1</v>
      </c>
      <c r="I676" s="196" t="s">
        <v>1591</v>
      </c>
      <c r="J676" s="196"/>
    </row>
    <row r="677" spans="1:10" ht="14.4" hidden="1" outlineLevel="1">
      <c r="A677" s="196" t="s">
        <v>351</v>
      </c>
      <c r="B677" s="197">
        <v>41333</v>
      </c>
      <c r="C677" s="196" t="s">
        <v>1287</v>
      </c>
      <c r="D677" s="196">
        <v>64.900000000000006</v>
      </c>
      <c r="E677" s="196" t="s">
        <v>1287</v>
      </c>
      <c r="F677" s="196">
        <v>64.900000000000006</v>
      </c>
      <c r="G677" s="196">
        <f t="shared" si="10"/>
        <v>32.450000000000003</v>
      </c>
      <c r="H677" s="196">
        <v>100</v>
      </c>
      <c r="I677" s="196" t="s">
        <v>1590</v>
      </c>
      <c r="J677" s="196"/>
    </row>
    <row r="678" spans="1:10" ht="14.4" hidden="1" outlineLevel="1">
      <c r="A678" s="196" t="s">
        <v>351</v>
      </c>
      <c r="B678" s="197">
        <v>41334</v>
      </c>
      <c r="C678" s="196" t="s">
        <v>1287</v>
      </c>
      <c r="D678" s="196">
        <v>65</v>
      </c>
      <c r="E678" s="196" t="s">
        <v>1287</v>
      </c>
      <c r="F678" s="196">
        <v>64.900000000000006</v>
      </c>
      <c r="G678" s="196">
        <f t="shared" si="10"/>
        <v>32.450000000000003</v>
      </c>
      <c r="H678" s="196">
        <v>615</v>
      </c>
      <c r="I678" s="196" t="s">
        <v>1589</v>
      </c>
      <c r="J678" s="196"/>
    </row>
    <row r="679" spans="1:10" ht="14.4" hidden="1" outlineLevel="1">
      <c r="A679" s="196" t="s">
        <v>351</v>
      </c>
      <c r="B679" s="197">
        <v>41337</v>
      </c>
      <c r="C679" s="196" t="s">
        <v>1242</v>
      </c>
      <c r="D679" s="196">
        <v>65</v>
      </c>
      <c r="E679" s="196" t="s">
        <v>1242</v>
      </c>
      <c r="F679" s="196">
        <v>65</v>
      </c>
      <c r="G679" s="196">
        <f t="shared" si="10"/>
        <v>32.5</v>
      </c>
      <c r="H679" s="196">
        <v>3516</v>
      </c>
      <c r="I679" s="196" t="s">
        <v>1588</v>
      </c>
      <c r="J679" s="196"/>
    </row>
    <row r="680" spans="1:10" ht="14.4" hidden="1" outlineLevel="1">
      <c r="A680" s="196" t="s">
        <v>351</v>
      </c>
      <c r="B680" s="197">
        <v>41338</v>
      </c>
      <c r="C680" s="196" t="s">
        <v>1423</v>
      </c>
      <c r="D680" s="196">
        <v>66</v>
      </c>
      <c r="E680" s="196" t="s">
        <v>1242</v>
      </c>
      <c r="F680" s="196">
        <v>66</v>
      </c>
      <c r="G680" s="196">
        <f t="shared" si="10"/>
        <v>33</v>
      </c>
      <c r="H680" s="196">
        <v>9697</v>
      </c>
      <c r="I680" s="196" t="s">
        <v>1587</v>
      </c>
      <c r="J680" s="196"/>
    </row>
    <row r="681" spans="1:10" ht="14.4" hidden="1" outlineLevel="1">
      <c r="A681" s="196" t="s">
        <v>351</v>
      </c>
      <c r="B681" s="197">
        <v>41339</v>
      </c>
      <c r="C681" s="196" t="s">
        <v>1385</v>
      </c>
      <c r="D681" s="196">
        <v>66.5</v>
      </c>
      <c r="E681" s="196" t="s">
        <v>1385</v>
      </c>
      <c r="F681" s="196">
        <v>66.5</v>
      </c>
      <c r="G681" s="196">
        <f t="shared" si="10"/>
        <v>33.25</v>
      </c>
      <c r="H681" s="196">
        <v>21</v>
      </c>
      <c r="I681" s="196" t="s">
        <v>1586</v>
      </c>
      <c r="J681" s="196"/>
    </row>
    <row r="682" spans="1:10" ht="14.4" hidden="1" outlineLevel="1">
      <c r="A682" s="196" t="s">
        <v>351</v>
      </c>
      <c r="B682" s="197">
        <v>41340</v>
      </c>
      <c r="C682" s="196" t="s">
        <v>1216</v>
      </c>
      <c r="D682" s="196">
        <v>75</v>
      </c>
      <c r="E682" s="196" t="s">
        <v>1231</v>
      </c>
      <c r="F682" s="196">
        <v>69.599999999999994</v>
      </c>
      <c r="G682" s="196">
        <f t="shared" si="10"/>
        <v>34.799999999999997</v>
      </c>
      <c r="H682" s="196">
        <v>49564</v>
      </c>
      <c r="I682" s="196" t="s">
        <v>1585</v>
      </c>
      <c r="J682" s="196"/>
    </row>
    <row r="683" spans="1:10" ht="14.4" hidden="1" outlineLevel="1">
      <c r="A683" s="196" t="s">
        <v>351</v>
      </c>
      <c r="B683" s="197">
        <v>41341</v>
      </c>
      <c r="C683" s="196" t="s">
        <v>1127</v>
      </c>
      <c r="D683" s="196">
        <v>72</v>
      </c>
      <c r="E683" s="196" t="s">
        <v>1214</v>
      </c>
      <c r="F683" s="196">
        <v>69.900000000000006</v>
      </c>
      <c r="G683" s="196">
        <f t="shared" si="10"/>
        <v>34.950000000000003</v>
      </c>
      <c r="H683" s="196">
        <v>60800</v>
      </c>
      <c r="I683" s="196" t="s">
        <v>1584</v>
      </c>
      <c r="J683" s="196"/>
    </row>
    <row r="684" spans="1:10" ht="14.4" hidden="1" outlineLevel="1">
      <c r="A684" s="196" t="s">
        <v>351</v>
      </c>
      <c r="B684" s="197">
        <v>41344</v>
      </c>
      <c r="C684" s="196" t="s">
        <v>88</v>
      </c>
      <c r="D684" s="196" t="s">
        <v>88</v>
      </c>
      <c r="E684" s="196" t="s">
        <v>88</v>
      </c>
      <c r="F684" s="196">
        <v>69.900000000000006</v>
      </c>
      <c r="G684" s="196">
        <f t="shared" si="10"/>
        <v>34.950000000000003</v>
      </c>
      <c r="H684" s="196">
        <v>0</v>
      </c>
      <c r="I684" s="196" t="s">
        <v>611</v>
      </c>
      <c r="J684" s="196"/>
    </row>
    <row r="685" spans="1:10" ht="14.4" hidden="1" outlineLevel="1">
      <c r="A685" s="196" t="s">
        <v>351</v>
      </c>
      <c r="B685" s="197">
        <v>41345</v>
      </c>
      <c r="C685" s="196" t="s">
        <v>1222</v>
      </c>
      <c r="D685" s="196">
        <v>68</v>
      </c>
      <c r="E685" s="196" t="s">
        <v>1225</v>
      </c>
      <c r="F685" s="196">
        <v>67.3</v>
      </c>
      <c r="G685" s="196">
        <f t="shared" si="10"/>
        <v>33.65</v>
      </c>
      <c r="H685" s="196">
        <v>1500</v>
      </c>
      <c r="I685" s="196" t="s">
        <v>1583</v>
      </c>
      <c r="J685" s="196"/>
    </row>
    <row r="686" spans="1:10" ht="14.4" hidden="1" outlineLevel="1">
      <c r="A686" s="196" t="s">
        <v>351</v>
      </c>
      <c r="B686" s="197">
        <v>41346</v>
      </c>
      <c r="C686" s="196" t="s">
        <v>1225</v>
      </c>
      <c r="D686" s="196">
        <v>69</v>
      </c>
      <c r="E686" s="196" t="s">
        <v>1225</v>
      </c>
      <c r="F686" s="196">
        <v>67</v>
      </c>
      <c r="G686" s="196">
        <f t="shared" si="10"/>
        <v>33.5</v>
      </c>
      <c r="H686" s="196">
        <v>10824</v>
      </c>
      <c r="I686" s="196" t="s">
        <v>1582</v>
      </c>
      <c r="J686" s="196"/>
    </row>
    <row r="687" spans="1:10" ht="14.4" hidden="1" outlineLevel="1">
      <c r="A687" s="196" t="s">
        <v>351</v>
      </c>
      <c r="B687" s="197">
        <v>41347</v>
      </c>
      <c r="C687" s="196" t="s">
        <v>1225</v>
      </c>
      <c r="D687" s="196">
        <v>67.5</v>
      </c>
      <c r="E687" s="196" t="s">
        <v>1225</v>
      </c>
      <c r="F687" s="196">
        <v>67</v>
      </c>
      <c r="G687" s="196">
        <f t="shared" si="10"/>
        <v>33.5</v>
      </c>
      <c r="H687" s="196">
        <v>10541</v>
      </c>
      <c r="I687" s="196" t="s">
        <v>1581</v>
      </c>
      <c r="J687" s="196"/>
    </row>
    <row r="688" spans="1:10" ht="14.4" hidden="1" outlineLevel="1">
      <c r="A688" s="196" t="s">
        <v>351</v>
      </c>
      <c r="B688" s="197">
        <v>41348</v>
      </c>
      <c r="C688" s="196" t="s">
        <v>1224</v>
      </c>
      <c r="D688" s="196">
        <v>70</v>
      </c>
      <c r="E688" s="196" t="s">
        <v>1224</v>
      </c>
      <c r="F688" s="196">
        <v>68</v>
      </c>
      <c r="G688" s="196">
        <f t="shared" si="10"/>
        <v>34</v>
      </c>
      <c r="H688" s="196">
        <v>315</v>
      </c>
      <c r="I688" s="196" t="s">
        <v>1580</v>
      </c>
      <c r="J688" s="196"/>
    </row>
    <row r="689" spans="1:10" ht="14.4" hidden="1" outlineLevel="1">
      <c r="A689" s="196" t="s">
        <v>351</v>
      </c>
      <c r="B689" s="197">
        <v>41351</v>
      </c>
      <c r="C689" s="196" t="s">
        <v>88</v>
      </c>
      <c r="D689" s="196" t="s">
        <v>88</v>
      </c>
      <c r="E689" s="196" t="s">
        <v>88</v>
      </c>
      <c r="F689" s="196">
        <v>68</v>
      </c>
      <c r="G689" s="196">
        <f t="shared" si="10"/>
        <v>34</v>
      </c>
      <c r="H689" s="196">
        <v>0</v>
      </c>
      <c r="I689" s="196" t="s">
        <v>611</v>
      </c>
      <c r="J689" s="196"/>
    </row>
    <row r="690" spans="1:10" ht="14.4" hidden="1" outlineLevel="1">
      <c r="A690" s="196" t="s">
        <v>351</v>
      </c>
      <c r="B690" s="197">
        <v>41352</v>
      </c>
      <c r="C690" s="196" t="s">
        <v>1216</v>
      </c>
      <c r="D690" s="196">
        <v>69</v>
      </c>
      <c r="E690" s="196" t="s">
        <v>1555</v>
      </c>
      <c r="F690" s="196">
        <v>67.8</v>
      </c>
      <c r="G690" s="196">
        <f t="shared" si="10"/>
        <v>33.9</v>
      </c>
      <c r="H690" s="196">
        <v>3200</v>
      </c>
      <c r="I690" s="196" t="s">
        <v>1579</v>
      </c>
      <c r="J690" s="196"/>
    </row>
    <row r="691" spans="1:10" ht="14.4" hidden="1" outlineLevel="1">
      <c r="A691" s="196" t="s">
        <v>351</v>
      </c>
      <c r="B691" s="197">
        <v>41353</v>
      </c>
      <c r="C691" s="196" t="s">
        <v>1463</v>
      </c>
      <c r="D691" s="196">
        <v>69</v>
      </c>
      <c r="E691" s="196" t="s">
        <v>1463</v>
      </c>
      <c r="F691" s="196">
        <v>68.900000000000006</v>
      </c>
      <c r="G691" s="196">
        <f t="shared" si="10"/>
        <v>34.450000000000003</v>
      </c>
      <c r="H691" s="196">
        <v>720</v>
      </c>
      <c r="I691" s="196" t="s">
        <v>1578</v>
      </c>
      <c r="J691" s="196"/>
    </row>
    <row r="692" spans="1:10" ht="14.4" hidden="1" outlineLevel="1">
      <c r="A692" s="196" t="s">
        <v>351</v>
      </c>
      <c r="B692" s="197">
        <v>41354</v>
      </c>
      <c r="C692" s="196" t="s">
        <v>1576</v>
      </c>
      <c r="D692" s="196">
        <v>69.3</v>
      </c>
      <c r="E692" s="196" t="s">
        <v>1555</v>
      </c>
      <c r="F692" s="196">
        <v>67.8</v>
      </c>
      <c r="G692" s="196">
        <f t="shared" si="10"/>
        <v>33.9</v>
      </c>
      <c r="H692" s="196">
        <v>4752</v>
      </c>
      <c r="I692" s="196" t="s">
        <v>1577</v>
      </c>
      <c r="J692" s="196"/>
    </row>
    <row r="693" spans="1:10" ht="14.4" hidden="1" outlineLevel="1">
      <c r="A693" s="196" t="s">
        <v>351</v>
      </c>
      <c r="B693" s="197">
        <v>41355</v>
      </c>
      <c r="C693" s="196" t="s">
        <v>1555</v>
      </c>
      <c r="D693" s="196">
        <v>67.900000000000006</v>
      </c>
      <c r="E693" s="196" t="s">
        <v>1555</v>
      </c>
      <c r="F693" s="196">
        <v>67.900000000000006</v>
      </c>
      <c r="G693" s="196">
        <f t="shared" si="10"/>
        <v>33.950000000000003</v>
      </c>
      <c r="H693" s="196">
        <v>21</v>
      </c>
      <c r="I693" s="196" t="s">
        <v>1575</v>
      </c>
      <c r="J693" s="196"/>
    </row>
    <row r="694" spans="1:10" ht="14.4" hidden="1" outlineLevel="1">
      <c r="A694" s="196" t="s">
        <v>351</v>
      </c>
      <c r="B694" s="197">
        <v>41358</v>
      </c>
      <c r="C694" s="196" t="s">
        <v>1573</v>
      </c>
      <c r="D694" s="196">
        <v>67.900000000000006</v>
      </c>
      <c r="E694" s="196" t="s">
        <v>1573</v>
      </c>
      <c r="F694" s="196">
        <v>67.900000000000006</v>
      </c>
      <c r="G694" s="196">
        <f t="shared" si="10"/>
        <v>33.950000000000003</v>
      </c>
      <c r="H694" s="196">
        <v>5020</v>
      </c>
      <c r="I694" s="196" t="s">
        <v>1574</v>
      </c>
      <c r="J694" s="196"/>
    </row>
    <row r="695" spans="1:10" ht="14.4" hidden="1" outlineLevel="1">
      <c r="A695" s="196" t="s">
        <v>351</v>
      </c>
      <c r="B695" s="197">
        <v>41360</v>
      </c>
      <c r="C695" s="196" t="s">
        <v>1225</v>
      </c>
      <c r="D695" s="196">
        <v>67.5</v>
      </c>
      <c r="E695" s="196" t="s">
        <v>1225</v>
      </c>
      <c r="F695" s="196">
        <v>67</v>
      </c>
      <c r="G695" s="196">
        <f t="shared" si="10"/>
        <v>33.5</v>
      </c>
      <c r="H695" s="196">
        <v>15810</v>
      </c>
      <c r="I695" s="196" t="s">
        <v>1572</v>
      </c>
      <c r="J695" s="196"/>
    </row>
    <row r="696" spans="1:10" ht="14.4" hidden="1" outlineLevel="1">
      <c r="A696" s="196" t="s">
        <v>351</v>
      </c>
      <c r="B696" s="197">
        <v>41361</v>
      </c>
      <c r="C696" s="196" t="s">
        <v>1237</v>
      </c>
      <c r="D696" s="196">
        <v>67</v>
      </c>
      <c r="E696" s="196" t="s">
        <v>1240</v>
      </c>
      <c r="F696" s="196">
        <v>65.5</v>
      </c>
      <c r="G696" s="196">
        <f t="shared" si="10"/>
        <v>32.75</v>
      </c>
      <c r="H696" s="196">
        <v>3170</v>
      </c>
      <c r="I696" s="196" t="s">
        <v>1571</v>
      </c>
    </row>
    <row r="697" spans="1:10" s="192" customFormat="1" ht="14.4" hidden="1" outlineLevel="1">
      <c r="A697" s="198" t="s">
        <v>351</v>
      </c>
      <c r="B697" s="199">
        <v>41365</v>
      </c>
      <c r="C697" s="198" t="s">
        <v>1225</v>
      </c>
      <c r="D697" s="198">
        <v>67</v>
      </c>
      <c r="E697" s="198" t="s">
        <v>1362</v>
      </c>
      <c r="F697" s="198">
        <v>65.599999999999994</v>
      </c>
      <c r="G697" s="198">
        <f t="shared" si="10"/>
        <v>32.799999999999997</v>
      </c>
      <c r="H697" s="198">
        <v>11685</v>
      </c>
      <c r="I697" s="198" t="s">
        <v>1570</v>
      </c>
      <c r="J697" s="198">
        <f>AVERAGE(G697:G939)</f>
        <v>33.502263374485587</v>
      </c>
    </row>
    <row r="698" spans="1:10" ht="14.4" hidden="1" outlineLevel="1">
      <c r="A698" s="196" t="s">
        <v>351</v>
      </c>
      <c r="B698" s="197">
        <v>41366</v>
      </c>
      <c r="C698" s="196" t="s">
        <v>1427</v>
      </c>
      <c r="D698" s="196">
        <v>65.599999999999994</v>
      </c>
      <c r="E698" s="196" t="s">
        <v>1362</v>
      </c>
      <c r="F698" s="196">
        <v>65.099999999999994</v>
      </c>
      <c r="G698" s="196">
        <f t="shared" si="10"/>
        <v>32.549999999999997</v>
      </c>
      <c r="H698" s="196">
        <v>3141</v>
      </c>
      <c r="I698" s="196" t="s">
        <v>1569</v>
      </c>
      <c r="J698" s="196"/>
    </row>
    <row r="699" spans="1:10" ht="14.4" hidden="1" outlineLevel="1">
      <c r="A699" s="196" t="s">
        <v>351</v>
      </c>
      <c r="B699" s="197">
        <v>41367</v>
      </c>
      <c r="C699" s="196" t="s">
        <v>1415</v>
      </c>
      <c r="D699" s="196">
        <v>66.900000000000006</v>
      </c>
      <c r="E699" s="196" t="s">
        <v>1415</v>
      </c>
      <c r="F699" s="196">
        <v>66.900000000000006</v>
      </c>
      <c r="G699" s="196">
        <f t="shared" si="10"/>
        <v>33.450000000000003</v>
      </c>
      <c r="H699" s="196">
        <v>100</v>
      </c>
      <c r="I699" s="196" t="s">
        <v>1568</v>
      </c>
      <c r="J699" s="196"/>
    </row>
    <row r="700" spans="1:10" ht="14.4" hidden="1" outlineLevel="1">
      <c r="A700" s="196" t="s">
        <v>351</v>
      </c>
      <c r="B700" s="197">
        <v>41368</v>
      </c>
      <c r="C700" s="196" t="s">
        <v>1250</v>
      </c>
      <c r="D700" s="196">
        <v>65.400000000000006</v>
      </c>
      <c r="E700" s="196" t="s">
        <v>1423</v>
      </c>
      <c r="F700" s="196">
        <v>65.2</v>
      </c>
      <c r="G700" s="196">
        <f t="shared" si="10"/>
        <v>32.6</v>
      </c>
      <c r="H700" s="196">
        <v>400</v>
      </c>
      <c r="I700" s="196" t="s">
        <v>1567</v>
      </c>
      <c r="J700" s="196"/>
    </row>
    <row r="701" spans="1:10" ht="14.4" hidden="1" outlineLevel="1">
      <c r="A701" s="196" t="s">
        <v>351</v>
      </c>
      <c r="B701" s="197">
        <v>41369</v>
      </c>
      <c r="C701" s="196" t="s">
        <v>1423</v>
      </c>
      <c r="D701" s="196">
        <v>65.900000000000006</v>
      </c>
      <c r="E701" s="196" t="s">
        <v>1242</v>
      </c>
      <c r="F701" s="196">
        <v>65.7</v>
      </c>
      <c r="G701" s="196">
        <f t="shared" si="10"/>
        <v>32.85</v>
      </c>
      <c r="H701" s="196">
        <v>820</v>
      </c>
      <c r="I701" s="196" t="s">
        <v>1566</v>
      </c>
      <c r="J701" s="196"/>
    </row>
    <row r="702" spans="1:10" ht="14.4" hidden="1" outlineLevel="1">
      <c r="A702" s="196" t="s">
        <v>351</v>
      </c>
      <c r="B702" s="197">
        <v>41372</v>
      </c>
      <c r="C702" s="196" t="s">
        <v>1237</v>
      </c>
      <c r="D702" s="196">
        <v>66</v>
      </c>
      <c r="E702" s="196" t="s">
        <v>1237</v>
      </c>
      <c r="F702" s="196">
        <v>66</v>
      </c>
      <c r="G702" s="196">
        <f t="shared" si="10"/>
        <v>33</v>
      </c>
      <c r="H702" s="196">
        <v>20108</v>
      </c>
      <c r="I702" s="196" t="s">
        <v>1565</v>
      </c>
      <c r="J702" s="196"/>
    </row>
    <row r="703" spans="1:10" ht="14.4" hidden="1" outlineLevel="1">
      <c r="A703" s="196" t="s">
        <v>351</v>
      </c>
      <c r="B703" s="197">
        <v>41373</v>
      </c>
      <c r="C703" s="196" t="s">
        <v>1242</v>
      </c>
      <c r="D703" s="196">
        <v>65</v>
      </c>
      <c r="E703" s="196" t="s">
        <v>1242</v>
      </c>
      <c r="F703" s="196">
        <v>65</v>
      </c>
      <c r="G703" s="196">
        <f t="shared" si="10"/>
        <v>32.5</v>
      </c>
      <c r="H703" s="196">
        <v>200</v>
      </c>
      <c r="I703" s="196" t="s">
        <v>1255</v>
      </c>
      <c r="J703" s="196"/>
    </row>
    <row r="704" spans="1:10" ht="14.4" hidden="1" outlineLevel="1">
      <c r="A704" s="196" t="s">
        <v>351</v>
      </c>
      <c r="B704" s="197">
        <v>41374</v>
      </c>
      <c r="C704" s="196" t="s">
        <v>1242</v>
      </c>
      <c r="D704" s="196">
        <v>65</v>
      </c>
      <c r="E704" s="196" t="s">
        <v>1242</v>
      </c>
      <c r="F704" s="196">
        <v>65</v>
      </c>
      <c r="G704" s="196">
        <f t="shared" si="10"/>
        <v>32.5</v>
      </c>
      <c r="H704" s="196">
        <v>3000</v>
      </c>
      <c r="I704" s="196" t="s">
        <v>1564</v>
      </c>
      <c r="J704" s="196"/>
    </row>
    <row r="705" spans="1:10" ht="14.4" hidden="1" outlineLevel="1">
      <c r="A705" s="196" t="s">
        <v>351</v>
      </c>
      <c r="B705" s="197">
        <v>41375</v>
      </c>
      <c r="C705" s="196" t="s">
        <v>1242</v>
      </c>
      <c r="D705" s="196">
        <v>65</v>
      </c>
      <c r="E705" s="196" t="s">
        <v>1242</v>
      </c>
      <c r="F705" s="196">
        <v>65</v>
      </c>
      <c r="G705" s="196">
        <f t="shared" si="10"/>
        <v>32.5</v>
      </c>
      <c r="H705" s="196">
        <v>400</v>
      </c>
      <c r="I705" s="196" t="s">
        <v>1412</v>
      </c>
      <c r="J705" s="196"/>
    </row>
    <row r="706" spans="1:10" ht="14.4" hidden="1" outlineLevel="1">
      <c r="A706" s="196" t="s">
        <v>351</v>
      </c>
      <c r="B706" s="197">
        <v>41376</v>
      </c>
      <c r="C706" s="196" t="s">
        <v>1242</v>
      </c>
      <c r="D706" s="196">
        <v>65.099999999999994</v>
      </c>
      <c r="E706" s="196" t="s">
        <v>1242</v>
      </c>
      <c r="F706" s="196">
        <v>65.099999999999994</v>
      </c>
      <c r="G706" s="196">
        <f t="shared" si="10"/>
        <v>32.549999999999997</v>
      </c>
      <c r="H706" s="196">
        <v>9092</v>
      </c>
      <c r="I706" s="196" t="s">
        <v>1563</v>
      </c>
      <c r="J706" s="196"/>
    </row>
    <row r="707" spans="1:10" ht="14.4" hidden="1" outlineLevel="1">
      <c r="A707" s="196" t="s">
        <v>351</v>
      </c>
      <c r="B707" s="197">
        <v>41380</v>
      </c>
      <c r="C707" s="196" t="s">
        <v>1240</v>
      </c>
      <c r="D707" s="196">
        <v>65.5</v>
      </c>
      <c r="E707" s="196" t="s">
        <v>1423</v>
      </c>
      <c r="F707" s="196">
        <v>65.2</v>
      </c>
      <c r="G707" s="196">
        <f t="shared" si="10"/>
        <v>32.6</v>
      </c>
      <c r="H707" s="196">
        <v>10521</v>
      </c>
      <c r="I707" s="196" t="s">
        <v>1562</v>
      </c>
      <c r="J707" s="196"/>
    </row>
    <row r="708" spans="1:10" ht="14.4" hidden="1" outlineLevel="1">
      <c r="A708" s="196" t="s">
        <v>351</v>
      </c>
      <c r="B708" s="197">
        <v>41381</v>
      </c>
      <c r="C708" s="196" t="s">
        <v>1224</v>
      </c>
      <c r="D708" s="196">
        <v>68</v>
      </c>
      <c r="E708" s="196" t="s">
        <v>1237</v>
      </c>
      <c r="F708" s="196">
        <v>66</v>
      </c>
      <c r="G708" s="196">
        <f t="shared" si="10"/>
        <v>33</v>
      </c>
      <c r="H708" s="196">
        <v>22888</v>
      </c>
      <c r="I708" s="196" t="s">
        <v>1561</v>
      </c>
      <c r="J708" s="196"/>
    </row>
    <row r="709" spans="1:10" ht="14.4" hidden="1" outlineLevel="1">
      <c r="A709" s="196" t="s">
        <v>351</v>
      </c>
      <c r="B709" s="197">
        <v>41382</v>
      </c>
      <c r="C709" s="196" t="s">
        <v>1224</v>
      </c>
      <c r="D709" s="196">
        <v>69.900000000000006</v>
      </c>
      <c r="E709" s="196" t="s">
        <v>1224</v>
      </c>
      <c r="F709" s="196">
        <v>69.8</v>
      </c>
      <c r="G709" s="196">
        <f t="shared" ref="G709:G772" si="11">F709/2</f>
        <v>34.9</v>
      </c>
      <c r="H709" s="196">
        <v>6219</v>
      </c>
      <c r="I709" s="196" t="s">
        <v>1560</v>
      </c>
      <c r="J709" s="196"/>
    </row>
    <row r="710" spans="1:10" ht="14.4" hidden="1" outlineLevel="1">
      <c r="A710" s="196" t="s">
        <v>351</v>
      </c>
      <c r="B710" s="197">
        <v>41383</v>
      </c>
      <c r="C710" s="196" t="s">
        <v>88</v>
      </c>
      <c r="D710" s="196" t="s">
        <v>88</v>
      </c>
      <c r="E710" s="196" t="s">
        <v>88</v>
      </c>
      <c r="F710" s="196">
        <v>69.8</v>
      </c>
      <c r="G710" s="196">
        <f t="shared" si="11"/>
        <v>34.9</v>
      </c>
      <c r="H710" s="196">
        <v>0</v>
      </c>
      <c r="I710" s="196" t="s">
        <v>611</v>
      </c>
      <c r="J710" s="196"/>
    </row>
    <row r="711" spans="1:10" ht="14.4" hidden="1" outlineLevel="1">
      <c r="A711" s="196" t="s">
        <v>351</v>
      </c>
      <c r="B711" s="197">
        <v>41386</v>
      </c>
      <c r="C711" s="196" t="s">
        <v>1225</v>
      </c>
      <c r="D711" s="196">
        <v>67</v>
      </c>
      <c r="E711" s="196" t="s">
        <v>1225</v>
      </c>
      <c r="F711" s="196">
        <v>67</v>
      </c>
      <c r="G711" s="196">
        <f t="shared" si="11"/>
        <v>33.5</v>
      </c>
      <c r="H711" s="196">
        <v>500</v>
      </c>
      <c r="I711" s="196" t="s">
        <v>1559</v>
      </c>
      <c r="J711" s="196"/>
    </row>
    <row r="712" spans="1:10" ht="14.4" hidden="1" outlineLevel="1">
      <c r="A712" s="196" t="s">
        <v>351</v>
      </c>
      <c r="B712" s="197">
        <v>41387</v>
      </c>
      <c r="C712" s="196" t="s">
        <v>1216</v>
      </c>
      <c r="D712" s="196">
        <v>70</v>
      </c>
      <c r="E712" s="196" t="s">
        <v>1216</v>
      </c>
      <c r="F712" s="196">
        <v>69.3</v>
      </c>
      <c r="G712" s="196">
        <f t="shared" si="11"/>
        <v>34.65</v>
      </c>
      <c r="H712" s="196">
        <v>724</v>
      </c>
      <c r="I712" s="196" t="s">
        <v>1558</v>
      </c>
      <c r="J712" s="196"/>
    </row>
    <row r="713" spans="1:10" ht="14.4" hidden="1" outlineLevel="1">
      <c r="A713" s="196" t="s">
        <v>351</v>
      </c>
      <c r="B713" s="197">
        <v>41388</v>
      </c>
      <c r="C713" s="196" t="s">
        <v>1476</v>
      </c>
      <c r="D713" s="196">
        <v>69.5</v>
      </c>
      <c r="E713" s="196" t="s">
        <v>1476</v>
      </c>
      <c r="F713" s="196">
        <v>69.099999999999994</v>
      </c>
      <c r="G713" s="196">
        <f t="shared" si="11"/>
        <v>34.549999999999997</v>
      </c>
      <c r="H713" s="196">
        <v>28386</v>
      </c>
      <c r="I713" s="196" t="s">
        <v>1557</v>
      </c>
      <c r="J713" s="196"/>
    </row>
    <row r="714" spans="1:10" ht="14.4" hidden="1" outlineLevel="1">
      <c r="A714" s="196" t="s">
        <v>351</v>
      </c>
      <c r="B714" s="197">
        <v>41390</v>
      </c>
      <c r="C714" s="196" t="s">
        <v>1224</v>
      </c>
      <c r="D714" s="196">
        <v>69</v>
      </c>
      <c r="E714" s="196" t="s">
        <v>1555</v>
      </c>
      <c r="F714" s="196">
        <v>67.900000000000006</v>
      </c>
      <c r="G714" s="196">
        <f t="shared" si="11"/>
        <v>33.950000000000003</v>
      </c>
      <c r="H714" s="196">
        <v>22221</v>
      </c>
      <c r="I714" s="196" t="s">
        <v>1556</v>
      </c>
      <c r="J714" s="196"/>
    </row>
    <row r="715" spans="1:10" ht="14.4" hidden="1" outlineLevel="1">
      <c r="A715" s="196" t="s">
        <v>351</v>
      </c>
      <c r="B715" s="197">
        <v>41393</v>
      </c>
      <c r="C715" s="196" t="s">
        <v>1553</v>
      </c>
      <c r="D715" s="196">
        <v>70</v>
      </c>
      <c r="E715" s="196" t="s">
        <v>1553</v>
      </c>
      <c r="F715" s="196">
        <v>69.099999999999994</v>
      </c>
      <c r="G715" s="196">
        <f t="shared" si="11"/>
        <v>34.549999999999997</v>
      </c>
      <c r="H715" s="196">
        <v>13309</v>
      </c>
      <c r="I715" s="196" t="s">
        <v>1554</v>
      </c>
      <c r="J715" s="196"/>
    </row>
    <row r="716" spans="1:10" ht="14.4" hidden="1" outlineLevel="1">
      <c r="A716" s="196" t="s">
        <v>351</v>
      </c>
      <c r="B716" s="197">
        <v>41394</v>
      </c>
      <c r="C716" s="196" t="s">
        <v>1224</v>
      </c>
      <c r="D716" s="196">
        <v>69</v>
      </c>
      <c r="E716" s="196" t="s">
        <v>1224</v>
      </c>
      <c r="F716" s="196">
        <v>69</v>
      </c>
      <c r="G716" s="196">
        <f t="shared" si="11"/>
        <v>34.5</v>
      </c>
      <c r="H716" s="196">
        <v>6451</v>
      </c>
      <c r="I716" s="196" t="s">
        <v>1552</v>
      </c>
      <c r="J716" s="196"/>
    </row>
    <row r="717" spans="1:10" ht="14.4" hidden="1" outlineLevel="1">
      <c r="A717" s="196" t="s">
        <v>351</v>
      </c>
      <c r="B717" s="197">
        <v>41396</v>
      </c>
      <c r="C717" s="196" t="s">
        <v>1216</v>
      </c>
      <c r="D717" s="196">
        <v>69</v>
      </c>
      <c r="E717" s="196" t="s">
        <v>1550</v>
      </c>
      <c r="F717" s="196">
        <v>69</v>
      </c>
      <c r="G717" s="196">
        <f t="shared" si="11"/>
        <v>34.5</v>
      </c>
      <c r="H717" s="196">
        <v>27407</v>
      </c>
      <c r="I717" s="196" t="s">
        <v>1551</v>
      </c>
      <c r="J717" s="196"/>
    </row>
    <row r="718" spans="1:10" ht="14.4" hidden="1" outlineLevel="1">
      <c r="A718" s="196" t="s">
        <v>351</v>
      </c>
      <c r="B718" s="197">
        <v>41397</v>
      </c>
      <c r="C718" s="196" t="s">
        <v>1216</v>
      </c>
      <c r="D718" s="196">
        <v>69.900000000000006</v>
      </c>
      <c r="E718" s="196" t="s">
        <v>1216</v>
      </c>
      <c r="F718" s="196">
        <v>69.900000000000006</v>
      </c>
      <c r="G718" s="196">
        <f t="shared" si="11"/>
        <v>34.950000000000003</v>
      </c>
      <c r="H718" s="196">
        <v>18126</v>
      </c>
      <c r="I718" s="196" t="s">
        <v>1549</v>
      </c>
      <c r="J718" s="196"/>
    </row>
    <row r="719" spans="1:10" ht="14.4" hidden="1" outlineLevel="1">
      <c r="A719" s="196" t="s">
        <v>351</v>
      </c>
      <c r="B719" s="197">
        <v>41400</v>
      </c>
      <c r="C719" s="196" t="s">
        <v>1214</v>
      </c>
      <c r="D719" s="196">
        <v>72.3</v>
      </c>
      <c r="E719" s="196" t="s">
        <v>1547</v>
      </c>
      <c r="F719" s="196">
        <v>71.7</v>
      </c>
      <c r="G719" s="196">
        <f t="shared" si="11"/>
        <v>35.85</v>
      </c>
      <c r="H719" s="196">
        <v>333067</v>
      </c>
      <c r="I719" s="196" t="s">
        <v>1548</v>
      </c>
      <c r="J719" s="196"/>
    </row>
    <row r="720" spans="1:10" ht="14.4" hidden="1" outlineLevel="1">
      <c r="A720" s="196" t="s">
        <v>351</v>
      </c>
      <c r="B720" s="197">
        <v>41401</v>
      </c>
      <c r="C720" s="196" t="s">
        <v>1160</v>
      </c>
      <c r="D720" s="196">
        <v>74</v>
      </c>
      <c r="E720" s="196" t="s">
        <v>1160</v>
      </c>
      <c r="F720" s="196">
        <v>72.900000000000006</v>
      </c>
      <c r="G720" s="196">
        <f t="shared" si="11"/>
        <v>36.450000000000003</v>
      </c>
      <c r="H720" s="196">
        <v>28809</v>
      </c>
      <c r="I720" s="196" t="s">
        <v>1546</v>
      </c>
      <c r="J720" s="196"/>
    </row>
    <row r="721" spans="1:10" ht="14.4" hidden="1" outlineLevel="1">
      <c r="A721" s="196" t="s">
        <v>351</v>
      </c>
      <c r="B721" s="197">
        <v>41402</v>
      </c>
      <c r="C721" s="196" t="s">
        <v>983</v>
      </c>
      <c r="D721" s="196">
        <v>77.5</v>
      </c>
      <c r="E721" s="196" t="s">
        <v>1119</v>
      </c>
      <c r="F721" s="196">
        <v>76.900000000000006</v>
      </c>
      <c r="G721" s="196">
        <f t="shared" si="11"/>
        <v>38.450000000000003</v>
      </c>
      <c r="H721" s="196">
        <v>413247</v>
      </c>
      <c r="I721" s="196" t="s">
        <v>1545</v>
      </c>
      <c r="J721" s="196"/>
    </row>
    <row r="722" spans="1:10" ht="14.4" hidden="1" outlineLevel="1">
      <c r="A722" s="196" t="s">
        <v>351</v>
      </c>
      <c r="B722" s="197">
        <v>41403</v>
      </c>
      <c r="C722" s="196" t="s">
        <v>972</v>
      </c>
      <c r="D722" s="196">
        <v>78.900000000000006</v>
      </c>
      <c r="E722" s="196" t="s">
        <v>972</v>
      </c>
      <c r="F722" s="196">
        <v>77.8</v>
      </c>
      <c r="G722" s="196">
        <f t="shared" si="11"/>
        <v>38.9</v>
      </c>
      <c r="H722" s="196">
        <v>262162</v>
      </c>
      <c r="I722" s="196" t="s">
        <v>1544</v>
      </c>
      <c r="J722" s="196"/>
    </row>
    <row r="723" spans="1:10" ht="14.4" hidden="1" outlineLevel="1">
      <c r="A723" s="196" t="s">
        <v>351</v>
      </c>
      <c r="B723" s="197">
        <v>41404</v>
      </c>
      <c r="C723" s="196" t="s">
        <v>997</v>
      </c>
      <c r="D723" s="196">
        <v>80</v>
      </c>
      <c r="E723" s="196" t="s">
        <v>1072</v>
      </c>
      <c r="F723" s="196">
        <v>77.5</v>
      </c>
      <c r="G723" s="196">
        <f t="shared" si="11"/>
        <v>38.75</v>
      </c>
      <c r="H723" s="196">
        <v>158280</v>
      </c>
      <c r="I723" s="196" t="s">
        <v>1543</v>
      </c>
      <c r="J723" s="196"/>
    </row>
    <row r="724" spans="1:10" ht="14.4" hidden="1" outlineLevel="1">
      <c r="A724" s="196" t="s">
        <v>351</v>
      </c>
      <c r="B724" s="197">
        <v>41407</v>
      </c>
      <c r="C724" s="196" t="s">
        <v>974</v>
      </c>
      <c r="D724" s="196">
        <v>77.5</v>
      </c>
      <c r="E724" s="196" t="s">
        <v>987</v>
      </c>
      <c r="F724" s="196">
        <v>77.3</v>
      </c>
      <c r="G724" s="196">
        <f t="shared" si="11"/>
        <v>38.65</v>
      </c>
      <c r="H724" s="196">
        <v>31141</v>
      </c>
      <c r="I724" s="196" t="s">
        <v>1542</v>
      </c>
      <c r="J724" s="196"/>
    </row>
    <row r="725" spans="1:10" ht="14.4" hidden="1" outlineLevel="1">
      <c r="A725" s="196" t="s">
        <v>351</v>
      </c>
      <c r="B725" s="197">
        <v>41408</v>
      </c>
      <c r="C725" s="196" t="s">
        <v>970</v>
      </c>
      <c r="D725" s="196">
        <v>77.400000000000006</v>
      </c>
      <c r="E725" s="196" t="s">
        <v>1082</v>
      </c>
      <c r="F725" s="196">
        <v>75.400000000000006</v>
      </c>
      <c r="G725" s="196">
        <f t="shared" si="11"/>
        <v>37.700000000000003</v>
      </c>
      <c r="H725" s="196">
        <v>5716</v>
      </c>
      <c r="I725" s="196" t="s">
        <v>1541</v>
      </c>
      <c r="J725" s="196"/>
    </row>
    <row r="726" spans="1:10" ht="14.4" hidden="1" outlineLevel="1">
      <c r="A726" s="196" t="s">
        <v>351</v>
      </c>
      <c r="B726" s="197">
        <v>41409</v>
      </c>
      <c r="C726" s="196" t="s">
        <v>1102</v>
      </c>
      <c r="D726" s="196">
        <v>77.400000000000006</v>
      </c>
      <c r="E726" s="196" t="s">
        <v>1082</v>
      </c>
      <c r="F726" s="196">
        <v>75.5</v>
      </c>
      <c r="G726" s="196">
        <f t="shared" si="11"/>
        <v>37.75</v>
      </c>
      <c r="H726" s="196">
        <v>40060</v>
      </c>
      <c r="I726" s="196" t="s">
        <v>1540</v>
      </c>
      <c r="J726" s="196"/>
    </row>
    <row r="727" spans="1:10" ht="14.4" hidden="1" outlineLevel="1">
      <c r="A727" s="196" t="s">
        <v>351</v>
      </c>
      <c r="B727" s="197">
        <v>41410</v>
      </c>
      <c r="C727" s="196" t="s">
        <v>1102</v>
      </c>
      <c r="D727" s="196">
        <v>77.400000000000006</v>
      </c>
      <c r="E727" s="196" t="s">
        <v>1102</v>
      </c>
      <c r="F727" s="196">
        <v>76.599999999999994</v>
      </c>
      <c r="G727" s="196">
        <f t="shared" si="11"/>
        <v>38.299999999999997</v>
      </c>
      <c r="H727" s="196">
        <v>1940</v>
      </c>
      <c r="I727" s="196" t="s">
        <v>1539</v>
      </c>
      <c r="J727" s="196"/>
    </row>
    <row r="728" spans="1:10" ht="14.4" hidden="1" outlineLevel="1">
      <c r="A728" s="196" t="s">
        <v>351</v>
      </c>
      <c r="B728" s="197">
        <v>41411</v>
      </c>
      <c r="C728" s="196" t="s">
        <v>1536</v>
      </c>
      <c r="D728" s="196">
        <v>78</v>
      </c>
      <c r="E728" s="196" t="s">
        <v>1536</v>
      </c>
      <c r="F728" s="196">
        <v>78</v>
      </c>
      <c r="G728" s="196">
        <f t="shared" si="11"/>
        <v>39</v>
      </c>
      <c r="H728" s="196">
        <v>20993</v>
      </c>
      <c r="I728" s="196" t="s">
        <v>1538</v>
      </c>
      <c r="J728" s="196"/>
    </row>
    <row r="729" spans="1:10" ht="14.4" hidden="1" outlineLevel="1">
      <c r="A729" s="196" t="s">
        <v>351</v>
      </c>
      <c r="B729" s="197">
        <v>41414</v>
      </c>
      <c r="C729" s="196" t="s">
        <v>1536</v>
      </c>
      <c r="D729" s="196">
        <v>78</v>
      </c>
      <c r="E729" s="196" t="s">
        <v>1536</v>
      </c>
      <c r="F729" s="196">
        <v>77.099999999999994</v>
      </c>
      <c r="G729" s="196">
        <f t="shared" si="11"/>
        <v>38.549999999999997</v>
      </c>
      <c r="H729" s="196">
        <v>134383</v>
      </c>
      <c r="I729" s="196" t="s">
        <v>1537</v>
      </c>
      <c r="J729" s="196"/>
    </row>
    <row r="730" spans="1:10" ht="14.4" hidden="1" outlineLevel="1">
      <c r="A730" s="196" t="s">
        <v>351</v>
      </c>
      <c r="B730" s="197">
        <v>41415</v>
      </c>
      <c r="C730" s="196" t="s">
        <v>962</v>
      </c>
      <c r="D730" s="196">
        <v>78</v>
      </c>
      <c r="E730" s="196" t="s">
        <v>995</v>
      </c>
      <c r="F730" s="196">
        <v>77.5</v>
      </c>
      <c r="G730" s="196">
        <f t="shared" si="11"/>
        <v>38.75</v>
      </c>
      <c r="H730" s="196">
        <v>3120</v>
      </c>
      <c r="I730" s="196" t="s">
        <v>1535</v>
      </c>
      <c r="J730" s="196"/>
    </row>
    <row r="731" spans="1:10" ht="14.4" hidden="1" outlineLevel="1">
      <c r="A731" s="196" t="s">
        <v>351</v>
      </c>
      <c r="B731" s="197">
        <v>41416</v>
      </c>
      <c r="C731" s="196" t="s">
        <v>974</v>
      </c>
      <c r="D731" s="196">
        <v>77</v>
      </c>
      <c r="E731" s="196" t="s">
        <v>974</v>
      </c>
      <c r="F731" s="196">
        <v>77</v>
      </c>
      <c r="G731" s="196">
        <f t="shared" si="11"/>
        <v>38.5</v>
      </c>
      <c r="H731" s="196">
        <v>1600</v>
      </c>
      <c r="I731" s="196" t="s">
        <v>1534</v>
      </c>
      <c r="J731" s="196"/>
    </row>
    <row r="732" spans="1:10" ht="14.4" hidden="1" outlineLevel="1">
      <c r="A732" s="196" t="s">
        <v>351</v>
      </c>
      <c r="B732" s="197">
        <v>41417</v>
      </c>
      <c r="C732" s="196" t="s">
        <v>1147</v>
      </c>
      <c r="D732" s="196">
        <v>77</v>
      </c>
      <c r="E732" s="196" t="s">
        <v>980</v>
      </c>
      <c r="F732" s="196">
        <v>75.599999999999994</v>
      </c>
      <c r="G732" s="196">
        <f t="shared" si="11"/>
        <v>37.799999999999997</v>
      </c>
      <c r="H732" s="196">
        <v>1525</v>
      </c>
      <c r="I732" s="196" t="s">
        <v>1533</v>
      </c>
      <c r="J732" s="196"/>
    </row>
    <row r="733" spans="1:10" ht="14.4" hidden="1" outlineLevel="1">
      <c r="A733" s="196" t="s">
        <v>351</v>
      </c>
      <c r="B733" s="197">
        <v>41421</v>
      </c>
      <c r="C733" s="196" t="s">
        <v>1085</v>
      </c>
      <c r="D733" s="196">
        <v>74.5</v>
      </c>
      <c r="E733" s="196" t="s">
        <v>983</v>
      </c>
      <c r="F733" s="196">
        <v>74.099999999999994</v>
      </c>
      <c r="G733" s="196">
        <f t="shared" si="11"/>
        <v>37.049999999999997</v>
      </c>
      <c r="H733" s="196">
        <v>1300</v>
      </c>
      <c r="I733" s="196" t="s">
        <v>1532</v>
      </c>
      <c r="J733" s="196"/>
    </row>
    <row r="734" spans="1:10" ht="14.4" hidden="1" outlineLevel="1">
      <c r="A734" s="196" t="s">
        <v>351</v>
      </c>
      <c r="B734" s="197">
        <v>41422</v>
      </c>
      <c r="C734" s="196" t="s">
        <v>1151</v>
      </c>
      <c r="D734" s="196">
        <v>74.400000000000006</v>
      </c>
      <c r="E734" s="196" t="s">
        <v>1151</v>
      </c>
      <c r="F734" s="196">
        <v>74.400000000000006</v>
      </c>
      <c r="G734" s="196">
        <f t="shared" si="11"/>
        <v>37.200000000000003</v>
      </c>
      <c r="H734" s="196">
        <v>8500</v>
      </c>
      <c r="I734" s="196" t="s">
        <v>1531</v>
      </c>
      <c r="J734" s="196"/>
    </row>
    <row r="735" spans="1:10" ht="14.4" hidden="1" outlineLevel="1">
      <c r="A735" s="196" t="s">
        <v>351</v>
      </c>
      <c r="B735" s="197">
        <v>41423</v>
      </c>
      <c r="C735" s="196" t="s">
        <v>983</v>
      </c>
      <c r="D735" s="196">
        <v>74</v>
      </c>
      <c r="E735" s="196" t="s">
        <v>983</v>
      </c>
      <c r="F735" s="196">
        <v>74</v>
      </c>
      <c r="G735" s="196">
        <f t="shared" si="11"/>
        <v>37</v>
      </c>
      <c r="H735" s="196">
        <v>8</v>
      </c>
      <c r="I735" s="196" t="s">
        <v>1530</v>
      </c>
      <c r="J735" s="196"/>
    </row>
    <row r="736" spans="1:10" ht="14.4" hidden="1" outlineLevel="1">
      <c r="A736" s="196" t="s">
        <v>351</v>
      </c>
      <c r="B736" s="197">
        <v>41424</v>
      </c>
      <c r="C736" s="196" t="s">
        <v>980</v>
      </c>
      <c r="D736" s="196">
        <v>75.900000000000006</v>
      </c>
      <c r="E736" s="196" t="s">
        <v>1119</v>
      </c>
      <c r="F736" s="196">
        <v>73</v>
      </c>
      <c r="G736" s="196">
        <f t="shared" si="11"/>
        <v>36.5</v>
      </c>
      <c r="H736" s="196">
        <v>4513</v>
      </c>
      <c r="I736" s="196" t="s">
        <v>1529</v>
      </c>
      <c r="J736" s="196"/>
    </row>
    <row r="737" spans="1:10" ht="14.4" hidden="1" outlineLevel="1">
      <c r="A737" s="196" t="s">
        <v>351</v>
      </c>
      <c r="B737" s="197">
        <v>41425</v>
      </c>
      <c r="C737" s="196" t="s">
        <v>1147</v>
      </c>
      <c r="D737" s="196">
        <v>76.900000000000006</v>
      </c>
      <c r="E737" s="196" t="s">
        <v>1147</v>
      </c>
      <c r="F737" s="196">
        <v>76.8</v>
      </c>
      <c r="G737" s="196">
        <f t="shared" si="11"/>
        <v>38.4</v>
      </c>
      <c r="H737" s="196">
        <v>100</v>
      </c>
      <c r="I737" s="196" t="s">
        <v>1528</v>
      </c>
      <c r="J737" s="196"/>
    </row>
    <row r="738" spans="1:10" ht="14.4" hidden="1" outlineLevel="1">
      <c r="A738" s="196" t="s">
        <v>351</v>
      </c>
      <c r="B738" s="197">
        <v>41428</v>
      </c>
      <c r="C738" s="196" t="s">
        <v>88</v>
      </c>
      <c r="D738" s="196" t="s">
        <v>88</v>
      </c>
      <c r="E738" s="196" t="s">
        <v>88</v>
      </c>
      <c r="F738" s="196">
        <v>76.8</v>
      </c>
      <c r="G738" s="196">
        <f t="shared" si="11"/>
        <v>38.4</v>
      </c>
      <c r="H738" s="196">
        <v>0</v>
      </c>
      <c r="I738" s="196" t="s">
        <v>611</v>
      </c>
      <c r="J738" s="196"/>
    </row>
    <row r="739" spans="1:10" ht="14.4" hidden="1" outlineLevel="1">
      <c r="A739" s="196" t="s">
        <v>351</v>
      </c>
      <c r="B739" s="197">
        <v>41429</v>
      </c>
      <c r="C739" s="196" t="s">
        <v>1526</v>
      </c>
      <c r="D739" s="196">
        <v>75.900000000000006</v>
      </c>
      <c r="E739" s="196" t="s">
        <v>983</v>
      </c>
      <c r="F739" s="196">
        <v>75.400000000000006</v>
      </c>
      <c r="G739" s="196">
        <f t="shared" si="11"/>
        <v>37.700000000000003</v>
      </c>
      <c r="H739" s="196">
        <v>4016</v>
      </c>
      <c r="I739" s="196" t="s">
        <v>1527</v>
      </c>
      <c r="J739" s="196"/>
    </row>
    <row r="740" spans="1:10" ht="14.4" hidden="1" outlineLevel="1">
      <c r="A740" s="196" t="s">
        <v>351</v>
      </c>
      <c r="B740" s="197">
        <v>41430</v>
      </c>
      <c r="C740" s="196" t="s">
        <v>987</v>
      </c>
      <c r="D740" s="196">
        <v>75.400000000000006</v>
      </c>
      <c r="E740" s="196" t="s">
        <v>983</v>
      </c>
      <c r="F740" s="196">
        <v>74.2</v>
      </c>
      <c r="G740" s="196">
        <f t="shared" si="11"/>
        <v>37.1</v>
      </c>
      <c r="H740" s="196">
        <v>5836</v>
      </c>
      <c r="I740" s="196" t="s">
        <v>1525</v>
      </c>
      <c r="J740" s="196"/>
    </row>
    <row r="741" spans="1:10" ht="14.4" hidden="1" outlineLevel="1">
      <c r="A741" s="196" t="s">
        <v>351</v>
      </c>
      <c r="B741" s="197">
        <v>41431</v>
      </c>
      <c r="C741" s="196" t="s">
        <v>1511</v>
      </c>
      <c r="D741" s="196">
        <v>73.5</v>
      </c>
      <c r="E741" s="196" t="s">
        <v>1119</v>
      </c>
      <c r="F741" s="196">
        <v>73</v>
      </c>
      <c r="G741" s="196">
        <f t="shared" si="11"/>
        <v>36.5</v>
      </c>
      <c r="H741" s="196">
        <v>37600</v>
      </c>
      <c r="I741" s="196" t="s">
        <v>1524</v>
      </c>
      <c r="J741" s="196"/>
    </row>
    <row r="742" spans="1:10" ht="14.4" hidden="1" outlineLevel="1">
      <c r="A742" s="196" t="s">
        <v>351</v>
      </c>
      <c r="B742" s="197">
        <v>41432</v>
      </c>
      <c r="C742" s="196" t="s">
        <v>1127</v>
      </c>
      <c r="D742" s="196">
        <v>73</v>
      </c>
      <c r="E742" s="196" t="s">
        <v>1161</v>
      </c>
      <c r="F742" s="196">
        <v>71.5</v>
      </c>
      <c r="G742" s="196">
        <f t="shared" si="11"/>
        <v>35.75</v>
      </c>
      <c r="H742" s="196">
        <v>25615</v>
      </c>
      <c r="I742" s="196" t="s">
        <v>1523</v>
      </c>
      <c r="J742" s="196"/>
    </row>
    <row r="743" spans="1:10" ht="14.4" hidden="1" outlineLevel="1">
      <c r="A743" s="196" t="s">
        <v>351</v>
      </c>
      <c r="B743" s="197">
        <v>41435</v>
      </c>
      <c r="C743" s="196" t="s">
        <v>1516</v>
      </c>
      <c r="D743" s="196">
        <v>71.5</v>
      </c>
      <c r="E743" s="196" t="s">
        <v>1516</v>
      </c>
      <c r="F743" s="196">
        <v>71.099999999999994</v>
      </c>
      <c r="G743" s="196">
        <f t="shared" si="11"/>
        <v>35.549999999999997</v>
      </c>
      <c r="H743" s="196">
        <v>1678</v>
      </c>
      <c r="I743" s="196" t="s">
        <v>1522</v>
      </c>
      <c r="J743" s="196"/>
    </row>
    <row r="744" spans="1:10" ht="14.4" hidden="1" outlineLevel="1">
      <c r="A744" s="196" t="s">
        <v>351</v>
      </c>
      <c r="B744" s="197">
        <v>41436</v>
      </c>
      <c r="C744" s="196" t="s">
        <v>1516</v>
      </c>
      <c r="D744" s="196">
        <v>72.5</v>
      </c>
      <c r="E744" s="196" t="s">
        <v>1161</v>
      </c>
      <c r="F744" s="196">
        <v>71</v>
      </c>
      <c r="G744" s="196">
        <f t="shared" si="11"/>
        <v>35.5</v>
      </c>
      <c r="H744" s="196">
        <v>23765</v>
      </c>
      <c r="I744" s="196" t="s">
        <v>1521</v>
      </c>
      <c r="J744" s="196"/>
    </row>
    <row r="745" spans="1:10" ht="14.4" hidden="1" outlineLevel="1">
      <c r="A745" s="196" t="s">
        <v>351</v>
      </c>
      <c r="B745" s="197">
        <v>41437</v>
      </c>
      <c r="C745" s="196" t="s">
        <v>1519</v>
      </c>
      <c r="D745" s="196">
        <v>70.400000000000006</v>
      </c>
      <c r="E745" s="196" t="s">
        <v>1185</v>
      </c>
      <c r="F745" s="196">
        <v>70.099999999999994</v>
      </c>
      <c r="G745" s="196">
        <f t="shared" si="11"/>
        <v>35.049999999999997</v>
      </c>
      <c r="H745" s="196">
        <v>5635</v>
      </c>
      <c r="I745" s="196" t="s">
        <v>1520</v>
      </c>
      <c r="J745" s="196"/>
    </row>
    <row r="746" spans="1:10" ht="14.4" hidden="1" outlineLevel="1">
      <c r="A746" s="196" t="s">
        <v>351</v>
      </c>
      <c r="B746" s="197">
        <v>41438</v>
      </c>
      <c r="C746" s="196" t="s">
        <v>1178</v>
      </c>
      <c r="D746" s="196">
        <v>72.5</v>
      </c>
      <c r="E746" s="196" t="s">
        <v>1211</v>
      </c>
      <c r="F746" s="196">
        <v>71</v>
      </c>
      <c r="G746" s="196">
        <f t="shared" si="11"/>
        <v>35.5</v>
      </c>
      <c r="H746" s="196">
        <v>20401</v>
      </c>
      <c r="I746" s="196" t="s">
        <v>1518</v>
      </c>
      <c r="J746" s="196"/>
    </row>
    <row r="747" spans="1:10" ht="14.4" hidden="1" outlineLevel="1">
      <c r="A747" s="196" t="s">
        <v>351</v>
      </c>
      <c r="B747" s="197">
        <v>41439</v>
      </c>
      <c r="C747" s="196" t="s">
        <v>1127</v>
      </c>
      <c r="D747" s="196">
        <v>72.400000000000006</v>
      </c>
      <c r="E747" s="196" t="s">
        <v>1516</v>
      </c>
      <c r="F747" s="196">
        <v>71.099999999999994</v>
      </c>
      <c r="G747" s="196">
        <f t="shared" si="11"/>
        <v>35.549999999999997</v>
      </c>
      <c r="H747" s="196">
        <v>2904</v>
      </c>
      <c r="I747" s="196" t="s">
        <v>1517</v>
      </c>
      <c r="J747" s="196"/>
    </row>
    <row r="748" spans="1:10" ht="14.4" hidden="1" outlineLevel="1">
      <c r="A748" s="196" t="s">
        <v>351</v>
      </c>
      <c r="B748" s="197">
        <v>41442</v>
      </c>
      <c r="C748" s="196" t="s">
        <v>1161</v>
      </c>
      <c r="D748" s="196">
        <v>71</v>
      </c>
      <c r="E748" s="196" t="s">
        <v>1161</v>
      </c>
      <c r="F748" s="196">
        <v>71</v>
      </c>
      <c r="G748" s="196">
        <f t="shared" si="11"/>
        <v>35.5</v>
      </c>
      <c r="H748" s="196">
        <v>7</v>
      </c>
      <c r="I748" s="196" t="s">
        <v>1515</v>
      </c>
      <c r="J748" s="196"/>
    </row>
    <row r="749" spans="1:10" ht="14.4" hidden="1" outlineLevel="1">
      <c r="A749" s="196" t="s">
        <v>351</v>
      </c>
      <c r="B749" s="197">
        <v>41443</v>
      </c>
      <c r="C749" s="196" t="s">
        <v>1161</v>
      </c>
      <c r="D749" s="196">
        <v>71.2</v>
      </c>
      <c r="E749" s="196" t="s">
        <v>1161</v>
      </c>
      <c r="F749" s="196">
        <v>71</v>
      </c>
      <c r="G749" s="196">
        <f t="shared" si="11"/>
        <v>35.5</v>
      </c>
      <c r="H749" s="196">
        <v>3360</v>
      </c>
      <c r="I749" s="196" t="s">
        <v>1514</v>
      </c>
      <c r="J749" s="196"/>
    </row>
    <row r="750" spans="1:10" ht="14.4" hidden="1" outlineLevel="1">
      <c r="A750" s="196" t="s">
        <v>351</v>
      </c>
      <c r="B750" s="197">
        <v>41444</v>
      </c>
      <c r="C750" s="196" t="s">
        <v>1161</v>
      </c>
      <c r="D750" s="196">
        <v>71</v>
      </c>
      <c r="E750" s="196" t="s">
        <v>1175</v>
      </c>
      <c r="F750" s="196">
        <v>70.900000000000006</v>
      </c>
      <c r="G750" s="196">
        <f t="shared" si="11"/>
        <v>35.450000000000003</v>
      </c>
      <c r="H750" s="196">
        <v>8457</v>
      </c>
      <c r="I750" s="196" t="s">
        <v>1513</v>
      </c>
      <c r="J750" s="196"/>
    </row>
    <row r="751" spans="1:10" ht="14.4" hidden="1" outlineLevel="1">
      <c r="A751" s="196" t="s">
        <v>351</v>
      </c>
      <c r="B751" s="197">
        <v>41445</v>
      </c>
      <c r="C751" s="196" t="s">
        <v>1511</v>
      </c>
      <c r="D751" s="196">
        <v>73.5</v>
      </c>
      <c r="E751" s="196" t="s">
        <v>1211</v>
      </c>
      <c r="F751" s="196">
        <v>70.2</v>
      </c>
      <c r="G751" s="196">
        <f t="shared" si="11"/>
        <v>35.1</v>
      </c>
      <c r="H751" s="196">
        <v>13431</v>
      </c>
      <c r="I751" s="196" t="s">
        <v>1512</v>
      </c>
      <c r="J751" s="196"/>
    </row>
    <row r="752" spans="1:10" ht="14.4" hidden="1" outlineLevel="1">
      <c r="A752" s="196" t="s">
        <v>351</v>
      </c>
      <c r="B752" s="197">
        <v>41446</v>
      </c>
      <c r="C752" s="196" t="s">
        <v>1211</v>
      </c>
      <c r="D752" s="196">
        <v>71</v>
      </c>
      <c r="E752" s="196" t="s">
        <v>1225</v>
      </c>
      <c r="F752" s="196">
        <v>67.8</v>
      </c>
      <c r="G752" s="196">
        <f t="shared" si="11"/>
        <v>33.9</v>
      </c>
      <c r="H752" s="196">
        <v>19483</v>
      </c>
      <c r="I752" s="196" t="s">
        <v>1510</v>
      </c>
      <c r="J752" s="196"/>
    </row>
    <row r="753" spans="1:10" ht="14.4" hidden="1" outlineLevel="1">
      <c r="A753" s="196" t="s">
        <v>351</v>
      </c>
      <c r="B753" s="197">
        <v>41449</v>
      </c>
      <c r="C753" s="196" t="s">
        <v>88</v>
      </c>
      <c r="D753" s="196" t="s">
        <v>88</v>
      </c>
      <c r="E753" s="196" t="s">
        <v>88</v>
      </c>
      <c r="F753" s="196">
        <v>67.8</v>
      </c>
      <c r="G753" s="196">
        <f t="shared" si="11"/>
        <v>33.9</v>
      </c>
      <c r="H753" s="196">
        <v>0</v>
      </c>
      <c r="I753" s="196" t="s">
        <v>611</v>
      </c>
      <c r="J753" s="196"/>
    </row>
    <row r="754" spans="1:10" ht="14.4" hidden="1" outlineLevel="1">
      <c r="A754" s="196" t="s">
        <v>351</v>
      </c>
      <c r="B754" s="197">
        <v>41450</v>
      </c>
      <c r="C754" s="196" t="s">
        <v>88</v>
      </c>
      <c r="D754" s="196" t="s">
        <v>88</v>
      </c>
      <c r="E754" s="196" t="s">
        <v>88</v>
      </c>
      <c r="F754" s="196">
        <v>67.8</v>
      </c>
      <c r="G754" s="196">
        <f t="shared" si="11"/>
        <v>33.9</v>
      </c>
      <c r="H754" s="196">
        <v>0</v>
      </c>
      <c r="I754" s="196" t="s">
        <v>611</v>
      </c>
      <c r="J754" s="196"/>
    </row>
    <row r="755" spans="1:10" ht="14.4" hidden="1" outlineLevel="1">
      <c r="A755" s="196" t="s">
        <v>351</v>
      </c>
      <c r="B755" s="197">
        <v>41451</v>
      </c>
      <c r="C755" s="196" t="s">
        <v>1508</v>
      </c>
      <c r="D755" s="196">
        <v>69.900000000000006</v>
      </c>
      <c r="E755" s="196" t="s">
        <v>1231</v>
      </c>
      <c r="F755" s="196">
        <v>67.5</v>
      </c>
      <c r="G755" s="196">
        <f t="shared" si="11"/>
        <v>33.75</v>
      </c>
      <c r="H755" s="196">
        <v>28870</v>
      </c>
      <c r="I755" s="196" t="s">
        <v>1509</v>
      </c>
      <c r="J755" s="196"/>
    </row>
    <row r="756" spans="1:10" ht="14.4" hidden="1" outlineLevel="1">
      <c r="A756" s="196" t="s">
        <v>351</v>
      </c>
      <c r="B756" s="197">
        <v>41452</v>
      </c>
      <c r="C756" s="196" t="s">
        <v>1224</v>
      </c>
      <c r="D756" s="196">
        <v>68</v>
      </c>
      <c r="E756" s="196" t="s">
        <v>1224</v>
      </c>
      <c r="F756" s="196">
        <v>68</v>
      </c>
      <c r="G756" s="196">
        <f t="shared" si="11"/>
        <v>34</v>
      </c>
      <c r="H756" s="196">
        <v>10007</v>
      </c>
      <c r="I756" s="196" t="s">
        <v>1507</v>
      </c>
      <c r="J756" s="196"/>
    </row>
    <row r="757" spans="1:10" ht="14.4" hidden="1" outlineLevel="1">
      <c r="A757" s="196" t="s">
        <v>351</v>
      </c>
      <c r="B757" s="197">
        <v>41453</v>
      </c>
      <c r="C757" s="196" t="s">
        <v>1220</v>
      </c>
      <c r="D757" s="196">
        <v>68.5</v>
      </c>
      <c r="E757" s="196" t="s">
        <v>1220</v>
      </c>
      <c r="F757" s="196">
        <v>68.5</v>
      </c>
      <c r="G757" s="196">
        <f t="shared" si="11"/>
        <v>34.25</v>
      </c>
      <c r="H757" s="196">
        <v>200</v>
      </c>
      <c r="I757" s="196" t="s">
        <v>1506</v>
      </c>
      <c r="J757" s="196"/>
    </row>
    <row r="758" spans="1:10" ht="14.4" hidden="1" outlineLevel="1">
      <c r="A758" s="196" t="s">
        <v>351</v>
      </c>
      <c r="B758" s="197">
        <v>41456</v>
      </c>
      <c r="C758" s="196" t="s">
        <v>1504</v>
      </c>
      <c r="D758" s="196">
        <v>69.900000000000006</v>
      </c>
      <c r="E758" s="196" t="s">
        <v>1220</v>
      </c>
      <c r="F758" s="196">
        <v>69.8</v>
      </c>
      <c r="G758" s="196">
        <f t="shared" si="11"/>
        <v>34.9</v>
      </c>
      <c r="H758" s="196">
        <v>44409</v>
      </c>
      <c r="I758" s="196" t="s">
        <v>1505</v>
      </c>
      <c r="J758" s="196"/>
    </row>
    <row r="759" spans="1:10" ht="14.4" hidden="1" outlineLevel="1">
      <c r="A759" s="196" t="s">
        <v>351</v>
      </c>
      <c r="B759" s="197">
        <v>41457</v>
      </c>
      <c r="C759" s="196" t="s">
        <v>1500</v>
      </c>
      <c r="D759" s="196">
        <v>70</v>
      </c>
      <c r="E759" s="196" t="s">
        <v>1500</v>
      </c>
      <c r="F759" s="196">
        <v>70</v>
      </c>
      <c r="G759" s="196">
        <f t="shared" si="11"/>
        <v>35</v>
      </c>
      <c r="H759" s="196">
        <v>57287</v>
      </c>
      <c r="I759" s="196" t="s">
        <v>1503</v>
      </c>
      <c r="J759" s="196"/>
    </row>
    <row r="760" spans="1:10" ht="14.4" hidden="1" outlineLevel="1">
      <c r="A760" s="196" t="s">
        <v>351</v>
      </c>
      <c r="B760" s="197">
        <v>41458</v>
      </c>
      <c r="C760" s="196" t="s">
        <v>1211</v>
      </c>
      <c r="D760" s="196">
        <v>70</v>
      </c>
      <c r="E760" s="196" t="s">
        <v>1211</v>
      </c>
      <c r="F760" s="196">
        <v>70</v>
      </c>
      <c r="G760" s="196">
        <f t="shared" si="11"/>
        <v>35</v>
      </c>
      <c r="H760" s="196">
        <v>1100</v>
      </c>
      <c r="I760" s="196" t="s">
        <v>1502</v>
      </c>
      <c r="J760" s="196"/>
    </row>
    <row r="761" spans="1:10" ht="14.4" hidden="1" outlineLevel="1">
      <c r="A761" s="196" t="s">
        <v>351</v>
      </c>
      <c r="B761" s="197">
        <v>41459</v>
      </c>
      <c r="C761" s="196" t="s">
        <v>88</v>
      </c>
      <c r="D761" s="196" t="s">
        <v>88</v>
      </c>
      <c r="E761" s="196" t="s">
        <v>88</v>
      </c>
      <c r="F761" s="196">
        <v>70</v>
      </c>
      <c r="G761" s="196">
        <f t="shared" si="11"/>
        <v>35</v>
      </c>
      <c r="H761" s="196">
        <v>0</v>
      </c>
      <c r="I761" s="196" t="s">
        <v>611</v>
      </c>
      <c r="J761" s="196"/>
    </row>
    <row r="762" spans="1:10" ht="14.4" hidden="1" outlineLevel="1">
      <c r="A762" s="196" t="s">
        <v>351</v>
      </c>
      <c r="B762" s="197">
        <v>41460</v>
      </c>
      <c r="C762" s="196" t="s">
        <v>1366</v>
      </c>
      <c r="D762" s="196">
        <v>69.5</v>
      </c>
      <c r="E762" s="196" t="s">
        <v>1500</v>
      </c>
      <c r="F762" s="196">
        <v>69.400000000000006</v>
      </c>
      <c r="G762" s="196">
        <f t="shared" si="11"/>
        <v>34.700000000000003</v>
      </c>
      <c r="H762" s="196">
        <v>2490</v>
      </c>
      <c r="I762" s="196" t="s">
        <v>1501</v>
      </c>
      <c r="J762" s="196"/>
    </row>
    <row r="763" spans="1:10" ht="14.4" hidden="1" outlineLevel="1">
      <c r="A763" s="196" t="s">
        <v>351</v>
      </c>
      <c r="B763" s="197">
        <v>41463</v>
      </c>
      <c r="C763" s="196" t="s">
        <v>1216</v>
      </c>
      <c r="D763" s="196">
        <v>70</v>
      </c>
      <c r="E763" s="196" t="s">
        <v>1498</v>
      </c>
      <c r="F763" s="196">
        <v>70</v>
      </c>
      <c r="G763" s="196">
        <f t="shared" si="11"/>
        <v>35</v>
      </c>
      <c r="H763" s="196">
        <v>52904</v>
      </c>
      <c r="I763" s="196" t="s">
        <v>1499</v>
      </c>
      <c r="J763" s="196"/>
    </row>
    <row r="764" spans="1:10" ht="14.4" hidden="1" outlineLevel="1">
      <c r="A764" s="196" t="s">
        <v>351</v>
      </c>
      <c r="B764" s="197">
        <v>41464</v>
      </c>
      <c r="C764" s="196" t="s">
        <v>1211</v>
      </c>
      <c r="D764" s="196">
        <v>70</v>
      </c>
      <c r="E764" s="196" t="s">
        <v>1211</v>
      </c>
      <c r="F764" s="196">
        <v>70</v>
      </c>
      <c r="G764" s="196">
        <f t="shared" si="11"/>
        <v>35</v>
      </c>
      <c r="H764" s="196">
        <v>19000</v>
      </c>
      <c r="I764" s="196" t="s">
        <v>1497</v>
      </c>
      <c r="J764" s="196"/>
    </row>
    <row r="765" spans="1:10" ht="14.4" hidden="1" outlineLevel="1">
      <c r="A765" s="196" t="s">
        <v>351</v>
      </c>
      <c r="B765" s="197">
        <v>41465</v>
      </c>
      <c r="C765" s="196" t="s">
        <v>1211</v>
      </c>
      <c r="D765" s="196">
        <v>70</v>
      </c>
      <c r="E765" s="196" t="s">
        <v>1214</v>
      </c>
      <c r="F765" s="196">
        <v>69.900000000000006</v>
      </c>
      <c r="G765" s="196">
        <f t="shared" si="11"/>
        <v>34.950000000000003</v>
      </c>
      <c r="H765" s="196">
        <v>250</v>
      </c>
      <c r="I765" s="196" t="s">
        <v>1496</v>
      </c>
      <c r="J765" s="196"/>
    </row>
    <row r="766" spans="1:10" ht="14.4" hidden="1" outlineLevel="1">
      <c r="A766" s="196" t="s">
        <v>351</v>
      </c>
      <c r="B766" s="197">
        <v>41466</v>
      </c>
      <c r="C766" s="196" t="s">
        <v>88</v>
      </c>
      <c r="D766" s="196" t="s">
        <v>88</v>
      </c>
      <c r="E766" s="196" t="s">
        <v>88</v>
      </c>
      <c r="F766" s="196">
        <v>69.900000000000006</v>
      </c>
      <c r="G766" s="196">
        <f t="shared" si="11"/>
        <v>34.950000000000003</v>
      </c>
      <c r="H766" s="196">
        <v>0</v>
      </c>
      <c r="I766" s="196" t="s">
        <v>611</v>
      </c>
      <c r="J766" s="196"/>
    </row>
    <row r="767" spans="1:10" ht="14.4" hidden="1" outlineLevel="1">
      <c r="A767" s="196" t="s">
        <v>351</v>
      </c>
      <c r="B767" s="197">
        <v>41467</v>
      </c>
      <c r="C767" s="196" t="s">
        <v>88</v>
      </c>
      <c r="D767" s="196" t="s">
        <v>88</v>
      </c>
      <c r="E767" s="196" t="s">
        <v>88</v>
      </c>
      <c r="F767" s="196">
        <v>69.900000000000006</v>
      </c>
      <c r="G767" s="196">
        <f t="shared" si="11"/>
        <v>34.950000000000003</v>
      </c>
      <c r="H767" s="196">
        <v>0</v>
      </c>
      <c r="I767" s="196" t="s">
        <v>611</v>
      </c>
      <c r="J767" s="196"/>
    </row>
    <row r="768" spans="1:10" ht="14.4" hidden="1" outlineLevel="1">
      <c r="A768" s="196" t="s">
        <v>351</v>
      </c>
      <c r="B768" s="197">
        <v>41470</v>
      </c>
      <c r="C768" s="196" t="s">
        <v>1478</v>
      </c>
      <c r="D768" s="196">
        <v>67.5</v>
      </c>
      <c r="E768" s="196" t="s">
        <v>1225</v>
      </c>
      <c r="F768" s="196">
        <v>67.400000000000006</v>
      </c>
      <c r="G768" s="196">
        <f t="shared" si="11"/>
        <v>33.700000000000003</v>
      </c>
      <c r="H768" s="196">
        <v>1700</v>
      </c>
      <c r="I768" s="196" t="s">
        <v>1495</v>
      </c>
      <c r="J768" s="196"/>
    </row>
    <row r="769" spans="1:10" ht="14.4" hidden="1" outlineLevel="1">
      <c r="A769" s="196" t="s">
        <v>351</v>
      </c>
      <c r="B769" s="197">
        <v>41471</v>
      </c>
      <c r="C769" s="196" t="s">
        <v>88</v>
      </c>
      <c r="D769" s="196" t="s">
        <v>88</v>
      </c>
      <c r="E769" s="196" t="s">
        <v>88</v>
      </c>
      <c r="F769" s="196">
        <v>67.400000000000006</v>
      </c>
      <c r="G769" s="196">
        <f t="shared" si="11"/>
        <v>33.700000000000003</v>
      </c>
      <c r="H769" s="196">
        <v>0</v>
      </c>
      <c r="I769" s="196" t="s">
        <v>611</v>
      </c>
      <c r="J769" s="196"/>
    </row>
    <row r="770" spans="1:10" ht="14.4" hidden="1" outlineLevel="1">
      <c r="A770" s="196" t="s">
        <v>351</v>
      </c>
      <c r="B770" s="197">
        <v>41472</v>
      </c>
      <c r="C770" s="196" t="s">
        <v>1225</v>
      </c>
      <c r="D770" s="196">
        <v>67</v>
      </c>
      <c r="E770" s="196" t="s">
        <v>1225</v>
      </c>
      <c r="F770" s="196">
        <v>67</v>
      </c>
      <c r="G770" s="196">
        <f t="shared" si="11"/>
        <v>33.5</v>
      </c>
      <c r="H770" s="196">
        <v>200</v>
      </c>
      <c r="I770" s="196" t="s">
        <v>1486</v>
      </c>
      <c r="J770" s="196"/>
    </row>
    <row r="771" spans="1:10" ht="14.4" hidden="1" outlineLevel="1">
      <c r="A771" s="196" t="s">
        <v>351</v>
      </c>
      <c r="B771" s="197">
        <v>41473</v>
      </c>
      <c r="C771" s="196" t="s">
        <v>1231</v>
      </c>
      <c r="D771" s="196">
        <v>67.5</v>
      </c>
      <c r="E771" s="196" t="s">
        <v>1231</v>
      </c>
      <c r="F771" s="196">
        <v>67.5</v>
      </c>
      <c r="G771" s="196">
        <f t="shared" si="11"/>
        <v>33.75</v>
      </c>
      <c r="H771" s="196">
        <v>150</v>
      </c>
      <c r="I771" s="196" t="s">
        <v>1494</v>
      </c>
      <c r="J771" s="196"/>
    </row>
    <row r="772" spans="1:10" ht="14.4" hidden="1" outlineLevel="1">
      <c r="A772" s="196" t="s">
        <v>351</v>
      </c>
      <c r="B772" s="197">
        <v>41474</v>
      </c>
      <c r="C772" s="196" t="s">
        <v>1231</v>
      </c>
      <c r="D772" s="196">
        <v>69.900000000000006</v>
      </c>
      <c r="E772" s="196" t="s">
        <v>1231</v>
      </c>
      <c r="F772" s="196">
        <v>69.900000000000006</v>
      </c>
      <c r="G772" s="196">
        <f t="shared" si="11"/>
        <v>34.950000000000003</v>
      </c>
      <c r="H772" s="196">
        <v>246</v>
      </c>
      <c r="I772" s="196" t="s">
        <v>1493</v>
      </c>
      <c r="J772" s="196"/>
    </row>
    <row r="773" spans="1:10" ht="14.4" hidden="1" outlineLevel="1">
      <c r="A773" s="196" t="s">
        <v>351</v>
      </c>
      <c r="B773" s="197">
        <v>41478</v>
      </c>
      <c r="C773" s="196" t="s">
        <v>1488</v>
      </c>
      <c r="D773" s="196">
        <v>69.7</v>
      </c>
      <c r="E773" s="196" t="s">
        <v>1488</v>
      </c>
      <c r="F773" s="196">
        <v>69.7</v>
      </c>
      <c r="G773" s="196">
        <f t="shared" ref="G773:G836" si="12">F773/2</f>
        <v>34.85</v>
      </c>
      <c r="H773" s="196">
        <v>65</v>
      </c>
      <c r="I773" s="196" t="s">
        <v>1492</v>
      </c>
      <c r="J773" s="196"/>
    </row>
    <row r="774" spans="1:10" ht="14.4" hidden="1" outlineLevel="1">
      <c r="A774" s="196" t="s">
        <v>351</v>
      </c>
      <c r="B774" s="197">
        <v>41479</v>
      </c>
      <c r="C774" s="196" t="s">
        <v>1222</v>
      </c>
      <c r="D774" s="196">
        <v>67.099999999999994</v>
      </c>
      <c r="E774" s="196" t="s">
        <v>1232</v>
      </c>
      <c r="F774" s="196">
        <v>66.7</v>
      </c>
      <c r="G774" s="196">
        <f t="shared" si="12"/>
        <v>33.35</v>
      </c>
      <c r="H774" s="196">
        <v>3810</v>
      </c>
      <c r="I774" s="196" t="s">
        <v>1491</v>
      </c>
      <c r="J774" s="196"/>
    </row>
    <row r="775" spans="1:10" ht="14.4" hidden="1" outlineLevel="1">
      <c r="A775" s="196" t="s">
        <v>351</v>
      </c>
      <c r="B775" s="197">
        <v>41480</v>
      </c>
      <c r="C775" s="196" t="s">
        <v>1231</v>
      </c>
      <c r="D775" s="196">
        <v>67.599999999999994</v>
      </c>
      <c r="E775" s="196" t="s">
        <v>1231</v>
      </c>
      <c r="F775" s="196">
        <v>67.5</v>
      </c>
      <c r="G775" s="196">
        <f t="shared" si="12"/>
        <v>33.75</v>
      </c>
      <c r="H775" s="196">
        <v>950</v>
      </c>
      <c r="I775" s="196" t="s">
        <v>1490</v>
      </c>
      <c r="J775" s="196"/>
    </row>
    <row r="776" spans="1:10" ht="14.4" hidden="1" outlineLevel="1">
      <c r="A776" s="196" t="s">
        <v>351</v>
      </c>
      <c r="B776" s="197">
        <v>41481</v>
      </c>
      <c r="C776" s="196" t="s">
        <v>1488</v>
      </c>
      <c r="D776" s="196">
        <v>69.7</v>
      </c>
      <c r="E776" s="196" t="s">
        <v>1231</v>
      </c>
      <c r="F776" s="196">
        <v>69.7</v>
      </c>
      <c r="G776" s="196">
        <f t="shared" si="12"/>
        <v>34.85</v>
      </c>
      <c r="H776" s="196">
        <v>5580</v>
      </c>
      <c r="I776" s="196" t="s">
        <v>1489</v>
      </c>
      <c r="J776" s="196"/>
    </row>
    <row r="777" spans="1:10" ht="14.4" hidden="1" outlineLevel="1">
      <c r="A777" s="196" t="s">
        <v>351</v>
      </c>
      <c r="B777" s="197">
        <v>41484</v>
      </c>
      <c r="C777" s="196" t="s">
        <v>1216</v>
      </c>
      <c r="D777" s="196">
        <v>69</v>
      </c>
      <c r="E777" s="196" t="s">
        <v>1225</v>
      </c>
      <c r="F777" s="196">
        <v>67.5</v>
      </c>
      <c r="G777" s="196">
        <f t="shared" si="12"/>
        <v>33.75</v>
      </c>
      <c r="H777" s="196">
        <v>4702</v>
      </c>
      <c r="I777" s="196" t="s">
        <v>1487</v>
      </c>
      <c r="J777" s="196"/>
    </row>
    <row r="778" spans="1:10" ht="14.4" hidden="1" outlineLevel="1">
      <c r="A778" s="196" t="s">
        <v>351</v>
      </c>
      <c r="B778" s="197">
        <v>41485</v>
      </c>
      <c r="C778" s="196" t="s">
        <v>88</v>
      </c>
      <c r="D778" s="196" t="s">
        <v>88</v>
      </c>
      <c r="E778" s="196" t="s">
        <v>88</v>
      </c>
      <c r="F778" s="196">
        <v>67.5</v>
      </c>
      <c r="G778" s="196">
        <f t="shared" si="12"/>
        <v>33.75</v>
      </c>
      <c r="H778" s="196">
        <v>0</v>
      </c>
      <c r="I778" s="196" t="s">
        <v>611</v>
      </c>
      <c r="J778" s="196"/>
    </row>
    <row r="779" spans="1:10" ht="14.4" hidden="1" outlineLevel="1">
      <c r="A779" s="196" t="s">
        <v>351</v>
      </c>
      <c r="B779" s="197">
        <v>41486</v>
      </c>
      <c r="C779" s="196" t="s">
        <v>1225</v>
      </c>
      <c r="D779" s="196">
        <v>67</v>
      </c>
      <c r="E779" s="196" t="s">
        <v>1225</v>
      </c>
      <c r="F779" s="196">
        <v>67</v>
      </c>
      <c r="G779" s="196">
        <f t="shared" si="12"/>
        <v>33.5</v>
      </c>
      <c r="H779" s="196">
        <v>200</v>
      </c>
      <c r="I779" s="196" t="s">
        <v>1486</v>
      </c>
      <c r="J779" s="196"/>
    </row>
    <row r="780" spans="1:10" ht="14.4" hidden="1" outlineLevel="1">
      <c r="A780" s="196" t="s">
        <v>351</v>
      </c>
      <c r="B780" s="197">
        <v>41487</v>
      </c>
      <c r="C780" s="196" t="s">
        <v>1216</v>
      </c>
      <c r="D780" s="196">
        <v>69</v>
      </c>
      <c r="E780" s="196" t="s">
        <v>1216</v>
      </c>
      <c r="F780" s="196">
        <v>69</v>
      </c>
      <c r="G780" s="196">
        <f t="shared" si="12"/>
        <v>34.5</v>
      </c>
      <c r="H780" s="196">
        <v>300</v>
      </c>
      <c r="I780" s="196" t="s">
        <v>1485</v>
      </c>
      <c r="J780" s="196"/>
    </row>
    <row r="781" spans="1:10" ht="14.4" hidden="1" outlineLevel="1">
      <c r="A781" s="196" t="s">
        <v>351</v>
      </c>
      <c r="B781" s="197">
        <v>41488</v>
      </c>
      <c r="C781" s="196" t="s">
        <v>1222</v>
      </c>
      <c r="D781" s="196">
        <v>67.5</v>
      </c>
      <c r="E781" s="196" t="s">
        <v>1225</v>
      </c>
      <c r="F781" s="196">
        <v>67.099999999999994</v>
      </c>
      <c r="G781" s="196">
        <f t="shared" si="12"/>
        <v>33.549999999999997</v>
      </c>
      <c r="H781" s="196">
        <v>8422</v>
      </c>
      <c r="I781" s="196" t="s">
        <v>1484</v>
      </c>
      <c r="J781" s="196"/>
    </row>
    <row r="782" spans="1:10" ht="14.4" hidden="1" outlineLevel="1">
      <c r="A782" s="196" t="s">
        <v>351</v>
      </c>
      <c r="B782" s="197">
        <v>41491</v>
      </c>
      <c r="C782" s="196" t="s">
        <v>1222</v>
      </c>
      <c r="D782" s="196">
        <v>67.099999999999994</v>
      </c>
      <c r="E782" s="196" t="s">
        <v>1222</v>
      </c>
      <c r="F782" s="196">
        <v>67.099999999999994</v>
      </c>
      <c r="G782" s="196">
        <f t="shared" si="12"/>
        <v>33.549999999999997</v>
      </c>
      <c r="H782" s="196">
        <v>11722</v>
      </c>
      <c r="I782" s="196" t="s">
        <v>1483</v>
      </c>
      <c r="J782" s="196"/>
    </row>
    <row r="783" spans="1:10" ht="14.4" hidden="1" outlineLevel="1">
      <c r="A783" s="196" t="s">
        <v>351</v>
      </c>
      <c r="B783" s="197">
        <v>41492</v>
      </c>
      <c r="C783" s="196" t="s">
        <v>1222</v>
      </c>
      <c r="D783" s="196">
        <v>67.5</v>
      </c>
      <c r="E783" s="196" t="s">
        <v>1225</v>
      </c>
      <c r="F783" s="196">
        <v>67</v>
      </c>
      <c r="G783" s="196">
        <f t="shared" si="12"/>
        <v>33.5</v>
      </c>
      <c r="H783" s="196">
        <v>28760</v>
      </c>
      <c r="I783" s="196" t="s">
        <v>1482</v>
      </c>
      <c r="J783" s="196"/>
    </row>
    <row r="784" spans="1:10" ht="14.4" hidden="1" outlineLevel="1">
      <c r="A784" s="196" t="s">
        <v>351</v>
      </c>
      <c r="B784" s="197">
        <v>41493</v>
      </c>
      <c r="C784" s="196" t="s">
        <v>1222</v>
      </c>
      <c r="D784" s="196">
        <v>67.2</v>
      </c>
      <c r="E784" s="196" t="s">
        <v>1222</v>
      </c>
      <c r="F784" s="196">
        <v>67.099999999999994</v>
      </c>
      <c r="G784" s="196">
        <f t="shared" si="12"/>
        <v>33.549999999999997</v>
      </c>
      <c r="H784" s="196">
        <v>29878</v>
      </c>
      <c r="I784" s="196" t="s">
        <v>1481</v>
      </c>
      <c r="J784" s="196"/>
    </row>
    <row r="785" spans="1:10" ht="14.4" hidden="1" outlineLevel="1">
      <c r="A785" s="196" t="s">
        <v>351</v>
      </c>
      <c r="B785" s="197">
        <v>41494</v>
      </c>
      <c r="C785" s="196" t="s">
        <v>1224</v>
      </c>
      <c r="D785" s="196">
        <v>68</v>
      </c>
      <c r="E785" s="196" t="s">
        <v>1222</v>
      </c>
      <c r="F785" s="196">
        <v>67.2</v>
      </c>
      <c r="G785" s="196">
        <f t="shared" si="12"/>
        <v>33.6</v>
      </c>
      <c r="H785" s="196">
        <v>2189</v>
      </c>
      <c r="I785" s="196" t="s">
        <v>1480</v>
      </c>
      <c r="J785" s="196"/>
    </row>
    <row r="786" spans="1:10" ht="14.4" hidden="1" outlineLevel="1">
      <c r="A786" s="196" t="s">
        <v>351</v>
      </c>
      <c r="B786" s="197">
        <v>41498</v>
      </c>
      <c r="C786" s="196" t="s">
        <v>1478</v>
      </c>
      <c r="D786" s="196">
        <v>67.3</v>
      </c>
      <c r="E786" s="196" t="s">
        <v>1225</v>
      </c>
      <c r="F786" s="196">
        <v>67.2</v>
      </c>
      <c r="G786" s="196">
        <f t="shared" si="12"/>
        <v>33.6</v>
      </c>
      <c r="H786" s="196">
        <v>22685</v>
      </c>
      <c r="I786" s="196" t="s">
        <v>1479</v>
      </c>
      <c r="J786" s="196"/>
    </row>
    <row r="787" spans="1:10" ht="14.4" hidden="1" outlineLevel="1">
      <c r="A787" s="196" t="s">
        <v>351</v>
      </c>
      <c r="B787" s="197">
        <v>41499</v>
      </c>
      <c r="C787" s="196" t="s">
        <v>1476</v>
      </c>
      <c r="D787" s="196">
        <v>67.2</v>
      </c>
      <c r="E787" s="196" t="s">
        <v>1476</v>
      </c>
      <c r="F787" s="196">
        <v>67.2</v>
      </c>
      <c r="G787" s="196">
        <f t="shared" si="12"/>
        <v>33.6</v>
      </c>
      <c r="H787" s="196">
        <v>4500</v>
      </c>
      <c r="I787" s="196" t="s">
        <v>1477</v>
      </c>
      <c r="J787" s="196"/>
    </row>
    <row r="788" spans="1:10" ht="14.4" hidden="1" outlineLevel="1">
      <c r="A788" s="196" t="s">
        <v>351</v>
      </c>
      <c r="B788" s="197">
        <v>41500</v>
      </c>
      <c r="C788" s="196" t="s">
        <v>1222</v>
      </c>
      <c r="D788" s="196">
        <v>67.099999999999994</v>
      </c>
      <c r="E788" s="196" t="s">
        <v>1222</v>
      </c>
      <c r="F788" s="196">
        <v>67.099999999999994</v>
      </c>
      <c r="G788" s="196">
        <f t="shared" si="12"/>
        <v>33.549999999999997</v>
      </c>
      <c r="H788" s="196">
        <v>1000</v>
      </c>
      <c r="I788" s="196" t="s">
        <v>1475</v>
      </c>
      <c r="J788" s="196"/>
    </row>
    <row r="789" spans="1:10" ht="14.4" hidden="1" outlineLevel="1">
      <c r="A789" s="196" t="s">
        <v>351</v>
      </c>
      <c r="B789" s="197">
        <v>41501</v>
      </c>
      <c r="C789" s="196" t="s">
        <v>1222</v>
      </c>
      <c r="D789" s="196">
        <v>67.099999999999994</v>
      </c>
      <c r="E789" s="196" t="s">
        <v>1225</v>
      </c>
      <c r="F789" s="196">
        <v>67</v>
      </c>
      <c r="G789" s="196">
        <f t="shared" si="12"/>
        <v>33.5</v>
      </c>
      <c r="H789" s="196">
        <v>1295</v>
      </c>
      <c r="I789" s="196" t="s">
        <v>1474</v>
      </c>
      <c r="J789" s="196"/>
    </row>
    <row r="790" spans="1:10" ht="14.4" hidden="1" outlineLevel="1">
      <c r="A790" s="196" t="s">
        <v>351</v>
      </c>
      <c r="B790" s="197">
        <v>41502</v>
      </c>
      <c r="C790" s="196" t="s">
        <v>1216</v>
      </c>
      <c r="D790" s="196">
        <v>69</v>
      </c>
      <c r="E790" s="196" t="s">
        <v>1216</v>
      </c>
      <c r="F790" s="196">
        <v>69</v>
      </c>
      <c r="G790" s="196">
        <f t="shared" si="12"/>
        <v>34.5</v>
      </c>
      <c r="H790" s="196">
        <v>1</v>
      </c>
      <c r="I790" s="196" t="s">
        <v>1473</v>
      </c>
      <c r="J790" s="196"/>
    </row>
    <row r="791" spans="1:10" ht="14.4" hidden="1" outlineLevel="1">
      <c r="A791" s="196" t="s">
        <v>351</v>
      </c>
      <c r="B791" s="197">
        <v>41505</v>
      </c>
      <c r="C791" s="196" t="s">
        <v>88</v>
      </c>
      <c r="D791" s="196" t="s">
        <v>88</v>
      </c>
      <c r="E791" s="196" t="s">
        <v>88</v>
      </c>
      <c r="F791" s="196">
        <v>69</v>
      </c>
      <c r="G791" s="196">
        <f t="shared" si="12"/>
        <v>34.5</v>
      </c>
      <c r="H791" s="196">
        <v>0</v>
      </c>
      <c r="I791" s="196" t="s">
        <v>611</v>
      </c>
      <c r="J791" s="196"/>
    </row>
    <row r="792" spans="1:10" ht="14.4" hidden="1" outlineLevel="1">
      <c r="A792" s="196" t="s">
        <v>351</v>
      </c>
      <c r="B792" s="197">
        <v>41507</v>
      </c>
      <c r="C792" s="196" t="s">
        <v>1220</v>
      </c>
      <c r="D792" s="196">
        <v>68.5</v>
      </c>
      <c r="E792" s="196" t="s">
        <v>1220</v>
      </c>
      <c r="F792" s="196">
        <v>68.5</v>
      </c>
      <c r="G792" s="196">
        <f t="shared" si="12"/>
        <v>34.25</v>
      </c>
      <c r="H792" s="196">
        <v>1</v>
      </c>
      <c r="I792" s="196" t="s">
        <v>1472</v>
      </c>
      <c r="J792" s="196"/>
    </row>
    <row r="793" spans="1:10" ht="14.4" hidden="1" outlineLevel="1">
      <c r="A793" s="196" t="s">
        <v>351</v>
      </c>
      <c r="B793" s="197">
        <v>41508</v>
      </c>
      <c r="C793" s="196" t="s">
        <v>1225</v>
      </c>
      <c r="D793" s="196">
        <v>68</v>
      </c>
      <c r="E793" s="196" t="s">
        <v>1225</v>
      </c>
      <c r="F793" s="196">
        <v>68</v>
      </c>
      <c r="G793" s="196">
        <f t="shared" si="12"/>
        <v>34</v>
      </c>
      <c r="H793" s="196">
        <v>3670</v>
      </c>
      <c r="I793" s="196" t="s">
        <v>1471</v>
      </c>
      <c r="J793" s="196"/>
    </row>
    <row r="794" spans="1:10" ht="14.4" hidden="1" outlineLevel="1">
      <c r="A794" s="196" t="s">
        <v>351</v>
      </c>
      <c r="B794" s="197">
        <v>41509</v>
      </c>
      <c r="C794" s="196" t="s">
        <v>1423</v>
      </c>
      <c r="D794" s="196">
        <v>65.3</v>
      </c>
      <c r="E794" s="196" t="s">
        <v>1423</v>
      </c>
      <c r="F794" s="196">
        <v>65.3</v>
      </c>
      <c r="G794" s="196">
        <f t="shared" si="12"/>
        <v>32.65</v>
      </c>
      <c r="H794" s="196">
        <v>1052</v>
      </c>
      <c r="I794" s="196" t="s">
        <v>1470</v>
      </c>
      <c r="J794" s="196"/>
    </row>
    <row r="795" spans="1:10" ht="14.4" hidden="1" outlineLevel="1">
      <c r="A795" s="196" t="s">
        <v>351</v>
      </c>
      <c r="B795" s="197">
        <v>41512</v>
      </c>
      <c r="C795" s="196" t="s">
        <v>1423</v>
      </c>
      <c r="D795" s="196">
        <v>68.5</v>
      </c>
      <c r="E795" s="196" t="s">
        <v>1423</v>
      </c>
      <c r="F795" s="196">
        <v>65.900000000000006</v>
      </c>
      <c r="G795" s="196">
        <f t="shared" si="12"/>
        <v>32.950000000000003</v>
      </c>
      <c r="H795" s="196">
        <v>501</v>
      </c>
      <c r="I795" s="196" t="s">
        <v>1469</v>
      </c>
      <c r="J795" s="196"/>
    </row>
    <row r="796" spans="1:10" ht="14.4" hidden="1" outlineLevel="1">
      <c r="A796" s="196" t="s">
        <v>351</v>
      </c>
      <c r="B796" s="197">
        <v>41513</v>
      </c>
      <c r="C796" s="196" t="s">
        <v>1431</v>
      </c>
      <c r="D796" s="196">
        <v>65.3</v>
      </c>
      <c r="E796" s="196" t="s">
        <v>1253</v>
      </c>
      <c r="F796" s="196">
        <v>64.2</v>
      </c>
      <c r="G796" s="196">
        <f t="shared" si="12"/>
        <v>32.1</v>
      </c>
      <c r="H796" s="196">
        <v>30400</v>
      </c>
      <c r="I796" s="196" t="s">
        <v>1468</v>
      </c>
      <c r="J796" s="196"/>
    </row>
    <row r="797" spans="1:10" ht="14.4" hidden="1" outlineLevel="1">
      <c r="A797" s="196" t="s">
        <v>351</v>
      </c>
      <c r="B797" s="197">
        <v>41514</v>
      </c>
      <c r="C797" s="196" t="s">
        <v>1298</v>
      </c>
      <c r="D797" s="196">
        <v>65</v>
      </c>
      <c r="E797" s="196" t="s">
        <v>1343</v>
      </c>
      <c r="F797" s="196">
        <v>64</v>
      </c>
      <c r="G797" s="196">
        <f t="shared" si="12"/>
        <v>32</v>
      </c>
      <c r="H797" s="196">
        <v>1241</v>
      </c>
      <c r="I797" s="196" t="s">
        <v>1467</v>
      </c>
      <c r="J797" s="196"/>
    </row>
    <row r="798" spans="1:10" ht="14.4" hidden="1" outlineLevel="1">
      <c r="A798" s="196" t="s">
        <v>351</v>
      </c>
      <c r="B798" s="197">
        <v>41515</v>
      </c>
      <c r="C798" s="196" t="s">
        <v>1253</v>
      </c>
      <c r="D798" s="196">
        <v>64</v>
      </c>
      <c r="E798" s="196" t="s">
        <v>1343</v>
      </c>
      <c r="F798" s="196">
        <v>63</v>
      </c>
      <c r="G798" s="196">
        <f t="shared" si="12"/>
        <v>31.5</v>
      </c>
      <c r="H798" s="196">
        <v>8100</v>
      </c>
      <c r="I798" s="196" t="s">
        <v>1466</v>
      </c>
      <c r="J798" s="196"/>
    </row>
    <row r="799" spans="1:10" ht="14.4" hidden="1" outlineLevel="1">
      <c r="A799" s="196" t="s">
        <v>351</v>
      </c>
      <c r="B799" s="197">
        <v>41516</v>
      </c>
      <c r="C799" s="196" t="s">
        <v>1463</v>
      </c>
      <c r="D799" s="196">
        <v>69</v>
      </c>
      <c r="E799" s="196" t="s">
        <v>1463</v>
      </c>
      <c r="F799" s="196">
        <v>68.400000000000006</v>
      </c>
      <c r="G799" s="196">
        <f t="shared" si="12"/>
        <v>34.200000000000003</v>
      </c>
      <c r="H799" s="196">
        <v>46</v>
      </c>
      <c r="I799" s="196" t="s">
        <v>1465</v>
      </c>
      <c r="J799" s="196"/>
    </row>
    <row r="800" spans="1:10" ht="14.4" hidden="1" outlineLevel="1">
      <c r="A800" s="196" t="s">
        <v>351</v>
      </c>
      <c r="B800" s="197">
        <v>41519</v>
      </c>
      <c r="C800" s="196" t="s">
        <v>88</v>
      </c>
      <c r="D800" s="196" t="s">
        <v>88</v>
      </c>
      <c r="E800" s="196" t="s">
        <v>88</v>
      </c>
      <c r="F800" s="196">
        <v>68.400000000000006</v>
      </c>
      <c r="G800" s="196">
        <f t="shared" si="12"/>
        <v>34.200000000000003</v>
      </c>
      <c r="H800" s="196">
        <v>0</v>
      </c>
      <c r="I800" s="196" t="s">
        <v>611</v>
      </c>
      <c r="J800" s="196"/>
    </row>
    <row r="801" spans="1:10" ht="14.4" hidden="1" outlineLevel="1">
      <c r="A801" s="196" t="s">
        <v>351</v>
      </c>
      <c r="B801" s="197">
        <v>41520</v>
      </c>
      <c r="C801" s="196" t="s">
        <v>1463</v>
      </c>
      <c r="D801" s="196">
        <v>68.400000000000006</v>
      </c>
      <c r="E801" s="196" t="s">
        <v>1242</v>
      </c>
      <c r="F801" s="196">
        <v>66.5</v>
      </c>
      <c r="G801" s="196">
        <f t="shared" si="12"/>
        <v>33.25</v>
      </c>
      <c r="H801" s="196">
        <v>1045</v>
      </c>
      <c r="I801" s="196" t="s">
        <v>1464</v>
      </c>
      <c r="J801" s="196"/>
    </row>
    <row r="802" spans="1:10" ht="14.4" hidden="1" outlineLevel="1">
      <c r="A802" s="196" t="s">
        <v>351</v>
      </c>
      <c r="B802" s="197">
        <v>41521</v>
      </c>
      <c r="C802" s="196" t="s">
        <v>1242</v>
      </c>
      <c r="D802" s="196">
        <v>68.900000000000006</v>
      </c>
      <c r="E802" s="196" t="s">
        <v>1242</v>
      </c>
      <c r="F802" s="196">
        <v>65</v>
      </c>
      <c r="G802" s="196">
        <f t="shared" si="12"/>
        <v>32.5</v>
      </c>
      <c r="H802" s="196">
        <v>23802</v>
      </c>
      <c r="I802" s="196" t="s">
        <v>1462</v>
      </c>
      <c r="J802" s="196"/>
    </row>
    <row r="803" spans="1:10" ht="14.4" hidden="1" outlineLevel="1">
      <c r="A803" s="196" t="s">
        <v>351</v>
      </c>
      <c r="B803" s="197">
        <v>41522</v>
      </c>
      <c r="C803" s="196" t="s">
        <v>1242</v>
      </c>
      <c r="D803" s="196">
        <v>65</v>
      </c>
      <c r="E803" s="196" t="s">
        <v>1343</v>
      </c>
      <c r="F803" s="196">
        <v>63</v>
      </c>
      <c r="G803" s="196">
        <f t="shared" si="12"/>
        <v>31.5</v>
      </c>
      <c r="H803" s="196">
        <v>6751</v>
      </c>
      <c r="I803" s="196" t="s">
        <v>1461</v>
      </c>
      <c r="J803" s="196"/>
    </row>
    <row r="804" spans="1:10" ht="14.4" hidden="1" outlineLevel="1">
      <c r="A804" s="196" t="s">
        <v>351</v>
      </c>
      <c r="B804" s="197">
        <v>41523</v>
      </c>
      <c r="C804" s="196" t="s">
        <v>88</v>
      </c>
      <c r="D804" s="196" t="s">
        <v>88</v>
      </c>
      <c r="E804" s="196" t="s">
        <v>88</v>
      </c>
      <c r="F804" s="196">
        <v>63</v>
      </c>
      <c r="G804" s="196">
        <f t="shared" si="12"/>
        <v>31.5</v>
      </c>
      <c r="H804" s="196">
        <v>0</v>
      </c>
      <c r="I804" s="196" t="s">
        <v>611</v>
      </c>
      <c r="J804" s="196"/>
    </row>
    <row r="805" spans="1:10" ht="14.4" hidden="1" outlineLevel="1">
      <c r="A805" s="196" t="s">
        <v>351</v>
      </c>
      <c r="B805" s="197">
        <v>41526</v>
      </c>
      <c r="C805" s="196" t="s">
        <v>1343</v>
      </c>
      <c r="D805" s="196">
        <v>63</v>
      </c>
      <c r="E805" s="196" t="s">
        <v>1343</v>
      </c>
      <c r="F805" s="196">
        <v>63</v>
      </c>
      <c r="G805" s="196">
        <f t="shared" si="12"/>
        <v>31.5</v>
      </c>
      <c r="H805" s="196">
        <v>7527</v>
      </c>
      <c r="I805" s="196" t="s">
        <v>1460</v>
      </c>
      <c r="J805" s="196"/>
    </row>
    <row r="806" spans="1:10" ht="14.4" hidden="1" outlineLevel="1">
      <c r="A806" s="196" t="s">
        <v>351</v>
      </c>
      <c r="B806" s="197">
        <v>41527</v>
      </c>
      <c r="C806" s="196" t="s">
        <v>1343</v>
      </c>
      <c r="D806" s="196">
        <v>63</v>
      </c>
      <c r="E806" s="196" t="s">
        <v>1343</v>
      </c>
      <c r="F806" s="196">
        <v>63</v>
      </c>
      <c r="G806" s="196">
        <f t="shared" si="12"/>
        <v>31.5</v>
      </c>
      <c r="H806" s="196">
        <v>500</v>
      </c>
      <c r="I806" s="196" t="s">
        <v>1459</v>
      </c>
      <c r="J806" s="196"/>
    </row>
    <row r="807" spans="1:10" ht="14.4" hidden="1" outlineLevel="1">
      <c r="A807" s="196" t="s">
        <v>351</v>
      </c>
      <c r="B807" s="197">
        <v>41528</v>
      </c>
      <c r="C807" s="196" t="s">
        <v>1423</v>
      </c>
      <c r="D807" s="196">
        <v>66.2</v>
      </c>
      <c r="E807" s="196" t="s">
        <v>1423</v>
      </c>
      <c r="F807" s="196">
        <v>66</v>
      </c>
      <c r="G807" s="196">
        <f t="shared" si="12"/>
        <v>33</v>
      </c>
      <c r="H807" s="196">
        <v>1012</v>
      </c>
      <c r="I807" s="196" t="s">
        <v>1458</v>
      </c>
      <c r="J807" s="196"/>
    </row>
    <row r="808" spans="1:10" ht="14.4" hidden="1" outlineLevel="1">
      <c r="A808" s="196" t="s">
        <v>351</v>
      </c>
      <c r="B808" s="197">
        <v>41529</v>
      </c>
      <c r="C808" s="196" t="s">
        <v>1415</v>
      </c>
      <c r="D808" s="196">
        <v>66.900000000000006</v>
      </c>
      <c r="E808" s="196" t="s">
        <v>1415</v>
      </c>
      <c r="F808" s="196">
        <v>66.900000000000006</v>
      </c>
      <c r="G808" s="196">
        <f t="shared" si="12"/>
        <v>33.450000000000003</v>
      </c>
      <c r="H808" s="196">
        <v>5</v>
      </c>
      <c r="I808" s="196" t="s">
        <v>1457</v>
      </c>
      <c r="J808" s="196"/>
    </row>
    <row r="809" spans="1:10" ht="14.4" hidden="1" outlineLevel="1">
      <c r="A809" s="196" t="s">
        <v>351</v>
      </c>
      <c r="B809" s="197">
        <v>41530</v>
      </c>
      <c r="C809" s="196" t="s">
        <v>1225</v>
      </c>
      <c r="D809" s="196">
        <v>67</v>
      </c>
      <c r="E809" s="196" t="s">
        <v>1237</v>
      </c>
      <c r="F809" s="196">
        <v>66</v>
      </c>
      <c r="G809" s="196">
        <f t="shared" si="12"/>
        <v>33</v>
      </c>
      <c r="H809" s="196">
        <v>515</v>
      </c>
      <c r="I809" s="196" t="s">
        <v>1456</v>
      </c>
      <c r="J809" s="196"/>
    </row>
    <row r="810" spans="1:10" ht="14.4" hidden="1" outlineLevel="1">
      <c r="A810" s="196" t="s">
        <v>351</v>
      </c>
      <c r="B810" s="197">
        <v>41533</v>
      </c>
      <c r="C810" s="196" t="s">
        <v>1237</v>
      </c>
      <c r="D810" s="196">
        <v>66</v>
      </c>
      <c r="E810" s="196" t="s">
        <v>1343</v>
      </c>
      <c r="F810" s="196">
        <v>63</v>
      </c>
      <c r="G810" s="196">
        <f t="shared" si="12"/>
        <v>31.5</v>
      </c>
      <c r="H810" s="196">
        <v>252</v>
      </c>
      <c r="I810" s="196" t="s">
        <v>1455</v>
      </c>
      <c r="J810" s="196"/>
    </row>
    <row r="811" spans="1:10" ht="14.4" hidden="1" outlineLevel="1">
      <c r="A811" s="196" t="s">
        <v>351</v>
      </c>
      <c r="B811" s="197">
        <v>41534</v>
      </c>
      <c r="C811" s="196" t="s">
        <v>1238</v>
      </c>
      <c r="D811" s="196">
        <v>65.8</v>
      </c>
      <c r="E811" s="196" t="s">
        <v>1262</v>
      </c>
      <c r="F811" s="196">
        <v>63.4</v>
      </c>
      <c r="G811" s="196">
        <f t="shared" si="12"/>
        <v>31.7</v>
      </c>
      <c r="H811" s="196">
        <v>1201</v>
      </c>
      <c r="I811" s="196" t="s">
        <v>1454</v>
      </c>
      <c r="J811" s="196"/>
    </row>
    <row r="812" spans="1:10" ht="14.4" hidden="1" outlineLevel="1">
      <c r="A812" s="196" t="s">
        <v>351</v>
      </c>
      <c r="B812" s="197">
        <v>41535</v>
      </c>
      <c r="C812" s="196" t="s">
        <v>88</v>
      </c>
      <c r="D812" s="196" t="s">
        <v>88</v>
      </c>
      <c r="E812" s="196" t="s">
        <v>88</v>
      </c>
      <c r="F812" s="196">
        <v>63.4</v>
      </c>
      <c r="G812" s="196">
        <f t="shared" si="12"/>
        <v>31.7</v>
      </c>
      <c r="H812" s="196">
        <v>0</v>
      </c>
      <c r="I812" s="196" t="s">
        <v>611</v>
      </c>
      <c r="J812" s="196"/>
    </row>
    <row r="813" spans="1:10" ht="14.4" hidden="1" outlineLevel="1">
      <c r="A813" s="196" t="s">
        <v>351</v>
      </c>
      <c r="B813" s="197">
        <v>41537</v>
      </c>
      <c r="C813" s="196" t="s">
        <v>1242</v>
      </c>
      <c r="D813" s="196">
        <v>66</v>
      </c>
      <c r="E813" s="196" t="s">
        <v>1242</v>
      </c>
      <c r="F813" s="196">
        <v>66</v>
      </c>
      <c r="G813" s="196">
        <f t="shared" si="12"/>
        <v>33</v>
      </c>
      <c r="H813" s="196">
        <v>31961</v>
      </c>
      <c r="I813" s="196" t="s">
        <v>1453</v>
      </c>
      <c r="J813" s="196"/>
    </row>
    <row r="814" spans="1:10" ht="14.4" hidden="1" outlineLevel="1">
      <c r="A814" s="196" t="s">
        <v>351</v>
      </c>
      <c r="B814" s="197">
        <v>41540</v>
      </c>
      <c r="C814" s="196" t="s">
        <v>1237</v>
      </c>
      <c r="D814" s="196">
        <v>66</v>
      </c>
      <c r="E814" s="196" t="s">
        <v>1237</v>
      </c>
      <c r="F814" s="196">
        <v>66</v>
      </c>
      <c r="G814" s="196">
        <f t="shared" si="12"/>
        <v>33</v>
      </c>
      <c r="H814" s="196">
        <v>12765</v>
      </c>
      <c r="I814" s="196" t="s">
        <v>1452</v>
      </c>
      <c r="J814" s="196"/>
    </row>
    <row r="815" spans="1:10" ht="14.4" hidden="1" outlineLevel="1">
      <c r="A815" s="196" t="s">
        <v>351</v>
      </c>
      <c r="B815" s="197">
        <v>41541</v>
      </c>
      <c r="C815" s="196" t="s">
        <v>1242</v>
      </c>
      <c r="D815" s="196">
        <v>66</v>
      </c>
      <c r="E815" s="196" t="s">
        <v>1242</v>
      </c>
      <c r="F815" s="196">
        <v>65</v>
      </c>
      <c r="G815" s="196">
        <f t="shared" si="12"/>
        <v>32.5</v>
      </c>
      <c r="H815" s="196">
        <v>1008</v>
      </c>
      <c r="I815" s="196" t="s">
        <v>1451</v>
      </c>
      <c r="J815" s="196"/>
    </row>
    <row r="816" spans="1:10" ht="14.4" hidden="1" outlineLevel="1">
      <c r="A816" s="196" t="s">
        <v>351</v>
      </c>
      <c r="B816" s="197">
        <v>41542</v>
      </c>
      <c r="C816" s="196" t="s">
        <v>1237</v>
      </c>
      <c r="D816" s="196">
        <v>66</v>
      </c>
      <c r="E816" s="196" t="s">
        <v>1242</v>
      </c>
      <c r="F816" s="196">
        <v>65</v>
      </c>
      <c r="G816" s="196">
        <f t="shared" si="12"/>
        <v>32.5</v>
      </c>
      <c r="H816" s="196">
        <v>2389</v>
      </c>
      <c r="I816" s="196" t="s">
        <v>1450</v>
      </c>
      <c r="J816" s="196"/>
    </row>
    <row r="817" spans="1:10" ht="14.4" hidden="1" outlineLevel="1">
      <c r="A817" s="196" t="s">
        <v>351</v>
      </c>
      <c r="B817" s="197">
        <v>41543</v>
      </c>
      <c r="C817" s="196" t="s">
        <v>1256</v>
      </c>
      <c r="D817" s="196">
        <v>63.2</v>
      </c>
      <c r="E817" s="196" t="s">
        <v>1343</v>
      </c>
      <c r="F817" s="196">
        <v>63</v>
      </c>
      <c r="G817" s="196">
        <f t="shared" si="12"/>
        <v>31.5</v>
      </c>
      <c r="H817" s="196">
        <v>4264</v>
      </c>
      <c r="I817" s="196" t="s">
        <v>1449</v>
      </c>
      <c r="J817" s="196"/>
    </row>
    <row r="818" spans="1:10" ht="14.4" hidden="1" outlineLevel="1">
      <c r="A818" s="196" t="s">
        <v>351</v>
      </c>
      <c r="B818" s="197">
        <v>41544</v>
      </c>
      <c r="C818" s="196" t="s">
        <v>1244</v>
      </c>
      <c r="D818" s="196">
        <v>67</v>
      </c>
      <c r="E818" s="196" t="s">
        <v>1253</v>
      </c>
      <c r="F818" s="196">
        <v>67</v>
      </c>
      <c r="G818" s="196">
        <f t="shared" si="12"/>
        <v>33.5</v>
      </c>
      <c r="H818" s="196">
        <v>8012</v>
      </c>
      <c r="I818" s="196" t="s">
        <v>1448</v>
      </c>
      <c r="J818" s="196"/>
    </row>
    <row r="819" spans="1:10" ht="14.4" hidden="1" outlineLevel="1">
      <c r="A819" s="196" t="s">
        <v>351</v>
      </c>
      <c r="B819" s="197">
        <v>41547</v>
      </c>
      <c r="C819" s="196" t="s">
        <v>1259</v>
      </c>
      <c r="D819" s="196">
        <v>65.8</v>
      </c>
      <c r="E819" s="196" t="s">
        <v>1256</v>
      </c>
      <c r="F819" s="196">
        <v>65.2</v>
      </c>
      <c r="G819" s="196">
        <f t="shared" si="12"/>
        <v>32.6</v>
      </c>
      <c r="H819" s="196">
        <v>1319</v>
      </c>
      <c r="I819" s="196" t="s">
        <v>1447</v>
      </c>
      <c r="J819" s="196"/>
    </row>
    <row r="820" spans="1:10" ht="14.4" hidden="1" outlineLevel="1">
      <c r="A820" s="196" t="s">
        <v>351</v>
      </c>
      <c r="B820" s="197">
        <v>41548</v>
      </c>
      <c r="C820" s="196" t="s">
        <v>1259</v>
      </c>
      <c r="D820" s="196">
        <v>63.3</v>
      </c>
      <c r="E820" s="196" t="s">
        <v>1343</v>
      </c>
      <c r="F820" s="196">
        <v>63.1</v>
      </c>
      <c r="G820" s="196">
        <f t="shared" si="12"/>
        <v>31.55</v>
      </c>
      <c r="H820" s="196">
        <v>1640</v>
      </c>
      <c r="I820" s="196" t="s">
        <v>1446</v>
      </c>
      <c r="J820" s="196"/>
    </row>
    <row r="821" spans="1:10" ht="14.4" hidden="1" outlineLevel="1">
      <c r="A821" s="196" t="s">
        <v>351</v>
      </c>
      <c r="B821" s="197">
        <v>41549</v>
      </c>
      <c r="C821" s="196" t="s">
        <v>1298</v>
      </c>
      <c r="D821" s="196">
        <v>63.1</v>
      </c>
      <c r="E821" s="196" t="s">
        <v>1298</v>
      </c>
      <c r="F821" s="196">
        <v>63.1</v>
      </c>
      <c r="G821" s="196">
        <f t="shared" si="12"/>
        <v>31.55</v>
      </c>
      <c r="H821" s="196">
        <v>568</v>
      </c>
      <c r="I821" s="196" t="s">
        <v>1445</v>
      </c>
      <c r="J821" s="196"/>
    </row>
    <row r="822" spans="1:10" ht="14.4" hidden="1" outlineLevel="1">
      <c r="A822" s="196" t="s">
        <v>351</v>
      </c>
      <c r="B822" s="197">
        <v>41550</v>
      </c>
      <c r="C822" s="196" t="s">
        <v>1259</v>
      </c>
      <c r="D822" s="196">
        <v>64</v>
      </c>
      <c r="E822" s="196" t="s">
        <v>1259</v>
      </c>
      <c r="F822" s="196">
        <v>63.5</v>
      </c>
      <c r="G822" s="196">
        <f t="shared" si="12"/>
        <v>31.75</v>
      </c>
      <c r="H822" s="196">
        <v>3700</v>
      </c>
      <c r="I822" s="196" t="s">
        <v>1444</v>
      </c>
      <c r="J822" s="196"/>
    </row>
    <row r="823" spans="1:10" ht="14.4" hidden="1" outlineLevel="1">
      <c r="A823" s="196" t="s">
        <v>351</v>
      </c>
      <c r="B823" s="197">
        <v>41551</v>
      </c>
      <c r="C823" s="196" t="s">
        <v>1259</v>
      </c>
      <c r="D823" s="196">
        <v>63.4</v>
      </c>
      <c r="E823" s="196" t="s">
        <v>1259</v>
      </c>
      <c r="F823" s="196">
        <v>63.3</v>
      </c>
      <c r="G823" s="196">
        <f t="shared" si="12"/>
        <v>31.65</v>
      </c>
      <c r="H823" s="196">
        <v>1088</v>
      </c>
      <c r="I823" s="196" t="s">
        <v>1443</v>
      </c>
      <c r="J823" s="196"/>
    </row>
    <row r="824" spans="1:10" ht="14.4" hidden="1" outlineLevel="1">
      <c r="A824" s="196" t="s">
        <v>351</v>
      </c>
      <c r="B824" s="197">
        <v>41554</v>
      </c>
      <c r="C824" s="196" t="s">
        <v>1262</v>
      </c>
      <c r="D824" s="196">
        <v>63.4</v>
      </c>
      <c r="E824" s="196" t="s">
        <v>1262</v>
      </c>
      <c r="F824" s="196">
        <v>63.4</v>
      </c>
      <c r="G824" s="196">
        <f t="shared" si="12"/>
        <v>31.7</v>
      </c>
      <c r="H824" s="196">
        <v>1000</v>
      </c>
      <c r="I824" s="196" t="s">
        <v>1442</v>
      </c>
      <c r="J824" s="196"/>
    </row>
    <row r="825" spans="1:10" ht="14.4" hidden="1" outlineLevel="1">
      <c r="A825" s="196" t="s">
        <v>351</v>
      </c>
      <c r="B825" s="197">
        <v>41555</v>
      </c>
      <c r="C825" s="196" t="s">
        <v>88</v>
      </c>
      <c r="D825" s="196" t="s">
        <v>88</v>
      </c>
      <c r="E825" s="196" t="s">
        <v>88</v>
      </c>
      <c r="F825" s="196">
        <v>63.4</v>
      </c>
      <c r="G825" s="196">
        <f t="shared" si="12"/>
        <v>31.7</v>
      </c>
      <c r="H825" s="196">
        <v>0</v>
      </c>
      <c r="I825" s="196" t="s">
        <v>611</v>
      </c>
      <c r="J825" s="196"/>
    </row>
    <row r="826" spans="1:10" ht="14.4" hidden="1" outlineLevel="1">
      <c r="A826" s="196" t="s">
        <v>351</v>
      </c>
      <c r="B826" s="197">
        <v>41556</v>
      </c>
      <c r="C826" s="196" t="s">
        <v>1224</v>
      </c>
      <c r="D826" s="196">
        <v>68</v>
      </c>
      <c r="E826" s="196" t="s">
        <v>1224</v>
      </c>
      <c r="F826" s="196">
        <v>68</v>
      </c>
      <c r="G826" s="196">
        <f t="shared" si="12"/>
        <v>34</v>
      </c>
      <c r="H826" s="196">
        <v>43</v>
      </c>
      <c r="I826" s="196" t="s">
        <v>1441</v>
      </c>
      <c r="J826" s="196"/>
    </row>
    <row r="827" spans="1:10" ht="14.4" hidden="1" outlineLevel="1">
      <c r="A827" s="196" t="s">
        <v>351</v>
      </c>
      <c r="B827" s="197">
        <v>41557</v>
      </c>
      <c r="C827" s="196" t="s">
        <v>88</v>
      </c>
      <c r="D827" s="196" t="s">
        <v>88</v>
      </c>
      <c r="E827" s="196" t="s">
        <v>88</v>
      </c>
      <c r="F827" s="196">
        <v>68</v>
      </c>
      <c r="G827" s="196">
        <f t="shared" si="12"/>
        <v>34</v>
      </c>
      <c r="H827" s="196">
        <v>0</v>
      </c>
      <c r="I827" s="196" t="s">
        <v>611</v>
      </c>
      <c r="J827" s="196"/>
    </row>
    <row r="828" spans="1:10" ht="14.4" hidden="1" outlineLevel="1">
      <c r="A828" s="196" t="s">
        <v>351</v>
      </c>
      <c r="B828" s="197">
        <v>41558</v>
      </c>
      <c r="C828" s="196" t="s">
        <v>1362</v>
      </c>
      <c r="D828" s="196">
        <v>65.099999999999994</v>
      </c>
      <c r="E828" s="196" t="s">
        <v>1362</v>
      </c>
      <c r="F828" s="196">
        <v>65.099999999999994</v>
      </c>
      <c r="G828" s="196">
        <f t="shared" si="12"/>
        <v>32.549999999999997</v>
      </c>
      <c r="H828" s="196">
        <v>1593</v>
      </c>
      <c r="I828" s="196" t="s">
        <v>1440</v>
      </c>
      <c r="J828" s="196"/>
    </row>
    <row r="829" spans="1:10" ht="14.4" hidden="1" outlineLevel="1">
      <c r="A829" s="196" t="s">
        <v>351</v>
      </c>
      <c r="B829" s="197">
        <v>41561</v>
      </c>
      <c r="C829" s="196" t="s">
        <v>88</v>
      </c>
      <c r="D829" s="196" t="s">
        <v>88</v>
      </c>
      <c r="E829" s="196" t="s">
        <v>88</v>
      </c>
      <c r="F829" s="196">
        <v>65.099999999999994</v>
      </c>
      <c r="G829" s="196">
        <f t="shared" si="12"/>
        <v>32.549999999999997</v>
      </c>
      <c r="H829" s="196">
        <v>0</v>
      </c>
      <c r="I829" s="196" t="s">
        <v>611</v>
      </c>
      <c r="J829" s="196"/>
    </row>
    <row r="830" spans="1:10" ht="14.4" hidden="1" outlineLevel="1">
      <c r="A830" s="196" t="s">
        <v>351</v>
      </c>
      <c r="B830" s="197">
        <v>41562</v>
      </c>
      <c r="C830" s="196" t="s">
        <v>1225</v>
      </c>
      <c r="D830" s="196">
        <v>67.5</v>
      </c>
      <c r="E830" s="196" t="s">
        <v>1242</v>
      </c>
      <c r="F830" s="196">
        <v>65.099999999999994</v>
      </c>
      <c r="G830" s="196">
        <f t="shared" si="12"/>
        <v>32.549999999999997</v>
      </c>
      <c r="H830" s="196">
        <v>8866</v>
      </c>
      <c r="I830" s="196" t="s">
        <v>1439</v>
      </c>
      <c r="J830" s="196"/>
    </row>
    <row r="831" spans="1:10" ht="14.4" hidden="1" outlineLevel="1">
      <c r="A831" s="196" t="s">
        <v>351</v>
      </c>
      <c r="B831" s="197">
        <v>41564</v>
      </c>
      <c r="C831" s="196" t="s">
        <v>1237</v>
      </c>
      <c r="D831" s="196">
        <v>66</v>
      </c>
      <c r="E831" s="196" t="s">
        <v>1237</v>
      </c>
      <c r="F831" s="196">
        <v>66</v>
      </c>
      <c r="G831" s="196">
        <f t="shared" si="12"/>
        <v>33</v>
      </c>
      <c r="H831" s="196">
        <v>1</v>
      </c>
      <c r="I831" s="196" t="s">
        <v>1438</v>
      </c>
      <c r="J831" s="196"/>
    </row>
    <row r="832" spans="1:10" ht="14.4" hidden="1" outlineLevel="1">
      <c r="A832" s="196" t="s">
        <v>351</v>
      </c>
      <c r="B832" s="197">
        <v>41568</v>
      </c>
      <c r="C832" s="196" t="s">
        <v>1238</v>
      </c>
      <c r="D832" s="196">
        <v>66</v>
      </c>
      <c r="E832" s="196" t="s">
        <v>1362</v>
      </c>
      <c r="F832" s="196">
        <v>65.2</v>
      </c>
      <c r="G832" s="196">
        <f t="shared" si="12"/>
        <v>32.6</v>
      </c>
      <c r="H832" s="196">
        <v>2030</v>
      </c>
      <c r="I832" s="196" t="s">
        <v>1437</v>
      </c>
      <c r="J832" s="196"/>
    </row>
    <row r="833" spans="1:10" ht="14.4" hidden="1" outlineLevel="1">
      <c r="A833" s="196" t="s">
        <v>351</v>
      </c>
      <c r="B833" s="197">
        <v>41569</v>
      </c>
      <c r="C833" s="196" t="s">
        <v>1423</v>
      </c>
      <c r="D833" s="196">
        <v>65.2</v>
      </c>
      <c r="E833" s="196" t="s">
        <v>1242</v>
      </c>
      <c r="F833" s="196">
        <v>65</v>
      </c>
      <c r="G833" s="196">
        <f t="shared" si="12"/>
        <v>32.5</v>
      </c>
      <c r="H833" s="196">
        <v>31000</v>
      </c>
      <c r="I833" s="196" t="s">
        <v>1436</v>
      </c>
      <c r="J833" s="196"/>
    </row>
    <row r="834" spans="1:10" ht="14.4" hidden="1" outlineLevel="1">
      <c r="A834" s="196" t="s">
        <v>351</v>
      </c>
      <c r="B834" s="197">
        <v>41570</v>
      </c>
      <c r="C834" s="196" t="s">
        <v>1362</v>
      </c>
      <c r="D834" s="196">
        <v>66.5</v>
      </c>
      <c r="E834" s="196" t="s">
        <v>1242</v>
      </c>
      <c r="F834" s="196">
        <v>65.099999999999994</v>
      </c>
      <c r="G834" s="196">
        <f t="shared" si="12"/>
        <v>32.549999999999997</v>
      </c>
      <c r="H834" s="196">
        <v>11481</v>
      </c>
      <c r="I834" s="196" t="s">
        <v>1435</v>
      </c>
      <c r="J834" s="196"/>
    </row>
    <row r="835" spans="1:10" ht="14.4" hidden="1" outlineLevel="1">
      <c r="A835" s="196" t="s">
        <v>351</v>
      </c>
      <c r="B835" s="197">
        <v>41571</v>
      </c>
      <c r="C835" s="196" t="s">
        <v>88</v>
      </c>
      <c r="D835" s="196" t="s">
        <v>88</v>
      </c>
      <c r="E835" s="196" t="s">
        <v>88</v>
      </c>
      <c r="F835" s="196">
        <v>65.099999999999994</v>
      </c>
      <c r="G835" s="196">
        <f t="shared" si="12"/>
        <v>32.549999999999997</v>
      </c>
      <c r="H835" s="196">
        <v>0</v>
      </c>
      <c r="I835" s="196" t="s">
        <v>611</v>
      </c>
      <c r="J835" s="196"/>
    </row>
    <row r="836" spans="1:10" ht="14.4" hidden="1" outlineLevel="1">
      <c r="A836" s="196" t="s">
        <v>351</v>
      </c>
      <c r="B836" s="197">
        <v>41572</v>
      </c>
      <c r="C836" s="196" t="s">
        <v>1242</v>
      </c>
      <c r="D836" s="196">
        <v>65</v>
      </c>
      <c r="E836" s="196" t="s">
        <v>1242</v>
      </c>
      <c r="F836" s="196">
        <v>65</v>
      </c>
      <c r="G836" s="196">
        <f t="shared" si="12"/>
        <v>32.5</v>
      </c>
      <c r="H836" s="196">
        <v>2000</v>
      </c>
      <c r="I836" s="196" t="s">
        <v>1359</v>
      </c>
      <c r="J836" s="196"/>
    </row>
    <row r="837" spans="1:10" ht="14.4" hidden="1" outlineLevel="1">
      <c r="A837" s="196" t="s">
        <v>351</v>
      </c>
      <c r="B837" s="197">
        <v>41575</v>
      </c>
      <c r="C837" s="196" t="s">
        <v>1242</v>
      </c>
      <c r="D837" s="196">
        <v>66.5</v>
      </c>
      <c r="E837" s="196" t="s">
        <v>1242</v>
      </c>
      <c r="F837" s="196">
        <v>65.5</v>
      </c>
      <c r="G837" s="196">
        <f t="shared" ref="G837:G900" si="13">F837/2</f>
        <v>32.75</v>
      </c>
      <c r="H837" s="196">
        <v>10665</v>
      </c>
      <c r="I837" s="196" t="s">
        <v>1434</v>
      </c>
      <c r="J837" s="196"/>
    </row>
    <row r="838" spans="1:10" ht="14.4" hidden="1" outlineLevel="1">
      <c r="A838" s="196" t="s">
        <v>351</v>
      </c>
      <c r="B838" s="197">
        <v>41576</v>
      </c>
      <c r="C838" s="196" t="s">
        <v>1423</v>
      </c>
      <c r="D838" s="196">
        <v>69</v>
      </c>
      <c r="E838" s="196" t="s">
        <v>1362</v>
      </c>
      <c r="F838" s="196">
        <v>66.5</v>
      </c>
      <c r="G838" s="196">
        <f t="shared" si="13"/>
        <v>33.25</v>
      </c>
      <c r="H838" s="196">
        <v>3072</v>
      </c>
      <c r="I838" s="196" t="s">
        <v>1433</v>
      </c>
      <c r="J838" s="196"/>
    </row>
    <row r="839" spans="1:10" ht="14.4" hidden="1" outlineLevel="1">
      <c r="A839" s="196" t="s">
        <v>351</v>
      </c>
      <c r="B839" s="197">
        <v>41577</v>
      </c>
      <c r="C839" s="196" t="s">
        <v>1431</v>
      </c>
      <c r="D839" s="196">
        <v>65.3</v>
      </c>
      <c r="E839" s="196" t="s">
        <v>1431</v>
      </c>
      <c r="F839" s="196">
        <v>65.3</v>
      </c>
      <c r="G839" s="196">
        <f t="shared" si="13"/>
        <v>32.65</v>
      </c>
      <c r="H839" s="196">
        <v>500</v>
      </c>
      <c r="I839" s="196" t="s">
        <v>1432</v>
      </c>
      <c r="J839" s="196"/>
    </row>
    <row r="840" spans="1:10" ht="14.4" hidden="1" outlineLevel="1">
      <c r="A840" s="196" t="s">
        <v>351</v>
      </c>
      <c r="B840" s="197">
        <v>41578</v>
      </c>
      <c r="C840" s="196" t="s">
        <v>1362</v>
      </c>
      <c r="D840" s="196">
        <v>68.8</v>
      </c>
      <c r="E840" s="196" t="s">
        <v>1362</v>
      </c>
      <c r="F840" s="196">
        <v>68.8</v>
      </c>
      <c r="G840" s="196">
        <f t="shared" si="13"/>
        <v>34.4</v>
      </c>
      <c r="H840" s="196">
        <v>1762</v>
      </c>
      <c r="I840" s="196" t="s">
        <v>1430</v>
      </c>
      <c r="J840" s="196"/>
    </row>
    <row r="841" spans="1:10" ht="14.4" hidden="1" outlineLevel="1">
      <c r="A841" s="196" t="s">
        <v>351</v>
      </c>
      <c r="B841" s="197">
        <v>41579</v>
      </c>
      <c r="C841" s="196" t="s">
        <v>1240</v>
      </c>
      <c r="D841" s="196">
        <v>65.5</v>
      </c>
      <c r="E841" s="196" t="s">
        <v>1240</v>
      </c>
      <c r="F841" s="196">
        <v>65.5</v>
      </c>
      <c r="G841" s="196">
        <f t="shared" si="13"/>
        <v>32.75</v>
      </c>
      <c r="H841" s="196">
        <v>15</v>
      </c>
      <c r="I841" s="196" t="s">
        <v>1429</v>
      </c>
      <c r="J841" s="196"/>
    </row>
    <row r="842" spans="1:10" ht="14.4" hidden="1" outlineLevel="1">
      <c r="A842" s="196" t="s">
        <v>351</v>
      </c>
      <c r="B842" s="197">
        <v>41582</v>
      </c>
      <c r="C842" s="196" t="s">
        <v>1427</v>
      </c>
      <c r="D842" s="196">
        <v>68.8</v>
      </c>
      <c r="E842" s="196" t="s">
        <v>1423</v>
      </c>
      <c r="F842" s="196">
        <v>68.7</v>
      </c>
      <c r="G842" s="196">
        <f t="shared" si="13"/>
        <v>34.35</v>
      </c>
      <c r="H842" s="196">
        <v>54332</v>
      </c>
      <c r="I842" s="196" t="s">
        <v>1428</v>
      </c>
      <c r="J842" s="196"/>
    </row>
    <row r="843" spans="1:10" ht="14.4" hidden="1" outlineLevel="1">
      <c r="A843" s="196" t="s">
        <v>351</v>
      </c>
      <c r="B843" s="197">
        <v>41583</v>
      </c>
      <c r="C843" s="196" t="s">
        <v>1220</v>
      </c>
      <c r="D843" s="196">
        <v>68.900000000000006</v>
      </c>
      <c r="E843" s="196" t="s">
        <v>1220</v>
      </c>
      <c r="F843" s="196">
        <v>68.5</v>
      </c>
      <c r="G843" s="196">
        <f t="shared" si="13"/>
        <v>34.25</v>
      </c>
      <c r="H843" s="196">
        <v>4082</v>
      </c>
      <c r="I843" s="196" t="s">
        <v>1426</v>
      </c>
      <c r="J843" s="196"/>
    </row>
    <row r="844" spans="1:10" ht="14.4" hidden="1" outlineLevel="1">
      <c r="A844" s="196" t="s">
        <v>351</v>
      </c>
      <c r="B844" s="197">
        <v>41584</v>
      </c>
      <c r="C844" s="196" t="s">
        <v>88</v>
      </c>
      <c r="D844" s="196" t="s">
        <v>88</v>
      </c>
      <c r="E844" s="196" t="s">
        <v>88</v>
      </c>
      <c r="F844" s="196">
        <v>68.5</v>
      </c>
      <c r="G844" s="196">
        <f t="shared" si="13"/>
        <v>34.25</v>
      </c>
      <c r="H844" s="196">
        <v>0</v>
      </c>
      <c r="I844" s="196" t="s">
        <v>611</v>
      </c>
      <c r="J844" s="196"/>
    </row>
    <row r="845" spans="1:10" ht="14.4" hidden="1" outlineLevel="1">
      <c r="A845" s="196" t="s">
        <v>351</v>
      </c>
      <c r="B845" s="197">
        <v>41585</v>
      </c>
      <c r="C845" s="196" t="s">
        <v>1240</v>
      </c>
      <c r="D845" s="196">
        <v>65.5</v>
      </c>
      <c r="E845" s="196" t="s">
        <v>1423</v>
      </c>
      <c r="F845" s="196">
        <v>65.2</v>
      </c>
      <c r="G845" s="196">
        <f t="shared" si="13"/>
        <v>32.6</v>
      </c>
      <c r="H845" s="196">
        <v>5400</v>
      </c>
      <c r="I845" s="196" t="s">
        <v>1425</v>
      </c>
      <c r="J845" s="196"/>
    </row>
    <row r="846" spans="1:10" ht="14.4" hidden="1" outlineLevel="1">
      <c r="A846" s="196" t="s">
        <v>351</v>
      </c>
      <c r="B846" s="197">
        <v>41586</v>
      </c>
      <c r="C846" s="196" t="s">
        <v>1423</v>
      </c>
      <c r="D846" s="196">
        <v>65.2</v>
      </c>
      <c r="E846" s="196" t="s">
        <v>1272</v>
      </c>
      <c r="F846" s="196">
        <v>63.7</v>
      </c>
      <c r="G846" s="196">
        <f t="shared" si="13"/>
        <v>31.85</v>
      </c>
      <c r="H846" s="196">
        <v>41812</v>
      </c>
      <c r="I846" s="196" t="s">
        <v>1424</v>
      </c>
      <c r="J846" s="196"/>
    </row>
    <row r="847" spans="1:10" ht="14.4" hidden="1" outlineLevel="1">
      <c r="A847" s="196" t="s">
        <v>351</v>
      </c>
      <c r="B847" s="197">
        <v>41589</v>
      </c>
      <c r="C847" s="196" t="s">
        <v>1295</v>
      </c>
      <c r="D847" s="196">
        <v>63.9</v>
      </c>
      <c r="E847" s="196" t="s">
        <v>1421</v>
      </c>
      <c r="F847" s="196">
        <v>63.8</v>
      </c>
      <c r="G847" s="196">
        <f t="shared" si="13"/>
        <v>31.9</v>
      </c>
      <c r="H847" s="196">
        <v>20000</v>
      </c>
      <c r="I847" s="196" t="s">
        <v>1422</v>
      </c>
      <c r="J847" s="196"/>
    </row>
    <row r="848" spans="1:10" ht="14.4" hidden="1" outlineLevel="1">
      <c r="A848" s="196" t="s">
        <v>351</v>
      </c>
      <c r="B848" s="197">
        <v>41590</v>
      </c>
      <c r="C848" s="196" t="s">
        <v>1272</v>
      </c>
      <c r="D848" s="196">
        <v>63.7</v>
      </c>
      <c r="E848" s="196" t="s">
        <v>1261</v>
      </c>
      <c r="F848" s="196">
        <v>63.5</v>
      </c>
      <c r="G848" s="196">
        <f t="shared" si="13"/>
        <v>31.75</v>
      </c>
      <c r="H848" s="196">
        <v>14922</v>
      </c>
      <c r="I848" s="196" t="s">
        <v>1420</v>
      </c>
      <c r="J848" s="196"/>
    </row>
    <row r="849" spans="1:10" ht="14.4" hidden="1" outlineLevel="1">
      <c r="A849" s="196" t="s">
        <v>351</v>
      </c>
      <c r="B849" s="197">
        <v>41591</v>
      </c>
      <c r="C849" s="196" t="s">
        <v>1346</v>
      </c>
      <c r="D849" s="196">
        <v>65</v>
      </c>
      <c r="E849" s="196" t="s">
        <v>1346</v>
      </c>
      <c r="F849" s="196">
        <v>65</v>
      </c>
      <c r="G849" s="196">
        <f t="shared" si="13"/>
        <v>32.5</v>
      </c>
      <c r="H849" s="196">
        <v>20005</v>
      </c>
      <c r="I849" s="196" t="s">
        <v>1419</v>
      </c>
      <c r="J849" s="196"/>
    </row>
    <row r="850" spans="1:10" ht="14.4" hidden="1" outlineLevel="1">
      <c r="A850" s="196" t="s">
        <v>351</v>
      </c>
      <c r="B850" s="197">
        <v>41592</v>
      </c>
      <c r="C850" s="196" t="s">
        <v>1417</v>
      </c>
      <c r="D850" s="196">
        <v>65</v>
      </c>
      <c r="E850" s="196" t="s">
        <v>1417</v>
      </c>
      <c r="F850" s="196">
        <v>65</v>
      </c>
      <c r="G850" s="196">
        <f t="shared" si="13"/>
        <v>32.5</v>
      </c>
      <c r="H850" s="196">
        <v>21</v>
      </c>
      <c r="I850" s="196" t="s">
        <v>1418</v>
      </c>
      <c r="J850" s="196"/>
    </row>
    <row r="851" spans="1:10" ht="14.4" hidden="1" outlineLevel="1">
      <c r="A851" s="196" t="s">
        <v>351</v>
      </c>
      <c r="B851" s="197">
        <v>41593</v>
      </c>
      <c r="C851" s="196" t="s">
        <v>88</v>
      </c>
      <c r="D851" s="196" t="s">
        <v>88</v>
      </c>
      <c r="E851" s="196" t="s">
        <v>88</v>
      </c>
      <c r="F851" s="196">
        <v>65</v>
      </c>
      <c r="G851" s="196">
        <f t="shared" si="13"/>
        <v>32.5</v>
      </c>
      <c r="H851" s="196">
        <v>0</v>
      </c>
      <c r="I851" s="196" t="s">
        <v>611</v>
      </c>
      <c r="J851" s="196"/>
    </row>
    <row r="852" spans="1:10" ht="14.4" hidden="1" outlineLevel="1">
      <c r="A852" s="196" t="s">
        <v>351</v>
      </c>
      <c r="B852" s="197">
        <v>41596</v>
      </c>
      <c r="C852" s="196" t="s">
        <v>1415</v>
      </c>
      <c r="D852" s="196">
        <v>68</v>
      </c>
      <c r="E852" s="196" t="s">
        <v>1415</v>
      </c>
      <c r="F852" s="196">
        <v>67</v>
      </c>
      <c r="G852" s="196">
        <f t="shared" si="13"/>
        <v>33.5</v>
      </c>
      <c r="H852" s="196">
        <v>141</v>
      </c>
      <c r="I852" s="196" t="s">
        <v>1416</v>
      </c>
      <c r="J852" s="196"/>
    </row>
    <row r="853" spans="1:10" ht="14.4" hidden="1" outlineLevel="1">
      <c r="A853" s="196" t="s">
        <v>351</v>
      </c>
      <c r="B853" s="197">
        <v>41597</v>
      </c>
      <c r="C853" s="196" t="s">
        <v>1253</v>
      </c>
      <c r="D853" s="196">
        <v>64</v>
      </c>
      <c r="E853" s="196" t="s">
        <v>1261</v>
      </c>
      <c r="F853" s="196">
        <v>63.5</v>
      </c>
      <c r="G853" s="196">
        <f t="shared" si="13"/>
        <v>31.75</v>
      </c>
      <c r="H853" s="196">
        <v>3294</v>
      </c>
      <c r="I853" s="196" t="s">
        <v>1414</v>
      </c>
      <c r="J853" s="196"/>
    </row>
    <row r="854" spans="1:10" ht="14.4" hidden="1" outlineLevel="1">
      <c r="A854" s="196" t="s">
        <v>351</v>
      </c>
      <c r="B854" s="197">
        <v>41598</v>
      </c>
      <c r="C854" s="196" t="s">
        <v>1343</v>
      </c>
      <c r="D854" s="196">
        <v>63</v>
      </c>
      <c r="E854" s="196" t="s">
        <v>1343</v>
      </c>
      <c r="F854" s="196">
        <v>63</v>
      </c>
      <c r="G854" s="196">
        <f t="shared" si="13"/>
        <v>31.5</v>
      </c>
      <c r="H854" s="196">
        <v>100</v>
      </c>
      <c r="I854" s="196" t="s">
        <v>1413</v>
      </c>
      <c r="J854" s="196"/>
    </row>
    <row r="855" spans="1:10" ht="14.4" hidden="1" outlineLevel="1">
      <c r="A855" s="196" t="s">
        <v>351</v>
      </c>
      <c r="B855" s="197">
        <v>41599</v>
      </c>
      <c r="C855" s="196" t="s">
        <v>1242</v>
      </c>
      <c r="D855" s="196">
        <v>65</v>
      </c>
      <c r="E855" s="196" t="s">
        <v>1242</v>
      </c>
      <c r="F855" s="196">
        <v>65</v>
      </c>
      <c r="G855" s="196">
        <f t="shared" si="13"/>
        <v>32.5</v>
      </c>
      <c r="H855" s="196">
        <v>400</v>
      </c>
      <c r="I855" s="196" t="s">
        <v>1412</v>
      </c>
      <c r="J855" s="196"/>
    </row>
    <row r="856" spans="1:10" ht="14.4" hidden="1" outlineLevel="1">
      <c r="A856" s="196" t="s">
        <v>351</v>
      </c>
      <c r="B856" s="197">
        <v>41600</v>
      </c>
      <c r="C856" s="196" t="s">
        <v>1242</v>
      </c>
      <c r="D856" s="196">
        <v>68</v>
      </c>
      <c r="E856" s="196" t="s">
        <v>1268</v>
      </c>
      <c r="F856" s="196">
        <v>63.6</v>
      </c>
      <c r="G856" s="196">
        <f t="shared" si="13"/>
        <v>31.8</v>
      </c>
      <c r="H856" s="196">
        <v>2538</v>
      </c>
      <c r="I856" s="196" t="s">
        <v>1411</v>
      </c>
      <c r="J856" s="196"/>
    </row>
    <row r="857" spans="1:10" ht="14.4" hidden="1" outlineLevel="1">
      <c r="A857" s="196" t="s">
        <v>351</v>
      </c>
      <c r="B857" s="197">
        <v>41603</v>
      </c>
      <c r="C857" s="196" t="s">
        <v>1224</v>
      </c>
      <c r="D857" s="196">
        <v>68</v>
      </c>
      <c r="E857" s="196" t="s">
        <v>1224</v>
      </c>
      <c r="F857" s="196">
        <v>68</v>
      </c>
      <c r="G857" s="196">
        <f t="shared" si="13"/>
        <v>34</v>
      </c>
      <c r="H857" s="196">
        <v>100</v>
      </c>
      <c r="I857" s="196" t="s">
        <v>1410</v>
      </c>
      <c r="J857" s="196"/>
    </row>
    <row r="858" spans="1:10" ht="14.4" hidden="1" outlineLevel="1">
      <c r="A858" s="196" t="s">
        <v>351</v>
      </c>
      <c r="B858" s="197">
        <v>41604</v>
      </c>
      <c r="C858" s="196" t="s">
        <v>1242</v>
      </c>
      <c r="D858" s="196">
        <v>65</v>
      </c>
      <c r="E858" s="196" t="s">
        <v>1253</v>
      </c>
      <c r="F858" s="196">
        <v>64</v>
      </c>
      <c r="G858" s="196">
        <f t="shared" si="13"/>
        <v>32</v>
      </c>
      <c r="H858" s="196">
        <v>5505</v>
      </c>
      <c r="I858" s="196" t="s">
        <v>1409</v>
      </c>
      <c r="J858" s="196"/>
    </row>
    <row r="859" spans="1:10" ht="14.4" hidden="1" outlineLevel="1">
      <c r="A859" s="196" t="s">
        <v>351</v>
      </c>
      <c r="B859" s="197">
        <v>41605</v>
      </c>
      <c r="C859" s="196" t="s">
        <v>1253</v>
      </c>
      <c r="D859" s="196">
        <v>64.5</v>
      </c>
      <c r="E859" s="196" t="s">
        <v>1310</v>
      </c>
      <c r="F859" s="196">
        <v>62</v>
      </c>
      <c r="G859" s="196">
        <f t="shared" si="13"/>
        <v>31</v>
      </c>
      <c r="H859" s="196">
        <v>7428</v>
      </c>
      <c r="I859" s="196" t="s">
        <v>1408</v>
      </c>
      <c r="J859" s="196"/>
    </row>
    <row r="860" spans="1:10" ht="14.4" hidden="1" outlineLevel="1">
      <c r="A860" s="196" t="s">
        <v>351</v>
      </c>
      <c r="B860" s="197">
        <v>41606</v>
      </c>
      <c r="C860" s="196" t="s">
        <v>1253</v>
      </c>
      <c r="D860" s="196">
        <v>64</v>
      </c>
      <c r="E860" s="196" t="s">
        <v>1310</v>
      </c>
      <c r="F860" s="196">
        <v>62</v>
      </c>
      <c r="G860" s="196">
        <f t="shared" si="13"/>
        <v>31</v>
      </c>
      <c r="H860" s="196">
        <v>2090</v>
      </c>
      <c r="I860" s="196" t="s">
        <v>1407</v>
      </c>
      <c r="J860" s="196"/>
    </row>
    <row r="861" spans="1:10" ht="14.4" hidden="1" outlineLevel="1">
      <c r="A861" s="196" t="s">
        <v>351</v>
      </c>
      <c r="B861" s="197">
        <v>41607</v>
      </c>
      <c r="C861" s="196" t="s">
        <v>88</v>
      </c>
      <c r="D861" s="196" t="s">
        <v>88</v>
      </c>
      <c r="E861" s="196" t="s">
        <v>88</v>
      </c>
      <c r="F861" s="196">
        <v>62</v>
      </c>
      <c r="G861" s="196">
        <f t="shared" si="13"/>
        <v>31</v>
      </c>
      <c r="H861" s="196">
        <v>0</v>
      </c>
      <c r="I861" s="196" t="s">
        <v>611</v>
      </c>
      <c r="J861" s="196"/>
    </row>
    <row r="862" spans="1:10" ht="14.4" hidden="1" outlineLevel="1">
      <c r="A862" s="196" t="s">
        <v>351</v>
      </c>
      <c r="B862" s="197">
        <v>41610</v>
      </c>
      <c r="C862" s="196" t="s">
        <v>1287</v>
      </c>
      <c r="D862" s="196">
        <v>65</v>
      </c>
      <c r="E862" s="196" t="s">
        <v>1343</v>
      </c>
      <c r="F862" s="196">
        <v>64.3</v>
      </c>
      <c r="G862" s="196">
        <f t="shared" si="13"/>
        <v>32.15</v>
      </c>
      <c r="H862" s="196">
        <v>3177</v>
      </c>
      <c r="I862" s="196" t="s">
        <v>1406</v>
      </c>
      <c r="J862" s="196"/>
    </row>
    <row r="863" spans="1:10" ht="14.4" hidden="1" outlineLevel="1">
      <c r="A863" s="196" t="s">
        <v>351</v>
      </c>
      <c r="B863" s="197">
        <v>41611</v>
      </c>
      <c r="C863" s="196" t="s">
        <v>1343</v>
      </c>
      <c r="D863" s="196">
        <v>65</v>
      </c>
      <c r="E863" s="196" t="s">
        <v>1343</v>
      </c>
      <c r="F863" s="196">
        <v>64.900000000000006</v>
      </c>
      <c r="G863" s="196">
        <f t="shared" si="13"/>
        <v>32.450000000000003</v>
      </c>
      <c r="H863" s="196">
        <v>1330</v>
      </c>
      <c r="I863" s="196" t="s">
        <v>1405</v>
      </c>
      <c r="J863" s="196"/>
    </row>
    <row r="864" spans="1:10" ht="14.4" hidden="1" outlineLevel="1">
      <c r="A864" s="196" t="s">
        <v>351</v>
      </c>
      <c r="B864" s="197">
        <v>41612</v>
      </c>
      <c r="C864" s="196" t="s">
        <v>88</v>
      </c>
      <c r="D864" s="196" t="s">
        <v>88</v>
      </c>
      <c r="E864" s="196" t="s">
        <v>88</v>
      </c>
      <c r="F864" s="196">
        <v>64.900000000000006</v>
      </c>
      <c r="G864" s="196">
        <f t="shared" si="13"/>
        <v>32.450000000000003</v>
      </c>
      <c r="H864" s="196">
        <v>0</v>
      </c>
      <c r="I864" s="196" t="s">
        <v>611</v>
      </c>
      <c r="J864" s="196"/>
    </row>
    <row r="865" spans="1:10" ht="14.4" hidden="1" outlineLevel="1">
      <c r="A865" s="196" t="s">
        <v>351</v>
      </c>
      <c r="B865" s="197">
        <v>41613</v>
      </c>
      <c r="C865" s="196" t="s">
        <v>1287</v>
      </c>
      <c r="D865" s="196">
        <v>65</v>
      </c>
      <c r="E865" s="196" t="s">
        <v>1261</v>
      </c>
      <c r="F865" s="196">
        <v>63.5</v>
      </c>
      <c r="G865" s="196">
        <f t="shared" si="13"/>
        <v>31.75</v>
      </c>
      <c r="H865" s="196">
        <v>57894</v>
      </c>
      <c r="I865" s="196" t="s">
        <v>1404</v>
      </c>
      <c r="J865" s="196"/>
    </row>
    <row r="866" spans="1:10" ht="14.4" hidden="1" outlineLevel="1">
      <c r="A866" s="196" t="s">
        <v>351</v>
      </c>
      <c r="B866" s="197">
        <v>41614</v>
      </c>
      <c r="C866" s="196" t="s">
        <v>1261</v>
      </c>
      <c r="D866" s="196">
        <v>63.5</v>
      </c>
      <c r="E866" s="196" t="s">
        <v>1261</v>
      </c>
      <c r="F866" s="196">
        <v>63.5</v>
      </c>
      <c r="G866" s="196">
        <f t="shared" si="13"/>
        <v>31.75</v>
      </c>
      <c r="H866" s="196">
        <v>2</v>
      </c>
      <c r="I866" s="196" t="s">
        <v>1403</v>
      </c>
      <c r="J866" s="196"/>
    </row>
    <row r="867" spans="1:10" ht="14.4" hidden="1" outlineLevel="1">
      <c r="A867" s="196" t="s">
        <v>351</v>
      </c>
      <c r="B867" s="197">
        <v>41617</v>
      </c>
      <c r="C867" s="196" t="s">
        <v>1242</v>
      </c>
      <c r="D867" s="196">
        <v>65</v>
      </c>
      <c r="E867" s="196" t="s">
        <v>1242</v>
      </c>
      <c r="F867" s="196">
        <v>65</v>
      </c>
      <c r="G867" s="196">
        <f t="shared" si="13"/>
        <v>32.5</v>
      </c>
      <c r="H867" s="196">
        <v>8395</v>
      </c>
      <c r="I867" s="196" t="s">
        <v>1402</v>
      </c>
      <c r="J867" s="196"/>
    </row>
    <row r="868" spans="1:10" ht="14.4" hidden="1" outlineLevel="1">
      <c r="A868" s="196" t="s">
        <v>351</v>
      </c>
      <c r="B868" s="197">
        <v>41618</v>
      </c>
      <c r="C868" s="196" t="s">
        <v>88</v>
      </c>
      <c r="D868" s="196" t="s">
        <v>88</v>
      </c>
      <c r="E868" s="196" t="s">
        <v>88</v>
      </c>
      <c r="F868" s="196">
        <v>65</v>
      </c>
      <c r="G868" s="196">
        <f t="shared" si="13"/>
        <v>32.5</v>
      </c>
      <c r="H868" s="196">
        <v>0</v>
      </c>
      <c r="I868" s="196" t="s">
        <v>611</v>
      </c>
      <c r="J868" s="196"/>
    </row>
    <row r="869" spans="1:10" ht="14.4" hidden="1" outlineLevel="1">
      <c r="A869" s="196" t="s">
        <v>351</v>
      </c>
      <c r="B869" s="197">
        <v>41619</v>
      </c>
      <c r="C869" s="196" t="s">
        <v>1268</v>
      </c>
      <c r="D869" s="196">
        <v>63.6</v>
      </c>
      <c r="E869" s="196" t="s">
        <v>1268</v>
      </c>
      <c r="F869" s="196">
        <v>63.6</v>
      </c>
      <c r="G869" s="196">
        <f t="shared" si="13"/>
        <v>31.8</v>
      </c>
      <c r="H869" s="196">
        <v>100</v>
      </c>
      <c r="I869" s="196" t="s">
        <v>1401</v>
      </c>
      <c r="J869" s="196"/>
    </row>
    <row r="870" spans="1:10" ht="14.4" hidden="1" outlineLevel="1">
      <c r="A870" s="196" t="s">
        <v>351</v>
      </c>
      <c r="B870" s="197">
        <v>41620</v>
      </c>
      <c r="C870" s="196" t="s">
        <v>1242</v>
      </c>
      <c r="D870" s="196">
        <v>65</v>
      </c>
      <c r="E870" s="196" t="s">
        <v>1242</v>
      </c>
      <c r="F870" s="196">
        <v>65</v>
      </c>
      <c r="G870" s="196">
        <f t="shared" si="13"/>
        <v>32.5</v>
      </c>
      <c r="H870" s="196">
        <v>100</v>
      </c>
      <c r="I870" s="196" t="s">
        <v>1400</v>
      </c>
      <c r="J870" s="196"/>
    </row>
    <row r="871" spans="1:10" ht="14.4" hidden="1" outlineLevel="1">
      <c r="A871" s="196" t="s">
        <v>351</v>
      </c>
      <c r="B871" s="197">
        <v>41621</v>
      </c>
      <c r="C871" s="196" t="s">
        <v>1272</v>
      </c>
      <c r="D871" s="196">
        <v>65</v>
      </c>
      <c r="E871" s="196" t="s">
        <v>1272</v>
      </c>
      <c r="F871" s="196">
        <v>65</v>
      </c>
      <c r="G871" s="196">
        <f t="shared" si="13"/>
        <v>32.5</v>
      </c>
      <c r="H871" s="196">
        <v>101</v>
      </c>
      <c r="I871" s="196" t="s">
        <v>1399</v>
      </c>
      <c r="J871" s="196"/>
    </row>
    <row r="872" spans="1:10" ht="14.4" hidden="1" outlineLevel="1">
      <c r="A872" s="196" t="s">
        <v>351</v>
      </c>
      <c r="B872" s="197">
        <v>41625</v>
      </c>
      <c r="C872" s="196" t="s">
        <v>88</v>
      </c>
      <c r="D872" s="196" t="s">
        <v>88</v>
      </c>
      <c r="E872" s="196" t="s">
        <v>88</v>
      </c>
      <c r="F872" s="196">
        <v>65</v>
      </c>
      <c r="G872" s="196">
        <f t="shared" si="13"/>
        <v>32.5</v>
      </c>
      <c r="H872" s="196">
        <v>0</v>
      </c>
      <c r="I872" s="196" t="s">
        <v>611</v>
      </c>
      <c r="J872" s="196"/>
    </row>
    <row r="873" spans="1:10" ht="14.4" hidden="1" outlineLevel="1">
      <c r="A873" s="196" t="s">
        <v>351</v>
      </c>
      <c r="B873" s="197">
        <v>41626</v>
      </c>
      <c r="C873" s="196" t="s">
        <v>1242</v>
      </c>
      <c r="D873" s="196">
        <v>65</v>
      </c>
      <c r="E873" s="196" t="s">
        <v>1242</v>
      </c>
      <c r="F873" s="196">
        <v>65</v>
      </c>
      <c r="G873" s="196">
        <f t="shared" si="13"/>
        <v>32.5</v>
      </c>
      <c r="H873" s="196">
        <v>137</v>
      </c>
      <c r="I873" s="196" t="s">
        <v>1398</v>
      </c>
      <c r="J873" s="196"/>
    </row>
    <row r="874" spans="1:10" ht="14.4" hidden="1" outlineLevel="1">
      <c r="A874" s="196" t="s">
        <v>351</v>
      </c>
      <c r="B874" s="197">
        <v>41627</v>
      </c>
      <c r="C874" s="196" t="s">
        <v>1242</v>
      </c>
      <c r="D874" s="196">
        <v>65</v>
      </c>
      <c r="E874" s="196" t="s">
        <v>1242</v>
      </c>
      <c r="F874" s="196">
        <v>65</v>
      </c>
      <c r="G874" s="196">
        <f t="shared" si="13"/>
        <v>32.5</v>
      </c>
      <c r="H874" s="196">
        <v>2</v>
      </c>
      <c r="I874" s="196" t="s">
        <v>1397</v>
      </c>
      <c r="J874" s="196"/>
    </row>
    <row r="875" spans="1:10" ht="14.4" hidden="1" outlineLevel="1">
      <c r="A875" s="196" t="s">
        <v>351</v>
      </c>
      <c r="B875" s="197">
        <v>41628</v>
      </c>
      <c r="C875" s="196" t="s">
        <v>88</v>
      </c>
      <c r="D875" s="196" t="s">
        <v>88</v>
      </c>
      <c r="E875" s="196" t="s">
        <v>88</v>
      </c>
      <c r="F875" s="196">
        <v>65</v>
      </c>
      <c r="G875" s="196">
        <f t="shared" si="13"/>
        <v>32.5</v>
      </c>
      <c r="H875" s="196">
        <v>0</v>
      </c>
      <c r="I875" s="196" t="s">
        <v>611</v>
      </c>
      <c r="J875" s="196"/>
    </row>
    <row r="876" spans="1:10" ht="14.4" hidden="1" outlineLevel="1">
      <c r="A876" s="196" t="s">
        <v>351</v>
      </c>
      <c r="B876" s="197">
        <v>41631</v>
      </c>
      <c r="C876" s="196" t="s">
        <v>1343</v>
      </c>
      <c r="D876" s="196">
        <v>63</v>
      </c>
      <c r="E876" s="196" t="s">
        <v>1343</v>
      </c>
      <c r="F876" s="196">
        <v>63</v>
      </c>
      <c r="G876" s="196">
        <f t="shared" si="13"/>
        <v>31.5</v>
      </c>
      <c r="H876" s="196">
        <v>2100</v>
      </c>
      <c r="I876" s="196" t="s">
        <v>1396</v>
      </c>
      <c r="J876" s="196"/>
    </row>
    <row r="877" spans="1:10" ht="14.4" hidden="1" outlineLevel="1">
      <c r="A877" s="196" t="s">
        <v>351</v>
      </c>
      <c r="B877" s="197">
        <v>41632</v>
      </c>
      <c r="C877" s="196" t="s">
        <v>1343</v>
      </c>
      <c r="D877" s="196">
        <v>63</v>
      </c>
      <c r="E877" s="196" t="s">
        <v>1343</v>
      </c>
      <c r="F877" s="196">
        <v>63</v>
      </c>
      <c r="G877" s="196">
        <f t="shared" si="13"/>
        <v>31.5</v>
      </c>
      <c r="H877" s="196">
        <v>150</v>
      </c>
      <c r="I877" s="196" t="s">
        <v>1395</v>
      </c>
      <c r="J877" s="196"/>
    </row>
    <row r="878" spans="1:10" ht="14.4" hidden="1" outlineLevel="1">
      <c r="A878" s="196" t="s">
        <v>351</v>
      </c>
      <c r="B878" s="197">
        <v>41634</v>
      </c>
      <c r="C878" s="196" t="s">
        <v>1259</v>
      </c>
      <c r="D878" s="196">
        <v>67</v>
      </c>
      <c r="E878" s="196" t="s">
        <v>1259</v>
      </c>
      <c r="F878" s="196">
        <v>67</v>
      </c>
      <c r="G878" s="196">
        <f t="shared" si="13"/>
        <v>33.5</v>
      </c>
      <c r="H878" s="196">
        <v>3</v>
      </c>
      <c r="I878" s="196" t="s">
        <v>1394</v>
      </c>
      <c r="J878" s="196"/>
    </row>
    <row r="879" spans="1:10" ht="14.4" hidden="1" outlineLevel="1">
      <c r="A879" s="196" t="s">
        <v>351</v>
      </c>
      <c r="B879" s="197">
        <v>41635</v>
      </c>
      <c r="C879" s="196" t="s">
        <v>1225</v>
      </c>
      <c r="D879" s="196">
        <v>67</v>
      </c>
      <c r="E879" s="196" t="s">
        <v>1262</v>
      </c>
      <c r="F879" s="196">
        <v>65</v>
      </c>
      <c r="G879" s="196">
        <f t="shared" si="13"/>
        <v>32.5</v>
      </c>
      <c r="H879" s="196">
        <v>2620</v>
      </c>
      <c r="I879" s="196" t="s">
        <v>1393</v>
      </c>
      <c r="J879" s="196"/>
    </row>
    <row r="880" spans="1:10" ht="14.4" hidden="1" outlineLevel="1">
      <c r="A880" s="196" t="s">
        <v>351</v>
      </c>
      <c r="B880" s="197">
        <v>41638</v>
      </c>
      <c r="C880" s="196" t="s">
        <v>88</v>
      </c>
      <c r="D880" s="196" t="s">
        <v>88</v>
      </c>
      <c r="E880" s="196" t="s">
        <v>88</v>
      </c>
      <c r="F880" s="196">
        <v>65</v>
      </c>
      <c r="G880" s="196">
        <f t="shared" si="13"/>
        <v>32.5</v>
      </c>
      <c r="H880" s="196">
        <v>0</v>
      </c>
      <c r="I880" s="196" t="s">
        <v>611</v>
      </c>
      <c r="J880" s="196"/>
    </row>
    <row r="881" spans="1:10" ht="14.4" hidden="1" outlineLevel="1">
      <c r="A881" s="196" t="s">
        <v>351</v>
      </c>
      <c r="B881" s="197">
        <v>41639</v>
      </c>
      <c r="C881" s="196" t="s">
        <v>1237</v>
      </c>
      <c r="D881" s="196">
        <v>66</v>
      </c>
      <c r="E881" s="196" t="s">
        <v>1261</v>
      </c>
      <c r="F881" s="196">
        <v>64.900000000000006</v>
      </c>
      <c r="G881" s="196">
        <f t="shared" si="13"/>
        <v>32.450000000000003</v>
      </c>
      <c r="H881" s="196">
        <v>216483</v>
      </c>
      <c r="I881" s="196" t="s">
        <v>1392</v>
      </c>
      <c r="J881" s="196"/>
    </row>
    <row r="882" spans="1:10" ht="14.4" hidden="1" outlineLevel="1">
      <c r="A882" s="196" t="s">
        <v>351</v>
      </c>
      <c r="B882" s="197">
        <v>41641</v>
      </c>
      <c r="C882" s="196" t="s">
        <v>1237</v>
      </c>
      <c r="D882" s="196">
        <v>67</v>
      </c>
      <c r="E882" s="196" t="s">
        <v>1242</v>
      </c>
      <c r="F882" s="196">
        <v>65</v>
      </c>
      <c r="G882" s="196">
        <f t="shared" si="13"/>
        <v>32.5</v>
      </c>
      <c r="H882" s="196">
        <v>2201</v>
      </c>
      <c r="I882" s="196" t="s">
        <v>1391</v>
      </c>
      <c r="J882" s="196"/>
    </row>
    <row r="883" spans="1:10" ht="14.4" hidden="1" outlineLevel="1">
      <c r="A883" s="196" t="s">
        <v>351</v>
      </c>
      <c r="B883" s="197">
        <v>41642</v>
      </c>
      <c r="C883" s="196" t="s">
        <v>1237</v>
      </c>
      <c r="D883" s="196">
        <v>66</v>
      </c>
      <c r="E883" s="196" t="s">
        <v>1242</v>
      </c>
      <c r="F883" s="196">
        <v>65</v>
      </c>
      <c r="G883" s="196">
        <f t="shared" si="13"/>
        <v>32.5</v>
      </c>
      <c r="H883" s="196">
        <v>120388</v>
      </c>
      <c r="I883" s="196" t="s">
        <v>1390</v>
      </c>
      <c r="J883" s="196"/>
    </row>
    <row r="884" spans="1:10" ht="14.4" hidden="1" outlineLevel="1">
      <c r="A884" s="196" t="s">
        <v>351</v>
      </c>
      <c r="B884" s="197">
        <v>41645</v>
      </c>
      <c r="C884" s="196" t="s">
        <v>1242</v>
      </c>
      <c r="D884" s="196">
        <v>65</v>
      </c>
      <c r="E884" s="196" t="s">
        <v>1253</v>
      </c>
      <c r="F884" s="196">
        <v>64.8</v>
      </c>
      <c r="G884" s="196">
        <f t="shared" si="13"/>
        <v>32.4</v>
      </c>
      <c r="H884" s="196">
        <v>26286</v>
      </c>
      <c r="I884" s="196" t="s">
        <v>1389</v>
      </c>
      <c r="J884" s="196"/>
    </row>
    <row r="885" spans="1:10" ht="14.4" hidden="1" outlineLevel="1">
      <c r="A885" s="196" t="s">
        <v>351</v>
      </c>
      <c r="B885" s="197">
        <v>41646</v>
      </c>
      <c r="C885" s="196" t="s">
        <v>1274</v>
      </c>
      <c r="D885" s="196">
        <v>66.900000000000006</v>
      </c>
      <c r="E885" s="196" t="s">
        <v>1274</v>
      </c>
      <c r="F885" s="196">
        <v>66</v>
      </c>
      <c r="G885" s="196">
        <f t="shared" si="13"/>
        <v>33</v>
      </c>
      <c r="H885" s="196">
        <v>54074</v>
      </c>
      <c r="I885" s="196" t="s">
        <v>1388</v>
      </c>
      <c r="J885" s="196"/>
    </row>
    <row r="886" spans="1:10" ht="14.4" hidden="1" outlineLevel="1">
      <c r="A886" s="196" t="s">
        <v>351</v>
      </c>
      <c r="B886" s="197">
        <v>41647</v>
      </c>
      <c r="C886" s="196" t="s">
        <v>1385</v>
      </c>
      <c r="D886" s="196">
        <v>66.5</v>
      </c>
      <c r="E886" s="196" t="s">
        <v>1385</v>
      </c>
      <c r="F886" s="196">
        <v>66.5</v>
      </c>
      <c r="G886" s="196">
        <f t="shared" si="13"/>
        <v>33.25</v>
      </c>
      <c r="H886" s="196">
        <v>523</v>
      </c>
      <c r="I886" s="196" t="s">
        <v>1387</v>
      </c>
      <c r="J886" s="196"/>
    </row>
    <row r="887" spans="1:10" ht="14.4" hidden="1" outlineLevel="1">
      <c r="A887" s="196" t="s">
        <v>351</v>
      </c>
      <c r="B887" s="197">
        <v>41648</v>
      </c>
      <c r="C887" s="196" t="s">
        <v>1385</v>
      </c>
      <c r="D887" s="196">
        <v>67</v>
      </c>
      <c r="E887" s="196" t="s">
        <v>1385</v>
      </c>
      <c r="F887" s="196">
        <v>67</v>
      </c>
      <c r="G887" s="196">
        <f t="shared" si="13"/>
        <v>33.5</v>
      </c>
      <c r="H887" s="196">
        <v>3353</v>
      </c>
      <c r="I887" s="196" t="s">
        <v>1386</v>
      </c>
      <c r="J887" s="196"/>
    </row>
    <row r="888" spans="1:10" ht="14.4" hidden="1" outlineLevel="1">
      <c r="A888" s="196" t="s">
        <v>351</v>
      </c>
      <c r="B888" s="197">
        <v>41649</v>
      </c>
      <c r="C888" s="196" t="s">
        <v>1225</v>
      </c>
      <c r="D888" s="196">
        <v>69.900000000000006</v>
      </c>
      <c r="E888" s="196" t="s">
        <v>1225</v>
      </c>
      <c r="F888" s="196">
        <v>69.3</v>
      </c>
      <c r="G888" s="196">
        <f t="shared" si="13"/>
        <v>34.65</v>
      </c>
      <c r="H888" s="196">
        <v>45895</v>
      </c>
      <c r="I888" s="196" t="s">
        <v>1384</v>
      </c>
      <c r="J888" s="196"/>
    </row>
    <row r="889" spans="1:10" ht="14.4" hidden="1" outlineLevel="1">
      <c r="A889" s="196" t="s">
        <v>351</v>
      </c>
      <c r="B889" s="197">
        <v>41652</v>
      </c>
      <c r="C889" s="196" t="s">
        <v>1214</v>
      </c>
      <c r="D889" s="196">
        <v>70</v>
      </c>
      <c r="E889" s="196" t="s">
        <v>1216</v>
      </c>
      <c r="F889" s="196">
        <v>69</v>
      </c>
      <c r="G889" s="196">
        <f t="shared" si="13"/>
        <v>34.5</v>
      </c>
      <c r="H889" s="196">
        <v>30202</v>
      </c>
      <c r="I889" s="196" t="s">
        <v>1383</v>
      </c>
      <c r="J889" s="196"/>
    </row>
    <row r="890" spans="1:10" ht="14.4" hidden="1" outlineLevel="1">
      <c r="A890" s="196" t="s">
        <v>351</v>
      </c>
      <c r="B890" s="197">
        <v>41655</v>
      </c>
      <c r="C890" s="196" t="s">
        <v>1211</v>
      </c>
      <c r="D890" s="196">
        <v>70</v>
      </c>
      <c r="E890" s="196" t="s">
        <v>1216</v>
      </c>
      <c r="F890" s="196">
        <v>69</v>
      </c>
      <c r="G890" s="196">
        <f t="shared" si="13"/>
        <v>34.5</v>
      </c>
      <c r="H890" s="196">
        <v>15800</v>
      </c>
      <c r="I890" s="196" t="s">
        <v>1382</v>
      </c>
      <c r="J890" s="196"/>
    </row>
    <row r="891" spans="1:10" ht="14.4" hidden="1" outlineLevel="1">
      <c r="A891" s="196" t="s">
        <v>351</v>
      </c>
      <c r="B891" s="197">
        <v>41656</v>
      </c>
      <c r="C891" s="196" t="s">
        <v>1216</v>
      </c>
      <c r="D891" s="196">
        <v>70</v>
      </c>
      <c r="E891" s="196" t="s">
        <v>1380</v>
      </c>
      <c r="F891" s="196">
        <v>70</v>
      </c>
      <c r="G891" s="196">
        <f t="shared" si="13"/>
        <v>35</v>
      </c>
      <c r="H891" s="196">
        <v>21103</v>
      </c>
      <c r="I891" s="196" t="s">
        <v>1381</v>
      </c>
      <c r="J891" s="196"/>
    </row>
    <row r="892" spans="1:10" ht="14.4" hidden="1" outlineLevel="1">
      <c r="A892" s="196" t="s">
        <v>351</v>
      </c>
      <c r="B892" s="197">
        <v>41659</v>
      </c>
      <c r="C892" s="196" t="s">
        <v>1224</v>
      </c>
      <c r="D892" s="196">
        <v>68</v>
      </c>
      <c r="E892" s="196" t="s">
        <v>1224</v>
      </c>
      <c r="F892" s="196">
        <v>68</v>
      </c>
      <c r="G892" s="196">
        <f t="shared" si="13"/>
        <v>34</v>
      </c>
      <c r="H892" s="196">
        <v>300</v>
      </c>
      <c r="I892" s="196" t="s">
        <v>1379</v>
      </c>
      <c r="J892" s="196"/>
    </row>
    <row r="893" spans="1:10" ht="14.4" hidden="1" outlineLevel="1">
      <c r="A893" s="196" t="s">
        <v>351</v>
      </c>
      <c r="B893" s="197">
        <v>41660</v>
      </c>
      <c r="C893" s="196" t="s">
        <v>88</v>
      </c>
      <c r="D893" s="196" t="s">
        <v>88</v>
      </c>
      <c r="E893" s="196" t="s">
        <v>88</v>
      </c>
      <c r="F893" s="196">
        <v>68</v>
      </c>
      <c r="G893" s="196">
        <f t="shared" si="13"/>
        <v>34</v>
      </c>
      <c r="H893" s="196">
        <v>0</v>
      </c>
      <c r="I893" s="196" t="s">
        <v>611</v>
      </c>
      <c r="J893" s="196"/>
    </row>
    <row r="894" spans="1:10" ht="14.4" hidden="1" outlineLevel="1">
      <c r="A894" s="196" t="s">
        <v>351</v>
      </c>
      <c r="B894" s="197">
        <v>41661</v>
      </c>
      <c r="C894" s="196" t="s">
        <v>1224</v>
      </c>
      <c r="D894" s="196">
        <v>74</v>
      </c>
      <c r="E894" s="196" t="s">
        <v>1224</v>
      </c>
      <c r="F894" s="196">
        <v>73.099999999999994</v>
      </c>
      <c r="G894" s="196">
        <f t="shared" si="13"/>
        <v>36.549999999999997</v>
      </c>
      <c r="H894" s="196">
        <v>48020</v>
      </c>
      <c r="I894" s="196" t="s">
        <v>1378</v>
      </c>
      <c r="J894" s="196"/>
    </row>
    <row r="895" spans="1:10" ht="14.4" hidden="1" outlineLevel="1">
      <c r="A895" s="196" t="s">
        <v>351</v>
      </c>
      <c r="B895" s="197">
        <v>41662</v>
      </c>
      <c r="C895" s="196" t="s">
        <v>1376</v>
      </c>
      <c r="D895" s="196">
        <v>73.900000000000006</v>
      </c>
      <c r="E895" s="196" t="s">
        <v>1376</v>
      </c>
      <c r="F895" s="196">
        <v>73.8</v>
      </c>
      <c r="G895" s="196">
        <f t="shared" si="13"/>
        <v>36.9</v>
      </c>
      <c r="H895" s="196">
        <v>1000</v>
      </c>
      <c r="I895" s="196" t="s">
        <v>1377</v>
      </c>
      <c r="J895" s="196"/>
    </row>
    <row r="896" spans="1:10" ht="14.4" hidden="1" outlineLevel="1">
      <c r="A896" s="196" t="s">
        <v>351</v>
      </c>
      <c r="B896" s="197">
        <v>41663</v>
      </c>
      <c r="C896" s="196" t="s">
        <v>1196</v>
      </c>
      <c r="D896" s="196">
        <v>73</v>
      </c>
      <c r="E896" s="196" t="s">
        <v>1374</v>
      </c>
      <c r="F896" s="196">
        <v>72.7</v>
      </c>
      <c r="G896" s="196">
        <f t="shared" si="13"/>
        <v>36.35</v>
      </c>
      <c r="H896" s="196">
        <v>48190</v>
      </c>
      <c r="I896" s="196" t="s">
        <v>1375</v>
      </c>
      <c r="J896" s="196"/>
    </row>
    <row r="897" spans="1:10" ht="14.4" hidden="1" outlineLevel="1">
      <c r="A897" s="196" t="s">
        <v>351</v>
      </c>
      <c r="B897" s="197">
        <v>41666</v>
      </c>
      <c r="C897" s="196" t="s">
        <v>1178</v>
      </c>
      <c r="D897" s="196">
        <v>70.2</v>
      </c>
      <c r="E897" s="196" t="s">
        <v>1211</v>
      </c>
      <c r="F897" s="196">
        <v>70.099999999999994</v>
      </c>
      <c r="G897" s="196">
        <f t="shared" si="13"/>
        <v>35.049999999999997</v>
      </c>
      <c r="H897" s="196">
        <v>1698</v>
      </c>
      <c r="I897" s="196" t="s">
        <v>1373</v>
      </c>
      <c r="J897" s="196"/>
    </row>
    <row r="898" spans="1:10" ht="14.4" hidden="1" outlineLevel="1">
      <c r="A898" s="196" t="s">
        <v>351</v>
      </c>
      <c r="B898" s="197">
        <v>41667</v>
      </c>
      <c r="C898" s="196" t="s">
        <v>1371</v>
      </c>
      <c r="D898" s="196">
        <v>71.5</v>
      </c>
      <c r="E898" s="196" t="s">
        <v>1371</v>
      </c>
      <c r="F898" s="196">
        <v>71.5</v>
      </c>
      <c r="G898" s="196">
        <f t="shared" si="13"/>
        <v>35.75</v>
      </c>
      <c r="H898" s="196">
        <v>809</v>
      </c>
      <c r="I898" s="196" t="s">
        <v>1372</v>
      </c>
      <c r="J898" s="196"/>
    </row>
    <row r="899" spans="1:10" ht="14.4" hidden="1" outlineLevel="1">
      <c r="A899" s="196" t="s">
        <v>351</v>
      </c>
      <c r="B899" s="197">
        <v>41668</v>
      </c>
      <c r="C899" s="196" t="s">
        <v>1161</v>
      </c>
      <c r="D899" s="196">
        <v>71</v>
      </c>
      <c r="E899" s="196" t="s">
        <v>1161</v>
      </c>
      <c r="F899" s="196">
        <v>71</v>
      </c>
      <c r="G899" s="196">
        <f t="shared" si="13"/>
        <v>35.5</v>
      </c>
      <c r="H899" s="196">
        <v>15800</v>
      </c>
      <c r="I899" s="196" t="s">
        <v>1370</v>
      </c>
      <c r="J899" s="196"/>
    </row>
    <row r="900" spans="1:10" ht="14.4" hidden="1" outlineLevel="1">
      <c r="A900" s="196" t="s">
        <v>351</v>
      </c>
      <c r="B900" s="197">
        <v>41669</v>
      </c>
      <c r="C900" s="196" t="s">
        <v>1211</v>
      </c>
      <c r="D900" s="196">
        <v>70</v>
      </c>
      <c r="E900" s="196" t="s">
        <v>1211</v>
      </c>
      <c r="F900" s="196">
        <v>70</v>
      </c>
      <c r="G900" s="196">
        <f t="shared" si="13"/>
        <v>35</v>
      </c>
      <c r="H900" s="196">
        <v>100</v>
      </c>
      <c r="I900" s="196" t="s">
        <v>1369</v>
      </c>
      <c r="J900" s="196"/>
    </row>
    <row r="901" spans="1:10" ht="14.4" hidden="1" outlineLevel="1">
      <c r="A901" s="196" t="s">
        <v>351</v>
      </c>
      <c r="B901" s="197">
        <v>41670</v>
      </c>
      <c r="C901" s="196" t="s">
        <v>1211</v>
      </c>
      <c r="D901" s="196">
        <v>70</v>
      </c>
      <c r="E901" s="196" t="s">
        <v>1216</v>
      </c>
      <c r="F901" s="196">
        <v>69</v>
      </c>
      <c r="G901" s="196">
        <f t="shared" ref="G901:G964" si="14">F901/2</f>
        <v>34.5</v>
      </c>
      <c r="H901" s="196">
        <v>11101</v>
      </c>
      <c r="I901" s="196" t="s">
        <v>1368</v>
      </c>
      <c r="J901" s="196"/>
    </row>
    <row r="902" spans="1:10" ht="14.4" hidden="1" outlineLevel="1">
      <c r="A902" s="196" t="s">
        <v>351</v>
      </c>
      <c r="B902" s="197">
        <v>41673</v>
      </c>
      <c r="C902" s="196" t="s">
        <v>1366</v>
      </c>
      <c r="D902" s="196">
        <v>69.5</v>
      </c>
      <c r="E902" s="196" t="s">
        <v>1366</v>
      </c>
      <c r="F902" s="196">
        <v>69.5</v>
      </c>
      <c r="G902" s="196">
        <f t="shared" si="14"/>
        <v>34.75</v>
      </c>
      <c r="H902" s="196">
        <v>800</v>
      </c>
      <c r="I902" s="196" t="s">
        <v>1367</v>
      </c>
      <c r="J902" s="196"/>
    </row>
    <row r="903" spans="1:10" ht="14.4" hidden="1" outlineLevel="1">
      <c r="A903" s="196" t="s">
        <v>351</v>
      </c>
      <c r="B903" s="197">
        <v>41675</v>
      </c>
      <c r="C903" s="196" t="s">
        <v>1216</v>
      </c>
      <c r="D903" s="196">
        <v>69</v>
      </c>
      <c r="E903" s="196" t="s">
        <v>1216</v>
      </c>
      <c r="F903" s="196">
        <v>69</v>
      </c>
      <c r="G903" s="196">
        <f t="shared" si="14"/>
        <v>34.5</v>
      </c>
      <c r="H903" s="196">
        <v>1205</v>
      </c>
      <c r="I903" s="196" t="s">
        <v>1365</v>
      </c>
      <c r="J903" s="196"/>
    </row>
    <row r="904" spans="1:10" ht="14.4" hidden="1" outlineLevel="1">
      <c r="A904" s="196" t="s">
        <v>351</v>
      </c>
      <c r="B904" s="197">
        <v>41676</v>
      </c>
      <c r="C904" s="196" t="s">
        <v>1224</v>
      </c>
      <c r="D904" s="196">
        <v>69</v>
      </c>
      <c r="E904" s="196" t="s">
        <v>1224</v>
      </c>
      <c r="F904" s="196">
        <v>68</v>
      </c>
      <c r="G904" s="196">
        <f t="shared" si="14"/>
        <v>34</v>
      </c>
      <c r="H904" s="196">
        <v>1528</v>
      </c>
      <c r="I904" s="196" t="s">
        <v>1364</v>
      </c>
      <c r="J904" s="196"/>
    </row>
    <row r="905" spans="1:10" ht="14.4" hidden="1" outlineLevel="1">
      <c r="A905" s="196" t="s">
        <v>351</v>
      </c>
      <c r="B905" s="197">
        <v>41677</v>
      </c>
      <c r="C905" s="196" t="s">
        <v>88</v>
      </c>
      <c r="D905" s="196" t="s">
        <v>88</v>
      </c>
      <c r="E905" s="196" t="s">
        <v>88</v>
      </c>
      <c r="F905" s="196">
        <v>68</v>
      </c>
      <c r="G905" s="196">
        <f t="shared" si="14"/>
        <v>34</v>
      </c>
      <c r="H905" s="196">
        <v>0</v>
      </c>
      <c r="I905" s="196" t="s">
        <v>611</v>
      </c>
      <c r="J905" s="196"/>
    </row>
    <row r="906" spans="1:10" ht="14.4" hidden="1" outlineLevel="1">
      <c r="A906" s="196" t="s">
        <v>351</v>
      </c>
      <c r="B906" s="197">
        <v>41680</v>
      </c>
      <c r="C906" s="196" t="s">
        <v>1362</v>
      </c>
      <c r="D906" s="196">
        <v>65.5</v>
      </c>
      <c r="E906" s="196" t="s">
        <v>1362</v>
      </c>
      <c r="F906" s="196">
        <v>65.5</v>
      </c>
      <c r="G906" s="196">
        <f t="shared" si="14"/>
        <v>32.75</v>
      </c>
      <c r="H906" s="196">
        <v>10027</v>
      </c>
      <c r="I906" s="196" t="s">
        <v>1363</v>
      </c>
      <c r="J906" s="196"/>
    </row>
    <row r="907" spans="1:10" ht="14.4" hidden="1" outlineLevel="1">
      <c r="A907" s="196" t="s">
        <v>351</v>
      </c>
      <c r="B907" s="197">
        <v>41681</v>
      </c>
      <c r="C907" s="196" t="s">
        <v>88</v>
      </c>
      <c r="D907" s="196" t="s">
        <v>88</v>
      </c>
      <c r="E907" s="196" t="s">
        <v>88</v>
      </c>
      <c r="F907" s="196">
        <v>65.5</v>
      </c>
      <c r="G907" s="196">
        <f t="shared" si="14"/>
        <v>32.75</v>
      </c>
      <c r="H907" s="196">
        <v>0</v>
      </c>
      <c r="I907" s="196" t="s">
        <v>611</v>
      </c>
      <c r="J907" s="196"/>
    </row>
    <row r="908" spans="1:10" ht="14.4" hidden="1" outlineLevel="1">
      <c r="A908" s="196" t="s">
        <v>351</v>
      </c>
      <c r="B908" s="197">
        <v>41682</v>
      </c>
      <c r="C908" s="196" t="s">
        <v>1360</v>
      </c>
      <c r="D908" s="196">
        <v>65</v>
      </c>
      <c r="E908" s="196" t="s">
        <v>1360</v>
      </c>
      <c r="F908" s="196">
        <v>64.8</v>
      </c>
      <c r="G908" s="196">
        <f t="shared" si="14"/>
        <v>32.4</v>
      </c>
      <c r="H908" s="196">
        <v>3020</v>
      </c>
      <c r="I908" s="196" t="s">
        <v>1361</v>
      </c>
      <c r="J908" s="196"/>
    </row>
    <row r="909" spans="1:10" ht="14.4" hidden="1" outlineLevel="1">
      <c r="A909" s="196" t="s">
        <v>351</v>
      </c>
      <c r="B909" s="197">
        <v>41683</v>
      </c>
      <c r="C909" s="196" t="s">
        <v>1242</v>
      </c>
      <c r="D909" s="196">
        <v>65</v>
      </c>
      <c r="E909" s="196" t="s">
        <v>1242</v>
      </c>
      <c r="F909" s="196">
        <v>65</v>
      </c>
      <c r="G909" s="196">
        <f t="shared" si="14"/>
        <v>32.5</v>
      </c>
      <c r="H909" s="196">
        <v>2000</v>
      </c>
      <c r="I909" s="196" t="s">
        <v>1359</v>
      </c>
      <c r="J909" s="196"/>
    </row>
    <row r="910" spans="1:10" ht="14.4" hidden="1" outlineLevel="1">
      <c r="A910" s="196" t="s">
        <v>351</v>
      </c>
      <c r="B910" s="197">
        <v>41687</v>
      </c>
      <c r="C910" s="196" t="s">
        <v>1242</v>
      </c>
      <c r="D910" s="196">
        <v>65</v>
      </c>
      <c r="E910" s="196" t="s">
        <v>1244</v>
      </c>
      <c r="F910" s="196">
        <v>64.5</v>
      </c>
      <c r="G910" s="196">
        <f t="shared" si="14"/>
        <v>32.25</v>
      </c>
      <c r="H910" s="196">
        <v>5200</v>
      </c>
      <c r="I910" s="196" t="s">
        <v>1358</v>
      </c>
      <c r="J910" s="196"/>
    </row>
    <row r="911" spans="1:10" ht="14.4" hidden="1" outlineLevel="1">
      <c r="A911" s="196" t="s">
        <v>351</v>
      </c>
      <c r="B911" s="197">
        <v>41688</v>
      </c>
      <c r="C911" s="196" t="s">
        <v>88</v>
      </c>
      <c r="D911" s="196" t="s">
        <v>88</v>
      </c>
      <c r="E911" s="196" t="s">
        <v>88</v>
      </c>
      <c r="F911" s="196">
        <v>64.5</v>
      </c>
      <c r="G911" s="196">
        <f t="shared" si="14"/>
        <v>32.25</v>
      </c>
      <c r="H911" s="196">
        <v>0</v>
      </c>
      <c r="I911" s="196" t="s">
        <v>611</v>
      </c>
      <c r="J911" s="196"/>
    </row>
    <row r="912" spans="1:10" ht="14.4" hidden="1" outlineLevel="1">
      <c r="A912" s="196" t="s">
        <v>351</v>
      </c>
      <c r="B912" s="197">
        <v>41689</v>
      </c>
      <c r="C912" s="196" t="s">
        <v>1253</v>
      </c>
      <c r="D912" s="196">
        <v>64</v>
      </c>
      <c r="E912" s="196" t="s">
        <v>1298</v>
      </c>
      <c r="F912" s="196">
        <v>64</v>
      </c>
      <c r="G912" s="196">
        <f t="shared" si="14"/>
        <v>32</v>
      </c>
      <c r="H912" s="196">
        <v>6801</v>
      </c>
      <c r="I912" s="196" t="s">
        <v>1357</v>
      </c>
      <c r="J912" s="196"/>
    </row>
    <row r="913" spans="1:10" ht="14.4" hidden="1" outlineLevel="1">
      <c r="A913" s="196" t="s">
        <v>351</v>
      </c>
      <c r="B913" s="197">
        <v>41690</v>
      </c>
      <c r="C913" s="196" t="s">
        <v>1298</v>
      </c>
      <c r="D913" s="196">
        <v>64</v>
      </c>
      <c r="E913" s="196" t="s">
        <v>1298</v>
      </c>
      <c r="F913" s="196">
        <v>64</v>
      </c>
      <c r="G913" s="196">
        <f t="shared" si="14"/>
        <v>32</v>
      </c>
      <c r="H913" s="196">
        <v>108</v>
      </c>
      <c r="I913" s="196" t="s">
        <v>1356</v>
      </c>
      <c r="J913" s="196"/>
    </row>
    <row r="914" spans="1:10" ht="14.4" hidden="1" outlineLevel="1">
      <c r="A914" s="196" t="s">
        <v>351</v>
      </c>
      <c r="B914" s="197">
        <v>41691</v>
      </c>
      <c r="C914" s="196" t="s">
        <v>1268</v>
      </c>
      <c r="D914" s="196">
        <v>64</v>
      </c>
      <c r="E914" s="196" t="s">
        <v>1343</v>
      </c>
      <c r="F914" s="196">
        <v>64</v>
      </c>
      <c r="G914" s="196">
        <f t="shared" si="14"/>
        <v>32</v>
      </c>
      <c r="H914" s="196">
        <v>59070</v>
      </c>
      <c r="I914" s="196" t="s">
        <v>1355</v>
      </c>
      <c r="J914" s="196"/>
    </row>
    <row r="915" spans="1:10" ht="14.4" hidden="1" outlineLevel="1">
      <c r="A915" s="196" t="s">
        <v>351</v>
      </c>
      <c r="B915" s="197">
        <v>41694</v>
      </c>
      <c r="C915" s="196" t="s">
        <v>1302</v>
      </c>
      <c r="D915" s="196">
        <v>64.5</v>
      </c>
      <c r="E915" s="196" t="s">
        <v>1310</v>
      </c>
      <c r="F915" s="196">
        <v>62</v>
      </c>
      <c r="G915" s="196">
        <f t="shared" si="14"/>
        <v>31</v>
      </c>
      <c r="H915" s="196">
        <v>34610</v>
      </c>
      <c r="I915" s="196" t="s">
        <v>1354</v>
      </c>
      <c r="J915" s="196"/>
    </row>
    <row r="916" spans="1:10" ht="14.4" hidden="1" outlineLevel="1">
      <c r="A916" s="196" t="s">
        <v>351</v>
      </c>
      <c r="B916" s="197">
        <v>41695</v>
      </c>
      <c r="C916" s="196" t="s">
        <v>1310</v>
      </c>
      <c r="D916" s="196">
        <v>62</v>
      </c>
      <c r="E916" s="196" t="s">
        <v>1351</v>
      </c>
      <c r="F916" s="196">
        <v>60.1</v>
      </c>
      <c r="G916" s="196">
        <f t="shared" si="14"/>
        <v>30.05</v>
      </c>
      <c r="H916" s="196">
        <v>136749</v>
      </c>
      <c r="I916" s="196" t="s">
        <v>1353</v>
      </c>
      <c r="J916" s="196"/>
    </row>
    <row r="917" spans="1:10" ht="14.4" hidden="1" outlineLevel="1">
      <c r="A917" s="196" t="s">
        <v>351</v>
      </c>
      <c r="B917" s="197">
        <v>41696</v>
      </c>
      <c r="C917" s="196" t="s">
        <v>1351</v>
      </c>
      <c r="D917" s="196">
        <v>64.400000000000006</v>
      </c>
      <c r="E917" s="196" t="s">
        <v>1351</v>
      </c>
      <c r="F917" s="196">
        <v>60.1</v>
      </c>
      <c r="G917" s="196">
        <f t="shared" si="14"/>
        <v>30.05</v>
      </c>
      <c r="H917" s="196">
        <v>37443</v>
      </c>
      <c r="I917" s="196" t="s">
        <v>1352</v>
      </c>
      <c r="J917" s="196"/>
    </row>
    <row r="918" spans="1:10" ht="14.4" hidden="1" outlineLevel="1">
      <c r="A918" s="196" t="s">
        <v>351</v>
      </c>
      <c r="B918" s="197">
        <v>41698</v>
      </c>
      <c r="C918" s="196" t="s">
        <v>1346</v>
      </c>
      <c r="D918" s="196">
        <v>63.9</v>
      </c>
      <c r="E918" s="196" t="s">
        <v>1346</v>
      </c>
      <c r="F918" s="196">
        <v>63.9</v>
      </c>
      <c r="G918" s="196">
        <f t="shared" si="14"/>
        <v>31.95</v>
      </c>
      <c r="H918" s="196">
        <v>2520</v>
      </c>
      <c r="I918" s="196" t="s">
        <v>1350</v>
      </c>
      <c r="J918" s="196"/>
    </row>
    <row r="919" spans="1:10" ht="14.4" hidden="1" outlineLevel="1">
      <c r="A919" s="196" t="s">
        <v>351</v>
      </c>
      <c r="B919" s="197">
        <v>41701</v>
      </c>
      <c r="C919" s="196" t="s">
        <v>1346</v>
      </c>
      <c r="D919" s="196">
        <v>62.5</v>
      </c>
      <c r="E919" s="196" t="s">
        <v>1346</v>
      </c>
      <c r="F919" s="196">
        <v>62.5</v>
      </c>
      <c r="G919" s="196">
        <f t="shared" si="14"/>
        <v>31.25</v>
      </c>
      <c r="H919" s="196">
        <v>300</v>
      </c>
      <c r="I919" s="196" t="s">
        <v>1349</v>
      </c>
      <c r="J919" s="196"/>
    </row>
    <row r="920" spans="1:10" ht="14.4" hidden="1" outlineLevel="1">
      <c r="A920" s="196" t="s">
        <v>351</v>
      </c>
      <c r="B920" s="197">
        <v>41702</v>
      </c>
      <c r="C920" s="196" t="s">
        <v>1346</v>
      </c>
      <c r="D920" s="196">
        <v>62.5</v>
      </c>
      <c r="E920" s="196" t="s">
        <v>1346</v>
      </c>
      <c r="F920" s="196">
        <v>62.5</v>
      </c>
      <c r="G920" s="196">
        <f t="shared" si="14"/>
        <v>31.25</v>
      </c>
      <c r="H920" s="196">
        <v>2200</v>
      </c>
      <c r="I920" s="196" t="s">
        <v>1348</v>
      </c>
      <c r="J920" s="196"/>
    </row>
    <row r="921" spans="1:10" ht="14.4" hidden="1" outlineLevel="1">
      <c r="A921" s="196" t="s">
        <v>351</v>
      </c>
      <c r="B921" s="197">
        <v>41703</v>
      </c>
      <c r="C921" s="196" t="s">
        <v>1346</v>
      </c>
      <c r="D921" s="196">
        <v>62.5</v>
      </c>
      <c r="E921" s="196" t="s">
        <v>1346</v>
      </c>
      <c r="F921" s="196">
        <v>62.5</v>
      </c>
      <c r="G921" s="196">
        <f t="shared" si="14"/>
        <v>31.25</v>
      </c>
      <c r="H921" s="196">
        <v>100</v>
      </c>
      <c r="I921" s="196" t="s">
        <v>1347</v>
      </c>
      <c r="J921" s="196"/>
    </row>
    <row r="922" spans="1:10" ht="14.4" hidden="1" outlineLevel="1">
      <c r="A922" s="196" t="s">
        <v>351</v>
      </c>
      <c r="B922" s="197">
        <v>41704</v>
      </c>
      <c r="C922" s="196" t="s">
        <v>88</v>
      </c>
      <c r="D922" s="196" t="s">
        <v>88</v>
      </c>
      <c r="E922" s="196" t="s">
        <v>88</v>
      </c>
      <c r="F922" s="196">
        <v>62.5</v>
      </c>
      <c r="G922" s="196">
        <f t="shared" si="14"/>
        <v>31.25</v>
      </c>
      <c r="H922" s="196">
        <v>0</v>
      </c>
      <c r="I922" s="196" t="s">
        <v>611</v>
      </c>
      <c r="J922" s="196"/>
    </row>
    <row r="923" spans="1:10" ht="14.4" hidden="1" outlineLevel="1">
      <c r="A923" s="196" t="s">
        <v>351</v>
      </c>
      <c r="B923" s="197">
        <v>41705</v>
      </c>
      <c r="C923" s="196" t="s">
        <v>1310</v>
      </c>
      <c r="D923" s="196">
        <v>63</v>
      </c>
      <c r="E923" s="196" t="s">
        <v>1310</v>
      </c>
      <c r="F923" s="196">
        <v>63</v>
      </c>
      <c r="G923" s="196">
        <f t="shared" si="14"/>
        <v>31.5</v>
      </c>
      <c r="H923" s="196">
        <v>67355</v>
      </c>
      <c r="I923" s="196" t="s">
        <v>1345</v>
      </c>
      <c r="J923" s="196"/>
    </row>
    <row r="924" spans="1:10" ht="14.4" hidden="1" outlineLevel="1">
      <c r="A924" s="196" t="s">
        <v>351</v>
      </c>
      <c r="B924" s="197">
        <v>41708</v>
      </c>
      <c r="C924" s="196" t="s">
        <v>1343</v>
      </c>
      <c r="D924" s="196">
        <v>63</v>
      </c>
      <c r="E924" s="196" t="s">
        <v>1310</v>
      </c>
      <c r="F924" s="196">
        <v>62.1</v>
      </c>
      <c r="G924" s="196">
        <f t="shared" si="14"/>
        <v>31.05</v>
      </c>
      <c r="H924" s="196">
        <v>500</v>
      </c>
      <c r="I924" s="196" t="s">
        <v>1344</v>
      </c>
      <c r="J924" s="196"/>
    </row>
    <row r="925" spans="1:10" ht="14.4" hidden="1" outlineLevel="1">
      <c r="A925" s="196" t="s">
        <v>351</v>
      </c>
      <c r="B925" s="197">
        <v>41709</v>
      </c>
      <c r="C925" s="196" t="s">
        <v>1310</v>
      </c>
      <c r="D925" s="196">
        <v>62</v>
      </c>
      <c r="E925" s="196" t="s">
        <v>1341</v>
      </c>
      <c r="F925" s="196">
        <v>60.3</v>
      </c>
      <c r="G925" s="196">
        <f t="shared" si="14"/>
        <v>30.15</v>
      </c>
      <c r="H925" s="196">
        <v>7825</v>
      </c>
      <c r="I925" s="196" t="s">
        <v>1342</v>
      </c>
      <c r="J925" s="196"/>
    </row>
    <row r="926" spans="1:10" ht="14.4" hidden="1" outlineLevel="1">
      <c r="A926" s="196" t="s">
        <v>351</v>
      </c>
      <c r="B926" s="197">
        <v>41710</v>
      </c>
      <c r="C926" s="196" t="s">
        <v>1310</v>
      </c>
      <c r="D926" s="196">
        <v>62</v>
      </c>
      <c r="E926" s="196" t="s">
        <v>1339</v>
      </c>
      <c r="F926" s="196">
        <v>60.5</v>
      </c>
      <c r="G926" s="196">
        <f t="shared" si="14"/>
        <v>30.25</v>
      </c>
      <c r="H926" s="196">
        <v>49</v>
      </c>
      <c r="I926" s="196" t="s">
        <v>1340</v>
      </c>
      <c r="J926" s="196"/>
    </row>
    <row r="927" spans="1:10" ht="14.4" hidden="1" outlineLevel="1">
      <c r="A927" s="196" t="s">
        <v>351</v>
      </c>
      <c r="B927" s="197">
        <v>41711</v>
      </c>
      <c r="C927" s="196" t="s">
        <v>1310</v>
      </c>
      <c r="D927" s="196">
        <v>62</v>
      </c>
      <c r="E927" s="196" t="s">
        <v>1315</v>
      </c>
      <c r="F927" s="196">
        <v>61.7</v>
      </c>
      <c r="G927" s="196">
        <f t="shared" si="14"/>
        <v>30.85</v>
      </c>
      <c r="H927" s="196">
        <v>2256</v>
      </c>
      <c r="I927" s="196" t="s">
        <v>1338</v>
      </c>
      <c r="J927" s="196"/>
    </row>
    <row r="928" spans="1:10" ht="14.4" hidden="1" outlineLevel="1">
      <c r="A928" s="196" t="s">
        <v>351</v>
      </c>
      <c r="B928" s="197">
        <v>41712</v>
      </c>
      <c r="C928" s="196" t="s">
        <v>1315</v>
      </c>
      <c r="D928" s="196">
        <v>61.1</v>
      </c>
      <c r="E928" s="196" t="s">
        <v>1315</v>
      </c>
      <c r="F928" s="196">
        <v>61.1</v>
      </c>
      <c r="G928" s="196">
        <f t="shared" si="14"/>
        <v>30.55</v>
      </c>
      <c r="H928" s="196">
        <v>1241</v>
      </c>
      <c r="I928" s="196" t="s">
        <v>1337</v>
      </c>
      <c r="J928" s="196"/>
    </row>
    <row r="929" spans="1:10" ht="14.4" hidden="1" outlineLevel="1">
      <c r="A929" s="196" t="s">
        <v>351</v>
      </c>
      <c r="B929" s="197">
        <v>41715</v>
      </c>
      <c r="C929" s="196" t="s">
        <v>1315</v>
      </c>
      <c r="D929" s="196">
        <v>61.7</v>
      </c>
      <c r="E929" s="196" t="s">
        <v>1315</v>
      </c>
      <c r="F929" s="196">
        <v>61.7</v>
      </c>
      <c r="G929" s="196">
        <f t="shared" si="14"/>
        <v>30.85</v>
      </c>
      <c r="H929" s="196">
        <v>1020</v>
      </c>
      <c r="I929" s="196" t="s">
        <v>1336</v>
      </c>
      <c r="J929" s="196"/>
    </row>
    <row r="930" spans="1:10" ht="14.4" hidden="1" outlineLevel="1">
      <c r="A930" s="196" t="s">
        <v>351</v>
      </c>
      <c r="B930" s="197">
        <v>41716</v>
      </c>
      <c r="C930" s="196" t="s">
        <v>1310</v>
      </c>
      <c r="D930" s="196">
        <v>63.8</v>
      </c>
      <c r="E930" s="196" t="s">
        <v>1310</v>
      </c>
      <c r="F930" s="196">
        <v>63.8</v>
      </c>
      <c r="G930" s="196">
        <f t="shared" si="14"/>
        <v>31.9</v>
      </c>
      <c r="H930" s="196">
        <v>1660</v>
      </c>
      <c r="I930" s="196" t="s">
        <v>1335</v>
      </c>
      <c r="J930" s="196"/>
    </row>
    <row r="931" spans="1:10" ht="14.4" hidden="1" outlineLevel="1">
      <c r="A931" s="196" t="s">
        <v>351</v>
      </c>
      <c r="B931" s="197">
        <v>41717</v>
      </c>
      <c r="C931" s="196" t="s">
        <v>1333</v>
      </c>
      <c r="D931" s="196">
        <v>63</v>
      </c>
      <c r="E931" s="196" t="s">
        <v>1327</v>
      </c>
      <c r="F931" s="196">
        <v>61.4</v>
      </c>
      <c r="G931" s="196">
        <f t="shared" si="14"/>
        <v>30.7</v>
      </c>
      <c r="H931" s="196">
        <v>8257</v>
      </c>
      <c r="I931" s="196" t="s">
        <v>1334</v>
      </c>
      <c r="J931" s="196"/>
    </row>
    <row r="932" spans="1:10" ht="14.4" hidden="1" outlineLevel="1">
      <c r="A932" s="196" t="s">
        <v>351</v>
      </c>
      <c r="B932" s="197">
        <v>41718</v>
      </c>
      <c r="C932" s="196" t="s">
        <v>1310</v>
      </c>
      <c r="D932" s="196">
        <v>62</v>
      </c>
      <c r="E932" s="196" t="s">
        <v>1331</v>
      </c>
      <c r="F932" s="196">
        <v>61.9</v>
      </c>
      <c r="G932" s="196">
        <f t="shared" si="14"/>
        <v>30.95</v>
      </c>
      <c r="H932" s="196">
        <v>3479</v>
      </c>
      <c r="I932" s="196" t="s">
        <v>1332</v>
      </c>
      <c r="J932" s="196"/>
    </row>
    <row r="933" spans="1:10" ht="14.4" hidden="1" outlineLevel="1">
      <c r="A933" s="196" t="s">
        <v>351</v>
      </c>
      <c r="B933" s="197">
        <v>41719</v>
      </c>
      <c r="C933" s="196" t="s">
        <v>1310</v>
      </c>
      <c r="D933" s="196">
        <v>62</v>
      </c>
      <c r="E933" s="196" t="s">
        <v>1310</v>
      </c>
      <c r="F933" s="196">
        <v>62</v>
      </c>
      <c r="G933" s="196">
        <f t="shared" si="14"/>
        <v>31</v>
      </c>
      <c r="H933" s="196">
        <v>10700</v>
      </c>
      <c r="I933" s="196" t="s">
        <v>1330</v>
      </c>
      <c r="J933" s="196"/>
    </row>
    <row r="934" spans="1:10" ht="14.4" hidden="1" outlineLevel="1">
      <c r="A934" s="196" t="s">
        <v>351</v>
      </c>
      <c r="B934" s="197">
        <v>41722</v>
      </c>
      <c r="C934" s="196" t="s">
        <v>1314</v>
      </c>
      <c r="D934" s="196">
        <v>61.5</v>
      </c>
      <c r="E934" s="196" t="s">
        <v>1314</v>
      </c>
      <c r="F934" s="196">
        <v>61.5</v>
      </c>
      <c r="G934" s="196">
        <f t="shared" si="14"/>
        <v>30.75</v>
      </c>
      <c r="H934" s="196">
        <v>550</v>
      </c>
      <c r="I934" s="196" t="s">
        <v>1329</v>
      </c>
      <c r="J934" s="196"/>
    </row>
    <row r="935" spans="1:10" ht="14.4" hidden="1" outlineLevel="1">
      <c r="A935" s="196" t="s">
        <v>351</v>
      </c>
      <c r="B935" s="197">
        <v>41723</v>
      </c>
      <c r="C935" s="196" t="s">
        <v>1310</v>
      </c>
      <c r="D935" s="196">
        <v>62</v>
      </c>
      <c r="E935" s="196" t="s">
        <v>1310</v>
      </c>
      <c r="F935" s="196">
        <v>62</v>
      </c>
      <c r="G935" s="196">
        <f t="shared" si="14"/>
        <v>31</v>
      </c>
      <c r="H935" s="196">
        <v>2000</v>
      </c>
      <c r="I935" s="196" t="s">
        <v>1318</v>
      </c>
      <c r="J935" s="196"/>
    </row>
    <row r="936" spans="1:10" ht="14.4" hidden="1" outlineLevel="1">
      <c r="A936" s="196" t="s">
        <v>351</v>
      </c>
      <c r="B936" s="197">
        <v>41724</v>
      </c>
      <c r="C936" s="196" t="s">
        <v>1327</v>
      </c>
      <c r="D936" s="196">
        <v>61.1</v>
      </c>
      <c r="E936" s="196" t="s">
        <v>1324</v>
      </c>
      <c r="F936" s="196">
        <v>60.9</v>
      </c>
      <c r="G936" s="196">
        <f t="shared" si="14"/>
        <v>30.45</v>
      </c>
      <c r="H936" s="196">
        <v>11788</v>
      </c>
      <c r="I936" s="196" t="s">
        <v>1328</v>
      </c>
      <c r="J936" s="196"/>
    </row>
    <row r="937" spans="1:10" ht="14.4" hidden="1" outlineLevel="1">
      <c r="A937" s="196" t="s">
        <v>351</v>
      </c>
      <c r="B937" s="197">
        <v>41725</v>
      </c>
      <c r="C937" s="196" t="s">
        <v>1315</v>
      </c>
      <c r="D937" s="196">
        <v>61</v>
      </c>
      <c r="E937" s="196" t="s">
        <v>1315</v>
      </c>
      <c r="F937" s="196">
        <v>61</v>
      </c>
      <c r="G937" s="196">
        <f t="shared" si="14"/>
        <v>30.5</v>
      </c>
      <c r="H937" s="196">
        <v>3472</v>
      </c>
      <c r="I937" s="196" t="s">
        <v>1326</v>
      </c>
      <c r="J937" s="196"/>
    </row>
    <row r="938" spans="1:10" ht="14.4" hidden="1" outlineLevel="1">
      <c r="A938" s="196" t="s">
        <v>351</v>
      </c>
      <c r="B938" s="197">
        <v>41726</v>
      </c>
      <c r="C938" s="196" t="s">
        <v>1315</v>
      </c>
      <c r="D938" s="196">
        <v>61</v>
      </c>
      <c r="E938" s="196" t="s">
        <v>1324</v>
      </c>
      <c r="F938" s="196">
        <v>61</v>
      </c>
      <c r="G938" s="196">
        <f t="shared" si="14"/>
        <v>30.5</v>
      </c>
      <c r="H938" s="196">
        <v>2212</v>
      </c>
      <c r="I938" s="196" t="s">
        <v>1325</v>
      </c>
      <c r="J938" s="196"/>
    </row>
    <row r="939" spans="1:10" ht="14.4" hidden="1" outlineLevel="1">
      <c r="A939" s="196" t="s">
        <v>351</v>
      </c>
      <c r="B939" s="197">
        <v>41729</v>
      </c>
      <c r="C939" s="196" t="s">
        <v>1315</v>
      </c>
      <c r="D939" s="196">
        <v>61</v>
      </c>
      <c r="E939" s="196" t="s">
        <v>1322</v>
      </c>
      <c r="F939" s="196">
        <v>61</v>
      </c>
      <c r="G939" s="196">
        <f t="shared" si="14"/>
        <v>30.5</v>
      </c>
      <c r="H939" s="196">
        <v>2088</v>
      </c>
      <c r="I939" s="196" t="s">
        <v>1323</v>
      </c>
      <c r="J939" s="196"/>
    </row>
    <row r="940" spans="1:10" s="192" customFormat="1" ht="14.4" hidden="1" outlineLevel="1">
      <c r="A940" s="198" t="s">
        <v>351</v>
      </c>
      <c r="B940" s="199">
        <v>41730</v>
      </c>
      <c r="C940" s="198" t="s">
        <v>1315</v>
      </c>
      <c r="D940" s="198">
        <v>61</v>
      </c>
      <c r="E940" s="198" t="s">
        <v>1315</v>
      </c>
      <c r="F940" s="198">
        <v>61</v>
      </c>
      <c r="G940" s="198">
        <f t="shared" si="14"/>
        <v>30.5</v>
      </c>
      <c r="H940" s="198">
        <v>2000</v>
      </c>
      <c r="I940" s="198" t="s">
        <v>1321</v>
      </c>
      <c r="J940" s="198">
        <f>AVERAGE(G940:G1179)</f>
        <v>36.134374999999984</v>
      </c>
    </row>
    <row r="941" spans="1:10" ht="14.4" hidden="1" outlineLevel="1">
      <c r="A941" s="196" t="s">
        <v>351</v>
      </c>
      <c r="B941" s="197">
        <v>41731</v>
      </c>
      <c r="C941" s="196" t="s">
        <v>1319</v>
      </c>
      <c r="D941" s="196">
        <v>62</v>
      </c>
      <c r="E941" s="196" t="s">
        <v>1319</v>
      </c>
      <c r="F941" s="196">
        <v>62</v>
      </c>
      <c r="G941" s="196">
        <f t="shared" si="14"/>
        <v>31</v>
      </c>
      <c r="H941" s="196">
        <v>640</v>
      </c>
      <c r="I941" s="196" t="s">
        <v>1320</v>
      </c>
      <c r="J941" s="196"/>
    </row>
    <row r="942" spans="1:10" ht="14.4" hidden="1" outlineLevel="1">
      <c r="A942" s="196" t="s">
        <v>351</v>
      </c>
      <c r="B942" s="197">
        <v>41732</v>
      </c>
      <c r="C942" s="196" t="s">
        <v>1310</v>
      </c>
      <c r="D942" s="196">
        <v>62</v>
      </c>
      <c r="E942" s="196" t="s">
        <v>1310</v>
      </c>
      <c r="F942" s="196">
        <v>62</v>
      </c>
      <c r="G942" s="196">
        <f t="shared" si="14"/>
        <v>31</v>
      </c>
      <c r="H942" s="196">
        <v>2000</v>
      </c>
      <c r="I942" s="196" t="s">
        <v>1318</v>
      </c>
      <c r="J942" s="196"/>
    </row>
    <row r="943" spans="1:10" ht="14.4" hidden="1" outlineLevel="1">
      <c r="A943" s="196" t="s">
        <v>351</v>
      </c>
      <c r="B943" s="197">
        <v>41733</v>
      </c>
      <c r="C943" s="196" t="s">
        <v>1310</v>
      </c>
      <c r="D943" s="196">
        <v>62</v>
      </c>
      <c r="E943" s="196" t="s">
        <v>1310</v>
      </c>
      <c r="F943" s="196">
        <v>62</v>
      </c>
      <c r="G943" s="196">
        <f t="shared" si="14"/>
        <v>31</v>
      </c>
      <c r="H943" s="196">
        <v>3200</v>
      </c>
      <c r="I943" s="196" t="s">
        <v>1317</v>
      </c>
      <c r="J943" s="196"/>
    </row>
    <row r="944" spans="1:10" ht="14.4" hidden="1" outlineLevel="1">
      <c r="A944" s="196" t="s">
        <v>351</v>
      </c>
      <c r="B944" s="197">
        <v>41736</v>
      </c>
      <c r="C944" s="196" t="s">
        <v>1314</v>
      </c>
      <c r="D944" s="196">
        <v>62</v>
      </c>
      <c r="E944" s="196" t="s">
        <v>1315</v>
      </c>
      <c r="F944" s="196">
        <v>62</v>
      </c>
      <c r="G944" s="196">
        <f t="shared" si="14"/>
        <v>31</v>
      </c>
      <c r="H944" s="196">
        <v>9825</v>
      </c>
      <c r="I944" s="196" t="s">
        <v>1316</v>
      </c>
      <c r="J944" s="196"/>
    </row>
    <row r="945" spans="1:10" ht="14.4" hidden="1" outlineLevel="1">
      <c r="A945" s="196" t="s">
        <v>351</v>
      </c>
      <c r="B945" s="197">
        <v>41737</v>
      </c>
      <c r="C945" s="196" t="s">
        <v>1310</v>
      </c>
      <c r="D945" s="196">
        <v>62</v>
      </c>
      <c r="E945" s="196" t="s">
        <v>1310</v>
      </c>
      <c r="F945" s="196">
        <v>62</v>
      </c>
      <c r="G945" s="196">
        <f t="shared" si="14"/>
        <v>31</v>
      </c>
      <c r="H945" s="196">
        <v>1000</v>
      </c>
      <c r="I945" s="196" t="s">
        <v>1313</v>
      </c>
      <c r="J945" s="196"/>
    </row>
    <row r="946" spans="1:10" ht="14.4" hidden="1" outlineLevel="1">
      <c r="A946" s="196" t="s">
        <v>351</v>
      </c>
      <c r="B946" s="197">
        <v>41738</v>
      </c>
      <c r="C946" s="196" t="s">
        <v>1310</v>
      </c>
      <c r="D946" s="196">
        <v>62</v>
      </c>
      <c r="E946" s="196" t="s">
        <v>1310</v>
      </c>
      <c r="F946" s="196">
        <v>62</v>
      </c>
      <c r="G946" s="196">
        <f t="shared" si="14"/>
        <v>31</v>
      </c>
      <c r="H946" s="196">
        <v>2860</v>
      </c>
      <c r="I946" s="196" t="s">
        <v>1312</v>
      </c>
      <c r="J946" s="196"/>
    </row>
    <row r="947" spans="1:10" ht="14.4" hidden="1" outlineLevel="1">
      <c r="A947" s="196" t="s">
        <v>351</v>
      </c>
      <c r="B947" s="197">
        <v>41739</v>
      </c>
      <c r="C947" s="196" t="s">
        <v>88</v>
      </c>
      <c r="D947" s="196" t="s">
        <v>88</v>
      </c>
      <c r="E947" s="196" t="s">
        <v>88</v>
      </c>
      <c r="F947" s="196">
        <v>62</v>
      </c>
      <c r="G947" s="196">
        <f t="shared" si="14"/>
        <v>31</v>
      </c>
      <c r="H947" s="196">
        <v>0</v>
      </c>
      <c r="I947" s="196" t="s">
        <v>611</v>
      </c>
      <c r="J947" s="196"/>
    </row>
    <row r="948" spans="1:10" ht="14.4" hidden="1" outlineLevel="1">
      <c r="A948" s="196" t="s">
        <v>351</v>
      </c>
      <c r="B948" s="197">
        <v>41740</v>
      </c>
      <c r="C948" s="196" t="s">
        <v>1310</v>
      </c>
      <c r="D948" s="196">
        <v>63</v>
      </c>
      <c r="E948" s="196" t="s">
        <v>1310</v>
      </c>
      <c r="F948" s="196">
        <v>62.8</v>
      </c>
      <c r="G948" s="196">
        <f t="shared" si="14"/>
        <v>31.4</v>
      </c>
      <c r="H948" s="196">
        <v>6665</v>
      </c>
      <c r="I948" s="196" t="s">
        <v>1311</v>
      </c>
      <c r="J948" s="196"/>
    </row>
    <row r="949" spans="1:10" ht="14.4" hidden="1" outlineLevel="1">
      <c r="A949" s="196" t="s">
        <v>351</v>
      </c>
      <c r="B949" s="197">
        <v>41745</v>
      </c>
      <c r="C949" s="196" t="s">
        <v>1308</v>
      </c>
      <c r="D949" s="196">
        <v>63.5</v>
      </c>
      <c r="E949" s="196" t="s">
        <v>1308</v>
      </c>
      <c r="F949" s="196">
        <v>63.2</v>
      </c>
      <c r="G949" s="196">
        <f t="shared" si="14"/>
        <v>31.6</v>
      </c>
      <c r="H949" s="196">
        <v>29573</v>
      </c>
      <c r="I949" s="196" t="s">
        <v>1309</v>
      </c>
      <c r="J949" s="196"/>
    </row>
    <row r="950" spans="1:10" ht="14.4" hidden="1" outlineLevel="1">
      <c r="A950" s="196" t="s">
        <v>351</v>
      </c>
      <c r="B950" s="197">
        <v>41746</v>
      </c>
      <c r="C950" s="196" t="s">
        <v>1268</v>
      </c>
      <c r="D950" s="196">
        <v>64.5</v>
      </c>
      <c r="E950" s="196" t="s">
        <v>1268</v>
      </c>
      <c r="F950" s="196">
        <v>64</v>
      </c>
      <c r="G950" s="196">
        <f t="shared" si="14"/>
        <v>32</v>
      </c>
      <c r="H950" s="196">
        <v>7460</v>
      </c>
      <c r="I950" s="196" t="s">
        <v>1307</v>
      </c>
      <c r="J950" s="196"/>
    </row>
    <row r="951" spans="1:10" ht="14.4" hidden="1" outlineLevel="1">
      <c r="A951" s="196" t="s">
        <v>351</v>
      </c>
      <c r="B951" s="197">
        <v>41750</v>
      </c>
      <c r="C951" s="196" t="s">
        <v>1287</v>
      </c>
      <c r="D951" s="196">
        <v>64.900000000000006</v>
      </c>
      <c r="E951" s="196" t="s">
        <v>1253</v>
      </c>
      <c r="F951" s="196">
        <v>64</v>
      </c>
      <c r="G951" s="196">
        <f t="shared" si="14"/>
        <v>32</v>
      </c>
      <c r="H951" s="196">
        <v>1906</v>
      </c>
      <c r="I951" s="196" t="s">
        <v>1306</v>
      </c>
      <c r="J951" s="196"/>
    </row>
    <row r="952" spans="1:10" ht="14.4" hidden="1" outlineLevel="1">
      <c r="A952" s="196" t="s">
        <v>351</v>
      </c>
      <c r="B952" s="197">
        <v>41751</v>
      </c>
      <c r="C952" s="196" t="s">
        <v>1274</v>
      </c>
      <c r="D952" s="196">
        <v>64.400000000000006</v>
      </c>
      <c r="E952" s="196" t="s">
        <v>1253</v>
      </c>
      <c r="F952" s="196">
        <v>64.099999999999994</v>
      </c>
      <c r="G952" s="196">
        <f t="shared" si="14"/>
        <v>32.049999999999997</v>
      </c>
      <c r="H952" s="196">
        <v>4389</v>
      </c>
      <c r="I952" s="196" t="s">
        <v>1305</v>
      </c>
      <c r="J952" s="196"/>
    </row>
    <row r="953" spans="1:10" ht="14.4" hidden="1" outlineLevel="1">
      <c r="A953" s="196" t="s">
        <v>351</v>
      </c>
      <c r="B953" s="197">
        <v>41752</v>
      </c>
      <c r="C953" s="196" t="s">
        <v>1253</v>
      </c>
      <c r="D953" s="196">
        <v>64</v>
      </c>
      <c r="E953" s="196" t="s">
        <v>1253</v>
      </c>
      <c r="F953" s="196">
        <v>64</v>
      </c>
      <c r="G953" s="196">
        <f t="shared" si="14"/>
        <v>32</v>
      </c>
      <c r="H953" s="196">
        <v>3800</v>
      </c>
      <c r="I953" s="196" t="s">
        <v>1304</v>
      </c>
      <c r="J953" s="196"/>
    </row>
    <row r="954" spans="1:10" ht="14.4" hidden="1" outlineLevel="1">
      <c r="A954" s="196" t="s">
        <v>351</v>
      </c>
      <c r="B954" s="197">
        <v>41753</v>
      </c>
      <c r="C954" s="196" t="s">
        <v>88</v>
      </c>
      <c r="D954" s="196" t="s">
        <v>88</v>
      </c>
      <c r="E954" s="196" t="s">
        <v>88</v>
      </c>
      <c r="F954" s="196">
        <v>64</v>
      </c>
      <c r="G954" s="196">
        <f t="shared" si="14"/>
        <v>32</v>
      </c>
      <c r="H954" s="196">
        <v>0</v>
      </c>
      <c r="I954" s="196" t="s">
        <v>611</v>
      </c>
      <c r="J954" s="196"/>
    </row>
    <row r="955" spans="1:10" ht="14.4" hidden="1" outlineLevel="1">
      <c r="A955" s="196" t="s">
        <v>351</v>
      </c>
      <c r="B955" s="197">
        <v>41754</v>
      </c>
      <c r="C955" s="196" t="s">
        <v>1253</v>
      </c>
      <c r="D955" s="196">
        <v>64</v>
      </c>
      <c r="E955" s="196" t="s">
        <v>1302</v>
      </c>
      <c r="F955" s="196">
        <v>62.7</v>
      </c>
      <c r="G955" s="196">
        <f t="shared" si="14"/>
        <v>31.35</v>
      </c>
      <c r="H955" s="196">
        <v>6800</v>
      </c>
      <c r="I955" s="196" t="s">
        <v>1303</v>
      </c>
      <c r="J955" s="196"/>
    </row>
    <row r="956" spans="1:10" ht="14.4" hidden="1" outlineLevel="1">
      <c r="A956" s="196" t="s">
        <v>351</v>
      </c>
      <c r="B956" s="197">
        <v>41757</v>
      </c>
      <c r="C956" s="196" t="s">
        <v>88</v>
      </c>
      <c r="D956" s="196" t="s">
        <v>88</v>
      </c>
      <c r="E956" s="196" t="s">
        <v>88</v>
      </c>
      <c r="F956" s="196">
        <v>62.7</v>
      </c>
      <c r="G956" s="196">
        <f t="shared" si="14"/>
        <v>31.35</v>
      </c>
      <c r="H956" s="196">
        <v>0</v>
      </c>
      <c r="I956" s="196" t="s">
        <v>611</v>
      </c>
      <c r="J956" s="196"/>
    </row>
    <row r="957" spans="1:10" ht="14.4" hidden="1" outlineLevel="1">
      <c r="A957" s="196" t="s">
        <v>351</v>
      </c>
      <c r="B957" s="197">
        <v>41758</v>
      </c>
      <c r="C957" s="196" t="s">
        <v>1295</v>
      </c>
      <c r="D957" s="196">
        <v>63.9</v>
      </c>
      <c r="E957" s="196" t="s">
        <v>1300</v>
      </c>
      <c r="F957" s="196">
        <v>63.7</v>
      </c>
      <c r="G957" s="196">
        <f t="shared" si="14"/>
        <v>31.85</v>
      </c>
      <c r="H957" s="196">
        <v>6</v>
      </c>
      <c r="I957" s="196" t="s">
        <v>1301</v>
      </c>
      <c r="J957" s="196"/>
    </row>
    <row r="958" spans="1:10" ht="14.4" hidden="1" outlineLevel="1">
      <c r="A958" s="196" t="s">
        <v>351</v>
      </c>
      <c r="B958" s="197">
        <v>41759</v>
      </c>
      <c r="C958" s="196" t="s">
        <v>1298</v>
      </c>
      <c r="D958" s="196">
        <v>64.5</v>
      </c>
      <c r="E958" s="196" t="s">
        <v>1298</v>
      </c>
      <c r="F958" s="196">
        <v>64.5</v>
      </c>
      <c r="G958" s="196">
        <f t="shared" si="14"/>
        <v>32.25</v>
      </c>
      <c r="H958" s="196">
        <v>3892</v>
      </c>
      <c r="I958" s="196" t="s">
        <v>1299</v>
      </c>
      <c r="J958" s="196"/>
    </row>
    <row r="959" spans="1:10" ht="14.4" hidden="1" outlineLevel="1">
      <c r="A959" s="196" t="s">
        <v>351</v>
      </c>
      <c r="B959" s="197">
        <v>41761</v>
      </c>
      <c r="C959" s="196" t="s">
        <v>1253</v>
      </c>
      <c r="D959" s="196">
        <v>64</v>
      </c>
      <c r="E959" s="196" t="s">
        <v>1253</v>
      </c>
      <c r="F959" s="196">
        <v>64</v>
      </c>
      <c r="G959" s="196">
        <f t="shared" si="14"/>
        <v>32</v>
      </c>
      <c r="H959" s="196">
        <v>2340</v>
      </c>
      <c r="I959" s="196" t="s">
        <v>1297</v>
      </c>
      <c r="J959" s="196"/>
    </row>
    <row r="960" spans="1:10" ht="14.4" hidden="1" outlineLevel="1">
      <c r="A960" s="196" t="s">
        <v>351</v>
      </c>
      <c r="B960" s="197">
        <v>41764</v>
      </c>
      <c r="C960" s="196" t="s">
        <v>1245</v>
      </c>
      <c r="D960" s="196">
        <v>64.2</v>
      </c>
      <c r="E960" s="196" t="s">
        <v>1295</v>
      </c>
      <c r="F960" s="196">
        <v>64</v>
      </c>
      <c r="G960" s="196">
        <f t="shared" si="14"/>
        <v>32</v>
      </c>
      <c r="H960" s="196">
        <v>2615</v>
      </c>
      <c r="I960" s="196" t="s">
        <v>1296</v>
      </c>
      <c r="J960" s="196"/>
    </row>
    <row r="961" spans="1:10" ht="14.4" hidden="1" outlineLevel="1">
      <c r="A961" s="196" t="s">
        <v>351</v>
      </c>
      <c r="B961" s="197">
        <v>41765</v>
      </c>
      <c r="C961" s="196" t="s">
        <v>1261</v>
      </c>
      <c r="D961" s="196">
        <v>64.7</v>
      </c>
      <c r="E961" s="196" t="s">
        <v>1262</v>
      </c>
      <c r="F961" s="196">
        <v>63.6</v>
      </c>
      <c r="G961" s="196">
        <f t="shared" si="14"/>
        <v>31.8</v>
      </c>
      <c r="H961" s="196">
        <v>11100</v>
      </c>
      <c r="I961" s="196" t="s">
        <v>1294</v>
      </c>
      <c r="J961" s="196"/>
    </row>
    <row r="962" spans="1:10" ht="14.4" hidden="1" outlineLevel="1">
      <c r="A962" s="196" t="s">
        <v>351</v>
      </c>
      <c r="B962" s="197">
        <v>41766</v>
      </c>
      <c r="C962" s="196" t="s">
        <v>1292</v>
      </c>
      <c r="D962" s="196">
        <v>68</v>
      </c>
      <c r="E962" s="196" t="s">
        <v>1292</v>
      </c>
      <c r="F962" s="196">
        <v>66.5</v>
      </c>
      <c r="G962" s="196">
        <f t="shared" si="14"/>
        <v>33.25</v>
      </c>
      <c r="H962" s="196">
        <v>2126</v>
      </c>
      <c r="I962" s="196" t="s">
        <v>1293</v>
      </c>
      <c r="J962" s="196"/>
    </row>
    <row r="963" spans="1:10" ht="14.4" hidden="1" outlineLevel="1">
      <c r="A963" s="196" t="s">
        <v>351</v>
      </c>
      <c r="B963" s="197">
        <v>41767</v>
      </c>
      <c r="C963" s="196" t="s">
        <v>1242</v>
      </c>
      <c r="D963" s="196">
        <v>65</v>
      </c>
      <c r="E963" s="196" t="s">
        <v>1242</v>
      </c>
      <c r="F963" s="196">
        <v>65</v>
      </c>
      <c r="G963" s="196">
        <f t="shared" si="14"/>
        <v>32.5</v>
      </c>
      <c r="H963" s="196">
        <v>1000</v>
      </c>
      <c r="I963" s="196" t="s">
        <v>1291</v>
      </c>
      <c r="J963" s="196"/>
    </row>
    <row r="964" spans="1:10" ht="14.4" hidden="1" outlineLevel="1">
      <c r="A964" s="196" t="s">
        <v>351</v>
      </c>
      <c r="B964" s="197">
        <v>41768</v>
      </c>
      <c r="C964" s="196" t="s">
        <v>1256</v>
      </c>
      <c r="D964" s="196">
        <v>65</v>
      </c>
      <c r="E964" s="196" t="s">
        <v>1256</v>
      </c>
      <c r="F964" s="196">
        <v>63.3</v>
      </c>
      <c r="G964" s="196">
        <f t="shared" si="14"/>
        <v>31.65</v>
      </c>
      <c r="H964" s="196">
        <v>21</v>
      </c>
      <c r="I964" s="196" t="s">
        <v>1290</v>
      </c>
      <c r="J964" s="196"/>
    </row>
    <row r="965" spans="1:10" ht="14.4" hidden="1" outlineLevel="1">
      <c r="A965" s="196" t="s">
        <v>351</v>
      </c>
      <c r="B965" s="197">
        <v>41771</v>
      </c>
      <c r="C965" s="196" t="s">
        <v>1287</v>
      </c>
      <c r="D965" s="196">
        <v>65</v>
      </c>
      <c r="E965" s="196" t="s">
        <v>1253</v>
      </c>
      <c r="F965" s="196">
        <v>64</v>
      </c>
      <c r="G965" s="196">
        <f t="shared" ref="G965:G1028" si="15">F965/2</f>
        <v>32</v>
      </c>
      <c r="H965" s="196">
        <v>1530</v>
      </c>
      <c r="I965" s="196" t="s">
        <v>1289</v>
      </c>
      <c r="J965" s="196"/>
    </row>
    <row r="966" spans="1:10" ht="14.4" hidden="1" outlineLevel="1">
      <c r="A966" s="196" t="s">
        <v>351</v>
      </c>
      <c r="B966" s="197">
        <v>41772</v>
      </c>
      <c r="C966" s="196" t="s">
        <v>1242</v>
      </c>
      <c r="D966" s="196">
        <v>65</v>
      </c>
      <c r="E966" s="196" t="s">
        <v>1287</v>
      </c>
      <c r="F966" s="196">
        <v>65</v>
      </c>
      <c r="G966" s="196">
        <f t="shared" si="15"/>
        <v>32.5</v>
      </c>
      <c r="H966" s="196">
        <v>26289</v>
      </c>
      <c r="I966" s="196" t="s">
        <v>1288</v>
      </c>
      <c r="J966" s="196"/>
    </row>
    <row r="967" spans="1:10" ht="14.4" hidden="1" outlineLevel="1">
      <c r="A967" s="196" t="s">
        <v>351</v>
      </c>
      <c r="B967" s="197">
        <v>41775</v>
      </c>
      <c r="C967" s="196" t="s">
        <v>1242</v>
      </c>
      <c r="D967" s="196">
        <v>65.3</v>
      </c>
      <c r="E967" s="196" t="s">
        <v>1242</v>
      </c>
      <c r="F967" s="196">
        <v>65.3</v>
      </c>
      <c r="G967" s="196">
        <f t="shared" si="15"/>
        <v>32.65</v>
      </c>
      <c r="H967" s="196">
        <v>15718</v>
      </c>
      <c r="I967" s="196" t="s">
        <v>1286</v>
      </c>
      <c r="J967" s="196"/>
    </row>
    <row r="968" spans="1:10" ht="14.4" hidden="1" outlineLevel="1">
      <c r="A968" s="196" t="s">
        <v>351</v>
      </c>
      <c r="B968" s="197">
        <v>41778</v>
      </c>
      <c r="C968" s="196" t="s">
        <v>1250</v>
      </c>
      <c r="D968" s="196">
        <v>65.400000000000006</v>
      </c>
      <c r="E968" s="196" t="s">
        <v>1242</v>
      </c>
      <c r="F968" s="196">
        <v>65.2</v>
      </c>
      <c r="G968" s="196">
        <f t="shared" si="15"/>
        <v>32.6</v>
      </c>
      <c r="H968" s="196">
        <v>14813</v>
      </c>
      <c r="I968" s="196" t="s">
        <v>1285</v>
      </c>
      <c r="J968" s="196"/>
    </row>
    <row r="969" spans="1:10" ht="14.4" hidden="1" outlineLevel="1">
      <c r="A969" s="196" t="s">
        <v>351</v>
      </c>
      <c r="B969" s="197">
        <v>41779</v>
      </c>
      <c r="C969" s="196" t="s">
        <v>1244</v>
      </c>
      <c r="D969" s="196">
        <v>64.5</v>
      </c>
      <c r="E969" s="196" t="s">
        <v>1244</v>
      </c>
      <c r="F969" s="196">
        <v>64.5</v>
      </c>
      <c r="G969" s="196">
        <f t="shared" si="15"/>
        <v>32.25</v>
      </c>
      <c r="H969" s="196">
        <v>710</v>
      </c>
      <c r="I969" s="196" t="s">
        <v>1284</v>
      </c>
      <c r="J969" s="196"/>
    </row>
    <row r="970" spans="1:10" ht="14.4" hidden="1" outlineLevel="1">
      <c r="A970" s="196" t="s">
        <v>351</v>
      </c>
      <c r="B970" s="197">
        <v>41780</v>
      </c>
      <c r="C970" s="196" t="s">
        <v>1245</v>
      </c>
      <c r="D970" s="196">
        <v>65</v>
      </c>
      <c r="E970" s="196" t="s">
        <v>1245</v>
      </c>
      <c r="F970" s="196">
        <v>65</v>
      </c>
      <c r="G970" s="196">
        <f t="shared" si="15"/>
        <v>32.5</v>
      </c>
      <c r="H970" s="196">
        <v>5298</v>
      </c>
      <c r="I970" s="196" t="s">
        <v>1283</v>
      </c>
      <c r="J970" s="196"/>
    </row>
    <row r="971" spans="1:10" ht="14.4" hidden="1" outlineLevel="1">
      <c r="A971" s="196" t="s">
        <v>351</v>
      </c>
      <c r="B971" s="197">
        <v>41781</v>
      </c>
      <c r="C971" s="196" t="s">
        <v>1244</v>
      </c>
      <c r="D971" s="196">
        <v>64.5</v>
      </c>
      <c r="E971" s="196" t="s">
        <v>1274</v>
      </c>
      <c r="F971" s="196">
        <v>64.3</v>
      </c>
      <c r="G971" s="196">
        <f t="shared" si="15"/>
        <v>32.15</v>
      </c>
      <c r="H971" s="196">
        <v>4800</v>
      </c>
      <c r="I971" s="196" t="s">
        <v>1282</v>
      </c>
      <c r="J971" s="196"/>
    </row>
    <row r="972" spans="1:10" ht="14.4" hidden="1" outlineLevel="1">
      <c r="A972" s="196" t="s">
        <v>351</v>
      </c>
      <c r="B972" s="197">
        <v>41782</v>
      </c>
      <c r="C972" s="196" t="s">
        <v>1280</v>
      </c>
      <c r="D972" s="196">
        <v>66</v>
      </c>
      <c r="E972" s="196" t="s">
        <v>1278</v>
      </c>
      <c r="F972" s="196">
        <v>64.3</v>
      </c>
      <c r="G972" s="196">
        <f t="shared" si="15"/>
        <v>32.15</v>
      </c>
      <c r="H972" s="196">
        <v>2509</v>
      </c>
      <c r="I972" s="196" t="s">
        <v>1281</v>
      </c>
      <c r="J972" s="196"/>
    </row>
    <row r="973" spans="1:10" ht="14.4" hidden="1" outlineLevel="1">
      <c r="A973" s="196" t="s">
        <v>351</v>
      </c>
      <c r="B973" s="197">
        <v>41785</v>
      </c>
      <c r="C973" s="196" t="s">
        <v>1237</v>
      </c>
      <c r="D973" s="196">
        <v>66</v>
      </c>
      <c r="E973" s="196" t="s">
        <v>1278</v>
      </c>
      <c r="F973" s="196">
        <v>64.3</v>
      </c>
      <c r="G973" s="196">
        <f t="shared" si="15"/>
        <v>32.15</v>
      </c>
      <c r="H973" s="196">
        <v>102</v>
      </c>
      <c r="I973" s="196" t="s">
        <v>1279</v>
      </c>
      <c r="J973" s="196"/>
    </row>
    <row r="974" spans="1:10" ht="14.4" hidden="1" outlineLevel="1">
      <c r="A974" s="196" t="s">
        <v>351</v>
      </c>
      <c r="B974" s="197">
        <v>41786</v>
      </c>
      <c r="C974" s="196" t="s">
        <v>1264</v>
      </c>
      <c r="D974" s="196">
        <v>64.400000000000006</v>
      </c>
      <c r="E974" s="196" t="s">
        <v>1245</v>
      </c>
      <c r="F974" s="196">
        <v>64.400000000000006</v>
      </c>
      <c r="G974" s="196">
        <f t="shared" si="15"/>
        <v>32.200000000000003</v>
      </c>
      <c r="H974" s="196">
        <v>17500</v>
      </c>
      <c r="I974" s="196" t="s">
        <v>1277</v>
      </c>
      <c r="J974" s="196"/>
    </row>
    <row r="975" spans="1:10" ht="14.4" hidden="1" outlineLevel="1">
      <c r="A975" s="196" t="s">
        <v>351</v>
      </c>
      <c r="B975" s="197">
        <v>41787</v>
      </c>
      <c r="C975" s="196" t="s">
        <v>1245</v>
      </c>
      <c r="D975" s="196">
        <v>64.2</v>
      </c>
      <c r="E975" s="196" t="s">
        <v>1274</v>
      </c>
      <c r="F975" s="196">
        <v>64.099999999999994</v>
      </c>
      <c r="G975" s="196">
        <f t="shared" si="15"/>
        <v>32.049999999999997</v>
      </c>
      <c r="H975" s="196">
        <v>2033</v>
      </c>
      <c r="I975" s="196" t="s">
        <v>1276</v>
      </c>
      <c r="J975" s="196"/>
    </row>
    <row r="976" spans="1:10" ht="14.4" hidden="1" outlineLevel="1">
      <c r="A976" s="196" t="s">
        <v>351</v>
      </c>
      <c r="B976" s="197">
        <v>41788</v>
      </c>
      <c r="C976" s="196" t="s">
        <v>1274</v>
      </c>
      <c r="D976" s="196">
        <v>64.099999999999994</v>
      </c>
      <c r="E976" s="196" t="s">
        <v>1272</v>
      </c>
      <c r="F976" s="196">
        <v>63.9</v>
      </c>
      <c r="G976" s="196">
        <f t="shared" si="15"/>
        <v>31.95</v>
      </c>
      <c r="H976" s="196">
        <v>600</v>
      </c>
      <c r="I976" s="196" t="s">
        <v>1275</v>
      </c>
      <c r="J976" s="196"/>
    </row>
    <row r="977" spans="1:10" ht="14.4" hidden="1" outlineLevel="1">
      <c r="A977" s="196" t="s">
        <v>351</v>
      </c>
      <c r="B977" s="197">
        <v>41789</v>
      </c>
      <c r="C977" s="196" t="s">
        <v>1272</v>
      </c>
      <c r="D977" s="196">
        <v>64.8</v>
      </c>
      <c r="E977" s="196" t="s">
        <v>1268</v>
      </c>
      <c r="F977" s="196">
        <v>64.8</v>
      </c>
      <c r="G977" s="196">
        <f t="shared" si="15"/>
        <v>32.4</v>
      </c>
      <c r="H977" s="196">
        <v>2596</v>
      </c>
      <c r="I977" s="196" t="s">
        <v>1273</v>
      </c>
      <c r="J977" s="196"/>
    </row>
    <row r="978" spans="1:10" ht="14.4" hidden="1" outlineLevel="1">
      <c r="A978" s="196" t="s">
        <v>351</v>
      </c>
      <c r="B978" s="197">
        <v>41792</v>
      </c>
      <c r="C978" s="196" t="s">
        <v>1268</v>
      </c>
      <c r="D978" s="196">
        <v>63.6</v>
      </c>
      <c r="E978" s="196" t="s">
        <v>1261</v>
      </c>
      <c r="F978" s="196">
        <v>63.6</v>
      </c>
      <c r="G978" s="196">
        <f t="shared" si="15"/>
        <v>31.8</v>
      </c>
      <c r="H978" s="196">
        <v>225</v>
      </c>
      <c r="I978" s="196" t="s">
        <v>1271</v>
      </c>
      <c r="J978" s="196"/>
    </row>
    <row r="979" spans="1:10" ht="14.4" hidden="1" outlineLevel="1">
      <c r="A979" s="196" t="s">
        <v>351</v>
      </c>
      <c r="B979" s="197">
        <v>41793</v>
      </c>
      <c r="C979" s="196" t="s">
        <v>1268</v>
      </c>
      <c r="D979" s="196">
        <v>63.6</v>
      </c>
      <c r="E979" s="196" t="s">
        <v>1261</v>
      </c>
      <c r="F979" s="196">
        <v>63.5</v>
      </c>
      <c r="G979" s="196">
        <f t="shared" si="15"/>
        <v>31.75</v>
      </c>
      <c r="H979" s="196">
        <v>640</v>
      </c>
      <c r="I979" s="196" t="s">
        <v>1270</v>
      </c>
      <c r="J979" s="196"/>
    </row>
    <row r="980" spans="1:10" ht="14.4" hidden="1" outlineLevel="1">
      <c r="A980" s="196" t="s">
        <v>351</v>
      </c>
      <c r="B980" s="197">
        <v>41794</v>
      </c>
      <c r="C980" s="196" t="s">
        <v>1268</v>
      </c>
      <c r="D980" s="196">
        <v>63.6</v>
      </c>
      <c r="E980" s="196" t="s">
        <v>1261</v>
      </c>
      <c r="F980" s="196">
        <v>63.6</v>
      </c>
      <c r="G980" s="196">
        <f t="shared" si="15"/>
        <v>31.8</v>
      </c>
      <c r="H980" s="196">
        <v>4800</v>
      </c>
      <c r="I980" s="196" t="s">
        <v>1269</v>
      </c>
      <c r="J980" s="196"/>
    </row>
    <row r="981" spans="1:10" ht="14.4" hidden="1" outlineLevel="1">
      <c r="A981" s="196" t="s">
        <v>351</v>
      </c>
      <c r="B981" s="197">
        <v>41795</v>
      </c>
      <c r="C981" s="196" t="s">
        <v>1244</v>
      </c>
      <c r="D981" s="196">
        <v>64.5</v>
      </c>
      <c r="E981" s="196" t="s">
        <v>1261</v>
      </c>
      <c r="F981" s="196">
        <v>63.5</v>
      </c>
      <c r="G981" s="196">
        <f t="shared" si="15"/>
        <v>31.75</v>
      </c>
      <c r="H981" s="196">
        <v>2996</v>
      </c>
      <c r="I981" s="196" t="s">
        <v>1267</v>
      </c>
      <c r="J981" s="196"/>
    </row>
    <row r="982" spans="1:10" ht="14.4" hidden="1" outlineLevel="1">
      <c r="A982" s="196" t="s">
        <v>351</v>
      </c>
      <c r="B982" s="197">
        <v>41796</v>
      </c>
      <c r="C982" s="196" t="s">
        <v>1253</v>
      </c>
      <c r="D982" s="196">
        <v>64</v>
      </c>
      <c r="E982" s="196" t="s">
        <v>1253</v>
      </c>
      <c r="F982" s="196">
        <v>64</v>
      </c>
      <c r="G982" s="196">
        <f t="shared" si="15"/>
        <v>32</v>
      </c>
      <c r="H982" s="196">
        <v>13505</v>
      </c>
      <c r="I982" s="196" t="s">
        <v>1266</v>
      </c>
      <c r="J982" s="196"/>
    </row>
    <row r="983" spans="1:10" ht="14.4" hidden="1" outlineLevel="1">
      <c r="A983" s="196" t="s">
        <v>351</v>
      </c>
      <c r="B983" s="197">
        <v>41799</v>
      </c>
      <c r="C983" s="196" t="s">
        <v>1264</v>
      </c>
      <c r="D983" s="196">
        <v>64.5</v>
      </c>
      <c r="E983" s="196" t="s">
        <v>1253</v>
      </c>
      <c r="F983" s="196">
        <v>64</v>
      </c>
      <c r="G983" s="196">
        <f t="shared" si="15"/>
        <v>32</v>
      </c>
      <c r="H983" s="196">
        <v>3576</v>
      </c>
      <c r="I983" s="196" t="s">
        <v>1265</v>
      </c>
      <c r="J983" s="196"/>
    </row>
    <row r="984" spans="1:10" ht="14.4" hidden="1" outlineLevel="1">
      <c r="A984" s="196" t="s">
        <v>351</v>
      </c>
      <c r="B984" s="197">
        <v>41800</v>
      </c>
      <c r="C984" s="196" t="s">
        <v>1261</v>
      </c>
      <c r="D984" s="196">
        <v>64</v>
      </c>
      <c r="E984" s="196" t="s">
        <v>1262</v>
      </c>
      <c r="F984" s="196">
        <v>64</v>
      </c>
      <c r="G984" s="196">
        <f t="shared" si="15"/>
        <v>32</v>
      </c>
      <c r="H984" s="196">
        <v>5310</v>
      </c>
      <c r="I984" s="196" t="s">
        <v>1263</v>
      </c>
      <c r="J984" s="196"/>
    </row>
    <row r="985" spans="1:10" ht="14.4" hidden="1" outlineLevel="1">
      <c r="A985" s="196" t="s">
        <v>351</v>
      </c>
      <c r="B985" s="197">
        <v>41801</v>
      </c>
      <c r="C985" s="196" t="s">
        <v>1253</v>
      </c>
      <c r="D985" s="196">
        <v>64</v>
      </c>
      <c r="E985" s="196" t="s">
        <v>1259</v>
      </c>
      <c r="F985" s="196">
        <v>63.3</v>
      </c>
      <c r="G985" s="196">
        <f t="shared" si="15"/>
        <v>31.65</v>
      </c>
      <c r="H985" s="196">
        <v>178</v>
      </c>
      <c r="I985" s="196" t="s">
        <v>1260</v>
      </c>
      <c r="J985" s="196"/>
    </row>
    <row r="986" spans="1:10" ht="14.4" hidden="1" outlineLevel="1">
      <c r="A986" s="196" t="s">
        <v>351</v>
      </c>
      <c r="B986" s="197">
        <v>41803</v>
      </c>
      <c r="C986" s="196" t="s">
        <v>1253</v>
      </c>
      <c r="D986" s="196">
        <v>66</v>
      </c>
      <c r="E986" s="196" t="s">
        <v>1253</v>
      </c>
      <c r="F986" s="196">
        <v>65.400000000000006</v>
      </c>
      <c r="G986" s="196">
        <f t="shared" si="15"/>
        <v>32.700000000000003</v>
      </c>
      <c r="H986" s="196">
        <v>12916</v>
      </c>
      <c r="I986" s="196" t="s">
        <v>1258</v>
      </c>
      <c r="J986" s="196"/>
    </row>
    <row r="987" spans="1:10" ht="14.4" hidden="1" outlineLevel="1">
      <c r="A987" s="196" t="s">
        <v>351</v>
      </c>
      <c r="B987" s="197">
        <v>41806</v>
      </c>
      <c r="C987" s="196" t="s">
        <v>1256</v>
      </c>
      <c r="D987" s="196">
        <v>65.599999999999994</v>
      </c>
      <c r="E987" s="196" t="s">
        <v>1256</v>
      </c>
      <c r="F987" s="196">
        <v>65</v>
      </c>
      <c r="G987" s="196">
        <f t="shared" si="15"/>
        <v>32.5</v>
      </c>
      <c r="H987" s="196">
        <v>3124</v>
      </c>
      <c r="I987" s="196" t="s">
        <v>1257</v>
      </c>
      <c r="J987" s="196"/>
    </row>
    <row r="988" spans="1:10" ht="14.4" hidden="1" outlineLevel="1">
      <c r="A988" s="196" t="s">
        <v>351</v>
      </c>
      <c r="B988" s="197">
        <v>41807</v>
      </c>
      <c r="C988" s="196" t="s">
        <v>1242</v>
      </c>
      <c r="D988" s="196">
        <v>65</v>
      </c>
      <c r="E988" s="196" t="s">
        <v>1242</v>
      </c>
      <c r="F988" s="196">
        <v>65</v>
      </c>
      <c r="G988" s="196">
        <f t="shared" si="15"/>
        <v>32.5</v>
      </c>
      <c r="H988" s="196">
        <v>200</v>
      </c>
      <c r="I988" s="196" t="s">
        <v>1255</v>
      </c>
      <c r="J988" s="196"/>
    </row>
    <row r="989" spans="1:10" ht="14.4" hidden="1" outlineLevel="1">
      <c r="A989" s="196" t="s">
        <v>351</v>
      </c>
      <c r="B989" s="197">
        <v>41808</v>
      </c>
      <c r="C989" s="196" t="s">
        <v>1242</v>
      </c>
      <c r="D989" s="196">
        <v>65</v>
      </c>
      <c r="E989" s="196" t="s">
        <v>1253</v>
      </c>
      <c r="F989" s="196">
        <v>65</v>
      </c>
      <c r="G989" s="196">
        <f t="shared" si="15"/>
        <v>32.5</v>
      </c>
      <c r="H989" s="196">
        <v>56109</v>
      </c>
      <c r="I989" s="196" t="s">
        <v>1254</v>
      </c>
      <c r="J989" s="196"/>
    </row>
    <row r="990" spans="1:10" ht="14.4" hidden="1" outlineLevel="1">
      <c r="A990" s="196" t="s">
        <v>351</v>
      </c>
      <c r="B990" s="197">
        <v>41809</v>
      </c>
      <c r="C990" s="196" t="s">
        <v>1242</v>
      </c>
      <c r="D990" s="196">
        <v>65.400000000000006</v>
      </c>
      <c r="E990" s="196" t="s">
        <v>1244</v>
      </c>
      <c r="F990" s="196">
        <v>65</v>
      </c>
      <c r="G990" s="196">
        <f t="shared" si="15"/>
        <v>32.5</v>
      </c>
      <c r="H990" s="196">
        <v>20283</v>
      </c>
      <c r="I990" s="196" t="s">
        <v>1252</v>
      </c>
      <c r="J990" s="196"/>
    </row>
    <row r="991" spans="1:10" ht="14.4" hidden="1" outlineLevel="1">
      <c r="A991" s="196" t="s">
        <v>351</v>
      </c>
      <c r="B991" s="197">
        <v>41810</v>
      </c>
      <c r="C991" s="196" t="s">
        <v>1250</v>
      </c>
      <c r="D991" s="196">
        <v>66</v>
      </c>
      <c r="E991" s="196" t="s">
        <v>1242</v>
      </c>
      <c r="F991" s="196">
        <v>65.099999999999994</v>
      </c>
      <c r="G991" s="196">
        <f t="shared" si="15"/>
        <v>32.549999999999997</v>
      </c>
      <c r="H991" s="196">
        <v>151234</v>
      </c>
      <c r="I991" s="196" t="s">
        <v>1251</v>
      </c>
      <c r="J991" s="196"/>
    </row>
    <row r="992" spans="1:10" ht="14.4" hidden="1" outlineLevel="1">
      <c r="A992" s="196" t="s">
        <v>351</v>
      </c>
      <c r="B992" s="197">
        <v>41813</v>
      </c>
      <c r="C992" s="196" t="s">
        <v>1242</v>
      </c>
      <c r="D992" s="196">
        <v>65.5</v>
      </c>
      <c r="E992" s="196" t="s">
        <v>1242</v>
      </c>
      <c r="F992" s="196">
        <v>65.2</v>
      </c>
      <c r="G992" s="196">
        <f t="shared" si="15"/>
        <v>32.6</v>
      </c>
      <c r="H992" s="196">
        <v>29921</v>
      </c>
      <c r="I992" s="196" t="s">
        <v>1249</v>
      </c>
      <c r="J992" s="196"/>
    </row>
    <row r="993" spans="1:10" ht="14.4" hidden="1" outlineLevel="1">
      <c r="A993" s="196" t="s">
        <v>351</v>
      </c>
      <c r="B993" s="197">
        <v>41814</v>
      </c>
      <c r="C993" s="196" t="s">
        <v>1237</v>
      </c>
      <c r="D993" s="196">
        <v>66</v>
      </c>
      <c r="E993" s="196" t="s">
        <v>1237</v>
      </c>
      <c r="F993" s="196">
        <v>66</v>
      </c>
      <c r="G993" s="196">
        <f t="shared" si="15"/>
        <v>33</v>
      </c>
      <c r="H993" s="196">
        <v>150000</v>
      </c>
      <c r="I993" s="196" t="s">
        <v>1248</v>
      </c>
      <c r="J993" s="196"/>
    </row>
    <row r="994" spans="1:10" ht="14.4" hidden="1" outlineLevel="1">
      <c r="A994" s="196" t="s">
        <v>351</v>
      </c>
      <c r="B994" s="197">
        <v>41815</v>
      </c>
      <c r="C994" s="196" t="s">
        <v>1237</v>
      </c>
      <c r="D994" s="196">
        <v>66</v>
      </c>
      <c r="E994" s="196" t="s">
        <v>1242</v>
      </c>
      <c r="F994" s="196">
        <v>65</v>
      </c>
      <c r="G994" s="196">
        <f t="shared" si="15"/>
        <v>32.5</v>
      </c>
      <c r="H994" s="196">
        <v>1988</v>
      </c>
      <c r="I994" s="196" t="s">
        <v>1247</v>
      </c>
      <c r="J994" s="196"/>
    </row>
    <row r="995" spans="1:10" ht="14.4" hidden="1" outlineLevel="1">
      <c r="A995" s="196" t="s">
        <v>351</v>
      </c>
      <c r="B995" s="197">
        <v>41816</v>
      </c>
      <c r="C995" s="196" t="s">
        <v>88</v>
      </c>
      <c r="D995" s="196" t="s">
        <v>88</v>
      </c>
      <c r="E995" s="196" t="s">
        <v>88</v>
      </c>
      <c r="F995" s="196">
        <v>65</v>
      </c>
      <c r="G995" s="196">
        <f t="shared" si="15"/>
        <v>32.5</v>
      </c>
      <c r="H995" s="196">
        <v>0</v>
      </c>
      <c r="I995" s="196" t="s">
        <v>611</v>
      </c>
      <c r="J995" s="196"/>
    </row>
    <row r="996" spans="1:10" ht="14.4" hidden="1" outlineLevel="1">
      <c r="A996" s="196" t="s">
        <v>351</v>
      </c>
      <c r="B996" s="197">
        <v>41817</v>
      </c>
      <c r="C996" s="196" t="s">
        <v>1244</v>
      </c>
      <c r="D996" s="196">
        <v>65</v>
      </c>
      <c r="E996" s="196" t="s">
        <v>1245</v>
      </c>
      <c r="F996" s="196">
        <v>64.400000000000006</v>
      </c>
      <c r="G996" s="196">
        <f t="shared" si="15"/>
        <v>32.200000000000003</v>
      </c>
      <c r="H996" s="196">
        <v>15486</v>
      </c>
      <c r="I996" s="196" t="s">
        <v>1246</v>
      </c>
      <c r="J996" s="196"/>
    </row>
    <row r="997" spans="1:10" ht="14.4" hidden="1" outlineLevel="1">
      <c r="A997" s="196" t="s">
        <v>351</v>
      </c>
      <c r="B997" s="197">
        <v>41820</v>
      </c>
      <c r="C997" s="196" t="s">
        <v>1242</v>
      </c>
      <c r="D997" s="196">
        <v>66</v>
      </c>
      <c r="E997" s="196" t="s">
        <v>1242</v>
      </c>
      <c r="F997" s="196">
        <v>66</v>
      </c>
      <c r="G997" s="196">
        <f t="shared" si="15"/>
        <v>33</v>
      </c>
      <c r="H997" s="196">
        <v>3330</v>
      </c>
      <c r="I997" s="196" t="s">
        <v>1243</v>
      </c>
      <c r="J997" s="196"/>
    </row>
    <row r="998" spans="1:10" ht="14.4" hidden="1" outlineLevel="1">
      <c r="A998" s="196" t="s">
        <v>351</v>
      </c>
      <c r="B998" s="197">
        <v>41821</v>
      </c>
      <c r="C998" s="196" t="s">
        <v>1240</v>
      </c>
      <c r="D998" s="196">
        <v>65.5</v>
      </c>
      <c r="E998" s="196" t="s">
        <v>1240</v>
      </c>
      <c r="F998" s="196">
        <v>65.5</v>
      </c>
      <c r="G998" s="196">
        <f t="shared" si="15"/>
        <v>32.75</v>
      </c>
      <c r="H998" s="196">
        <v>2000</v>
      </c>
      <c r="I998" s="196" t="s">
        <v>1241</v>
      </c>
      <c r="J998" s="196"/>
    </row>
    <row r="999" spans="1:10" ht="14.4" hidden="1" outlineLevel="1">
      <c r="A999" s="196" t="s">
        <v>351</v>
      </c>
      <c r="B999" s="197">
        <v>41822</v>
      </c>
      <c r="C999" s="196" t="s">
        <v>1237</v>
      </c>
      <c r="D999" s="196">
        <v>68</v>
      </c>
      <c r="E999" s="196" t="s">
        <v>1238</v>
      </c>
      <c r="F999" s="196">
        <v>66.400000000000006</v>
      </c>
      <c r="G999" s="196">
        <f t="shared" si="15"/>
        <v>33.200000000000003</v>
      </c>
      <c r="H999" s="196">
        <v>66040</v>
      </c>
      <c r="I999" s="196" t="s">
        <v>1239</v>
      </c>
      <c r="J999" s="196"/>
    </row>
    <row r="1000" spans="1:10" ht="14.4" hidden="1" outlineLevel="1">
      <c r="A1000" s="196" t="s">
        <v>351</v>
      </c>
      <c r="B1000" s="197">
        <v>41823</v>
      </c>
      <c r="C1000" s="196" t="s">
        <v>1225</v>
      </c>
      <c r="D1000" s="196">
        <v>67</v>
      </c>
      <c r="E1000" s="196" t="s">
        <v>1225</v>
      </c>
      <c r="F1000" s="196">
        <v>67</v>
      </c>
      <c r="G1000" s="196">
        <f t="shared" si="15"/>
        <v>33.5</v>
      </c>
      <c r="H1000" s="196">
        <v>146</v>
      </c>
      <c r="I1000" s="196" t="s">
        <v>1236</v>
      </c>
      <c r="J1000" s="196"/>
    </row>
    <row r="1001" spans="1:10" ht="14.4" hidden="1" outlineLevel="1">
      <c r="A1001" s="196" t="s">
        <v>351</v>
      </c>
      <c r="B1001" s="197">
        <v>41824</v>
      </c>
      <c r="C1001" s="196" t="s">
        <v>1225</v>
      </c>
      <c r="D1001" s="196">
        <v>68.5</v>
      </c>
      <c r="E1001" s="196" t="s">
        <v>1225</v>
      </c>
      <c r="F1001" s="196">
        <v>67.5</v>
      </c>
      <c r="G1001" s="196">
        <f t="shared" si="15"/>
        <v>33.75</v>
      </c>
      <c r="H1001" s="196">
        <v>34654</v>
      </c>
      <c r="I1001" s="196" t="s">
        <v>1235</v>
      </c>
      <c r="J1001" s="196"/>
    </row>
    <row r="1002" spans="1:10" ht="14.4" hidden="1" outlineLevel="1">
      <c r="A1002" s="196" t="s">
        <v>351</v>
      </c>
      <c r="B1002" s="197">
        <v>41827</v>
      </c>
      <c r="C1002" s="196" t="s">
        <v>1229</v>
      </c>
      <c r="D1002" s="196">
        <v>67.8</v>
      </c>
      <c r="E1002" s="196" t="s">
        <v>1229</v>
      </c>
      <c r="F1002" s="196">
        <v>67.8</v>
      </c>
      <c r="G1002" s="196">
        <f t="shared" si="15"/>
        <v>33.9</v>
      </c>
      <c r="H1002" s="196">
        <v>1816</v>
      </c>
      <c r="I1002" s="196" t="s">
        <v>1234</v>
      </c>
      <c r="J1002" s="196"/>
    </row>
    <row r="1003" spans="1:10" ht="14.4" hidden="1" outlineLevel="1">
      <c r="A1003" s="196" t="s">
        <v>351</v>
      </c>
      <c r="B1003" s="197">
        <v>41828</v>
      </c>
      <c r="C1003" s="196" t="s">
        <v>1231</v>
      </c>
      <c r="D1003" s="196">
        <v>68.3</v>
      </c>
      <c r="E1003" s="196" t="s">
        <v>1232</v>
      </c>
      <c r="F1003" s="196">
        <v>66.5</v>
      </c>
      <c r="G1003" s="196">
        <f t="shared" si="15"/>
        <v>33.25</v>
      </c>
      <c r="H1003" s="196">
        <v>3643</v>
      </c>
      <c r="I1003" s="196" t="s">
        <v>1233</v>
      </c>
      <c r="J1003" s="196"/>
    </row>
    <row r="1004" spans="1:10" ht="14.4" hidden="1" outlineLevel="1">
      <c r="A1004" s="196" t="s">
        <v>351</v>
      </c>
      <c r="B1004" s="197">
        <v>41829</v>
      </c>
      <c r="C1004" s="196" t="s">
        <v>1228</v>
      </c>
      <c r="D1004" s="196">
        <v>69.8</v>
      </c>
      <c r="E1004" s="196" t="s">
        <v>1229</v>
      </c>
      <c r="F1004" s="196">
        <v>69</v>
      </c>
      <c r="G1004" s="196">
        <f t="shared" si="15"/>
        <v>34.5</v>
      </c>
      <c r="H1004" s="196">
        <v>114766</v>
      </c>
      <c r="I1004" s="196" t="s">
        <v>1230</v>
      </c>
      <c r="J1004" s="196"/>
    </row>
    <row r="1005" spans="1:10" ht="14.4" hidden="1" outlineLevel="1">
      <c r="A1005" s="196" t="s">
        <v>351</v>
      </c>
      <c r="B1005" s="197">
        <v>41830</v>
      </c>
      <c r="C1005" s="196" t="s">
        <v>1216</v>
      </c>
      <c r="D1005" s="196">
        <v>69</v>
      </c>
      <c r="E1005" s="196" t="s">
        <v>1216</v>
      </c>
      <c r="F1005" s="196">
        <v>69</v>
      </c>
      <c r="G1005" s="196">
        <f t="shared" si="15"/>
        <v>34.5</v>
      </c>
      <c r="H1005" s="196">
        <v>5400</v>
      </c>
      <c r="I1005" s="196" t="s">
        <v>1227</v>
      </c>
      <c r="J1005" s="196"/>
    </row>
    <row r="1006" spans="1:10" ht="14.4" hidden="1" outlineLevel="1">
      <c r="A1006" s="196" t="s">
        <v>351</v>
      </c>
      <c r="B1006" s="197">
        <v>41831</v>
      </c>
      <c r="C1006" s="196" t="s">
        <v>1224</v>
      </c>
      <c r="D1006" s="196">
        <v>69</v>
      </c>
      <c r="E1006" s="196" t="s">
        <v>1225</v>
      </c>
      <c r="F1006" s="196">
        <v>67.099999999999994</v>
      </c>
      <c r="G1006" s="196">
        <f t="shared" si="15"/>
        <v>33.549999999999997</v>
      </c>
      <c r="H1006" s="196">
        <v>34150</v>
      </c>
      <c r="I1006" s="196" t="s">
        <v>1226</v>
      </c>
      <c r="J1006" s="196"/>
    </row>
    <row r="1007" spans="1:10" ht="14.4" hidden="1" outlineLevel="1">
      <c r="A1007" s="196" t="s">
        <v>351</v>
      </c>
      <c r="B1007" s="197">
        <v>41834</v>
      </c>
      <c r="C1007" s="196" t="s">
        <v>1222</v>
      </c>
      <c r="D1007" s="196">
        <v>69</v>
      </c>
      <c r="E1007" s="196" t="s">
        <v>1222</v>
      </c>
      <c r="F1007" s="196">
        <v>69</v>
      </c>
      <c r="G1007" s="196">
        <f t="shared" si="15"/>
        <v>34.5</v>
      </c>
      <c r="H1007" s="196">
        <v>386</v>
      </c>
      <c r="I1007" s="196" t="s">
        <v>1223</v>
      </c>
      <c r="J1007" s="196"/>
    </row>
    <row r="1008" spans="1:10" ht="14.4" hidden="1" outlineLevel="1">
      <c r="A1008" s="196" t="s">
        <v>351</v>
      </c>
      <c r="B1008" s="197">
        <v>41835</v>
      </c>
      <c r="C1008" s="196" t="s">
        <v>1220</v>
      </c>
      <c r="D1008" s="196">
        <v>71.900000000000006</v>
      </c>
      <c r="E1008" s="196" t="s">
        <v>1220</v>
      </c>
      <c r="F1008" s="196">
        <v>70.2</v>
      </c>
      <c r="G1008" s="196">
        <f t="shared" si="15"/>
        <v>35.1</v>
      </c>
      <c r="H1008" s="196">
        <v>452181</v>
      </c>
      <c r="I1008" s="196" t="s">
        <v>1221</v>
      </c>
      <c r="J1008" s="196"/>
    </row>
    <row r="1009" spans="1:10" ht="14.4" hidden="1" outlineLevel="1">
      <c r="A1009" s="196" t="s">
        <v>351</v>
      </c>
      <c r="B1009" s="197">
        <v>41836</v>
      </c>
      <c r="C1009" s="196" t="s">
        <v>1157</v>
      </c>
      <c r="D1009" s="196">
        <v>74</v>
      </c>
      <c r="E1009" s="196" t="s">
        <v>1181</v>
      </c>
      <c r="F1009" s="196">
        <v>71</v>
      </c>
      <c r="G1009" s="196">
        <f t="shared" si="15"/>
        <v>35.5</v>
      </c>
      <c r="H1009" s="196">
        <v>91012</v>
      </c>
      <c r="I1009" s="196" t="s">
        <v>1219</v>
      </c>
      <c r="J1009" s="196"/>
    </row>
    <row r="1010" spans="1:10" ht="14.4" hidden="1" outlineLevel="1">
      <c r="A1010" s="196" t="s">
        <v>351</v>
      </c>
      <c r="B1010" s="197">
        <v>41837</v>
      </c>
      <c r="C1010" s="196" t="s">
        <v>1169</v>
      </c>
      <c r="D1010" s="196">
        <v>72.3</v>
      </c>
      <c r="E1010" s="196" t="s">
        <v>1211</v>
      </c>
      <c r="F1010" s="196">
        <v>70</v>
      </c>
      <c r="G1010" s="196">
        <f t="shared" si="15"/>
        <v>35</v>
      </c>
      <c r="H1010" s="196">
        <v>90706</v>
      </c>
      <c r="I1010" s="196" t="s">
        <v>1218</v>
      </c>
      <c r="J1010" s="196"/>
    </row>
    <row r="1011" spans="1:10" ht="14.4" hidden="1" outlineLevel="1">
      <c r="A1011" s="196" t="s">
        <v>351</v>
      </c>
      <c r="B1011" s="197">
        <v>41838</v>
      </c>
      <c r="C1011" s="196" t="s">
        <v>1214</v>
      </c>
      <c r="D1011" s="196">
        <v>69.900000000000006</v>
      </c>
      <c r="E1011" s="196" t="s">
        <v>1216</v>
      </c>
      <c r="F1011" s="196">
        <v>69</v>
      </c>
      <c r="G1011" s="196">
        <f t="shared" si="15"/>
        <v>34.5</v>
      </c>
      <c r="H1011" s="196">
        <v>9400</v>
      </c>
      <c r="I1011" s="196" t="s">
        <v>1217</v>
      </c>
      <c r="J1011" s="196"/>
    </row>
    <row r="1012" spans="1:10" ht="14.4" hidden="1" outlineLevel="1">
      <c r="A1012" s="196" t="s">
        <v>351</v>
      </c>
      <c r="B1012" s="197">
        <v>41841</v>
      </c>
      <c r="C1012" s="196" t="s">
        <v>1214</v>
      </c>
      <c r="D1012" s="196">
        <v>71</v>
      </c>
      <c r="E1012" s="196" t="s">
        <v>1214</v>
      </c>
      <c r="F1012" s="196">
        <v>71</v>
      </c>
      <c r="G1012" s="196">
        <f t="shared" si="15"/>
        <v>35.5</v>
      </c>
      <c r="H1012" s="196">
        <v>4521</v>
      </c>
      <c r="I1012" s="196" t="s">
        <v>1215</v>
      </c>
      <c r="J1012" s="196"/>
    </row>
    <row r="1013" spans="1:10" ht="14.4" hidden="1" outlineLevel="1">
      <c r="A1013" s="196" t="s">
        <v>351</v>
      </c>
      <c r="B1013" s="197">
        <v>41842</v>
      </c>
      <c r="C1013" s="196" t="s">
        <v>1185</v>
      </c>
      <c r="D1013" s="196">
        <v>71</v>
      </c>
      <c r="E1013" s="196" t="s">
        <v>1211</v>
      </c>
      <c r="F1013" s="196">
        <v>70.2</v>
      </c>
      <c r="G1013" s="196">
        <f t="shared" si="15"/>
        <v>35.1</v>
      </c>
      <c r="H1013" s="196">
        <v>125292</v>
      </c>
      <c r="I1013" s="196" t="s">
        <v>1213</v>
      </c>
      <c r="J1013" s="196"/>
    </row>
    <row r="1014" spans="1:10" ht="14.4" hidden="1" outlineLevel="1">
      <c r="A1014" s="196" t="s">
        <v>351</v>
      </c>
      <c r="B1014" s="197">
        <v>41843</v>
      </c>
      <c r="C1014" s="196" t="s">
        <v>1211</v>
      </c>
      <c r="D1014" s="196">
        <v>71.2</v>
      </c>
      <c r="E1014" s="196" t="s">
        <v>1211</v>
      </c>
      <c r="F1014" s="196">
        <v>71</v>
      </c>
      <c r="G1014" s="196">
        <f t="shared" si="15"/>
        <v>35.5</v>
      </c>
      <c r="H1014" s="196">
        <v>65467</v>
      </c>
      <c r="I1014" s="196" t="s">
        <v>1212</v>
      </c>
      <c r="J1014" s="196"/>
    </row>
    <row r="1015" spans="1:10" ht="14.4" hidden="1" outlineLevel="1">
      <c r="A1015" s="196" t="s">
        <v>351</v>
      </c>
      <c r="B1015" s="197">
        <v>41844</v>
      </c>
      <c r="C1015" s="196" t="s">
        <v>1161</v>
      </c>
      <c r="D1015" s="196">
        <v>71</v>
      </c>
      <c r="E1015" s="196" t="s">
        <v>1209</v>
      </c>
      <c r="F1015" s="196">
        <v>70.900000000000006</v>
      </c>
      <c r="G1015" s="196">
        <f t="shared" si="15"/>
        <v>35.450000000000003</v>
      </c>
      <c r="H1015" s="196">
        <v>3030</v>
      </c>
      <c r="I1015" s="196" t="s">
        <v>1210</v>
      </c>
      <c r="J1015" s="196"/>
    </row>
    <row r="1016" spans="1:10" ht="14.4" hidden="1" outlineLevel="1">
      <c r="A1016" s="196" t="s">
        <v>351</v>
      </c>
      <c r="B1016" s="197">
        <v>41845</v>
      </c>
      <c r="C1016" s="196" t="s">
        <v>1161</v>
      </c>
      <c r="D1016" s="196">
        <v>71.3</v>
      </c>
      <c r="E1016" s="196" t="s">
        <v>1164</v>
      </c>
      <c r="F1016" s="196">
        <v>71</v>
      </c>
      <c r="G1016" s="196">
        <f t="shared" si="15"/>
        <v>35.5</v>
      </c>
      <c r="H1016" s="196">
        <v>31582</v>
      </c>
      <c r="I1016" s="196" t="s">
        <v>1208</v>
      </c>
      <c r="J1016" s="196"/>
    </row>
    <row r="1017" spans="1:10" ht="14.4" hidden="1" outlineLevel="1">
      <c r="A1017" s="196" t="s">
        <v>351</v>
      </c>
      <c r="B1017" s="197">
        <v>41848</v>
      </c>
      <c r="C1017" s="196" t="s">
        <v>1157</v>
      </c>
      <c r="D1017" s="196">
        <v>71.900000000000006</v>
      </c>
      <c r="E1017" s="196" t="s">
        <v>1161</v>
      </c>
      <c r="F1017" s="196">
        <v>71</v>
      </c>
      <c r="G1017" s="196">
        <f t="shared" si="15"/>
        <v>35.5</v>
      </c>
      <c r="H1017" s="196">
        <v>9872</v>
      </c>
      <c r="I1017" s="196" t="s">
        <v>1207</v>
      </c>
      <c r="J1017" s="196"/>
    </row>
    <row r="1018" spans="1:10" ht="14.4" hidden="1" outlineLevel="1">
      <c r="A1018" s="196" t="s">
        <v>351</v>
      </c>
      <c r="B1018" s="197">
        <v>41850</v>
      </c>
      <c r="C1018" s="196" t="s">
        <v>1157</v>
      </c>
      <c r="D1018" s="196">
        <v>72</v>
      </c>
      <c r="E1018" s="196" t="s">
        <v>1161</v>
      </c>
      <c r="F1018" s="196">
        <v>71</v>
      </c>
      <c r="G1018" s="196">
        <f t="shared" si="15"/>
        <v>35.5</v>
      </c>
      <c r="H1018" s="196">
        <v>19188</v>
      </c>
      <c r="I1018" s="196" t="s">
        <v>1206</v>
      </c>
      <c r="J1018" s="196"/>
    </row>
    <row r="1019" spans="1:10" ht="14.4" hidden="1" outlineLevel="1">
      <c r="A1019" s="196" t="s">
        <v>351</v>
      </c>
      <c r="B1019" s="197">
        <v>41851</v>
      </c>
      <c r="C1019" s="196" t="s">
        <v>1169</v>
      </c>
      <c r="D1019" s="196">
        <v>71</v>
      </c>
      <c r="E1019" s="196" t="s">
        <v>1169</v>
      </c>
      <c r="F1019" s="196">
        <v>71</v>
      </c>
      <c r="G1019" s="196">
        <f t="shared" si="15"/>
        <v>35.5</v>
      </c>
      <c r="H1019" s="196">
        <v>34206</v>
      </c>
      <c r="I1019" s="196" t="s">
        <v>1205</v>
      </c>
      <c r="J1019" s="196"/>
    </row>
    <row r="1020" spans="1:10" ht="14.4" hidden="1" outlineLevel="1">
      <c r="A1020" s="196" t="s">
        <v>351</v>
      </c>
      <c r="B1020" s="197">
        <v>41852</v>
      </c>
      <c r="C1020" s="196" t="s">
        <v>1161</v>
      </c>
      <c r="D1020" s="196">
        <v>71.599999999999994</v>
      </c>
      <c r="E1020" s="196" t="s">
        <v>1161</v>
      </c>
      <c r="F1020" s="196">
        <v>71.099999999999994</v>
      </c>
      <c r="G1020" s="196">
        <f t="shared" si="15"/>
        <v>35.549999999999997</v>
      </c>
      <c r="H1020" s="196">
        <v>1022</v>
      </c>
      <c r="I1020" s="196" t="s">
        <v>1204</v>
      </c>
      <c r="J1020" s="196"/>
    </row>
    <row r="1021" spans="1:10" ht="14.4" hidden="1" outlineLevel="1">
      <c r="A1021" s="196" t="s">
        <v>351</v>
      </c>
      <c r="B1021" s="197">
        <v>41855</v>
      </c>
      <c r="C1021" s="196" t="s">
        <v>1201</v>
      </c>
      <c r="D1021" s="196">
        <v>72</v>
      </c>
      <c r="E1021" s="196" t="s">
        <v>1202</v>
      </c>
      <c r="F1021" s="196">
        <v>70.900000000000006</v>
      </c>
      <c r="G1021" s="196">
        <f t="shared" si="15"/>
        <v>35.450000000000003</v>
      </c>
      <c r="H1021" s="196">
        <v>2845</v>
      </c>
      <c r="I1021" s="196" t="s">
        <v>1203</v>
      </c>
      <c r="J1021" s="196"/>
    </row>
    <row r="1022" spans="1:10" ht="14.4" hidden="1" outlineLevel="1">
      <c r="A1022" s="196" t="s">
        <v>351</v>
      </c>
      <c r="B1022" s="197">
        <v>41856</v>
      </c>
      <c r="C1022" s="196" t="s">
        <v>1198</v>
      </c>
      <c r="D1022" s="196">
        <v>73</v>
      </c>
      <c r="E1022" s="196" t="s">
        <v>1161</v>
      </c>
      <c r="F1022" s="196">
        <v>71.5</v>
      </c>
      <c r="G1022" s="196">
        <f t="shared" si="15"/>
        <v>35.75</v>
      </c>
      <c r="H1022" s="196">
        <v>167685</v>
      </c>
      <c r="I1022" s="196" t="s">
        <v>1200</v>
      </c>
      <c r="J1022" s="196"/>
    </row>
    <row r="1023" spans="1:10" ht="14.4" hidden="1" outlineLevel="1">
      <c r="A1023" s="196" t="s">
        <v>351</v>
      </c>
      <c r="B1023" s="197">
        <v>41857</v>
      </c>
      <c r="C1023" s="196" t="s">
        <v>1198</v>
      </c>
      <c r="D1023" s="196">
        <v>72.900000000000006</v>
      </c>
      <c r="E1023" s="196" t="s">
        <v>1198</v>
      </c>
      <c r="F1023" s="196">
        <v>72.5</v>
      </c>
      <c r="G1023" s="196">
        <f t="shared" si="15"/>
        <v>36.25</v>
      </c>
      <c r="H1023" s="196">
        <v>22668</v>
      </c>
      <c r="I1023" s="196" t="s">
        <v>1199</v>
      </c>
      <c r="J1023" s="196"/>
    </row>
    <row r="1024" spans="1:10" ht="14.4" hidden="1" outlineLevel="1">
      <c r="A1024" s="196" t="s">
        <v>351</v>
      </c>
      <c r="B1024" s="197">
        <v>41858</v>
      </c>
      <c r="C1024" s="196" t="s">
        <v>1196</v>
      </c>
      <c r="D1024" s="196">
        <v>73</v>
      </c>
      <c r="E1024" s="196" t="s">
        <v>1183</v>
      </c>
      <c r="F1024" s="196">
        <v>73</v>
      </c>
      <c r="G1024" s="196">
        <f t="shared" si="15"/>
        <v>36.5</v>
      </c>
      <c r="H1024" s="196">
        <v>103622</v>
      </c>
      <c r="I1024" s="196" t="s">
        <v>1197</v>
      </c>
      <c r="J1024" s="196"/>
    </row>
    <row r="1025" spans="1:10" ht="14.4" hidden="1" outlineLevel="1">
      <c r="A1025" s="196" t="s">
        <v>351</v>
      </c>
      <c r="B1025" s="197">
        <v>41859</v>
      </c>
      <c r="C1025" s="196" t="s">
        <v>1183</v>
      </c>
      <c r="D1025" s="196">
        <v>73.5</v>
      </c>
      <c r="E1025" s="196" t="s">
        <v>1183</v>
      </c>
      <c r="F1025" s="196">
        <v>73</v>
      </c>
      <c r="G1025" s="196">
        <f t="shared" si="15"/>
        <v>36.5</v>
      </c>
      <c r="H1025" s="196">
        <v>20159</v>
      </c>
      <c r="I1025" s="196" t="s">
        <v>1195</v>
      </c>
      <c r="J1025" s="196"/>
    </row>
    <row r="1026" spans="1:10" ht="14.4" hidden="1" outlineLevel="1">
      <c r="A1026" s="196" t="s">
        <v>351</v>
      </c>
      <c r="B1026" s="197">
        <v>41862</v>
      </c>
      <c r="C1026" s="196" t="s">
        <v>1193</v>
      </c>
      <c r="D1026" s="196">
        <v>74</v>
      </c>
      <c r="E1026" s="196" t="s">
        <v>1117</v>
      </c>
      <c r="F1026" s="196">
        <v>73.7</v>
      </c>
      <c r="G1026" s="196">
        <f t="shared" si="15"/>
        <v>36.85</v>
      </c>
      <c r="H1026" s="196">
        <v>18079</v>
      </c>
      <c r="I1026" s="196" t="s">
        <v>1194</v>
      </c>
      <c r="J1026" s="196"/>
    </row>
    <row r="1027" spans="1:10" ht="14.4" hidden="1" outlineLevel="1">
      <c r="A1027" s="196" t="s">
        <v>351</v>
      </c>
      <c r="B1027" s="197">
        <v>41863</v>
      </c>
      <c r="C1027" s="196" t="s">
        <v>1191</v>
      </c>
      <c r="D1027" s="196">
        <v>74.2</v>
      </c>
      <c r="E1027" s="196" t="s">
        <v>1127</v>
      </c>
      <c r="F1027" s="196">
        <v>73.400000000000006</v>
      </c>
      <c r="G1027" s="196">
        <f t="shared" si="15"/>
        <v>36.700000000000003</v>
      </c>
      <c r="H1027" s="196">
        <v>99309</v>
      </c>
      <c r="I1027" s="196" t="s">
        <v>1192</v>
      </c>
      <c r="J1027" s="196"/>
    </row>
    <row r="1028" spans="1:10" ht="14.4" hidden="1" outlineLevel="1">
      <c r="A1028" s="196" t="s">
        <v>351</v>
      </c>
      <c r="B1028" s="197">
        <v>41864</v>
      </c>
      <c r="C1028" s="196" t="s">
        <v>983</v>
      </c>
      <c r="D1028" s="196">
        <v>74.3</v>
      </c>
      <c r="E1028" s="196" t="s">
        <v>983</v>
      </c>
      <c r="F1028" s="196">
        <v>74</v>
      </c>
      <c r="G1028" s="196">
        <f t="shared" si="15"/>
        <v>37</v>
      </c>
      <c r="H1028" s="196">
        <v>9530</v>
      </c>
      <c r="I1028" s="196" t="s">
        <v>1190</v>
      </c>
      <c r="J1028" s="196"/>
    </row>
    <row r="1029" spans="1:10" ht="14.4" hidden="1" outlineLevel="1">
      <c r="A1029" s="196" t="s">
        <v>351</v>
      </c>
      <c r="B1029" s="197">
        <v>41865</v>
      </c>
      <c r="C1029" s="196" t="s">
        <v>983</v>
      </c>
      <c r="D1029" s="196">
        <v>74</v>
      </c>
      <c r="E1029" s="196" t="s">
        <v>1127</v>
      </c>
      <c r="F1029" s="196">
        <v>72.900000000000006</v>
      </c>
      <c r="G1029" s="196">
        <f t="shared" ref="G1029:G1092" si="16">F1029/2</f>
        <v>36.450000000000003</v>
      </c>
      <c r="H1029" s="196">
        <v>18917</v>
      </c>
      <c r="I1029" s="196" t="s">
        <v>1189</v>
      </c>
      <c r="J1029" s="196"/>
    </row>
    <row r="1030" spans="1:10" ht="14.4" hidden="1" outlineLevel="1">
      <c r="A1030" s="196" t="s">
        <v>351</v>
      </c>
      <c r="B1030" s="197">
        <v>41866</v>
      </c>
      <c r="C1030" s="196" t="s">
        <v>1187</v>
      </c>
      <c r="D1030" s="196">
        <v>72.599999999999994</v>
      </c>
      <c r="E1030" s="196" t="s">
        <v>1127</v>
      </c>
      <c r="F1030" s="196">
        <v>72.099999999999994</v>
      </c>
      <c r="G1030" s="196">
        <f t="shared" si="16"/>
        <v>36.049999999999997</v>
      </c>
      <c r="H1030" s="196">
        <v>3055</v>
      </c>
      <c r="I1030" s="196" t="s">
        <v>1188</v>
      </c>
      <c r="J1030" s="196"/>
    </row>
    <row r="1031" spans="1:10" ht="14.4" hidden="1" outlineLevel="1">
      <c r="A1031" s="196" t="s">
        <v>351</v>
      </c>
      <c r="B1031" s="197">
        <v>41869</v>
      </c>
      <c r="C1031" s="196" t="s">
        <v>1127</v>
      </c>
      <c r="D1031" s="196">
        <v>72.5</v>
      </c>
      <c r="E1031" s="196" t="s">
        <v>1185</v>
      </c>
      <c r="F1031" s="196">
        <v>70.2</v>
      </c>
      <c r="G1031" s="196">
        <f t="shared" si="16"/>
        <v>35.1</v>
      </c>
      <c r="H1031" s="196">
        <v>36230</v>
      </c>
      <c r="I1031" s="196" t="s">
        <v>1186</v>
      </c>
      <c r="J1031" s="196"/>
    </row>
    <row r="1032" spans="1:10" ht="14.4" hidden="1" outlineLevel="1">
      <c r="A1032" s="196" t="s">
        <v>351</v>
      </c>
      <c r="B1032" s="197">
        <v>41870</v>
      </c>
      <c r="C1032" s="196" t="s">
        <v>1183</v>
      </c>
      <c r="D1032" s="196">
        <v>72.5</v>
      </c>
      <c r="E1032" s="196" t="s">
        <v>1183</v>
      </c>
      <c r="F1032" s="196">
        <v>72.5</v>
      </c>
      <c r="G1032" s="196">
        <f t="shared" si="16"/>
        <v>36.25</v>
      </c>
      <c r="H1032" s="196">
        <v>155</v>
      </c>
      <c r="I1032" s="196" t="s">
        <v>1184</v>
      </c>
      <c r="J1032" s="196"/>
    </row>
    <row r="1033" spans="1:10" ht="14.4" hidden="1" outlineLevel="1">
      <c r="A1033" s="196" t="s">
        <v>351</v>
      </c>
      <c r="B1033" s="197">
        <v>41871</v>
      </c>
      <c r="C1033" s="196" t="s">
        <v>1180</v>
      </c>
      <c r="D1033" s="196">
        <v>72.900000000000006</v>
      </c>
      <c r="E1033" s="196" t="s">
        <v>1181</v>
      </c>
      <c r="F1033" s="196">
        <v>71.3</v>
      </c>
      <c r="G1033" s="196">
        <f t="shared" si="16"/>
        <v>35.65</v>
      </c>
      <c r="H1033" s="196">
        <v>8555</v>
      </c>
      <c r="I1033" s="196" t="s">
        <v>1182</v>
      </c>
      <c r="J1033" s="196"/>
    </row>
    <row r="1034" spans="1:10" ht="14.4" hidden="1" outlineLevel="1">
      <c r="A1034" s="196" t="s">
        <v>351</v>
      </c>
      <c r="B1034" s="197">
        <v>41872</v>
      </c>
      <c r="C1034" s="196" t="s">
        <v>1127</v>
      </c>
      <c r="D1034" s="196">
        <v>72.3</v>
      </c>
      <c r="E1034" s="196" t="s">
        <v>1178</v>
      </c>
      <c r="F1034" s="196">
        <v>71.5</v>
      </c>
      <c r="G1034" s="196">
        <f t="shared" si="16"/>
        <v>35.75</v>
      </c>
      <c r="H1034" s="196">
        <v>23487</v>
      </c>
      <c r="I1034" s="196" t="s">
        <v>1179</v>
      </c>
      <c r="J1034" s="196"/>
    </row>
    <row r="1035" spans="1:10" ht="14.4" hidden="1" outlineLevel="1">
      <c r="A1035" s="196" t="s">
        <v>351</v>
      </c>
      <c r="B1035" s="197">
        <v>41873</v>
      </c>
      <c r="C1035" s="196" t="s">
        <v>1157</v>
      </c>
      <c r="D1035" s="196">
        <v>72</v>
      </c>
      <c r="E1035" s="196" t="s">
        <v>1157</v>
      </c>
      <c r="F1035" s="196">
        <v>72</v>
      </c>
      <c r="G1035" s="196">
        <f t="shared" si="16"/>
        <v>36</v>
      </c>
      <c r="H1035" s="196">
        <v>140805</v>
      </c>
      <c r="I1035" s="196" t="s">
        <v>1177</v>
      </c>
      <c r="J1035" s="196"/>
    </row>
    <row r="1036" spans="1:10" ht="14.4" hidden="1" outlineLevel="1">
      <c r="A1036" s="196" t="s">
        <v>351</v>
      </c>
      <c r="B1036" s="197">
        <v>41876</v>
      </c>
      <c r="C1036" s="196" t="s">
        <v>1127</v>
      </c>
      <c r="D1036" s="196">
        <v>72</v>
      </c>
      <c r="E1036" s="196" t="s">
        <v>1175</v>
      </c>
      <c r="F1036" s="196">
        <v>70.3</v>
      </c>
      <c r="G1036" s="196">
        <f t="shared" si="16"/>
        <v>35.15</v>
      </c>
      <c r="H1036" s="196">
        <v>29</v>
      </c>
      <c r="I1036" s="196" t="s">
        <v>1176</v>
      </c>
      <c r="J1036" s="196"/>
    </row>
    <row r="1037" spans="1:10" ht="14.4" hidden="1" outlineLevel="1">
      <c r="A1037" s="196" t="s">
        <v>351</v>
      </c>
      <c r="B1037" s="197">
        <v>41877</v>
      </c>
      <c r="C1037" s="196" t="s">
        <v>1127</v>
      </c>
      <c r="D1037" s="196">
        <v>72</v>
      </c>
      <c r="E1037" s="196" t="s">
        <v>1157</v>
      </c>
      <c r="F1037" s="196">
        <v>71.900000000000006</v>
      </c>
      <c r="G1037" s="196">
        <f t="shared" si="16"/>
        <v>35.950000000000003</v>
      </c>
      <c r="H1037" s="196">
        <v>15205</v>
      </c>
      <c r="I1037" s="196" t="s">
        <v>1174</v>
      </c>
      <c r="J1037" s="196"/>
    </row>
    <row r="1038" spans="1:10" ht="14.4" hidden="1" outlineLevel="1">
      <c r="A1038" s="196" t="s">
        <v>351</v>
      </c>
      <c r="B1038" s="197">
        <v>41878</v>
      </c>
      <c r="C1038" s="196" t="s">
        <v>1157</v>
      </c>
      <c r="D1038" s="196">
        <v>71.900000000000006</v>
      </c>
      <c r="E1038" s="196" t="s">
        <v>1169</v>
      </c>
      <c r="F1038" s="196">
        <v>70.5</v>
      </c>
      <c r="G1038" s="196">
        <f t="shared" si="16"/>
        <v>35.25</v>
      </c>
      <c r="H1038" s="196">
        <v>14</v>
      </c>
      <c r="I1038" s="196" t="s">
        <v>1173</v>
      </c>
      <c r="J1038" s="196"/>
    </row>
    <row r="1039" spans="1:10" ht="14.4" hidden="1" outlineLevel="1">
      <c r="A1039" s="196" t="s">
        <v>351</v>
      </c>
      <c r="B1039" s="197">
        <v>41879</v>
      </c>
      <c r="C1039" s="196" t="s">
        <v>1169</v>
      </c>
      <c r="D1039" s="196">
        <v>71.2</v>
      </c>
      <c r="E1039" s="196" t="s">
        <v>1169</v>
      </c>
      <c r="F1039" s="196">
        <v>71.2</v>
      </c>
      <c r="G1039" s="196">
        <f t="shared" si="16"/>
        <v>35.6</v>
      </c>
      <c r="H1039" s="196">
        <v>598</v>
      </c>
      <c r="I1039" s="196" t="s">
        <v>1172</v>
      </c>
      <c r="J1039" s="196"/>
    </row>
    <row r="1040" spans="1:10" ht="14.4" hidden="1" outlineLevel="1">
      <c r="A1040" s="196" t="s">
        <v>351</v>
      </c>
      <c r="B1040" s="197">
        <v>41880</v>
      </c>
      <c r="C1040" s="196" t="s">
        <v>1169</v>
      </c>
      <c r="D1040" s="196">
        <v>71.900000000000006</v>
      </c>
      <c r="E1040" s="196" t="s">
        <v>1169</v>
      </c>
      <c r="F1040" s="196">
        <v>71.8</v>
      </c>
      <c r="G1040" s="196">
        <f t="shared" si="16"/>
        <v>35.9</v>
      </c>
      <c r="H1040" s="196">
        <v>20921</v>
      </c>
      <c r="I1040" s="196" t="s">
        <v>1171</v>
      </c>
      <c r="J1040" s="196"/>
    </row>
    <row r="1041" spans="1:10" ht="14.4" hidden="1" outlineLevel="1">
      <c r="A1041" s="196" t="s">
        <v>351</v>
      </c>
      <c r="B1041" s="197">
        <v>41883</v>
      </c>
      <c r="C1041" s="196" t="s">
        <v>1160</v>
      </c>
      <c r="D1041" s="196">
        <v>73</v>
      </c>
      <c r="E1041" s="196" t="s">
        <v>1169</v>
      </c>
      <c r="F1041" s="196">
        <v>71.400000000000006</v>
      </c>
      <c r="G1041" s="196">
        <f t="shared" si="16"/>
        <v>35.700000000000003</v>
      </c>
      <c r="H1041" s="196">
        <v>74573</v>
      </c>
      <c r="I1041" s="196" t="s">
        <v>1170</v>
      </c>
      <c r="J1041" s="196"/>
    </row>
    <row r="1042" spans="1:10" ht="14.4" hidden="1" outlineLevel="1">
      <c r="A1042" s="196" t="s">
        <v>351</v>
      </c>
      <c r="B1042" s="197">
        <v>41884</v>
      </c>
      <c r="C1042" s="196" t="s">
        <v>1161</v>
      </c>
      <c r="D1042" s="196">
        <v>72.5</v>
      </c>
      <c r="E1042" s="196" t="s">
        <v>1161</v>
      </c>
      <c r="F1042" s="196">
        <v>72</v>
      </c>
      <c r="G1042" s="196">
        <f t="shared" si="16"/>
        <v>36</v>
      </c>
      <c r="H1042" s="196">
        <v>17052</v>
      </c>
      <c r="I1042" s="196" t="s">
        <v>1168</v>
      </c>
      <c r="J1042" s="196"/>
    </row>
    <row r="1043" spans="1:10" ht="14.4" hidden="1" outlineLevel="1">
      <c r="A1043" s="196" t="s">
        <v>351</v>
      </c>
      <c r="B1043" s="197">
        <v>41885</v>
      </c>
      <c r="C1043" s="196" t="s">
        <v>1127</v>
      </c>
      <c r="D1043" s="196">
        <v>72</v>
      </c>
      <c r="E1043" s="196" t="s">
        <v>1161</v>
      </c>
      <c r="F1043" s="196">
        <v>71.099999999999994</v>
      </c>
      <c r="G1043" s="196">
        <f t="shared" si="16"/>
        <v>35.549999999999997</v>
      </c>
      <c r="H1043" s="196">
        <v>1280</v>
      </c>
      <c r="I1043" s="196" t="s">
        <v>1167</v>
      </c>
      <c r="J1043" s="196"/>
    </row>
    <row r="1044" spans="1:10" ht="14.4" hidden="1" outlineLevel="1">
      <c r="A1044" s="196" t="s">
        <v>351</v>
      </c>
      <c r="B1044" s="197">
        <v>41886</v>
      </c>
      <c r="C1044" s="196" t="s">
        <v>1161</v>
      </c>
      <c r="D1044" s="196">
        <v>71.900000000000006</v>
      </c>
      <c r="E1044" s="196" t="s">
        <v>1161</v>
      </c>
      <c r="F1044" s="196">
        <v>71.099999999999994</v>
      </c>
      <c r="G1044" s="196">
        <f t="shared" si="16"/>
        <v>35.549999999999997</v>
      </c>
      <c r="H1044" s="196">
        <v>1498</v>
      </c>
      <c r="I1044" s="196" t="s">
        <v>1166</v>
      </c>
      <c r="J1044" s="196"/>
    </row>
    <row r="1045" spans="1:10" ht="14.4" hidden="1" outlineLevel="1">
      <c r="A1045" s="196" t="s">
        <v>351</v>
      </c>
      <c r="B1045" s="197">
        <v>41887</v>
      </c>
      <c r="C1045" s="196" t="s">
        <v>1163</v>
      </c>
      <c r="D1045" s="196">
        <v>71.900000000000006</v>
      </c>
      <c r="E1045" s="196" t="s">
        <v>1164</v>
      </c>
      <c r="F1045" s="196">
        <v>71.8</v>
      </c>
      <c r="G1045" s="196">
        <f t="shared" si="16"/>
        <v>35.9</v>
      </c>
      <c r="H1045" s="196">
        <v>1658</v>
      </c>
      <c r="I1045" s="196" t="s">
        <v>1165</v>
      </c>
      <c r="J1045" s="196"/>
    </row>
    <row r="1046" spans="1:10" ht="14.4" hidden="1" outlineLevel="1">
      <c r="A1046" s="196" t="s">
        <v>351</v>
      </c>
      <c r="B1046" s="197">
        <v>41891</v>
      </c>
      <c r="C1046" s="196" t="s">
        <v>1160</v>
      </c>
      <c r="D1046" s="196">
        <v>72</v>
      </c>
      <c r="E1046" s="196" t="s">
        <v>1161</v>
      </c>
      <c r="F1046" s="196">
        <v>72</v>
      </c>
      <c r="G1046" s="196">
        <f t="shared" si="16"/>
        <v>36</v>
      </c>
      <c r="H1046" s="196">
        <v>37864</v>
      </c>
      <c r="I1046" s="196" t="s">
        <v>1162</v>
      </c>
      <c r="J1046" s="196"/>
    </row>
    <row r="1047" spans="1:10" ht="14.4" hidden="1" outlineLevel="1">
      <c r="A1047" s="196" t="s">
        <v>351</v>
      </c>
      <c r="B1047" s="197">
        <v>41892</v>
      </c>
      <c r="C1047" s="196" t="s">
        <v>1119</v>
      </c>
      <c r="D1047" s="196">
        <v>73</v>
      </c>
      <c r="E1047" s="196" t="s">
        <v>1127</v>
      </c>
      <c r="F1047" s="196">
        <v>72.900000000000006</v>
      </c>
      <c r="G1047" s="196">
        <f t="shared" si="16"/>
        <v>36.450000000000003</v>
      </c>
      <c r="H1047" s="196">
        <v>20150</v>
      </c>
      <c r="I1047" s="196" t="s">
        <v>1159</v>
      </c>
      <c r="J1047" s="196"/>
    </row>
    <row r="1048" spans="1:10" ht="14.4" hidden="1" outlineLevel="1">
      <c r="A1048" s="196" t="s">
        <v>351</v>
      </c>
      <c r="B1048" s="197">
        <v>41893</v>
      </c>
      <c r="C1048" s="196" t="s">
        <v>1157</v>
      </c>
      <c r="D1048" s="196">
        <v>73.900000000000006</v>
      </c>
      <c r="E1048" s="196" t="s">
        <v>1157</v>
      </c>
      <c r="F1048" s="196">
        <v>72.5</v>
      </c>
      <c r="G1048" s="196">
        <f t="shared" si="16"/>
        <v>36.25</v>
      </c>
      <c r="H1048" s="196">
        <v>7271</v>
      </c>
      <c r="I1048" s="196" t="s">
        <v>1158</v>
      </c>
      <c r="J1048" s="196"/>
    </row>
    <row r="1049" spans="1:10" ht="14.4" hidden="1" outlineLevel="1">
      <c r="A1049" s="196" t="s">
        <v>351</v>
      </c>
      <c r="B1049" s="197">
        <v>41894</v>
      </c>
      <c r="C1049" s="196" t="s">
        <v>1117</v>
      </c>
      <c r="D1049" s="196">
        <v>74.900000000000006</v>
      </c>
      <c r="E1049" s="196" t="s">
        <v>1117</v>
      </c>
      <c r="F1049" s="196">
        <v>74.099999999999994</v>
      </c>
      <c r="G1049" s="196">
        <f t="shared" si="16"/>
        <v>37.049999999999997</v>
      </c>
      <c r="H1049" s="196">
        <v>281520</v>
      </c>
      <c r="I1049" s="196" t="s">
        <v>1156</v>
      </c>
      <c r="J1049" s="196"/>
    </row>
    <row r="1050" spans="1:10" ht="14.4" hidden="1" outlineLevel="1">
      <c r="A1050" s="196" t="s">
        <v>351</v>
      </c>
      <c r="B1050" s="197">
        <v>41897</v>
      </c>
      <c r="C1050" s="196" t="s">
        <v>1151</v>
      </c>
      <c r="D1050" s="196">
        <v>74.5</v>
      </c>
      <c r="E1050" s="196" t="s">
        <v>1153</v>
      </c>
      <c r="F1050" s="196">
        <v>74</v>
      </c>
      <c r="G1050" s="196">
        <f t="shared" si="16"/>
        <v>37</v>
      </c>
      <c r="H1050" s="196">
        <v>125413</v>
      </c>
      <c r="I1050" s="196" t="s">
        <v>1155</v>
      </c>
      <c r="J1050" s="196"/>
    </row>
    <row r="1051" spans="1:10" ht="14.4" hidden="1" outlineLevel="1">
      <c r="A1051" s="196" t="s">
        <v>351</v>
      </c>
      <c r="B1051" s="197">
        <v>41898</v>
      </c>
      <c r="C1051" s="196" t="s">
        <v>1085</v>
      </c>
      <c r="D1051" s="196">
        <v>74.599999999999994</v>
      </c>
      <c r="E1051" s="196" t="s">
        <v>1153</v>
      </c>
      <c r="F1051" s="196">
        <v>74.099999999999994</v>
      </c>
      <c r="G1051" s="196">
        <f t="shared" si="16"/>
        <v>37.049999999999997</v>
      </c>
      <c r="H1051" s="196">
        <v>11106</v>
      </c>
      <c r="I1051" s="196" t="s">
        <v>1154</v>
      </c>
      <c r="J1051" s="196"/>
    </row>
    <row r="1052" spans="1:10" ht="14.4" hidden="1" outlineLevel="1">
      <c r="A1052" s="196" t="s">
        <v>351</v>
      </c>
      <c r="B1052" s="197">
        <v>41899</v>
      </c>
      <c r="C1052" s="196" t="s">
        <v>1151</v>
      </c>
      <c r="D1052" s="196">
        <v>76</v>
      </c>
      <c r="E1052" s="196" t="s">
        <v>983</v>
      </c>
      <c r="F1052" s="196">
        <v>74.400000000000006</v>
      </c>
      <c r="G1052" s="196">
        <f t="shared" si="16"/>
        <v>37.200000000000003</v>
      </c>
      <c r="H1052" s="196">
        <v>119859</v>
      </c>
      <c r="I1052" s="196" t="s">
        <v>1152</v>
      </c>
      <c r="J1052" s="196"/>
    </row>
    <row r="1053" spans="1:10" ht="14.4" hidden="1" outlineLevel="1">
      <c r="A1053" s="196" t="s">
        <v>351</v>
      </c>
      <c r="B1053" s="197">
        <v>41900</v>
      </c>
      <c r="C1053" s="196" t="s">
        <v>980</v>
      </c>
      <c r="D1053" s="196">
        <v>75</v>
      </c>
      <c r="E1053" s="196" t="s">
        <v>983</v>
      </c>
      <c r="F1053" s="196">
        <v>74</v>
      </c>
      <c r="G1053" s="196">
        <f t="shared" si="16"/>
        <v>37</v>
      </c>
      <c r="H1053" s="196">
        <v>1502</v>
      </c>
      <c r="I1053" s="196" t="s">
        <v>1150</v>
      </c>
      <c r="J1053" s="196"/>
    </row>
    <row r="1054" spans="1:10" ht="14.4" hidden="1" outlineLevel="1">
      <c r="A1054" s="196" t="s">
        <v>351</v>
      </c>
      <c r="B1054" s="197">
        <v>41901</v>
      </c>
      <c r="C1054" s="196" t="s">
        <v>1114</v>
      </c>
      <c r="D1054" s="196">
        <v>79</v>
      </c>
      <c r="E1054" s="196" t="s">
        <v>1114</v>
      </c>
      <c r="F1054" s="196">
        <v>77.2</v>
      </c>
      <c r="G1054" s="196">
        <f t="shared" si="16"/>
        <v>38.6</v>
      </c>
      <c r="H1054" s="196">
        <v>314036</v>
      </c>
      <c r="I1054" s="196" t="s">
        <v>1149</v>
      </c>
      <c r="J1054" s="196"/>
    </row>
    <row r="1055" spans="1:10" ht="14.4" hidden="1" outlineLevel="1">
      <c r="A1055" s="196" t="s">
        <v>351</v>
      </c>
      <c r="B1055" s="197">
        <v>41904</v>
      </c>
      <c r="C1055" s="196" t="s">
        <v>1147</v>
      </c>
      <c r="D1055" s="196">
        <v>77</v>
      </c>
      <c r="E1055" s="196" t="s">
        <v>969</v>
      </c>
      <c r="F1055" s="196">
        <v>75.7</v>
      </c>
      <c r="G1055" s="196">
        <f t="shared" si="16"/>
        <v>37.85</v>
      </c>
      <c r="H1055" s="196">
        <v>6556</v>
      </c>
      <c r="I1055" s="196" t="s">
        <v>1148</v>
      </c>
      <c r="J1055" s="196"/>
    </row>
    <row r="1056" spans="1:10" ht="14.4" hidden="1" outlineLevel="1">
      <c r="A1056" s="196" t="s">
        <v>351</v>
      </c>
      <c r="B1056" s="197">
        <v>41905</v>
      </c>
      <c r="C1056" s="196" t="s">
        <v>1145</v>
      </c>
      <c r="D1056" s="196">
        <v>79.8</v>
      </c>
      <c r="E1056" s="196" t="s">
        <v>1145</v>
      </c>
      <c r="F1056" s="196">
        <v>78.7</v>
      </c>
      <c r="G1056" s="196">
        <f t="shared" si="16"/>
        <v>39.35</v>
      </c>
      <c r="H1056" s="196">
        <v>457346</v>
      </c>
      <c r="I1056" s="196" t="s">
        <v>1146</v>
      </c>
      <c r="J1056" s="196"/>
    </row>
    <row r="1057" spans="1:10" ht="14.4" hidden="1" outlineLevel="1">
      <c r="A1057" s="196" t="s">
        <v>351</v>
      </c>
      <c r="B1057" s="197">
        <v>41906</v>
      </c>
      <c r="C1057" s="196" t="s">
        <v>997</v>
      </c>
      <c r="D1057" s="196">
        <v>80</v>
      </c>
      <c r="E1057" s="196" t="s">
        <v>962</v>
      </c>
      <c r="F1057" s="196">
        <v>0</v>
      </c>
      <c r="G1057" s="196">
        <f t="shared" si="16"/>
        <v>0</v>
      </c>
      <c r="H1057" s="196">
        <v>81180</v>
      </c>
      <c r="I1057" s="196" t="s">
        <v>1144</v>
      </c>
      <c r="J1057" s="196"/>
    </row>
    <row r="1058" spans="1:10" ht="14.4" hidden="1" outlineLevel="1">
      <c r="A1058" s="196" t="s">
        <v>351</v>
      </c>
      <c r="B1058" s="197">
        <v>41907</v>
      </c>
      <c r="C1058" s="196" t="s">
        <v>995</v>
      </c>
      <c r="D1058" s="196">
        <v>77.900000000000006</v>
      </c>
      <c r="E1058" s="196" t="s">
        <v>974</v>
      </c>
      <c r="F1058" s="196">
        <v>77</v>
      </c>
      <c r="G1058" s="196">
        <f t="shared" si="16"/>
        <v>38.5</v>
      </c>
      <c r="H1058" s="196">
        <v>33960</v>
      </c>
      <c r="I1058" s="196" t="s">
        <v>1143</v>
      </c>
      <c r="J1058" s="196"/>
    </row>
    <row r="1059" spans="1:10" ht="14.4" hidden="1" outlineLevel="1">
      <c r="A1059" s="196" t="s">
        <v>351</v>
      </c>
      <c r="B1059" s="197">
        <v>41908</v>
      </c>
      <c r="C1059" s="196" t="s">
        <v>1043</v>
      </c>
      <c r="D1059" s="196">
        <v>78</v>
      </c>
      <c r="E1059" s="196" t="s">
        <v>1043</v>
      </c>
      <c r="F1059" s="196">
        <v>77.900000000000006</v>
      </c>
      <c r="G1059" s="196">
        <f t="shared" si="16"/>
        <v>38.950000000000003</v>
      </c>
      <c r="H1059" s="196">
        <v>18010</v>
      </c>
      <c r="I1059" s="196" t="s">
        <v>1142</v>
      </c>
      <c r="J1059" s="196"/>
    </row>
    <row r="1060" spans="1:10" ht="14.4" hidden="1" outlineLevel="1">
      <c r="A1060" s="196" t="s">
        <v>351</v>
      </c>
      <c r="B1060" s="197">
        <v>41911</v>
      </c>
      <c r="C1060" s="196" t="s">
        <v>1140</v>
      </c>
      <c r="D1060" s="196">
        <v>77.599999999999994</v>
      </c>
      <c r="E1060" s="196" t="s">
        <v>1043</v>
      </c>
      <c r="F1060" s="196">
        <v>77.099999999999994</v>
      </c>
      <c r="G1060" s="196">
        <f t="shared" si="16"/>
        <v>38.549999999999997</v>
      </c>
      <c r="H1060" s="196">
        <v>16142</v>
      </c>
      <c r="I1060" s="196" t="s">
        <v>1141</v>
      </c>
      <c r="J1060" s="196"/>
    </row>
    <row r="1061" spans="1:10" ht="14.4" hidden="1" outlineLevel="1">
      <c r="A1061" s="196" t="s">
        <v>351</v>
      </c>
      <c r="B1061" s="197">
        <v>41912</v>
      </c>
      <c r="C1061" s="196" t="s">
        <v>992</v>
      </c>
      <c r="D1061" s="196">
        <v>79</v>
      </c>
      <c r="E1061" s="196" t="s">
        <v>974</v>
      </c>
      <c r="F1061" s="196">
        <v>77</v>
      </c>
      <c r="G1061" s="196">
        <f t="shared" si="16"/>
        <v>38.5</v>
      </c>
      <c r="H1061" s="196">
        <v>59893</v>
      </c>
      <c r="I1061" s="196" t="s">
        <v>1139</v>
      </c>
      <c r="J1061" s="196"/>
    </row>
    <row r="1062" spans="1:10" ht="14.4" hidden="1" outlineLevel="1">
      <c r="A1062" s="196" t="s">
        <v>351</v>
      </c>
      <c r="B1062" s="197">
        <v>41913</v>
      </c>
      <c r="C1062" s="196" t="s">
        <v>972</v>
      </c>
      <c r="D1062" s="196">
        <v>77.400000000000006</v>
      </c>
      <c r="E1062" s="196" t="s">
        <v>1137</v>
      </c>
      <c r="F1062" s="196">
        <v>76</v>
      </c>
      <c r="G1062" s="196">
        <f t="shared" si="16"/>
        <v>38</v>
      </c>
      <c r="H1062" s="196">
        <v>26094</v>
      </c>
      <c r="I1062" s="196" t="s">
        <v>1138</v>
      </c>
      <c r="J1062" s="196"/>
    </row>
    <row r="1063" spans="1:10" ht="14.4" hidden="1" outlineLevel="1">
      <c r="A1063" s="196" t="s">
        <v>351</v>
      </c>
      <c r="B1063" s="197">
        <v>41914</v>
      </c>
      <c r="C1063" s="196" t="s">
        <v>1135</v>
      </c>
      <c r="D1063" s="196">
        <v>76.8</v>
      </c>
      <c r="E1063" s="196" t="s">
        <v>980</v>
      </c>
      <c r="F1063" s="196">
        <v>76</v>
      </c>
      <c r="G1063" s="196">
        <f t="shared" si="16"/>
        <v>38</v>
      </c>
      <c r="H1063" s="196">
        <v>68812</v>
      </c>
      <c r="I1063" s="196" t="s">
        <v>1136</v>
      </c>
      <c r="J1063" s="196"/>
    </row>
    <row r="1064" spans="1:10" ht="14.4" hidden="1" outlineLevel="1">
      <c r="A1064" s="196" t="s">
        <v>351</v>
      </c>
      <c r="B1064" s="197">
        <v>41915</v>
      </c>
      <c r="C1064" s="196" t="s">
        <v>975</v>
      </c>
      <c r="D1064" s="196">
        <v>77</v>
      </c>
      <c r="E1064" s="196" t="s">
        <v>972</v>
      </c>
      <c r="F1064" s="196">
        <v>77</v>
      </c>
      <c r="G1064" s="196">
        <f t="shared" si="16"/>
        <v>38.5</v>
      </c>
      <c r="H1064" s="196">
        <v>65466</v>
      </c>
      <c r="I1064" s="196" t="s">
        <v>1134</v>
      </c>
      <c r="J1064" s="196"/>
    </row>
    <row r="1065" spans="1:10" ht="14.4" hidden="1" outlineLevel="1">
      <c r="A1065" s="196" t="s">
        <v>351</v>
      </c>
      <c r="B1065" s="197">
        <v>41919</v>
      </c>
      <c r="C1065" s="196" t="s">
        <v>1132</v>
      </c>
      <c r="D1065" s="196">
        <v>78</v>
      </c>
      <c r="E1065" s="196" t="s">
        <v>1070</v>
      </c>
      <c r="F1065" s="196">
        <v>77</v>
      </c>
      <c r="G1065" s="196">
        <f t="shared" si="16"/>
        <v>38.5</v>
      </c>
      <c r="H1065" s="196">
        <v>10263</v>
      </c>
      <c r="I1065" s="196" t="s">
        <v>1133</v>
      </c>
      <c r="J1065" s="196"/>
    </row>
    <row r="1066" spans="1:10" ht="14.4" hidden="1" outlineLevel="1">
      <c r="A1066" s="196" t="s">
        <v>351</v>
      </c>
      <c r="B1066" s="197">
        <v>41921</v>
      </c>
      <c r="C1066" s="196" t="s">
        <v>1070</v>
      </c>
      <c r="D1066" s="196">
        <v>77</v>
      </c>
      <c r="E1066" s="196" t="s">
        <v>1070</v>
      </c>
      <c r="F1066" s="196">
        <v>77</v>
      </c>
      <c r="G1066" s="196">
        <f t="shared" si="16"/>
        <v>38.5</v>
      </c>
      <c r="H1066" s="196">
        <v>26208</v>
      </c>
      <c r="I1066" s="196" t="s">
        <v>1131</v>
      </c>
      <c r="J1066" s="196"/>
    </row>
    <row r="1067" spans="1:10" ht="14.4" hidden="1" outlineLevel="1">
      <c r="A1067" s="196" t="s">
        <v>351</v>
      </c>
      <c r="B1067" s="197">
        <v>41922</v>
      </c>
      <c r="C1067" s="196" t="s">
        <v>974</v>
      </c>
      <c r="D1067" s="196">
        <v>77</v>
      </c>
      <c r="E1067" s="196" t="s">
        <v>1085</v>
      </c>
      <c r="F1067" s="196">
        <v>74.900000000000006</v>
      </c>
      <c r="G1067" s="196">
        <f t="shared" si="16"/>
        <v>37.450000000000003</v>
      </c>
      <c r="H1067" s="196">
        <v>20283</v>
      </c>
      <c r="I1067" s="196" t="s">
        <v>1130</v>
      </c>
      <c r="J1067" s="196"/>
    </row>
    <row r="1068" spans="1:10" ht="14.4" hidden="1" outlineLevel="1">
      <c r="A1068" s="196" t="s">
        <v>351</v>
      </c>
      <c r="B1068" s="197">
        <v>41925</v>
      </c>
      <c r="C1068" s="196" t="s">
        <v>980</v>
      </c>
      <c r="D1068" s="196">
        <v>75</v>
      </c>
      <c r="E1068" s="196" t="s">
        <v>1127</v>
      </c>
      <c r="F1068" s="196">
        <v>72</v>
      </c>
      <c r="G1068" s="196">
        <f t="shared" si="16"/>
        <v>36</v>
      </c>
      <c r="H1068" s="196">
        <v>33069</v>
      </c>
      <c r="I1068" s="196" t="s">
        <v>1129</v>
      </c>
      <c r="J1068" s="196"/>
    </row>
    <row r="1069" spans="1:10" ht="14.4" hidden="1" outlineLevel="1">
      <c r="A1069" s="196" t="s">
        <v>351</v>
      </c>
      <c r="B1069" s="197">
        <v>41926</v>
      </c>
      <c r="C1069" s="196" t="s">
        <v>1127</v>
      </c>
      <c r="D1069" s="196">
        <v>73.900000000000006</v>
      </c>
      <c r="E1069" s="196" t="s">
        <v>1127</v>
      </c>
      <c r="F1069" s="196">
        <v>73.900000000000006</v>
      </c>
      <c r="G1069" s="196">
        <f t="shared" si="16"/>
        <v>36.950000000000003</v>
      </c>
      <c r="H1069" s="196">
        <v>601</v>
      </c>
      <c r="I1069" s="196" t="s">
        <v>1128</v>
      </c>
      <c r="J1069" s="196"/>
    </row>
    <row r="1070" spans="1:10" ht="14.4" hidden="1" outlineLevel="1">
      <c r="A1070" s="196" t="s">
        <v>351</v>
      </c>
      <c r="B1070" s="197">
        <v>41927</v>
      </c>
      <c r="C1070" s="196" t="s">
        <v>1125</v>
      </c>
      <c r="D1070" s="196">
        <v>74.900000000000006</v>
      </c>
      <c r="E1070" s="196" t="s">
        <v>1125</v>
      </c>
      <c r="F1070" s="196">
        <v>74</v>
      </c>
      <c r="G1070" s="196">
        <f t="shared" si="16"/>
        <v>37</v>
      </c>
      <c r="H1070" s="196">
        <v>23933</v>
      </c>
      <c r="I1070" s="196" t="s">
        <v>1126</v>
      </c>
      <c r="J1070" s="196"/>
    </row>
    <row r="1071" spans="1:10" ht="14.4" hidden="1" outlineLevel="1">
      <c r="A1071" s="196" t="s">
        <v>351</v>
      </c>
      <c r="B1071" s="197">
        <v>41928</v>
      </c>
      <c r="C1071" s="196" t="s">
        <v>983</v>
      </c>
      <c r="D1071" s="196">
        <v>74.5</v>
      </c>
      <c r="E1071" s="196" t="s">
        <v>983</v>
      </c>
      <c r="F1071" s="196">
        <v>74</v>
      </c>
      <c r="G1071" s="196">
        <f t="shared" si="16"/>
        <v>37</v>
      </c>
      <c r="H1071" s="196">
        <v>88928</v>
      </c>
      <c r="I1071" s="196" t="s">
        <v>1124</v>
      </c>
      <c r="J1071" s="196"/>
    </row>
    <row r="1072" spans="1:10" ht="14.4" hidden="1" outlineLevel="1">
      <c r="A1072" s="196" t="s">
        <v>351</v>
      </c>
      <c r="B1072" s="197">
        <v>41929</v>
      </c>
      <c r="C1072" s="196" t="s">
        <v>983</v>
      </c>
      <c r="D1072" s="196">
        <v>74.2</v>
      </c>
      <c r="E1072" s="196" t="s">
        <v>983</v>
      </c>
      <c r="F1072" s="196">
        <v>74</v>
      </c>
      <c r="G1072" s="196">
        <f t="shared" si="16"/>
        <v>37</v>
      </c>
      <c r="H1072" s="196">
        <v>122742</v>
      </c>
      <c r="I1072" s="196" t="s">
        <v>1123</v>
      </c>
      <c r="J1072" s="196"/>
    </row>
    <row r="1073" spans="1:10" ht="14.4" hidden="1" outlineLevel="1">
      <c r="A1073" s="196" t="s">
        <v>351</v>
      </c>
      <c r="B1073" s="197">
        <v>41932</v>
      </c>
      <c r="C1073" s="196" t="s">
        <v>983</v>
      </c>
      <c r="D1073" s="196">
        <v>74.900000000000006</v>
      </c>
      <c r="E1073" s="196" t="s">
        <v>983</v>
      </c>
      <c r="F1073" s="196">
        <v>74.900000000000006</v>
      </c>
      <c r="G1073" s="196">
        <f t="shared" si="16"/>
        <v>37.450000000000003</v>
      </c>
      <c r="H1073" s="196">
        <v>10848</v>
      </c>
      <c r="I1073" s="196" t="s">
        <v>1122</v>
      </c>
      <c r="J1073" s="196"/>
    </row>
    <row r="1074" spans="1:10" ht="14.4" hidden="1" outlineLevel="1">
      <c r="A1074" s="196" t="s">
        <v>351</v>
      </c>
      <c r="B1074" s="197">
        <v>41933</v>
      </c>
      <c r="C1074" s="196" t="s">
        <v>983</v>
      </c>
      <c r="D1074" s="196">
        <v>74</v>
      </c>
      <c r="E1074" s="196" t="s">
        <v>983</v>
      </c>
      <c r="F1074" s="196">
        <v>74</v>
      </c>
      <c r="G1074" s="196">
        <f t="shared" si="16"/>
        <v>37</v>
      </c>
      <c r="H1074" s="196">
        <v>347199</v>
      </c>
      <c r="I1074" s="196" t="s">
        <v>1121</v>
      </c>
      <c r="J1074" s="196"/>
    </row>
    <row r="1075" spans="1:10" ht="14.4" hidden="1" outlineLevel="1">
      <c r="A1075" s="196" t="s">
        <v>351</v>
      </c>
      <c r="B1075" s="197">
        <v>41935</v>
      </c>
      <c r="C1075" s="196" t="s">
        <v>1106</v>
      </c>
      <c r="D1075" s="196">
        <v>73.5</v>
      </c>
      <c r="E1075" s="196" t="s">
        <v>1119</v>
      </c>
      <c r="F1075" s="196">
        <v>73.5</v>
      </c>
      <c r="G1075" s="196">
        <f t="shared" si="16"/>
        <v>36.75</v>
      </c>
      <c r="H1075" s="196">
        <v>850</v>
      </c>
      <c r="I1075" s="196" t="s">
        <v>1120</v>
      </c>
      <c r="J1075" s="196"/>
    </row>
    <row r="1076" spans="1:10" ht="14.4" hidden="1" outlineLevel="1">
      <c r="A1076" s="196" t="s">
        <v>351</v>
      </c>
      <c r="B1076" s="197">
        <v>41936</v>
      </c>
      <c r="C1076" s="196" t="s">
        <v>1117</v>
      </c>
      <c r="D1076" s="196">
        <v>74.5</v>
      </c>
      <c r="E1076" s="196" t="s">
        <v>1117</v>
      </c>
      <c r="F1076" s="196">
        <v>74.3</v>
      </c>
      <c r="G1076" s="196">
        <f t="shared" si="16"/>
        <v>37.15</v>
      </c>
      <c r="H1076" s="196">
        <v>4901</v>
      </c>
      <c r="I1076" s="196" t="s">
        <v>1118</v>
      </c>
      <c r="J1076" s="196"/>
    </row>
    <row r="1077" spans="1:10" ht="14.4" hidden="1" outlineLevel="1">
      <c r="A1077" s="196" t="s">
        <v>351</v>
      </c>
      <c r="B1077" s="197">
        <v>41939</v>
      </c>
      <c r="C1077" s="196" t="s">
        <v>1085</v>
      </c>
      <c r="D1077" s="196">
        <v>75</v>
      </c>
      <c r="E1077" s="196" t="s">
        <v>1085</v>
      </c>
      <c r="F1077" s="196">
        <v>74.900000000000006</v>
      </c>
      <c r="G1077" s="196">
        <f t="shared" si="16"/>
        <v>37.450000000000003</v>
      </c>
      <c r="H1077" s="196">
        <v>5000</v>
      </c>
      <c r="I1077" s="196" t="s">
        <v>1116</v>
      </c>
      <c r="J1077" s="196"/>
    </row>
    <row r="1078" spans="1:10" ht="14.4" hidden="1" outlineLevel="1">
      <c r="A1078" s="196" t="s">
        <v>351</v>
      </c>
      <c r="B1078" s="197">
        <v>41940</v>
      </c>
      <c r="C1078" s="196" t="s">
        <v>1114</v>
      </c>
      <c r="D1078" s="196">
        <v>74.8</v>
      </c>
      <c r="E1078" s="196" t="s">
        <v>1114</v>
      </c>
      <c r="F1078" s="196">
        <v>74.8</v>
      </c>
      <c r="G1078" s="196">
        <f t="shared" si="16"/>
        <v>37.4</v>
      </c>
      <c r="H1078" s="196">
        <v>660</v>
      </c>
      <c r="I1078" s="196" t="s">
        <v>1115</v>
      </c>
      <c r="J1078" s="196"/>
    </row>
    <row r="1079" spans="1:10" ht="14.4" hidden="1" outlineLevel="1">
      <c r="A1079" s="196" t="s">
        <v>351</v>
      </c>
      <c r="B1079" s="197">
        <v>41941</v>
      </c>
      <c r="C1079" s="196" t="s">
        <v>88</v>
      </c>
      <c r="D1079" s="196" t="s">
        <v>88</v>
      </c>
      <c r="E1079" s="196" t="s">
        <v>88</v>
      </c>
      <c r="F1079" s="196">
        <v>74.8</v>
      </c>
      <c r="G1079" s="196">
        <f t="shared" si="16"/>
        <v>37.4</v>
      </c>
      <c r="H1079" s="196">
        <v>0</v>
      </c>
      <c r="I1079" s="196" t="s">
        <v>611</v>
      </c>
      <c r="J1079" s="196"/>
    </row>
    <row r="1080" spans="1:10" ht="14.4" hidden="1" outlineLevel="1">
      <c r="A1080" s="196" t="s">
        <v>351</v>
      </c>
      <c r="B1080" s="197">
        <v>41942</v>
      </c>
      <c r="C1080" s="196" t="s">
        <v>88</v>
      </c>
      <c r="D1080" s="196" t="s">
        <v>88</v>
      </c>
      <c r="E1080" s="196" t="s">
        <v>88</v>
      </c>
      <c r="F1080" s="196">
        <v>74.8</v>
      </c>
      <c r="G1080" s="196">
        <f t="shared" si="16"/>
        <v>37.4</v>
      </c>
      <c r="H1080" s="196">
        <v>0</v>
      </c>
      <c r="I1080" s="196" t="s">
        <v>611</v>
      </c>
      <c r="J1080" s="196"/>
    </row>
    <row r="1081" spans="1:10" ht="14.4" hidden="1" outlineLevel="1">
      <c r="A1081" s="196" t="s">
        <v>351</v>
      </c>
      <c r="B1081" s="197">
        <v>41943</v>
      </c>
      <c r="C1081" s="196" t="s">
        <v>1112</v>
      </c>
      <c r="D1081" s="196">
        <v>74.599999999999994</v>
      </c>
      <c r="E1081" s="196" t="s">
        <v>1108</v>
      </c>
      <c r="F1081" s="196">
        <v>74.599999999999994</v>
      </c>
      <c r="G1081" s="196">
        <f t="shared" si="16"/>
        <v>37.299999999999997</v>
      </c>
      <c r="H1081" s="196">
        <v>38303</v>
      </c>
      <c r="I1081" s="196" t="s">
        <v>1113</v>
      </c>
      <c r="J1081" s="196"/>
    </row>
    <row r="1082" spans="1:10" ht="14.4" hidden="1" outlineLevel="1">
      <c r="A1082" s="196" t="s">
        <v>351</v>
      </c>
      <c r="B1082" s="197">
        <v>41946</v>
      </c>
      <c r="C1082" s="196" t="s">
        <v>980</v>
      </c>
      <c r="D1082" s="196">
        <v>75</v>
      </c>
      <c r="E1082" s="196" t="s">
        <v>1110</v>
      </c>
      <c r="F1082" s="196">
        <v>74.900000000000006</v>
      </c>
      <c r="G1082" s="196">
        <f t="shared" si="16"/>
        <v>37.450000000000003</v>
      </c>
      <c r="H1082" s="196">
        <v>1190</v>
      </c>
      <c r="I1082" s="196" t="s">
        <v>1111</v>
      </c>
      <c r="J1082" s="196"/>
    </row>
    <row r="1083" spans="1:10" ht="14.4" hidden="1" outlineLevel="1">
      <c r="A1083" s="196" t="s">
        <v>351</v>
      </c>
      <c r="B1083" s="197">
        <v>41947</v>
      </c>
      <c r="C1083" s="196" t="s">
        <v>1108</v>
      </c>
      <c r="D1083" s="196">
        <v>73.900000000000006</v>
      </c>
      <c r="E1083" s="196" t="s">
        <v>1106</v>
      </c>
      <c r="F1083" s="196">
        <v>73.2</v>
      </c>
      <c r="G1083" s="196">
        <f t="shared" si="16"/>
        <v>36.6</v>
      </c>
      <c r="H1083" s="196">
        <v>1874</v>
      </c>
      <c r="I1083" s="196" t="s">
        <v>1109</v>
      </c>
      <c r="J1083" s="196"/>
    </row>
    <row r="1084" spans="1:10" ht="14.4" hidden="1" outlineLevel="1">
      <c r="A1084" s="196" t="s">
        <v>351</v>
      </c>
      <c r="B1084" s="197">
        <v>41948</v>
      </c>
      <c r="C1084" s="196" t="s">
        <v>983</v>
      </c>
      <c r="D1084" s="196">
        <v>74.8</v>
      </c>
      <c r="E1084" s="196" t="s">
        <v>1106</v>
      </c>
      <c r="F1084" s="196">
        <v>73.599999999999994</v>
      </c>
      <c r="G1084" s="196">
        <f t="shared" si="16"/>
        <v>36.799999999999997</v>
      </c>
      <c r="H1084" s="196">
        <v>14300</v>
      </c>
      <c r="I1084" s="196" t="s">
        <v>1107</v>
      </c>
      <c r="J1084" s="196"/>
    </row>
    <row r="1085" spans="1:10" ht="14.4" hidden="1" outlineLevel="1">
      <c r="A1085" s="196" t="s">
        <v>351</v>
      </c>
      <c r="B1085" s="197">
        <v>41950</v>
      </c>
      <c r="C1085" s="196" t="s">
        <v>1085</v>
      </c>
      <c r="D1085" s="196">
        <v>75</v>
      </c>
      <c r="E1085" s="196" t="s">
        <v>983</v>
      </c>
      <c r="F1085" s="196">
        <v>75</v>
      </c>
      <c r="G1085" s="196">
        <f t="shared" si="16"/>
        <v>37.5</v>
      </c>
      <c r="H1085" s="196">
        <v>22726</v>
      </c>
      <c r="I1085" s="196" t="s">
        <v>1105</v>
      </c>
      <c r="J1085" s="196"/>
    </row>
    <row r="1086" spans="1:10" ht="14.4" hidden="1" outlineLevel="1">
      <c r="A1086" s="196" t="s">
        <v>351</v>
      </c>
      <c r="B1086" s="197">
        <v>41953</v>
      </c>
      <c r="C1086" s="196" t="s">
        <v>969</v>
      </c>
      <c r="D1086" s="196">
        <v>76.5</v>
      </c>
      <c r="E1086" s="196" t="s">
        <v>980</v>
      </c>
      <c r="F1086" s="196">
        <v>76.5</v>
      </c>
      <c r="G1086" s="196">
        <f t="shared" si="16"/>
        <v>38.25</v>
      </c>
      <c r="H1086" s="196">
        <v>15100</v>
      </c>
      <c r="I1086" s="196" t="s">
        <v>1104</v>
      </c>
      <c r="J1086" s="196"/>
    </row>
    <row r="1087" spans="1:10" ht="14.4" hidden="1" outlineLevel="1">
      <c r="A1087" s="196" t="s">
        <v>351</v>
      </c>
      <c r="B1087" s="197">
        <v>41954</v>
      </c>
      <c r="C1087" s="196" t="s">
        <v>967</v>
      </c>
      <c r="D1087" s="196">
        <v>77</v>
      </c>
      <c r="E1087" s="196" t="s">
        <v>1102</v>
      </c>
      <c r="F1087" s="196">
        <v>76</v>
      </c>
      <c r="G1087" s="196">
        <f t="shared" si="16"/>
        <v>38</v>
      </c>
      <c r="H1087" s="196">
        <v>88170</v>
      </c>
      <c r="I1087" s="196" t="s">
        <v>1103</v>
      </c>
      <c r="J1087" s="196"/>
    </row>
    <row r="1088" spans="1:10" ht="14.4" hidden="1" outlineLevel="1">
      <c r="A1088" s="196" t="s">
        <v>351</v>
      </c>
      <c r="B1088" s="197">
        <v>41955</v>
      </c>
      <c r="C1088" s="196" t="s">
        <v>1070</v>
      </c>
      <c r="D1088" s="196">
        <v>78</v>
      </c>
      <c r="E1088" s="196" t="s">
        <v>972</v>
      </c>
      <c r="F1088" s="196">
        <v>77.900000000000006</v>
      </c>
      <c r="G1088" s="196">
        <f t="shared" si="16"/>
        <v>38.950000000000003</v>
      </c>
      <c r="H1088" s="196">
        <v>18742</v>
      </c>
      <c r="I1088" s="196" t="s">
        <v>1101</v>
      </c>
      <c r="J1088" s="196"/>
    </row>
    <row r="1089" spans="1:10" ht="14.4" hidden="1" outlineLevel="1">
      <c r="A1089" s="196" t="s">
        <v>351</v>
      </c>
      <c r="B1089" s="197">
        <v>41956</v>
      </c>
      <c r="C1089" s="196" t="s">
        <v>962</v>
      </c>
      <c r="D1089" s="196">
        <v>83.5</v>
      </c>
      <c r="E1089" s="196" t="s">
        <v>1043</v>
      </c>
      <c r="F1089" s="196">
        <v>80.099999999999994</v>
      </c>
      <c r="G1089" s="196">
        <f t="shared" si="16"/>
        <v>40.049999999999997</v>
      </c>
      <c r="H1089" s="196">
        <v>1309923</v>
      </c>
      <c r="I1089" s="196" t="s">
        <v>1100</v>
      </c>
      <c r="J1089" s="196"/>
    </row>
    <row r="1090" spans="1:10" ht="14.4" hidden="1" outlineLevel="1">
      <c r="A1090" s="196" t="s">
        <v>351</v>
      </c>
      <c r="B1090" s="197">
        <v>41957</v>
      </c>
      <c r="C1090" s="196" t="s">
        <v>1007</v>
      </c>
      <c r="D1090" s="196">
        <v>83.9</v>
      </c>
      <c r="E1090" s="196" t="s">
        <v>1090</v>
      </c>
      <c r="F1090" s="196">
        <v>82.7</v>
      </c>
      <c r="G1090" s="196">
        <f t="shared" si="16"/>
        <v>41.35</v>
      </c>
      <c r="H1090" s="196">
        <v>403749</v>
      </c>
      <c r="I1090" s="196" t="s">
        <v>1098</v>
      </c>
      <c r="J1090" s="196"/>
    </row>
    <row r="1091" spans="1:10" ht="14.4" hidden="1" outlineLevel="1">
      <c r="A1091" s="196" t="s">
        <v>351</v>
      </c>
      <c r="B1091" s="197">
        <v>41957</v>
      </c>
      <c r="C1091" s="196" t="s">
        <v>88</v>
      </c>
      <c r="D1091" s="196">
        <v>83</v>
      </c>
      <c r="E1091" s="196" t="s">
        <v>1013</v>
      </c>
      <c r="F1091" s="196">
        <v>0</v>
      </c>
      <c r="G1091" s="196">
        <f t="shared" si="16"/>
        <v>0</v>
      </c>
      <c r="H1091" s="196">
        <v>515678</v>
      </c>
      <c r="I1091" s="196" t="s">
        <v>1099</v>
      </c>
      <c r="J1091" s="196"/>
    </row>
    <row r="1092" spans="1:10" ht="14.4" hidden="1" outlineLevel="1">
      <c r="A1092" s="196" t="s">
        <v>351</v>
      </c>
      <c r="B1092" s="197">
        <v>41960</v>
      </c>
      <c r="C1092" s="196" t="s">
        <v>1096</v>
      </c>
      <c r="D1092" s="196">
        <v>83.5</v>
      </c>
      <c r="E1092" s="196" t="s">
        <v>1007</v>
      </c>
      <c r="F1092" s="196">
        <v>83</v>
      </c>
      <c r="G1092" s="196">
        <f t="shared" si="16"/>
        <v>41.5</v>
      </c>
      <c r="H1092" s="196">
        <v>338084</v>
      </c>
      <c r="I1092" s="196" t="s">
        <v>1097</v>
      </c>
      <c r="J1092" s="196"/>
    </row>
    <row r="1093" spans="1:10" ht="14.4" hidden="1" outlineLevel="1">
      <c r="A1093" s="196" t="s">
        <v>351</v>
      </c>
      <c r="B1093" s="197">
        <v>41961</v>
      </c>
      <c r="C1093" s="196" t="s">
        <v>1013</v>
      </c>
      <c r="D1093" s="196">
        <v>83</v>
      </c>
      <c r="E1093" s="196" t="s">
        <v>1007</v>
      </c>
      <c r="F1093" s="196">
        <v>82.9</v>
      </c>
      <c r="G1093" s="196">
        <f t="shared" ref="G1093:G1156" si="17">F1093/2</f>
        <v>41.45</v>
      </c>
      <c r="H1093" s="196">
        <v>131975</v>
      </c>
      <c r="I1093" s="196" t="s">
        <v>1095</v>
      </c>
      <c r="J1093" s="196"/>
    </row>
    <row r="1094" spans="1:10" ht="14.4" hidden="1" outlineLevel="1">
      <c r="A1094" s="196" t="s">
        <v>351</v>
      </c>
      <c r="B1094" s="197">
        <v>41962</v>
      </c>
      <c r="C1094" s="196" t="s">
        <v>1013</v>
      </c>
      <c r="D1094" s="196">
        <v>83</v>
      </c>
      <c r="E1094" s="196" t="s">
        <v>1037</v>
      </c>
      <c r="F1094" s="196">
        <v>82.4</v>
      </c>
      <c r="G1094" s="196">
        <f t="shared" si="17"/>
        <v>41.2</v>
      </c>
      <c r="H1094" s="196">
        <v>55001</v>
      </c>
      <c r="I1094" s="196" t="s">
        <v>1094</v>
      </c>
      <c r="J1094" s="196"/>
    </row>
    <row r="1095" spans="1:10" ht="14.4" hidden="1" outlineLevel="1">
      <c r="A1095" s="196" t="s">
        <v>351</v>
      </c>
      <c r="B1095" s="197">
        <v>41963</v>
      </c>
      <c r="C1095" s="196" t="s">
        <v>1092</v>
      </c>
      <c r="D1095" s="196">
        <v>82.3</v>
      </c>
      <c r="E1095" s="196" t="s">
        <v>1090</v>
      </c>
      <c r="F1095" s="196">
        <v>82</v>
      </c>
      <c r="G1095" s="196">
        <f t="shared" si="17"/>
        <v>41</v>
      </c>
      <c r="H1095" s="196">
        <v>141004</v>
      </c>
      <c r="I1095" s="196" t="s">
        <v>1093</v>
      </c>
      <c r="J1095" s="196"/>
    </row>
    <row r="1096" spans="1:10" ht="14.4" hidden="1" outlineLevel="1">
      <c r="A1096" s="196" t="s">
        <v>351</v>
      </c>
      <c r="B1096" s="197">
        <v>41964</v>
      </c>
      <c r="C1096" s="196" t="s">
        <v>1090</v>
      </c>
      <c r="D1096" s="196">
        <v>82</v>
      </c>
      <c r="E1096" s="196" t="s">
        <v>997</v>
      </c>
      <c r="F1096" s="196">
        <v>80</v>
      </c>
      <c r="G1096" s="196">
        <f t="shared" si="17"/>
        <v>40</v>
      </c>
      <c r="H1096" s="196">
        <v>281515</v>
      </c>
      <c r="I1096" s="196" t="s">
        <v>1091</v>
      </c>
      <c r="J1096" s="196"/>
    </row>
    <row r="1097" spans="1:10" ht="14.4" hidden="1" outlineLevel="1">
      <c r="A1097" s="196" t="s">
        <v>351</v>
      </c>
      <c r="B1097" s="197">
        <v>41967</v>
      </c>
      <c r="C1097" s="196" t="s">
        <v>997</v>
      </c>
      <c r="D1097" s="196">
        <v>81.900000000000006</v>
      </c>
      <c r="E1097" s="196" t="s">
        <v>972</v>
      </c>
      <c r="F1097" s="196">
        <v>79.099999999999994</v>
      </c>
      <c r="G1097" s="196">
        <f t="shared" si="17"/>
        <v>39.549999999999997</v>
      </c>
      <c r="H1097" s="196">
        <v>79395</v>
      </c>
      <c r="I1097" s="196" t="s">
        <v>1089</v>
      </c>
      <c r="J1097" s="196"/>
    </row>
    <row r="1098" spans="1:10" ht="14.4" hidden="1" outlineLevel="1">
      <c r="A1098" s="196" t="s">
        <v>351</v>
      </c>
      <c r="B1098" s="197">
        <v>41968</v>
      </c>
      <c r="C1098" s="196" t="s">
        <v>997</v>
      </c>
      <c r="D1098" s="196">
        <v>79.8</v>
      </c>
      <c r="E1098" s="196" t="s">
        <v>974</v>
      </c>
      <c r="F1098" s="196">
        <v>77.8</v>
      </c>
      <c r="G1098" s="196">
        <f t="shared" si="17"/>
        <v>38.9</v>
      </c>
      <c r="H1098" s="196">
        <v>12350</v>
      </c>
      <c r="I1098" s="196" t="s">
        <v>1088</v>
      </c>
      <c r="J1098" s="196"/>
    </row>
    <row r="1099" spans="1:10" ht="14.4" hidden="1" outlineLevel="1">
      <c r="A1099" s="196" t="s">
        <v>351</v>
      </c>
      <c r="B1099" s="197">
        <v>41969</v>
      </c>
      <c r="C1099" s="196" t="s">
        <v>962</v>
      </c>
      <c r="D1099" s="196">
        <v>78</v>
      </c>
      <c r="E1099" s="196" t="s">
        <v>972</v>
      </c>
      <c r="F1099" s="196">
        <v>76</v>
      </c>
      <c r="G1099" s="196">
        <f t="shared" si="17"/>
        <v>38</v>
      </c>
      <c r="H1099" s="196">
        <v>22123</v>
      </c>
      <c r="I1099" s="196" t="s">
        <v>1087</v>
      </c>
      <c r="J1099" s="196"/>
    </row>
    <row r="1100" spans="1:10" ht="14.4" hidden="1" outlineLevel="1">
      <c r="A1100" s="196" t="s">
        <v>351</v>
      </c>
      <c r="B1100" s="197">
        <v>41970</v>
      </c>
      <c r="C1100" s="196" t="s">
        <v>974</v>
      </c>
      <c r="D1100" s="196">
        <v>77</v>
      </c>
      <c r="E1100" s="196" t="s">
        <v>1085</v>
      </c>
      <c r="F1100" s="196">
        <v>76</v>
      </c>
      <c r="G1100" s="196">
        <f t="shared" si="17"/>
        <v>38</v>
      </c>
      <c r="H1100" s="196">
        <v>8200</v>
      </c>
      <c r="I1100" s="196" t="s">
        <v>1086</v>
      </c>
      <c r="J1100" s="196"/>
    </row>
    <row r="1101" spans="1:10" ht="14.4" hidden="1" outlineLevel="1">
      <c r="A1101" s="196" t="s">
        <v>351</v>
      </c>
      <c r="B1101" s="197">
        <v>41971</v>
      </c>
      <c r="C1101" s="196" t="s">
        <v>980</v>
      </c>
      <c r="D1101" s="196">
        <v>77.099999999999994</v>
      </c>
      <c r="E1101" s="196" t="s">
        <v>980</v>
      </c>
      <c r="F1101" s="196">
        <v>77.099999999999994</v>
      </c>
      <c r="G1101" s="196">
        <f t="shared" si="17"/>
        <v>38.549999999999997</v>
      </c>
      <c r="H1101" s="196">
        <v>4307</v>
      </c>
      <c r="I1101" s="196" t="s">
        <v>1084</v>
      </c>
      <c r="J1101" s="196"/>
    </row>
    <row r="1102" spans="1:10" ht="14.4" hidden="1" outlineLevel="1">
      <c r="A1102" s="196" t="s">
        <v>351</v>
      </c>
      <c r="B1102" s="197">
        <v>41974</v>
      </c>
      <c r="C1102" s="196" t="s">
        <v>1082</v>
      </c>
      <c r="D1102" s="196">
        <v>79</v>
      </c>
      <c r="E1102" s="196" t="s">
        <v>1082</v>
      </c>
      <c r="F1102" s="196">
        <v>79</v>
      </c>
      <c r="G1102" s="196">
        <f t="shared" si="17"/>
        <v>39.5</v>
      </c>
      <c r="H1102" s="196">
        <v>1205</v>
      </c>
      <c r="I1102" s="196" t="s">
        <v>1083</v>
      </c>
      <c r="J1102" s="196"/>
    </row>
    <row r="1103" spans="1:10" ht="14.4" hidden="1" outlineLevel="1">
      <c r="A1103" s="196" t="s">
        <v>351</v>
      </c>
      <c r="B1103" s="197">
        <v>41975</v>
      </c>
      <c r="C1103" s="196" t="s">
        <v>1043</v>
      </c>
      <c r="D1103" s="196">
        <v>79.2</v>
      </c>
      <c r="E1103" s="196" t="s">
        <v>974</v>
      </c>
      <c r="F1103" s="196">
        <v>77.099999999999994</v>
      </c>
      <c r="G1103" s="196">
        <f t="shared" si="17"/>
        <v>38.549999999999997</v>
      </c>
      <c r="H1103" s="196">
        <v>165729</v>
      </c>
      <c r="I1103" s="196" t="s">
        <v>1081</v>
      </c>
      <c r="J1103" s="196"/>
    </row>
    <row r="1104" spans="1:10" ht="14.4" hidden="1" outlineLevel="1">
      <c r="A1104" s="196" t="s">
        <v>351</v>
      </c>
      <c r="B1104" s="197">
        <v>41976</v>
      </c>
      <c r="C1104" s="196" t="s">
        <v>88</v>
      </c>
      <c r="D1104" s="196" t="s">
        <v>88</v>
      </c>
      <c r="E1104" s="196" t="s">
        <v>88</v>
      </c>
      <c r="F1104" s="196">
        <v>77.099999999999994</v>
      </c>
      <c r="G1104" s="196">
        <f t="shared" si="17"/>
        <v>38.549999999999997</v>
      </c>
      <c r="H1104" s="196">
        <v>0</v>
      </c>
      <c r="I1104" s="196" t="s">
        <v>611</v>
      </c>
      <c r="J1104" s="196"/>
    </row>
    <row r="1105" spans="1:10" ht="14.4" hidden="1" outlineLevel="1">
      <c r="A1105" s="196" t="s">
        <v>351</v>
      </c>
      <c r="B1105" s="197">
        <v>41977</v>
      </c>
      <c r="C1105" s="196" t="s">
        <v>1079</v>
      </c>
      <c r="D1105" s="196">
        <v>78.8</v>
      </c>
      <c r="E1105" s="196" t="s">
        <v>1079</v>
      </c>
      <c r="F1105" s="196">
        <v>78</v>
      </c>
      <c r="G1105" s="196">
        <f t="shared" si="17"/>
        <v>39</v>
      </c>
      <c r="H1105" s="196">
        <v>1500</v>
      </c>
      <c r="I1105" s="196" t="s">
        <v>1080</v>
      </c>
      <c r="J1105" s="196"/>
    </row>
    <row r="1106" spans="1:10" ht="14.4" hidden="1" outlineLevel="1">
      <c r="A1106" s="196" t="s">
        <v>351</v>
      </c>
      <c r="B1106" s="197">
        <v>41978</v>
      </c>
      <c r="C1106" s="196" t="s">
        <v>962</v>
      </c>
      <c r="D1106" s="196">
        <v>78</v>
      </c>
      <c r="E1106" s="196" t="s">
        <v>974</v>
      </c>
      <c r="F1106" s="196">
        <v>77</v>
      </c>
      <c r="G1106" s="196">
        <f t="shared" si="17"/>
        <v>38.5</v>
      </c>
      <c r="H1106" s="196">
        <v>180193</v>
      </c>
      <c r="I1106" s="196" t="s">
        <v>1078</v>
      </c>
      <c r="J1106" s="196"/>
    </row>
    <row r="1107" spans="1:10" ht="14.4" hidden="1" outlineLevel="1">
      <c r="A1107" s="196" t="s">
        <v>351</v>
      </c>
      <c r="B1107" s="197">
        <v>41981</v>
      </c>
      <c r="C1107" s="196" t="s">
        <v>974</v>
      </c>
      <c r="D1107" s="196">
        <v>77.2</v>
      </c>
      <c r="E1107" s="196" t="s">
        <v>974</v>
      </c>
      <c r="F1107" s="196">
        <v>77.2</v>
      </c>
      <c r="G1107" s="196">
        <f t="shared" si="17"/>
        <v>38.6</v>
      </c>
      <c r="H1107" s="196">
        <v>300</v>
      </c>
      <c r="I1107" s="196" t="s">
        <v>1077</v>
      </c>
      <c r="J1107" s="196"/>
    </row>
    <row r="1108" spans="1:10" ht="14.4" hidden="1" outlineLevel="1">
      <c r="A1108" s="196" t="s">
        <v>351</v>
      </c>
      <c r="B1108" s="197">
        <v>41982</v>
      </c>
      <c r="C1108" s="196" t="s">
        <v>974</v>
      </c>
      <c r="D1108" s="196">
        <v>77</v>
      </c>
      <c r="E1108" s="196" t="s">
        <v>972</v>
      </c>
      <c r="F1108" s="196">
        <v>76.900000000000006</v>
      </c>
      <c r="G1108" s="196">
        <f t="shared" si="17"/>
        <v>38.450000000000003</v>
      </c>
      <c r="H1108" s="196">
        <v>5490</v>
      </c>
      <c r="I1108" s="196" t="s">
        <v>1076</v>
      </c>
      <c r="J1108" s="196"/>
    </row>
    <row r="1109" spans="1:10" ht="14.4" hidden="1" outlineLevel="1">
      <c r="A1109" s="196" t="s">
        <v>351</v>
      </c>
      <c r="B1109" s="197">
        <v>41983</v>
      </c>
      <c r="C1109" s="196" t="s">
        <v>972</v>
      </c>
      <c r="D1109" s="196">
        <v>79</v>
      </c>
      <c r="E1109" s="196" t="s">
        <v>972</v>
      </c>
      <c r="F1109" s="196">
        <v>77</v>
      </c>
      <c r="G1109" s="196">
        <f t="shared" si="17"/>
        <v>38.5</v>
      </c>
      <c r="H1109" s="196">
        <v>35502</v>
      </c>
      <c r="I1109" s="196" t="s">
        <v>1075</v>
      </c>
      <c r="J1109" s="196"/>
    </row>
    <row r="1110" spans="1:10" ht="14.4" hidden="1" outlineLevel="1">
      <c r="A1110" s="196" t="s">
        <v>351</v>
      </c>
      <c r="B1110" s="197">
        <v>41984</v>
      </c>
      <c r="C1110" s="196" t="s">
        <v>1045</v>
      </c>
      <c r="D1110" s="196">
        <v>77.5</v>
      </c>
      <c r="E1110" s="196" t="s">
        <v>1072</v>
      </c>
      <c r="F1110" s="196">
        <v>76.3</v>
      </c>
      <c r="G1110" s="196">
        <f t="shared" si="17"/>
        <v>38.15</v>
      </c>
      <c r="H1110" s="196">
        <v>9720</v>
      </c>
      <c r="I1110" s="196" t="s">
        <v>1074</v>
      </c>
      <c r="J1110" s="196"/>
    </row>
    <row r="1111" spans="1:10" ht="14.4" hidden="1" outlineLevel="1">
      <c r="A1111" s="196" t="s">
        <v>351</v>
      </c>
      <c r="B1111" s="197">
        <v>41985</v>
      </c>
      <c r="C1111" s="196" t="s">
        <v>1061</v>
      </c>
      <c r="D1111" s="196">
        <v>77</v>
      </c>
      <c r="E1111" s="196" t="s">
        <v>1072</v>
      </c>
      <c r="F1111" s="196">
        <v>76.2</v>
      </c>
      <c r="G1111" s="196">
        <f t="shared" si="17"/>
        <v>38.1</v>
      </c>
      <c r="H1111" s="196">
        <v>13970</v>
      </c>
      <c r="I1111" s="196" t="s">
        <v>1073</v>
      </c>
      <c r="J1111" s="196"/>
    </row>
    <row r="1112" spans="1:10" ht="14.4" hidden="1" outlineLevel="1">
      <c r="A1112" s="196" t="s">
        <v>351</v>
      </c>
      <c r="B1112" s="197">
        <v>41988</v>
      </c>
      <c r="C1112" s="196" t="s">
        <v>88</v>
      </c>
      <c r="D1112" s="196" t="s">
        <v>88</v>
      </c>
      <c r="E1112" s="196" t="s">
        <v>88</v>
      </c>
      <c r="F1112" s="196">
        <v>76.2</v>
      </c>
      <c r="G1112" s="196">
        <f t="shared" si="17"/>
        <v>38.1</v>
      </c>
      <c r="H1112" s="196">
        <v>0</v>
      </c>
      <c r="I1112" s="196" t="s">
        <v>611</v>
      </c>
      <c r="J1112" s="196"/>
    </row>
    <row r="1113" spans="1:10" ht="14.4" hidden="1" outlineLevel="1">
      <c r="A1113" s="196" t="s">
        <v>351</v>
      </c>
      <c r="B1113" s="197">
        <v>41989</v>
      </c>
      <c r="C1113" s="196" t="s">
        <v>1070</v>
      </c>
      <c r="D1113" s="196">
        <v>77</v>
      </c>
      <c r="E1113" s="196" t="s">
        <v>972</v>
      </c>
      <c r="F1113" s="196">
        <v>77</v>
      </c>
      <c r="G1113" s="196">
        <f t="shared" si="17"/>
        <v>38.5</v>
      </c>
      <c r="H1113" s="196">
        <v>47171</v>
      </c>
      <c r="I1113" s="196" t="s">
        <v>1071</v>
      </c>
      <c r="J1113" s="196"/>
    </row>
    <row r="1114" spans="1:10" ht="14.4" hidden="1" outlineLevel="1">
      <c r="A1114" s="196" t="s">
        <v>351</v>
      </c>
      <c r="B1114" s="197">
        <v>41990</v>
      </c>
      <c r="C1114" s="196" t="s">
        <v>1061</v>
      </c>
      <c r="D1114" s="196">
        <v>76.3</v>
      </c>
      <c r="E1114" s="196" t="s">
        <v>1061</v>
      </c>
      <c r="F1114" s="196">
        <v>76.3</v>
      </c>
      <c r="G1114" s="196">
        <f t="shared" si="17"/>
        <v>38.15</v>
      </c>
      <c r="H1114" s="196">
        <v>743</v>
      </c>
      <c r="I1114" s="196" t="s">
        <v>1069</v>
      </c>
      <c r="J1114" s="196"/>
    </row>
    <row r="1115" spans="1:10" ht="14.4" hidden="1" outlineLevel="1">
      <c r="A1115" s="196" t="s">
        <v>351</v>
      </c>
      <c r="B1115" s="197">
        <v>41991</v>
      </c>
      <c r="C1115" s="196" t="s">
        <v>1058</v>
      </c>
      <c r="D1115" s="196">
        <v>78.900000000000006</v>
      </c>
      <c r="E1115" s="196" t="s">
        <v>1061</v>
      </c>
      <c r="F1115" s="196">
        <v>76.3</v>
      </c>
      <c r="G1115" s="196">
        <f t="shared" si="17"/>
        <v>38.15</v>
      </c>
      <c r="H1115" s="196">
        <v>767</v>
      </c>
      <c r="I1115" s="196" t="s">
        <v>1068</v>
      </c>
      <c r="J1115" s="196"/>
    </row>
    <row r="1116" spans="1:10" ht="14.4" hidden="1" outlineLevel="1">
      <c r="A1116" s="196" t="s">
        <v>351</v>
      </c>
      <c r="B1116" s="197">
        <v>41992</v>
      </c>
      <c r="C1116" s="196" t="s">
        <v>975</v>
      </c>
      <c r="D1116" s="196">
        <v>76.8</v>
      </c>
      <c r="E1116" s="196" t="s">
        <v>967</v>
      </c>
      <c r="F1116" s="196">
        <v>76.5</v>
      </c>
      <c r="G1116" s="196">
        <f t="shared" si="17"/>
        <v>38.25</v>
      </c>
      <c r="H1116" s="196">
        <v>510</v>
      </c>
      <c r="I1116" s="196" t="s">
        <v>1067</v>
      </c>
      <c r="J1116" s="196"/>
    </row>
    <row r="1117" spans="1:10" ht="14.4" hidden="1" outlineLevel="1">
      <c r="A1117" s="196" t="s">
        <v>351</v>
      </c>
      <c r="B1117" s="197">
        <v>41995</v>
      </c>
      <c r="C1117" s="196" t="s">
        <v>88</v>
      </c>
      <c r="D1117" s="196" t="s">
        <v>88</v>
      </c>
      <c r="E1117" s="196" t="s">
        <v>88</v>
      </c>
      <c r="F1117" s="196">
        <v>76.5</v>
      </c>
      <c r="G1117" s="196">
        <f t="shared" si="17"/>
        <v>38.25</v>
      </c>
      <c r="H1117" s="196">
        <v>0</v>
      </c>
      <c r="I1117" s="196" t="s">
        <v>611</v>
      </c>
      <c r="J1117" s="196"/>
    </row>
    <row r="1118" spans="1:10" ht="14.4" hidden="1" outlineLevel="1">
      <c r="A1118" s="196" t="s">
        <v>351</v>
      </c>
      <c r="B1118" s="197">
        <v>41996</v>
      </c>
      <c r="C1118" s="196" t="s">
        <v>967</v>
      </c>
      <c r="D1118" s="196">
        <v>76.5</v>
      </c>
      <c r="E1118" s="196" t="s">
        <v>967</v>
      </c>
      <c r="F1118" s="196">
        <v>76.5</v>
      </c>
      <c r="G1118" s="196">
        <f t="shared" si="17"/>
        <v>38.25</v>
      </c>
      <c r="H1118" s="196">
        <v>300</v>
      </c>
      <c r="I1118" s="196" t="s">
        <v>1066</v>
      </c>
      <c r="J1118" s="196"/>
    </row>
    <row r="1119" spans="1:10" ht="14.4" hidden="1" outlineLevel="1">
      <c r="A1119" s="196" t="s">
        <v>351</v>
      </c>
      <c r="B1119" s="197">
        <v>41997</v>
      </c>
      <c r="C1119" s="196" t="s">
        <v>88</v>
      </c>
      <c r="D1119" s="196" t="s">
        <v>88</v>
      </c>
      <c r="E1119" s="196" t="s">
        <v>88</v>
      </c>
      <c r="F1119" s="196">
        <v>76.5</v>
      </c>
      <c r="G1119" s="196">
        <f t="shared" si="17"/>
        <v>38.25</v>
      </c>
      <c r="H1119" s="196">
        <v>0</v>
      </c>
      <c r="I1119" s="196" t="s">
        <v>611</v>
      </c>
      <c r="J1119" s="196"/>
    </row>
    <row r="1120" spans="1:10" ht="14.4" hidden="1" outlineLevel="1">
      <c r="A1120" s="196" t="s">
        <v>351</v>
      </c>
      <c r="B1120" s="197">
        <v>41999</v>
      </c>
      <c r="C1120" s="196" t="s">
        <v>974</v>
      </c>
      <c r="D1120" s="196">
        <v>77</v>
      </c>
      <c r="E1120" s="196" t="s">
        <v>974</v>
      </c>
      <c r="F1120" s="196">
        <v>77</v>
      </c>
      <c r="G1120" s="196">
        <f t="shared" si="17"/>
        <v>38.5</v>
      </c>
      <c r="H1120" s="196">
        <v>200</v>
      </c>
      <c r="I1120" s="196" t="s">
        <v>1065</v>
      </c>
      <c r="J1120" s="196"/>
    </row>
    <row r="1121" spans="1:10" ht="14.4" hidden="1" outlineLevel="1">
      <c r="A1121" s="196" t="s">
        <v>351</v>
      </c>
      <c r="B1121" s="197">
        <v>42002</v>
      </c>
      <c r="C1121" s="196" t="s">
        <v>967</v>
      </c>
      <c r="D1121" s="196">
        <v>76.5</v>
      </c>
      <c r="E1121" s="196" t="s">
        <v>967</v>
      </c>
      <c r="F1121" s="196">
        <v>76.5</v>
      </c>
      <c r="G1121" s="196">
        <f t="shared" si="17"/>
        <v>38.25</v>
      </c>
      <c r="H1121" s="196">
        <v>20</v>
      </c>
      <c r="I1121" s="196" t="s">
        <v>1064</v>
      </c>
      <c r="J1121" s="196"/>
    </row>
    <row r="1122" spans="1:10" ht="14.4" hidden="1" outlineLevel="1">
      <c r="A1122" s="196" t="s">
        <v>351</v>
      </c>
      <c r="B1122" s="197">
        <v>42003</v>
      </c>
      <c r="C1122" s="196" t="s">
        <v>1061</v>
      </c>
      <c r="D1122" s="196">
        <v>76.5</v>
      </c>
      <c r="E1122" s="196" t="s">
        <v>1061</v>
      </c>
      <c r="F1122" s="196">
        <v>76.5</v>
      </c>
      <c r="G1122" s="196">
        <f t="shared" si="17"/>
        <v>38.25</v>
      </c>
      <c r="H1122" s="196">
        <v>515</v>
      </c>
      <c r="I1122" s="196" t="s">
        <v>1063</v>
      </c>
      <c r="J1122" s="196"/>
    </row>
    <row r="1123" spans="1:10" ht="14.4" hidden="1" outlineLevel="1">
      <c r="A1123" s="196" t="s">
        <v>351</v>
      </c>
      <c r="B1123" s="197">
        <v>42004</v>
      </c>
      <c r="C1123" s="196" t="s">
        <v>979</v>
      </c>
      <c r="D1123" s="196">
        <v>76.5</v>
      </c>
      <c r="E1123" s="196" t="s">
        <v>1061</v>
      </c>
      <c r="F1123" s="196">
        <v>76.400000000000006</v>
      </c>
      <c r="G1123" s="196">
        <f t="shared" si="17"/>
        <v>38.200000000000003</v>
      </c>
      <c r="H1123" s="196">
        <v>7144</v>
      </c>
      <c r="I1123" s="196" t="s">
        <v>1062</v>
      </c>
      <c r="J1123" s="196"/>
    </row>
    <row r="1124" spans="1:10" ht="14.4" hidden="1" outlineLevel="1">
      <c r="A1124" s="196" t="s">
        <v>351</v>
      </c>
      <c r="B1124" s="197">
        <v>42006</v>
      </c>
      <c r="C1124" s="196" t="s">
        <v>967</v>
      </c>
      <c r="D1124" s="196">
        <v>76.5</v>
      </c>
      <c r="E1124" s="196" t="s">
        <v>967</v>
      </c>
      <c r="F1124" s="196">
        <v>76.5</v>
      </c>
      <c r="G1124" s="196">
        <f t="shared" si="17"/>
        <v>38.25</v>
      </c>
      <c r="H1124" s="196">
        <v>2000</v>
      </c>
      <c r="I1124" s="196" t="s">
        <v>1060</v>
      </c>
      <c r="J1124" s="196"/>
    </row>
    <row r="1125" spans="1:10" ht="14.4" hidden="1" outlineLevel="1">
      <c r="A1125" s="196" t="s">
        <v>351</v>
      </c>
      <c r="B1125" s="197">
        <v>42010</v>
      </c>
      <c r="C1125" s="196" t="s">
        <v>1058</v>
      </c>
      <c r="D1125" s="196">
        <v>80.5</v>
      </c>
      <c r="E1125" s="196" t="s">
        <v>1058</v>
      </c>
      <c r="F1125" s="196">
        <v>79.900000000000006</v>
      </c>
      <c r="G1125" s="196">
        <f t="shared" si="17"/>
        <v>39.950000000000003</v>
      </c>
      <c r="H1125" s="196">
        <v>13012</v>
      </c>
      <c r="I1125" s="196" t="s">
        <v>1059</v>
      </c>
      <c r="J1125" s="196"/>
    </row>
    <row r="1126" spans="1:10" ht="14.4" hidden="1" outlineLevel="1">
      <c r="A1126" s="196" t="s">
        <v>351</v>
      </c>
      <c r="B1126" s="197">
        <v>42011</v>
      </c>
      <c r="C1126" s="196" t="s">
        <v>950</v>
      </c>
      <c r="D1126" s="196">
        <v>80</v>
      </c>
      <c r="E1126" s="196" t="s">
        <v>1001</v>
      </c>
      <c r="F1126" s="196">
        <v>79.8</v>
      </c>
      <c r="G1126" s="196">
        <f t="shared" si="17"/>
        <v>39.9</v>
      </c>
      <c r="H1126" s="196">
        <v>16170</v>
      </c>
      <c r="I1126" s="196" t="s">
        <v>1057</v>
      </c>
      <c r="J1126" s="196"/>
    </row>
    <row r="1127" spans="1:10" ht="14.4" hidden="1" outlineLevel="1">
      <c r="A1127" s="196" t="s">
        <v>351</v>
      </c>
      <c r="B1127" s="197">
        <v>42012</v>
      </c>
      <c r="C1127" s="196" t="s">
        <v>1001</v>
      </c>
      <c r="D1127" s="196">
        <v>82</v>
      </c>
      <c r="E1127" s="196" t="s">
        <v>1001</v>
      </c>
      <c r="F1127" s="196">
        <v>81.400000000000006</v>
      </c>
      <c r="G1127" s="196">
        <f t="shared" si="17"/>
        <v>40.700000000000003</v>
      </c>
      <c r="H1127" s="196">
        <v>116350</v>
      </c>
      <c r="I1127" s="196" t="s">
        <v>1056</v>
      </c>
      <c r="J1127" s="196"/>
    </row>
    <row r="1128" spans="1:10" ht="14.4" hidden="1" outlineLevel="1">
      <c r="A1128" s="196" t="s">
        <v>351</v>
      </c>
      <c r="B1128" s="197">
        <v>42013</v>
      </c>
      <c r="C1128" s="196" t="s">
        <v>1007</v>
      </c>
      <c r="D1128" s="196">
        <v>83.6</v>
      </c>
      <c r="E1128" s="196" t="s">
        <v>1054</v>
      </c>
      <c r="F1128" s="196">
        <v>81.8</v>
      </c>
      <c r="G1128" s="196">
        <f t="shared" si="17"/>
        <v>40.9</v>
      </c>
      <c r="H1128" s="196">
        <v>68129</v>
      </c>
      <c r="I1128" s="196" t="s">
        <v>1055</v>
      </c>
      <c r="J1128" s="196"/>
    </row>
    <row r="1129" spans="1:10" ht="14.4" hidden="1" outlineLevel="1">
      <c r="A1129" s="196" t="s">
        <v>351</v>
      </c>
      <c r="B1129" s="197">
        <v>42016</v>
      </c>
      <c r="C1129" s="196" t="s">
        <v>1013</v>
      </c>
      <c r="D1129" s="196">
        <v>83.5</v>
      </c>
      <c r="E1129" s="196" t="s">
        <v>1052</v>
      </c>
      <c r="F1129" s="196">
        <v>80.400000000000006</v>
      </c>
      <c r="G1129" s="196">
        <f t="shared" si="17"/>
        <v>40.200000000000003</v>
      </c>
      <c r="H1129" s="196">
        <v>102548</v>
      </c>
      <c r="I1129" s="196" t="s">
        <v>1053</v>
      </c>
      <c r="J1129" s="196"/>
    </row>
    <row r="1130" spans="1:10" ht="14.4" hidden="1" outlineLevel="1">
      <c r="A1130" s="196" t="s">
        <v>351</v>
      </c>
      <c r="B1130" s="197">
        <v>42017</v>
      </c>
      <c r="C1130" s="196" t="s">
        <v>1037</v>
      </c>
      <c r="D1130" s="196">
        <v>82.9</v>
      </c>
      <c r="E1130" s="196" t="s">
        <v>950</v>
      </c>
      <c r="F1130" s="196">
        <v>80.099999999999994</v>
      </c>
      <c r="G1130" s="196">
        <f t="shared" si="17"/>
        <v>40.049999999999997</v>
      </c>
      <c r="H1130" s="196">
        <v>2550</v>
      </c>
      <c r="I1130" s="196" t="s">
        <v>1051</v>
      </c>
      <c r="J1130" s="196"/>
    </row>
    <row r="1131" spans="1:10" ht="14.4" hidden="1" outlineLevel="1">
      <c r="A1131" s="196" t="s">
        <v>351</v>
      </c>
      <c r="B1131" s="197">
        <v>42020</v>
      </c>
      <c r="C1131" s="196" t="s">
        <v>950</v>
      </c>
      <c r="D1131" s="196">
        <v>80</v>
      </c>
      <c r="E1131" s="196" t="s">
        <v>959</v>
      </c>
      <c r="F1131" s="196">
        <v>80</v>
      </c>
      <c r="G1131" s="196">
        <f t="shared" si="17"/>
        <v>40</v>
      </c>
      <c r="H1131" s="196">
        <v>10341</v>
      </c>
      <c r="I1131" s="196" t="s">
        <v>1050</v>
      </c>
      <c r="J1131" s="196"/>
    </row>
    <row r="1132" spans="1:10" ht="14.4" hidden="1" outlineLevel="1">
      <c r="A1132" s="196" t="s">
        <v>351</v>
      </c>
      <c r="B1132" s="197">
        <v>42023</v>
      </c>
      <c r="C1132" s="196" t="s">
        <v>950</v>
      </c>
      <c r="D1132" s="196">
        <v>80</v>
      </c>
      <c r="E1132" s="196" t="s">
        <v>962</v>
      </c>
      <c r="F1132" s="196">
        <v>78</v>
      </c>
      <c r="G1132" s="196">
        <f t="shared" si="17"/>
        <v>39</v>
      </c>
      <c r="H1132" s="196">
        <v>76735</v>
      </c>
      <c r="I1132" s="196" t="s">
        <v>1049</v>
      </c>
      <c r="J1132" s="196"/>
    </row>
    <row r="1133" spans="1:10" ht="14.4" hidden="1" outlineLevel="1">
      <c r="A1133" s="196" t="s">
        <v>351</v>
      </c>
      <c r="B1133" s="197">
        <v>42024</v>
      </c>
      <c r="C1133" s="196" t="s">
        <v>962</v>
      </c>
      <c r="D1133" s="196">
        <v>78.099999999999994</v>
      </c>
      <c r="E1133" s="196" t="s">
        <v>962</v>
      </c>
      <c r="F1133" s="196">
        <v>78.099999999999994</v>
      </c>
      <c r="G1133" s="196">
        <f t="shared" si="17"/>
        <v>39.049999999999997</v>
      </c>
      <c r="H1133" s="196">
        <v>5400</v>
      </c>
      <c r="I1133" s="196" t="s">
        <v>1048</v>
      </c>
      <c r="J1133" s="196"/>
    </row>
    <row r="1134" spans="1:10" ht="14.4" hidden="1" outlineLevel="1">
      <c r="A1134" s="196" t="s">
        <v>351</v>
      </c>
      <c r="B1134" s="197">
        <v>42025</v>
      </c>
      <c r="C1134" s="196" t="s">
        <v>997</v>
      </c>
      <c r="D1134" s="196">
        <v>80</v>
      </c>
      <c r="E1134" s="196" t="s">
        <v>997</v>
      </c>
      <c r="F1134" s="196">
        <v>80</v>
      </c>
      <c r="G1134" s="196">
        <f t="shared" si="17"/>
        <v>40</v>
      </c>
      <c r="H1134" s="196">
        <v>1006</v>
      </c>
      <c r="I1134" s="196" t="s">
        <v>1047</v>
      </c>
      <c r="J1134" s="196"/>
    </row>
    <row r="1135" spans="1:10" ht="14.4" hidden="1" outlineLevel="1">
      <c r="A1135" s="196" t="s">
        <v>351</v>
      </c>
      <c r="B1135" s="197">
        <v>42026</v>
      </c>
      <c r="C1135" s="196" t="s">
        <v>997</v>
      </c>
      <c r="D1135" s="196">
        <v>79</v>
      </c>
      <c r="E1135" s="196" t="s">
        <v>1045</v>
      </c>
      <c r="F1135" s="196">
        <v>79</v>
      </c>
      <c r="G1135" s="196">
        <f t="shared" si="17"/>
        <v>39.5</v>
      </c>
      <c r="H1135" s="196">
        <v>9550</v>
      </c>
      <c r="I1135" s="196" t="s">
        <v>1046</v>
      </c>
      <c r="J1135" s="196"/>
    </row>
    <row r="1136" spans="1:10" ht="14.4" hidden="1" outlineLevel="1">
      <c r="A1136" s="196" t="s">
        <v>351</v>
      </c>
      <c r="B1136" s="197">
        <v>42027</v>
      </c>
      <c r="C1136" s="196" t="s">
        <v>1043</v>
      </c>
      <c r="D1136" s="196">
        <v>78</v>
      </c>
      <c r="E1136" s="196" t="s">
        <v>967</v>
      </c>
      <c r="F1136" s="196">
        <v>76.900000000000006</v>
      </c>
      <c r="G1136" s="196">
        <f t="shared" si="17"/>
        <v>38.450000000000003</v>
      </c>
      <c r="H1136" s="196">
        <v>1100</v>
      </c>
      <c r="I1136" s="196" t="s">
        <v>1044</v>
      </c>
      <c r="J1136" s="196"/>
    </row>
    <row r="1137" spans="1:10" ht="14.4" hidden="1" outlineLevel="1">
      <c r="A1137" s="196" t="s">
        <v>351</v>
      </c>
      <c r="B1137" s="197">
        <v>42030</v>
      </c>
      <c r="C1137" s="196" t="s">
        <v>962</v>
      </c>
      <c r="D1137" s="196">
        <v>80</v>
      </c>
      <c r="E1137" s="196" t="s">
        <v>962</v>
      </c>
      <c r="F1137" s="196">
        <v>79.7</v>
      </c>
      <c r="G1137" s="196">
        <f t="shared" si="17"/>
        <v>39.85</v>
      </c>
      <c r="H1137" s="196">
        <v>17511</v>
      </c>
      <c r="I1137" s="196" t="s">
        <v>1042</v>
      </c>
      <c r="J1137" s="196"/>
    </row>
    <row r="1138" spans="1:10" ht="14.4" hidden="1" outlineLevel="1">
      <c r="A1138" s="196" t="s">
        <v>351</v>
      </c>
      <c r="B1138" s="197">
        <v>42031</v>
      </c>
      <c r="C1138" s="196" t="s">
        <v>962</v>
      </c>
      <c r="D1138" s="196">
        <v>80</v>
      </c>
      <c r="E1138" s="196" t="s">
        <v>962</v>
      </c>
      <c r="F1138" s="196">
        <v>79</v>
      </c>
      <c r="G1138" s="196">
        <f t="shared" si="17"/>
        <v>39.5</v>
      </c>
      <c r="H1138" s="196">
        <v>67772</v>
      </c>
      <c r="I1138" s="196" t="s">
        <v>1041</v>
      </c>
      <c r="J1138" s="196"/>
    </row>
    <row r="1139" spans="1:10" ht="14.4" hidden="1" outlineLevel="1">
      <c r="A1139" s="196" t="s">
        <v>351</v>
      </c>
      <c r="B1139" s="197">
        <v>42032</v>
      </c>
      <c r="C1139" s="196" t="s">
        <v>950</v>
      </c>
      <c r="D1139" s="196">
        <v>80</v>
      </c>
      <c r="E1139" s="196" t="s">
        <v>950</v>
      </c>
      <c r="F1139" s="196">
        <v>80</v>
      </c>
      <c r="G1139" s="196">
        <f t="shared" si="17"/>
        <v>40</v>
      </c>
      <c r="H1139" s="196">
        <v>10400</v>
      </c>
      <c r="I1139" s="196" t="s">
        <v>1040</v>
      </c>
      <c r="J1139" s="196"/>
    </row>
    <row r="1140" spans="1:10" ht="14.4" hidden="1" outlineLevel="1">
      <c r="A1140" s="196" t="s">
        <v>351</v>
      </c>
      <c r="B1140" s="197">
        <v>42033</v>
      </c>
      <c r="C1140" s="196" t="s">
        <v>950</v>
      </c>
      <c r="D1140" s="196">
        <v>81</v>
      </c>
      <c r="E1140" s="196" t="s">
        <v>950</v>
      </c>
      <c r="F1140" s="196">
        <v>80.2</v>
      </c>
      <c r="G1140" s="196">
        <f t="shared" si="17"/>
        <v>40.1</v>
      </c>
      <c r="H1140" s="196">
        <v>13217</v>
      </c>
      <c r="I1140" s="196" t="s">
        <v>1039</v>
      </c>
      <c r="J1140" s="196"/>
    </row>
    <row r="1141" spans="1:10" ht="14.4" hidden="1" outlineLevel="1">
      <c r="A1141" s="196" t="s">
        <v>351</v>
      </c>
      <c r="B1141" s="197">
        <v>42034</v>
      </c>
      <c r="C1141" s="196" t="s">
        <v>1037</v>
      </c>
      <c r="D1141" s="196">
        <v>80.900000000000006</v>
      </c>
      <c r="E1141" s="196" t="s">
        <v>997</v>
      </c>
      <c r="F1141" s="196">
        <v>79.8</v>
      </c>
      <c r="G1141" s="196">
        <f t="shared" si="17"/>
        <v>39.9</v>
      </c>
      <c r="H1141" s="196">
        <v>66150</v>
      </c>
      <c r="I1141" s="196" t="s">
        <v>1038</v>
      </c>
      <c r="J1141" s="196"/>
    </row>
    <row r="1142" spans="1:10" ht="14.4" hidden="1" outlineLevel="1">
      <c r="A1142" s="196" t="s">
        <v>351</v>
      </c>
      <c r="B1142" s="197">
        <v>42037</v>
      </c>
      <c r="C1142" s="196" t="s">
        <v>1035</v>
      </c>
      <c r="D1142" s="196">
        <v>79.2</v>
      </c>
      <c r="E1142" s="196" t="s">
        <v>1035</v>
      </c>
      <c r="F1142" s="196">
        <v>79.2</v>
      </c>
      <c r="G1142" s="196">
        <f t="shared" si="17"/>
        <v>39.6</v>
      </c>
      <c r="H1142" s="196">
        <v>504</v>
      </c>
      <c r="I1142" s="196" t="s">
        <v>1036</v>
      </c>
      <c r="J1142" s="196"/>
    </row>
    <row r="1143" spans="1:10" ht="14.4" hidden="1" outlineLevel="1">
      <c r="A1143" s="196" t="s">
        <v>351</v>
      </c>
      <c r="B1143" s="197">
        <v>42040</v>
      </c>
      <c r="C1143" s="196" t="s">
        <v>997</v>
      </c>
      <c r="D1143" s="196">
        <v>79</v>
      </c>
      <c r="E1143" s="196" t="s">
        <v>956</v>
      </c>
      <c r="F1143" s="196">
        <v>78.099999999999994</v>
      </c>
      <c r="G1143" s="196">
        <f t="shared" si="17"/>
        <v>39.049999999999997</v>
      </c>
      <c r="H1143" s="196">
        <v>117</v>
      </c>
      <c r="I1143" s="196" t="s">
        <v>1034</v>
      </c>
      <c r="J1143" s="196"/>
    </row>
    <row r="1144" spans="1:10" ht="14.4" hidden="1" outlineLevel="1">
      <c r="A1144" s="196" t="s">
        <v>351</v>
      </c>
      <c r="B1144" s="197">
        <v>42041</v>
      </c>
      <c r="C1144" s="196" t="s">
        <v>956</v>
      </c>
      <c r="D1144" s="196">
        <v>80</v>
      </c>
      <c r="E1144" s="196" t="s">
        <v>962</v>
      </c>
      <c r="F1144" s="196">
        <v>79.599999999999994</v>
      </c>
      <c r="G1144" s="196">
        <f t="shared" si="17"/>
        <v>39.799999999999997</v>
      </c>
      <c r="H1144" s="196">
        <v>11800</v>
      </c>
      <c r="I1144" s="196" t="s">
        <v>1033</v>
      </c>
      <c r="J1144" s="196"/>
    </row>
    <row r="1145" spans="1:10" ht="14.4" hidden="1" outlineLevel="1">
      <c r="A1145" s="196" t="s">
        <v>351</v>
      </c>
      <c r="B1145" s="197">
        <v>42044</v>
      </c>
      <c r="C1145" s="196" t="s">
        <v>997</v>
      </c>
      <c r="D1145" s="196">
        <v>79.2</v>
      </c>
      <c r="E1145" s="196" t="s">
        <v>992</v>
      </c>
      <c r="F1145" s="196">
        <v>79.2</v>
      </c>
      <c r="G1145" s="196">
        <f t="shared" si="17"/>
        <v>39.6</v>
      </c>
      <c r="H1145" s="196">
        <v>11073</v>
      </c>
      <c r="I1145" s="196" t="s">
        <v>1032</v>
      </c>
      <c r="J1145" s="196"/>
    </row>
    <row r="1146" spans="1:10" ht="14.4" hidden="1" outlineLevel="1">
      <c r="A1146" s="196" t="s">
        <v>351</v>
      </c>
      <c r="B1146" s="197">
        <v>42045</v>
      </c>
      <c r="C1146" s="196" t="s">
        <v>1029</v>
      </c>
      <c r="D1146" s="196">
        <v>80</v>
      </c>
      <c r="E1146" s="196" t="s">
        <v>1030</v>
      </c>
      <c r="F1146" s="196">
        <v>80</v>
      </c>
      <c r="G1146" s="196">
        <f t="shared" si="17"/>
        <v>40</v>
      </c>
      <c r="H1146" s="196">
        <v>44729</v>
      </c>
      <c r="I1146" s="196" t="s">
        <v>1031</v>
      </c>
      <c r="J1146" s="196"/>
    </row>
    <row r="1147" spans="1:10" ht="14.4" hidden="1" outlineLevel="1">
      <c r="A1147" s="196" t="s">
        <v>351</v>
      </c>
      <c r="B1147" s="197">
        <v>42046</v>
      </c>
      <c r="C1147" s="196" t="s">
        <v>950</v>
      </c>
      <c r="D1147" s="196">
        <v>81</v>
      </c>
      <c r="E1147" s="196" t="s">
        <v>950</v>
      </c>
      <c r="F1147" s="196">
        <v>80</v>
      </c>
      <c r="G1147" s="196">
        <f t="shared" si="17"/>
        <v>40</v>
      </c>
      <c r="H1147" s="196">
        <v>60866</v>
      </c>
      <c r="I1147" s="196" t="s">
        <v>1028</v>
      </c>
      <c r="J1147" s="196"/>
    </row>
    <row r="1148" spans="1:10" ht="14.4" hidden="1" outlineLevel="1">
      <c r="A1148" s="196" t="s">
        <v>351</v>
      </c>
      <c r="B1148" s="197">
        <v>42047</v>
      </c>
      <c r="C1148" s="196" t="s">
        <v>950</v>
      </c>
      <c r="D1148" s="196">
        <v>80.099999999999994</v>
      </c>
      <c r="E1148" s="196" t="s">
        <v>950</v>
      </c>
      <c r="F1148" s="196">
        <v>80</v>
      </c>
      <c r="G1148" s="196">
        <f t="shared" si="17"/>
        <v>40</v>
      </c>
      <c r="H1148" s="196">
        <v>57240</v>
      </c>
      <c r="I1148" s="196" t="s">
        <v>1027</v>
      </c>
      <c r="J1148" s="196"/>
    </row>
    <row r="1149" spans="1:10" ht="14.4" hidden="1" outlineLevel="1">
      <c r="A1149" s="196" t="s">
        <v>351</v>
      </c>
      <c r="B1149" s="197">
        <v>42048</v>
      </c>
      <c r="C1149" s="196" t="s">
        <v>950</v>
      </c>
      <c r="D1149" s="196">
        <v>80</v>
      </c>
      <c r="E1149" s="196" t="s">
        <v>1001</v>
      </c>
      <c r="F1149" s="196">
        <v>80</v>
      </c>
      <c r="G1149" s="196">
        <f t="shared" si="17"/>
        <v>40</v>
      </c>
      <c r="H1149" s="196">
        <v>11654</v>
      </c>
      <c r="I1149" s="196" t="s">
        <v>1026</v>
      </c>
      <c r="J1149" s="196"/>
    </row>
    <row r="1150" spans="1:10" ht="14.4" hidden="1" outlineLevel="1">
      <c r="A1150" s="196" t="s">
        <v>351</v>
      </c>
      <c r="B1150" s="197">
        <v>42051</v>
      </c>
      <c r="C1150" s="196" t="s">
        <v>952</v>
      </c>
      <c r="D1150" s="196">
        <v>82</v>
      </c>
      <c r="E1150" s="196" t="s">
        <v>950</v>
      </c>
      <c r="F1150" s="196">
        <v>81.900000000000006</v>
      </c>
      <c r="G1150" s="196">
        <f t="shared" si="17"/>
        <v>40.950000000000003</v>
      </c>
      <c r="H1150" s="196">
        <v>16800</v>
      </c>
      <c r="I1150" s="196" t="s">
        <v>1025</v>
      </c>
      <c r="J1150" s="196"/>
    </row>
    <row r="1151" spans="1:10" ht="14.4" hidden="1" outlineLevel="1">
      <c r="A1151" s="196" t="s">
        <v>351</v>
      </c>
      <c r="B1151" s="197">
        <v>42053</v>
      </c>
      <c r="C1151" s="196" t="s">
        <v>1003</v>
      </c>
      <c r="D1151" s="196">
        <v>81.900000000000006</v>
      </c>
      <c r="E1151" s="196" t="s">
        <v>1010</v>
      </c>
      <c r="F1151" s="196">
        <v>80.599999999999994</v>
      </c>
      <c r="G1151" s="196">
        <f t="shared" si="17"/>
        <v>40.299999999999997</v>
      </c>
      <c r="H1151" s="196">
        <v>3530</v>
      </c>
      <c r="I1151" s="196" t="s">
        <v>1024</v>
      </c>
      <c r="J1151" s="196"/>
    </row>
    <row r="1152" spans="1:10" ht="14.4" hidden="1" outlineLevel="1">
      <c r="A1152" s="196" t="s">
        <v>351</v>
      </c>
      <c r="B1152" s="197">
        <v>42054</v>
      </c>
      <c r="C1152" s="196" t="s">
        <v>950</v>
      </c>
      <c r="D1152" s="196">
        <v>81</v>
      </c>
      <c r="E1152" s="196" t="s">
        <v>950</v>
      </c>
      <c r="F1152" s="196">
        <v>80.900000000000006</v>
      </c>
      <c r="G1152" s="196">
        <f t="shared" si="17"/>
        <v>40.450000000000003</v>
      </c>
      <c r="H1152" s="196">
        <v>14607</v>
      </c>
      <c r="I1152" s="196" t="s">
        <v>1023</v>
      </c>
      <c r="J1152" s="196"/>
    </row>
    <row r="1153" spans="1:10" ht="14.4" hidden="1" outlineLevel="1">
      <c r="A1153" s="196" t="s">
        <v>351</v>
      </c>
      <c r="B1153" s="197">
        <v>42055</v>
      </c>
      <c r="C1153" s="196" t="s">
        <v>1009</v>
      </c>
      <c r="D1153" s="196">
        <v>83.5</v>
      </c>
      <c r="E1153" s="196" t="s">
        <v>1001</v>
      </c>
      <c r="F1153" s="196">
        <v>81.400000000000006</v>
      </c>
      <c r="G1153" s="196">
        <f t="shared" si="17"/>
        <v>40.700000000000003</v>
      </c>
      <c r="H1153" s="196">
        <v>104346</v>
      </c>
      <c r="I1153" s="196" t="s">
        <v>1022</v>
      </c>
      <c r="J1153" s="196"/>
    </row>
    <row r="1154" spans="1:10" ht="14.4" hidden="1" outlineLevel="1">
      <c r="A1154" s="196" t="s">
        <v>351</v>
      </c>
      <c r="B1154" s="197">
        <v>42058</v>
      </c>
      <c r="C1154" s="196" t="s">
        <v>1007</v>
      </c>
      <c r="D1154" s="196">
        <v>82.9</v>
      </c>
      <c r="E1154" s="196" t="s">
        <v>1007</v>
      </c>
      <c r="F1154" s="196">
        <v>82.4</v>
      </c>
      <c r="G1154" s="196">
        <f t="shared" si="17"/>
        <v>41.2</v>
      </c>
      <c r="H1154" s="196">
        <v>15751</v>
      </c>
      <c r="I1154" s="196" t="s">
        <v>1021</v>
      </c>
      <c r="J1154" s="196"/>
    </row>
    <row r="1155" spans="1:10" ht="14.4" hidden="1" outlineLevel="1">
      <c r="A1155" s="196" t="s">
        <v>351</v>
      </c>
      <c r="B1155" s="197">
        <v>42059</v>
      </c>
      <c r="C1155" s="196" t="s">
        <v>1019</v>
      </c>
      <c r="D1155" s="196">
        <v>83.5</v>
      </c>
      <c r="E1155" s="196" t="s">
        <v>1007</v>
      </c>
      <c r="F1155" s="196">
        <v>82</v>
      </c>
      <c r="G1155" s="196">
        <f t="shared" si="17"/>
        <v>41</v>
      </c>
      <c r="H1155" s="196">
        <v>37781</v>
      </c>
      <c r="I1155" s="196" t="s">
        <v>1020</v>
      </c>
      <c r="J1155" s="196"/>
    </row>
    <row r="1156" spans="1:10" ht="14.4" hidden="1" outlineLevel="1">
      <c r="A1156" s="196" t="s">
        <v>351</v>
      </c>
      <c r="B1156" s="197">
        <v>42060</v>
      </c>
      <c r="C1156" s="196" t="s">
        <v>952</v>
      </c>
      <c r="D1156" s="196">
        <v>81.5</v>
      </c>
      <c r="E1156" s="196" t="s">
        <v>1010</v>
      </c>
      <c r="F1156" s="196">
        <v>80.8</v>
      </c>
      <c r="G1156" s="196">
        <f t="shared" si="17"/>
        <v>40.4</v>
      </c>
      <c r="H1156" s="196">
        <v>18093</v>
      </c>
      <c r="I1156" s="196" t="s">
        <v>1018</v>
      </c>
      <c r="J1156" s="196"/>
    </row>
    <row r="1157" spans="1:10" ht="14.4" hidden="1" outlineLevel="1">
      <c r="A1157" s="196" t="s">
        <v>351</v>
      </c>
      <c r="B1157" s="197">
        <v>42061</v>
      </c>
      <c r="C1157" s="196" t="s">
        <v>1015</v>
      </c>
      <c r="D1157" s="196">
        <v>82</v>
      </c>
      <c r="E1157" s="196" t="s">
        <v>1016</v>
      </c>
      <c r="F1157" s="196">
        <v>81.900000000000006</v>
      </c>
      <c r="G1157" s="196">
        <f t="shared" ref="G1157:G1199" si="18">F1157/2</f>
        <v>40.950000000000003</v>
      </c>
      <c r="H1157" s="196">
        <v>32544</v>
      </c>
      <c r="I1157" s="196" t="s">
        <v>1017</v>
      </c>
      <c r="J1157" s="196"/>
    </row>
    <row r="1158" spans="1:10" ht="14.4" hidden="1" outlineLevel="1">
      <c r="A1158" s="196" t="s">
        <v>351</v>
      </c>
      <c r="B1158" s="197">
        <v>42062</v>
      </c>
      <c r="C1158" s="196" t="s">
        <v>1013</v>
      </c>
      <c r="D1158" s="196">
        <v>83</v>
      </c>
      <c r="E1158" s="196" t="s">
        <v>952</v>
      </c>
      <c r="F1158" s="196">
        <v>81.3</v>
      </c>
      <c r="G1158" s="196">
        <f t="shared" si="18"/>
        <v>40.65</v>
      </c>
      <c r="H1158" s="196">
        <v>44212</v>
      </c>
      <c r="I1158" s="196" t="s">
        <v>1014</v>
      </c>
      <c r="J1158" s="196"/>
    </row>
    <row r="1159" spans="1:10" ht="14.4" hidden="1" outlineLevel="1">
      <c r="A1159" s="196" t="s">
        <v>351</v>
      </c>
      <c r="B1159" s="197">
        <v>42065</v>
      </c>
      <c r="C1159" s="196" t="s">
        <v>952</v>
      </c>
      <c r="D1159" s="196">
        <v>81</v>
      </c>
      <c r="E1159" s="196" t="s">
        <v>952</v>
      </c>
      <c r="F1159" s="196">
        <v>81</v>
      </c>
      <c r="G1159" s="196">
        <f t="shared" si="18"/>
        <v>40.5</v>
      </c>
      <c r="H1159" s="196">
        <v>8531</v>
      </c>
      <c r="I1159" s="196" t="s">
        <v>1012</v>
      </c>
      <c r="J1159" s="196"/>
    </row>
    <row r="1160" spans="1:10" ht="14.4" hidden="1" outlineLevel="1">
      <c r="A1160" s="196" t="s">
        <v>351</v>
      </c>
      <c r="B1160" s="197">
        <v>42066</v>
      </c>
      <c r="C1160" s="196" t="s">
        <v>1009</v>
      </c>
      <c r="D1160" s="196">
        <v>81</v>
      </c>
      <c r="E1160" s="196" t="s">
        <v>1010</v>
      </c>
      <c r="F1160" s="196">
        <v>81</v>
      </c>
      <c r="G1160" s="196">
        <f t="shared" si="18"/>
        <v>40.5</v>
      </c>
      <c r="H1160" s="196">
        <v>24534</v>
      </c>
      <c r="I1160" s="196" t="s">
        <v>1011</v>
      </c>
      <c r="J1160" s="196"/>
    </row>
    <row r="1161" spans="1:10" ht="14.4" hidden="1" outlineLevel="1">
      <c r="A1161" s="196" t="s">
        <v>351</v>
      </c>
      <c r="B1161" s="197">
        <v>42067</v>
      </c>
      <c r="C1161" s="196" t="s">
        <v>1007</v>
      </c>
      <c r="D1161" s="196">
        <v>82</v>
      </c>
      <c r="E1161" s="196" t="s">
        <v>1005</v>
      </c>
      <c r="F1161" s="196">
        <v>81</v>
      </c>
      <c r="G1161" s="196">
        <f t="shared" si="18"/>
        <v>40.5</v>
      </c>
      <c r="H1161" s="196">
        <v>82911</v>
      </c>
      <c r="I1161" s="196" t="s">
        <v>1008</v>
      </c>
      <c r="J1161" s="196"/>
    </row>
    <row r="1162" spans="1:10" ht="14.4" hidden="1" outlineLevel="1">
      <c r="A1162" s="196" t="s">
        <v>351</v>
      </c>
      <c r="B1162" s="197">
        <v>42069</v>
      </c>
      <c r="C1162" s="196" t="s">
        <v>1005</v>
      </c>
      <c r="D1162" s="196">
        <v>80.7</v>
      </c>
      <c r="E1162" s="196" t="s">
        <v>1003</v>
      </c>
      <c r="F1162" s="196">
        <v>80.599999999999994</v>
      </c>
      <c r="G1162" s="196">
        <f t="shared" si="18"/>
        <v>40.299999999999997</v>
      </c>
      <c r="H1162" s="196">
        <v>5366</v>
      </c>
      <c r="I1162" s="196" t="s">
        <v>1006</v>
      </c>
      <c r="J1162" s="196"/>
    </row>
    <row r="1163" spans="1:10" ht="14.4" hidden="1" outlineLevel="1">
      <c r="A1163" s="196" t="s">
        <v>351</v>
      </c>
      <c r="B1163" s="197">
        <v>42072</v>
      </c>
      <c r="C1163" s="196" t="s">
        <v>1003</v>
      </c>
      <c r="D1163" s="196">
        <v>80.599999999999994</v>
      </c>
      <c r="E1163" s="196" t="s">
        <v>950</v>
      </c>
      <c r="F1163" s="196">
        <v>80</v>
      </c>
      <c r="G1163" s="196">
        <f t="shared" si="18"/>
        <v>40</v>
      </c>
      <c r="H1163" s="196">
        <v>24102</v>
      </c>
      <c r="I1163" s="196" t="s">
        <v>1004</v>
      </c>
      <c r="J1163" s="196"/>
    </row>
    <row r="1164" spans="1:10" ht="14.4" hidden="1" outlineLevel="1">
      <c r="A1164" s="196" t="s">
        <v>351</v>
      </c>
      <c r="B1164" s="197">
        <v>42073</v>
      </c>
      <c r="C1164" s="196" t="s">
        <v>950</v>
      </c>
      <c r="D1164" s="196">
        <v>80</v>
      </c>
      <c r="E1164" s="196" t="s">
        <v>1001</v>
      </c>
      <c r="F1164" s="196">
        <v>79.900000000000006</v>
      </c>
      <c r="G1164" s="196">
        <f t="shared" si="18"/>
        <v>39.950000000000003</v>
      </c>
      <c r="H1164" s="196">
        <v>6800</v>
      </c>
      <c r="I1164" s="196" t="s">
        <v>1002</v>
      </c>
      <c r="J1164" s="196"/>
    </row>
    <row r="1165" spans="1:10" ht="14.4" hidden="1" outlineLevel="1">
      <c r="A1165" s="196" t="s">
        <v>351</v>
      </c>
      <c r="B1165" s="197">
        <v>42074</v>
      </c>
      <c r="C1165" s="196" t="s">
        <v>997</v>
      </c>
      <c r="D1165" s="196">
        <v>80</v>
      </c>
      <c r="E1165" s="196" t="s">
        <v>997</v>
      </c>
      <c r="F1165" s="196">
        <v>79.400000000000006</v>
      </c>
      <c r="G1165" s="196">
        <f t="shared" si="18"/>
        <v>39.700000000000003</v>
      </c>
      <c r="H1165" s="196">
        <v>12820</v>
      </c>
      <c r="I1165" s="196" t="s">
        <v>1000</v>
      </c>
      <c r="J1165" s="196"/>
    </row>
    <row r="1166" spans="1:10" ht="14.4" hidden="1" outlineLevel="1">
      <c r="A1166" s="196" t="s">
        <v>351</v>
      </c>
      <c r="B1166" s="197">
        <v>42075</v>
      </c>
      <c r="C1166" s="196" t="s">
        <v>997</v>
      </c>
      <c r="D1166" s="196">
        <v>79</v>
      </c>
      <c r="E1166" s="196" t="s">
        <v>997</v>
      </c>
      <c r="F1166" s="196">
        <v>79</v>
      </c>
      <c r="G1166" s="196">
        <f t="shared" si="18"/>
        <v>39.5</v>
      </c>
      <c r="H1166" s="196">
        <v>1000</v>
      </c>
      <c r="I1166" s="196" t="s">
        <v>999</v>
      </c>
      <c r="J1166" s="196"/>
    </row>
    <row r="1167" spans="1:10" ht="14.4" hidden="1" outlineLevel="1">
      <c r="A1167" s="196" t="s">
        <v>351</v>
      </c>
      <c r="B1167" s="197">
        <v>42076</v>
      </c>
      <c r="C1167" s="196" t="s">
        <v>997</v>
      </c>
      <c r="D1167" s="196">
        <v>79</v>
      </c>
      <c r="E1167" s="196" t="s">
        <v>979</v>
      </c>
      <c r="F1167" s="196">
        <v>76.400000000000006</v>
      </c>
      <c r="G1167" s="196">
        <f t="shared" si="18"/>
        <v>38.200000000000003</v>
      </c>
      <c r="H1167" s="196">
        <v>600</v>
      </c>
      <c r="I1167" s="196" t="s">
        <v>998</v>
      </c>
      <c r="J1167" s="196"/>
    </row>
    <row r="1168" spans="1:10" ht="14.4" hidden="1" outlineLevel="1">
      <c r="A1168" s="196" t="s">
        <v>351</v>
      </c>
      <c r="B1168" s="197">
        <v>42079</v>
      </c>
      <c r="C1168" s="196" t="s">
        <v>88</v>
      </c>
      <c r="D1168" s="196" t="s">
        <v>88</v>
      </c>
      <c r="E1168" s="196" t="s">
        <v>88</v>
      </c>
      <c r="F1168" s="196">
        <v>76.400000000000006</v>
      </c>
      <c r="G1168" s="196">
        <f t="shared" si="18"/>
        <v>38.200000000000003</v>
      </c>
      <c r="H1168" s="196">
        <v>0</v>
      </c>
      <c r="I1168" s="196" t="s">
        <v>611</v>
      </c>
      <c r="J1168" s="196"/>
    </row>
    <row r="1169" spans="1:10" ht="14.4" hidden="1" outlineLevel="1">
      <c r="A1169" s="196" t="s">
        <v>351</v>
      </c>
      <c r="B1169" s="197">
        <v>42080</v>
      </c>
      <c r="C1169" s="196" t="s">
        <v>959</v>
      </c>
      <c r="D1169" s="196">
        <v>80</v>
      </c>
      <c r="E1169" s="196" t="s">
        <v>995</v>
      </c>
      <c r="F1169" s="196">
        <v>79.900000000000006</v>
      </c>
      <c r="G1169" s="196">
        <f t="shared" si="18"/>
        <v>39.950000000000003</v>
      </c>
      <c r="H1169" s="196">
        <v>8321</v>
      </c>
      <c r="I1169" s="196" t="s">
        <v>996</v>
      </c>
      <c r="J1169" s="196"/>
    </row>
    <row r="1170" spans="1:10" ht="14.4" hidden="1" outlineLevel="1">
      <c r="A1170" s="196" t="s">
        <v>351</v>
      </c>
      <c r="B1170" s="197">
        <v>42081</v>
      </c>
      <c r="C1170" s="196" t="s">
        <v>962</v>
      </c>
      <c r="D1170" s="196">
        <v>79.8</v>
      </c>
      <c r="E1170" s="196" t="s">
        <v>962</v>
      </c>
      <c r="F1170" s="196">
        <v>79.8</v>
      </c>
      <c r="G1170" s="196">
        <f t="shared" si="18"/>
        <v>39.9</v>
      </c>
      <c r="H1170" s="196">
        <v>3509</v>
      </c>
      <c r="I1170" s="196" t="s">
        <v>994</v>
      </c>
      <c r="J1170" s="196"/>
    </row>
    <row r="1171" spans="1:10" ht="14.4" hidden="1" outlineLevel="1">
      <c r="A1171" s="196" t="s">
        <v>351</v>
      </c>
      <c r="B1171" s="197">
        <v>42082</v>
      </c>
      <c r="C1171" s="196" t="s">
        <v>992</v>
      </c>
      <c r="D1171" s="196">
        <v>78.5</v>
      </c>
      <c r="E1171" s="196" t="s">
        <v>962</v>
      </c>
      <c r="F1171" s="196">
        <v>78.5</v>
      </c>
      <c r="G1171" s="196">
        <f t="shared" si="18"/>
        <v>39.25</v>
      </c>
      <c r="H1171" s="196">
        <v>1210</v>
      </c>
      <c r="I1171" s="196" t="s">
        <v>993</v>
      </c>
      <c r="J1171" s="196"/>
    </row>
    <row r="1172" spans="1:10" ht="14.4" hidden="1" outlineLevel="1">
      <c r="A1172" s="196" t="s">
        <v>351</v>
      </c>
      <c r="B1172" s="197">
        <v>42083</v>
      </c>
      <c r="C1172" s="196" t="s">
        <v>990</v>
      </c>
      <c r="D1172" s="196">
        <v>78.3</v>
      </c>
      <c r="E1172" s="196" t="s">
        <v>962</v>
      </c>
      <c r="F1172" s="196">
        <v>78</v>
      </c>
      <c r="G1172" s="196">
        <f t="shared" si="18"/>
        <v>39</v>
      </c>
      <c r="H1172" s="196">
        <v>505</v>
      </c>
      <c r="I1172" s="196" t="s">
        <v>991</v>
      </c>
      <c r="J1172" s="196"/>
    </row>
    <row r="1173" spans="1:10" ht="14.4" hidden="1" outlineLevel="1">
      <c r="A1173" s="196" t="s">
        <v>351</v>
      </c>
      <c r="B1173" s="197">
        <v>42086</v>
      </c>
      <c r="C1173" s="196" t="s">
        <v>962</v>
      </c>
      <c r="D1173" s="196">
        <v>78</v>
      </c>
      <c r="E1173" s="196" t="s">
        <v>962</v>
      </c>
      <c r="F1173" s="196">
        <v>78</v>
      </c>
      <c r="G1173" s="196">
        <f t="shared" si="18"/>
        <v>39</v>
      </c>
      <c r="H1173" s="196">
        <v>1800</v>
      </c>
      <c r="I1173" s="196" t="s">
        <v>989</v>
      </c>
      <c r="J1173" s="196"/>
    </row>
    <row r="1174" spans="1:10" ht="14.4" hidden="1" outlineLevel="1">
      <c r="A1174" s="196" t="s">
        <v>351</v>
      </c>
      <c r="B1174" s="197">
        <v>42087</v>
      </c>
      <c r="C1174" s="196" t="s">
        <v>962</v>
      </c>
      <c r="D1174" s="196">
        <v>78.5</v>
      </c>
      <c r="E1174" s="196" t="s">
        <v>987</v>
      </c>
      <c r="F1174" s="196">
        <v>75.599999999999994</v>
      </c>
      <c r="G1174" s="196">
        <f t="shared" si="18"/>
        <v>37.799999999999997</v>
      </c>
      <c r="H1174" s="196">
        <v>24609</v>
      </c>
      <c r="I1174" s="196" t="s">
        <v>988</v>
      </c>
      <c r="J1174" s="196"/>
    </row>
    <row r="1175" spans="1:10" ht="14.4" hidden="1" outlineLevel="1">
      <c r="A1175" s="196" t="s">
        <v>351</v>
      </c>
      <c r="B1175" s="197">
        <v>42088</v>
      </c>
      <c r="C1175" s="196" t="s">
        <v>985</v>
      </c>
      <c r="D1175" s="196">
        <v>77.900000000000006</v>
      </c>
      <c r="E1175" s="196" t="s">
        <v>972</v>
      </c>
      <c r="F1175" s="196">
        <v>76</v>
      </c>
      <c r="G1175" s="196">
        <f t="shared" si="18"/>
        <v>38</v>
      </c>
      <c r="H1175" s="196">
        <v>217</v>
      </c>
      <c r="I1175" s="196" t="s">
        <v>986</v>
      </c>
      <c r="J1175" s="196"/>
    </row>
    <row r="1176" spans="1:10" ht="14.4" hidden="1" outlineLevel="1">
      <c r="A1176" s="196" t="s">
        <v>351</v>
      </c>
      <c r="B1176" s="197">
        <v>42089</v>
      </c>
      <c r="C1176" s="196" t="s">
        <v>972</v>
      </c>
      <c r="D1176" s="196">
        <v>76.900000000000006</v>
      </c>
      <c r="E1176" s="196" t="s">
        <v>983</v>
      </c>
      <c r="F1176" s="196">
        <v>74.2</v>
      </c>
      <c r="G1176" s="196">
        <f t="shared" si="18"/>
        <v>37.1</v>
      </c>
      <c r="H1176" s="196">
        <v>3834</v>
      </c>
      <c r="I1176" s="196" t="s">
        <v>984</v>
      </c>
      <c r="J1176" s="196"/>
    </row>
    <row r="1177" spans="1:10" ht="14.4" hidden="1" outlineLevel="1">
      <c r="A1177" s="196" t="s">
        <v>351</v>
      </c>
      <c r="B1177" s="197">
        <v>42090</v>
      </c>
      <c r="C1177" s="196" t="s">
        <v>980</v>
      </c>
      <c r="D1177" s="196">
        <v>75.5</v>
      </c>
      <c r="E1177" s="196" t="s">
        <v>980</v>
      </c>
      <c r="F1177" s="196">
        <v>75.099999999999994</v>
      </c>
      <c r="G1177" s="196">
        <f t="shared" si="18"/>
        <v>37.549999999999997</v>
      </c>
      <c r="H1177" s="196">
        <v>24448</v>
      </c>
      <c r="I1177" s="196" t="s">
        <v>982</v>
      </c>
      <c r="J1177" s="196"/>
    </row>
    <row r="1178" spans="1:10" ht="14.4" hidden="1" outlineLevel="1">
      <c r="A1178" s="196" t="s">
        <v>351</v>
      </c>
      <c r="B1178" s="197">
        <v>42093</v>
      </c>
      <c r="C1178" s="196" t="s">
        <v>979</v>
      </c>
      <c r="D1178" s="196">
        <v>76.400000000000006</v>
      </c>
      <c r="E1178" s="196" t="s">
        <v>980</v>
      </c>
      <c r="F1178" s="196">
        <v>75</v>
      </c>
      <c r="G1178" s="196">
        <f t="shared" si="18"/>
        <v>37.5</v>
      </c>
      <c r="H1178" s="196">
        <v>500</v>
      </c>
      <c r="I1178" s="196" t="s">
        <v>981</v>
      </c>
      <c r="J1178" s="196"/>
    </row>
    <row r="1179" spans="1:10" ht="14.4" hidden="1" outlineLevel="1">
      <c r="A1179" s="196" t="s">
        <v>351</v>
      </c>
      <c r="B1179" s="197">
        <v>42094</v>
      </c>
      <c r="C1179" s="196" t="s">
        <v>970</v>
      </c>
      <c r="D1179" s="196">
        <v>76.5</v>
      </c>
      <c r="E1179" s="196" t="s">
        <v>970</v>
      </c>
      <c r="F1179" s="196">
        <v>76</v>
      </c>
      <c r="G1179" s="196">
        <f t="shared" si="18"/>
        <v>38</v>
      </c>
      <c r="H1179" s="196">
        <v>6060</v>
      </c>
      <c r="I1179" s="196" t="s">
        <v>978</v>
      </c>
      <c r="J1179" s="196"/>
    </row>
    <row r="1180" spans="1:10" s="192" customFormat="1" ht="14.4" collapsed="1">
      <c r="A1180" s="198" t="s">
        <v>351</v>
      </c>
      <c r="B1180" s="199">
        <v>42095</v>
      </c>
      <c r="C1180" s="198" t="s">
        <v>967</v>
      </c>
      <c r="D1180" s="198">
        <v>77</v>
      </c>
      <c r="E1180" s="198" t="s">
        <v>967</v>
      </c>
      <c r="F1180" s="198">
        <v>76.8</v>
      </c>
      <c r="G1180" s="198">
        <f t="shared" si="18"/>
        <v>38.4</v>
      </c>
      <c r="H1180" s="198">
        <v>1298</v>
      </c>
      <c r="I1180" s="198" t="s">
        <v>977</v>
      </c>
      <c r="J1180" s="198">
        <f>AVERAGE(G1180:G1422)</f>
        <v>52.340289256198368</v>
      </c>
    </row>
    <row r="1181" spans="1:10" ht="14.4" hidden="1" outlineLevel="1">
      <c r="A1181" s="196" t="s">
        <v>351</v>
      </c>
      <c r="B1181" s="197">
        <v>42096</v>
      </c>
      <c r="C1181" s="196" t="s">
        <v>974</v>
      </c>
      <c r="D1181" s="196">
        <v>78.400000000000006</v>
      </c>
      <c r="E1181" s="196" t="s">
        <v>975</v>
      </c>
      <c r="F1181" s="196">
        <v>76.8</v>
      </c>
      <c r="G1181" s="196">
        <f t="shared" si="18"/>
        <v>38.4</v>
      </c>
      <c r="H1181" s="196">
        <v>1500</v>
      </c>
      <c r="I1181" s="196" t="s">
        <v>976</v>
      </c>
      <c r="J1181" s="196"/>
    </row>
    <row r="1182" spans="1:10" ht="14.4" hidden="1" outlineLevel="1">
      <c r="A1182" s="196" t="s">
        <v>351</v>
      </c>
      <c r="B1182" s="197">
        <v>42100</v>
      </c>
      <c r="C1182" s="196" t="s">
        <v>972</v>
      </c>
      <c r="D1182" s="196">
        <v>76</v>
      </c>
      <c r="E1182" s="196" t="s">
        <v>969</v>
      </c>
      <c r="F1182" s="196">
        <v>75.7</v>
      </c>
      <c r="G1182" s="196">
        <f t="shared" si="18"/>
        <v>37.85</v>
      </c>
      <c r="H1182" s="196">
        <v>15000</v>
      </c>
      <c r="I1182" s="196" t="s">
        <v>973</v>
      </c>
      <c r="J1182" s="196"/>
    </row>
    <row r="1183" spans="1:10" ht="14.4" hidden="1" outlineLevel="1">
      <c r="A1183" s="196" t="s">
        <v>351</v>
      </c>
      <c r="B1183" s="197">
        <v>42101</v>
      </c>
      <c r="C1183" s="196" t="s">
        <v>88</v>
      </c>
      <c r="D1183" s="196" t="s">
        <v>88</v>
      </c>
      <c r="E1183" s="196" t="s">
        <v>88</v>
      </c>
      <c r="F1183" s="196">
        <v>75.7</v>
      </c>
      <c r="G1183" s="196">
        <f t="shared" si="18"/>
        <v>37.85</v>
      </c>
      <c r="H1183" s="196">
        <v>0</v>
      </c>
      <c r="I1183" s="196" t="s">
        <v>611</v>
      </c>
      <c r="J1183" s="196"/>
    </row>
    <row r="1184" spans="1:10" ht="14.4" hidden="1" outlineLevel="1">
      <c r="A1184" s="196" t="s">
        <v>351</v>
      </c>
      <c r="B1184" s="197">
        <v>42102</v>
      </c>
      <c r="C1184" s="196" t="s">
        <v>962</v>
      </c>
      <c r="D1184" s="196">
        <v>78</v>
      </c>
      <c r="E1184" s="196" t="s">
        <v>962</v>
      </c>
      <c r="F1184" s="196">
        <v>78</v>
      </c>
      <c r="G1184" s="196">
        <f t="shared" si="18"/>
        <v>39</v>
      </c>
      <c r="H1184" s="196">
        <v>100</v>
      </c>
      <c r="I1184" s="196" t="s">
        <v>966</v>
      </c>
      <c r="J1184" s="196"/>
    </row>
    <row r="1185" spans="1:10" ht="14.4" hidden="1" outlineLevel="1">
      <c r="A1185" s="196" t="s">
        <v>351</v>
      </c>
      <c r="B1185" s="197">
        <v>42103</v>
      </c>
      <c r="C1185" s="196" t="s">
        <v>969</v>
      </c>
      <c r="D1185" s="196">
        <v>78</v>
      </c>
      <c r="E1185" s="196" t="s">
        <v>970</v>
      </c>
      <c r="F1185" s="196">
        <v>77.900000000000006</v>
      </c>
      <c r="G1185" s="196">
        <f t="shared" si="18"/>
        <v>38.950000000000003</v>
      </c>
      <c r="H1185" s="196">
        <v>1900</v>
      </c>
      <c r="I1185" s="196" t="s">
        <v>971</v>
      </c>
      <c r="J1185" s="196"/>
    </row>
    <row r="1186" spans="1:10" ht="14.4" hidden="1" outlineLevel="1">
      <c r="A1186" s="196" t="s">
        <v>351</v>
      </c>
      <c r="B1186" s="197">
        <v>42104</v>
      </c>
      <c r="C1186" s="196" t="s">
        <v>967</v>
      </c>
      <c r="D1186" s="196">
        <v>78</v>
      </c>
      <c r="E1186" s="196" t="s">
        <v>967</v>
      </c>
      <c r="F1186" s="196">
        <v>78</v>
      </c>
      <c r="G1186" s="196">
        <f t="shared" si="18"/>
        <v>39</v>
      </c>
      <c r="H1186" s="196">
        <v>10072</v>
      </c>
      <c r="I1186" s="196" t="s">
        <v>968</v>
      </c>
      <c r="J1186" s="196"/>
    </row>
    <row r="1187" spans="1:10" ht="14.4" hidden="1" outlineLevel="1">
      <c r="A1187" s="196" t="s">
        <v>351</v>
      </c>
      <c r="B1187" s="197">
        <v>42109</v>
      </c>
      <c r="C1187" s="196" t="s">
        <v>962</v>
      </c>
      <c r="D1187" s="196">
        <v>78</v>
      </c>
      <c r="E1187" s="196" t="s">
        <v>962</v>
      </c>
      <c r="F1187" s="196">
        <v>78</v>
      </c>
      <c r="G1187" s="196">
        <f t="shared" si="18"/>
        <v>39</v>
      </c>
      <c r="H1187" s="196">
        <v>100</v>
      </c>
      <c r="I1187" s="196" t="s">
        <v>966</v>
      </c>
      <c r="J1187" s="196"/>
    </row>
    <row r="1188" spans="1:10" ht="14.4" hidden="1" outlineLevel="1">
      <c r="A1188" s="196" t="s">
        <v>351</v>
      </c>
      <c r="B1188" s="197">
        <v>42110</v>
      </c>
      <c r="C1188" s="196" t="s">
        <v>950</v>
      </c>
      <c r="D1188" s="196">
        <v>83</v>
      </c>
      <c r="E1188" s="196" t="s">
        <v>950</v>
      </c>
      <c r="F1188" s="196">
        <v>81.5</v>
      </c>
      <c r="G1188" s="196">
        <f t="shared" si="18"/>
        <v>40.75</v>
      </c>
      <c r="H1188" s="196">
        <v>28000</v>
      </c>
      <c r="I1188" s="196" t="s">
        <v>965</v>
      </c>
      <c r="J1188" s="196"/>
    </row>
    <row r="1189" spans="1:10" ht="14.4" hidden="1" outlineLevel="1">
      <c r="A1189" s="196" t="s">
        <v>351</v>
      </c>
      <c r="B1189" s="197">
        <v>42111</v>
      </c>
      <c r="C1189" s="196" t="s">
        <v>952</v>
      </c>
      <c r="D1189" s="196">
        <v>81</v>
      </c>
      <c r="E1189" s="196" t="s">
        <v>950</v>
      </c>
      <c r="F1189" s="196">
        <v>80.5</v>
      </c>
      <c r="G1189" s="196">
        <f t="shared" si="18"/>
        <v>40.25</v>
      </c>
      <c r="H1189" s="196">
        <v>212</v>
      </c>
      <c r="I1189" s="196" t="s">
        <v>964</v>
      </c>
      <c r="J1189" s="196"/>
    </row>
    <row r="1190" spans="1:10" ht="14.4" hidden="1" outlineLevel="1">
      <c r="A1190" s="196" t="s">
        <v>351</v>
      </c>
      <c r="B1190" s="197">
        <v>42114</v>
      </c>
      <c r="C1190" s="196" t="s">
        <v>962</v>
      </c>
      <c r="D1190" s="196">
        <v>80.5</v>
      </c>
      <c r="E1190" s="196" t="s">
        <v>962</v>
      </c>
      <c r="F1190" s="196">
        <v>78.5</v>
      </c>
      <c r="G1190" s="196">
        <f t="shared" si="18"/>
        <v>39.25</v>
      </c>
      <c r="H1190" s="196">
        <v>3210</v>
      </c>
      <c r="I1190" s="196" t="s">
        <v>963</v>
      </c>
      <c r="J1190" s="196"/>
    </row>
    <row r="1191" spans="1:10" ht="14.4" hidden="1" outlineLevel="1">
      <c r="A1191" s="196" t="s">
        <v>351</v>
      </c>
      <c r="B1191" s="197">
        <v>42115</v>
      </c>
      <c r="C1191" s="196" t="s">
        <v>950</v>
      </c>
      <c r="D1191" s="196">
        <v>80</v>
      </c>
      <c r="E1191" s="196" t="s">
        <v>959</v>
      </c>
      <c r="F1191" s="196">
        <v>80</v>
      </c>
      <c r="G1191" s="196">
        <f t="shared" si="18"/>
        <v>40</v>
      </c>
      <c r="H1191" s="196">
        <v>12</v>
      </c>
      <c r="I1191" s="196" t="s">
        <v>961</v>
      </c>
      <c r="J1191" s="196"/>
    </row>
    <row r="1192" spans="1:10" ht="14.4" hidden="1" outlineLevel="1">
      <c r="A1192" s="196" t="s">
        <v>351</v>
      </c>
      <c r="B1192" s="197">
        <v>42116</v>
      </c>
      <c r="C1192" s="196" t="s">
        <v>959</v>
      </c>
      <c r="D1192" s="196">
        <v>79.900000000000006</v>
      </c>
      <c r="E1192" s="196" t="s">
        <v>959</v>
      </c>
      <c r="F1192" s="196">
        <v>79.900000000000006</v>
      </c>
      <c r="G1192" s="196">
        <f t="shared" si="18"/>
        <v>39.950000000000003</v>
      </c>
      <c r="H1192" s="196">
        <v>10</v>
      </c>
      <c r="I1192" s="196" t="s">
        <v>960</v>
      </c>
      <c r="J1192" s="196"/>
    </row>
    <row r="1193" spans="1:10" ht="14.4" hidden="1" outlineLevel="1">
      <c r="A1193" s="196" t="s">
        <v>351</v>
      </c>
      <c r="B1193" s="197">
        <v>42117</v>
      </c>
      <c r="C1193" s="196" t="s">
        <v>956</v>
      </c>
      <c r="D1193" s="196">
        <v>78.3</v>
      </c>
      <c r="E1193" s="196" t="s">
        <v>956</v>
      </c>
      <c r="F1193" s="196">
        <v>78.2</v>
      </c>
      <c r="G1193" s="196">
        <f t="shared" si="18"/>
        <v>39.1</v>
      </c>
      <c r="H1193" s="196">
        <v>2780</v>
      </c>
      <c r="I1193" s="196" t="s">
        <v>958</v>
      </c>
      <c r="J1193" s="196"/>
    </row>
    <row r="1194" spans="1:10" ht="14.4" hidden="1" outlineLevel="1">
      <c r="A1194" s="196" t="s">
        <v>351</v>
      </c>
      <c r="B1194" s="197">
        <v>42118</v>
      </c>
      <c r="C1194" s="196" t="s">
        <v>955</v>
      </c>
      <c r="D1194" s="196">
        <v>80</v>
      </c>
      <c r="E1194" s="196" t="s">
        <v>956</v>
      </c>
      <c r="F1194" s="196">
        <v>80</v>
      </c>
      <c r="G1194" s="196">
        <f t="shared" si="18"/>
        <v>40</v>
      </c>
      <c r="H1194" s="196">
        <v>6124</v>
      </c>
      <c r="I1194" s="196" t="s">
        <v>957</v>
      </c>
      <c r="J1194" s="196"/>
    </row>
    <row r="1195" spans="1:10" ht="14.4" hidden="1" outlineLevel="1">
      <c r="A1195" s="196" t="s">
        <v>351</v>
      </c>
      <c r="B1195" s="197">
        <v>42121</v>
      </c>
      <c r="C1195" s="196" t="s">
        <v>950</v>
      </c>
      <c r="D1195" s="196">
        <v>80.900000000000006</v>
      </c>
      <c r="E1195" s="196" t="s">
        <v>950</v>
      </c>
      <c r="F1195" s="196">
        <v>80.900000000000006</v>
      </c>
      <c r="G1195" s="196">
        <f t="shared" si="18"/>
        <v>40.450000000000003</v>
      </c>
      <c r="H1195" s="196">
        <v>1347</v>
      </c>
      <c r="I1195" s="196" t="s">
        <v>954</v>
      </c>
      <c r="J1195" s="196"/>
    </row>
    <row r="1196" spans="1:10" ht="14.4" hidden="1" outlineLevel="1">
      <c r="A1196" s="196" t="s">
        <v>351</v>
      </c>
      <c r="B1196" s="197">
        <v>42122</v>
      </c>
      <c r="C1196" s="196" t="s">
        <v>952</v>
      </c>
      <c r="D1196" s="196">
        <v>81</v>
      </c>
      <c r="E1196" s="196" t="s">
        <v>950</v>
      </c>
      <c r="F1196" s="196">
        <v>80.2</v>
      </c>
      <c r="G1196" s="196">
        <f t="shared" si="18"/>
        <v>40.1</v>
      </c>
      <c r="H1196" s="196">
        <v>30090</v>
      </c>
      <c r="I1196" s="196" t="s">
        <v>953</v>
      </c>
      <c r="J1196" s="196"/>
    </row>
    <row r="1197" spans="1:10" ht="14.4" hidden="1" outlineLevel="1">
      <c r="A1197" s="196" t="s">
        <v>351</v>
      </c>
      <c r="B1197" s="197">
        <v>42123</v>
      </c>
      <c r="C1197" s="196" t="s">
        <v>950</v>
      </c>
      <c r="D1197" s="196">
        <v>84</v>
      </c>
      <c r="E1197" s="196" t="s">
        <v>950</v>
      </c>
      <c r="F1197" s="196">
        <v>83.3</v>
      </c>
      <c r="G1197" s="196">
        <f t="shared" si="18"/>
        <v>41.65</v>
      </c>
      <c r="H1197" s="196">
        <v>650157</v>
      </c>
      <c r="I1197" s="196" t="s">
        <v>951</v>
      </c>
      <c r="J1197" s="196"/>
    </row>
    <row r="1198" spans="1:10" ht="14.4" hidden="1" outlineLevel="1">
      <c r="A1198" s="196" t="s">
        <v>351</v>
      </c>
      <c r="B1198" s="197">
        <v>42124</v>
      </c>
      <c r="C1198" s="196" t="s">
        <v>947</v>
      </c>
      <c r="D1198" s="196">
        <v>86.5</v>
      </c>
      <c r="E1198" s="196" t="s">
        <v>948</v>
      </c>
      <c r="F1198" s="196">
        <v>86</v>
      </c>
      <c r="G1198" s="196">
        <f t="shared" si="18"/>
        <v>43</v>
      </c>
      <c r="H1198" s="196">
        <v>474005</v>
      </c>
      <c r="I1198" s="196" t="s">
        <v>949</v>
      </c>
      <c r="J1198" s="196"/>
    </row>
    <row r="1199" spans="1:10" ht="14.4" hidden="1" outlineLevel="1">
      <c r="A1199" s="196" t="s">
        <v>351</v>
      </c>
      <c r="B1199" s="197">
        <v>42129</v>
      </c>
      <c r="C1199" s="196" t="s">
        <v>925</v>
      </c>
      <c r="D1199" s="196">
        <v>86.4</v>
      </c>
      <c r="E1199" s="196" t="s">
        <v>944</v>
      </c>
      <c r="F1199" s="196">
        <v>85.6</v>
      </c>
      <c r="G1199" s="196">
        <f t="shared" si="18"/>
        <v>42.8</v>
      </c>
      <c r="H1199" s="196">
        <v>29113</v>
      </c>
      <c r="I1199" s="196" t="s">
        <v>946</v>
      </c>
      <c r="J1199" s="196"/>
    </row>
    <row r="1200" spans="1:10" ht="14.4" hidden="1" outlineLevel="1">
      <c r="A1200" s="196" t="s">
        <v>351</v>
      </c>
      <c r="B1200" s="197">
        <v>42130</v>
      </c>
      <c r="C1200" s="196" t="s">
        <v>88</v>
      </c>
      <c r="D1200" s="196">
        <v>90</v>
      </c>
      <c r="E1200" s="196" t="s">
        <v>870</v>
      </c>
      <c r="F1200" s="196">
        <v>0</v>
      </c>
      <c r="G1200" s="196">
        <f>G1199</f>
        <v>42.8</v>
      </c>
      <c r="H1200" s="196">
        <v>300000</v>
      </c>
      <c r="I1200" s="196" t="s">
        <v>943</v>
      </c>
      <c r="J1200" s="196"/>
    </row>
    <row r="1201" spans="1:10" ht="14.4" hidden="1" outlineLevel="1">
      <c r="A1201" s="196" t="s">
        <v>351</v>
      </c>
      <c r="B1201" s="197">
        <v>42130</v>
      </c>
      <c r="C1201" s="196" t="s">
        <v>919</v>
      </c>
      <c r="D1201" s="196">
        <v>92.5</v>
      </c>
      <c r="E1201" s="196" t="s">
        <v>944</v>
      </c>
      <c r="F1201" s="196">
        <v>90.6</v>
      </c>
      <c r="G1201" s="196">
        <f t="shared" ref="G1201:G1264" si="19">F1201/2</f>
        <v>45.3</v>
      </c>
      <c r="H1201" s="196">
        <v>705301</v>
      </c>
      <c r="I1201" s="196" t="s">
        <v>945</v>
      </c>
      <c r="J1201" s="196"/>
    </row>
    <row r="1202" spans="1:10" ht="14.4" hidden="1" outlineLevel="1">
      <c r="A1202" s="196" t="s">
        <v>351</v>
      </c>
      <c r="B1202" s="197">
        <v>42131</v>
      </c>
      <c r="C1202" s="196" t="s">
        <v>872</v>
      </c>
      <c r="D1202" s="196">
        <v>91</v>
      </c>
      <c r="E1202" s="196" t="s">
        <v>941</v>
      </c>
      <c r="F1202" s="196">
        <v>90</v>
      </c>
      <c r="G1202" s="196">
        <f t="shared" si="19"/>
        <v>45</v>
      </c>
      <c r="H1202" s="196">
        <v>901486</v>
      </c>
      <c r="I1202" s="196" t="s">
        <v>942</v>
      </c>
      <c r="J1202" s="196"/>
    </row>
    <row r="1203" spans="1:10" ht="14.4" hidden="1" outlineLevel="1">
      <c r="A1203" s="196" t="s">
        <v>351</v>
      </c>
      <c r="B1203" s="197">
        <v>42132</v>
      </c>
      <c r="C1203" s="196" t="s">
        <v>870</v>
      </c>
      <c r="D1203" s="196">
        <v>90</v>
      </c>
      <c r="E1203" s="196" t="s">
        <v>870</v>
      </c>
      <c r="F1203" s="196">
        <v>90</v>
      </c>
      <c r="G1203" s="196">
        <f t="shared" si="19"/>
        <v>45</v>
      </c>
      <c r="H1203" s="196">
        <v>54301</v>
      </c>
      <c r="I1203" s="196" t="s">
        <v>940</v>
      </c>
      <c r="J1203" s="196"/>
    </row>
    <row r="1204" spans="1:10" ht="14.4" hidden="1" outlineLevel="1">
      <c r="A1204" s="196" t="s">
        <v>351</v>
      </c>
      <c r="B1204" s="197">
        <v>42135</v>
      </c>
      <c r="C1204" s="196" t="s">
        <v>938</v>
      </c>
      <c r="D1204" s="196">
        <v>89.7</v>
      </c>
      <c r="E1204" s="196" t="s">
        <v>938</v>
      </c>
      <c r="F1204" s="196">
        <v>89.7</v>
      </c>
      <c r="G1204" s="196">
        <f t="shared" si="19"/>
        <v>44.85</v>
      </c>
      <c r="H1204" s="196">
        <v>1000</v>
      </c>
      <c r="I1204" s="196" t="s">
        <v>939</v>
      </c>
      <c r="J1204" s="196"/>
    </row>
    <row r="1205" spans="1:10" ht="14.4" hidden="1" outlineLevel="1">
      <c r="A1205" s="196" t="s">
        <v>351</v>
      </c>
      <c r="B1205" s="197">
        <v>42136</v>
      </c>
      <c r="C1205" s="196" t="s">
        <v>915</v>
      </c>
      <c r="D1205" s="196">
        <v>88.5</v>
      </c>
      <c r="E1205" s="196" t="s">
        <v>915</v>
      </c>
      <c r="F1205" s="196">
        <v>88.5</v>
      </c>
      <c r="G1205" s="196">
        <f t="shared" si="19"/>
        <v>44.25</v>
      </c>
      <c r="H1205" s="196">
        <v>28900</v>
      </c>
      <c r="I1205" s="196" t="s">
        <v>937</v>
      </c>
      <c r="J1205" s="196"/>
    </row>
    <row r="1206" spans="1:10" ht="14.4" hidden="1" outlineLevel="1">
      <c r="A1206" s="196" t="s">
        <v>351</v>
      </c>
      <c r="B1206" s="197">
        <v>42137</v>
      </c>
      <c r="C1206" s="196" t="s">
        <v>911</v>
      </c>
      <c r="D1206" s="196">
        <v>89.7</v>
      </c>
      <c r="E1206" s="196" t="s">
        <v>935</v>
      </c>
      <c r="F1206" s="196">
        <v>89</v>
      </c>
      <c r="G1206" s="196">
        <f t="shared" si="19"/>
        <v>44.5</v>
      </c>
      <c r="H1206" s="196">
        <v>38611</v>
      </c>
      <c r="I1206" s="196" t="s">
        <v>936</v>
      </c>
      <c r="J1206" s="196"/>
    </row>
    <row r="1207" spans="1:10" ht="14.4" hidden="1" outlineLevel="1">
      <c r="A1207" s="196" t="s">
        <v>351</v>
      </c>
      <c r="B1207" s="197">
        <v>42138</v>
      </c>
      <c r="C1207" s="196" t="s">
        <v>915</v>
      </c>
      <c r="D1207" s="196">
        <v>88.5</v>
      </c>
      <c r="E1207" s="196" t="s">
        <v>912</v>
      </c>
      <c r="F1207" s="196">
        <v>87.9</v>
      </c>
      <c r="G1207" s="196">
        <f t="shared" si="19"/>
        <v>43.95</v>
      </c>
      <c r="H1207" s="196">
        <v>3000</v>
      </c>
      <c r="I1207" s="196" t="s">
        <v>934</v>
      </c>
      <c r="J1207" s="196"/>
    </row>
    <row r="1208" spans="1:10" ht="14.4" hidden="1" outlineLevel="1">
      <c r="A1208" s="196" t="s">
        <v>351</v>
      </c>
      <c r="B1208" s="197">
        <v>42139</v>
      </c>
      <c r="C1208" s="196" t="s">
        <v>932</v>
      </c>
      <c r="D1208" s="196">
        <v>89.5</v>
      </c>
      <c r="E1208" s="196" t="s">
        <v>912</v>
      </c>
      <c r="F1208" s="196">
        <v>88.5</v>
      </c>
      <c r="G1208" s="196">
        <f t="shared" si="19"/>
        <v>44.25</v>
      </c>
      <c r="H1208" s="196">
        <v>39612</v>
      </c>
      <c r="I1208" s="196" t="s">
        <v>933</v>
      </c>
      <c r="J1208" s="196"/>
    </row>
    <row r="1209" spans="1:10" ht="14.4" hidden="1" outlineLevel="1">
      <c r="A1209" s="196" t="s">
        <v>351</v>
      </c>
      <c r="B1209" s="197">
        <v>42142</v>
      </c>
      <c r="C1209" s="196" t="s">
        <v>627</v>
      </c>
      <c r="D1209" s="196">
        <v>88</v>
      </c>
      <c r="E1209" s="196" t="s">
        <v>912</v>
      </c>
      <c r="F1209" s="196">
        <v>87</v>
      </c>
      <c r="G1209" s="196">
        <f t="shared" si="19"/>
        <v>43.5</v>
      </c>
      <c r="H1209" s="196">
        <v>1772</v>
      </c>
      <c r="I1209" s="196" t="s">
        <v>931</v>
      </c>
      <c r="J1209" s="196"/>
    </row>
    <row r="1210" spans="1:10" ht="14.4" hidden="1" outlineLevel="1">
      <c r="A1210" s="196" t="s">
        <v>351</v>
      </c>
      <c r="B1210" s="197">
        <v>42143</v>
      </c>
      <c r="C1210" s="196" t="s">
        <v>927</v>
      </c>
      <c r="D1210" s="196">
        <v>87</v>
      </c>
      <c r="E1210" s="196" t="s">
        <v>919</v>
      </c>
      <c r="F1210" s="196">
        <v>87</v>
      </c>
      <c r="G1210" s="196">
        <f t="shared" si="19"/>
        <v>43.5</v>
      </c>
      <c r="H1210" s="196">
        <v>50536</v>
      </c>
      <c r="I1210" s="196" t="s">
        <v>930</v>
      </c>
      <c r="J1210" s="196"/>
    </row>
    <row r="1211" spans="1:10" ht="14.4" hidden="1" outlineLevel="1">
      <c r="A1211" s="196" t="s">
        <v>351</v>
      </c>
      <c r="B1211" s="197">
        <v>42144</v>
      </c>
      <c r="C1211" s="196" t="s">
        <v>919</v>
      </c>
      <c r="D1211" s="196">
        <v>87</v>
      </c>
      <c r="E1211" s="196" t="s">
        <v>919</v>
      </c>
      <c r="F1211" s="196">
        <v>87</v>
      </c>
      <c r="G1211" s="196">
        <f t="shared" si="19"/>
        <v>43.5</v>
      </c>
      <c r="H1211" s="196">
        <v>8200</v>
      </c>
      <c r="I1211" s="196" t="s">
        <v>929</v>
      </c>
      <c r="J1211" s="196"/>
    </row>
    <row r="1212" spans="1:10" ht="14.4" hidden="1" outlineLevel="1">
      <c r="A1212" s="196" t="s">
        <v>351</v>
      </c>
      <c r="B1212" s="197">
        <v>42145</v>
      </c>
      <c r="C1212" s="196" t="s">
        <v>927</v>
      </c>
      <c r="D1212" s="196">
        <v>86.5</v>
      </c>
      <c r="E1212" s="196" t="s">
        <v>919</v>
      </c>
      <c r="F1212" s="196">
        <v>86.1</v>
      </c>
      <c r="G1212" s="196">
        <f t="shared" si="19"/>
        <v>43.05</v>
      </c>
      <c r="H1212" s="196">
        <v>23053</v>
      </c>
      <c r="I1212" s="196" t="s">
        <v>928</v>
      </c>
      <c r="J1212" s="196"/>
    </row>
    <row r="1213" spans="1:10" ht="14.4" hidden="1" outlineLevel="1">
      <c r="A1213" s="196" t="s">
        <v>351</v>
      </c>
      <c r="B1213" s="197">
        <v>42146</v>
      </c>
      <c r="C1213" s="196" t="s">
        <v>912</v>
      </c>
      <c r="D1213" s="196">
        <v>88</v>
      </c>
      <c r="E1213" s="196" t="s">
        <v>925</v>
      </c>
      <c r="F1213" s="196">
        <v>88</v>
      </c>
      <c r="G1213" s="196">
        <f t="shared" si="19"/>
        <v>44</v>
      </c>
      <c r="H1213" s="196">
        <v>25300</v>
      </c>
      <c r="I1213" s="196" t="s">
        <v>926</v>
      </c>
      <c r="J1213" s="196"/>
    </row>
    <row r="1214" spans="1:10" ht="14.4" hidden="1" outlineLevel="1">
      <c r="A1214" s="196" t="s">
        <v>351</v>
      </c>
      <c r="B1214" s="197">
        <v>42149</v>
      </c>
      <c r="C1214" s="196" t="s">
        <v>912</v>
      </c>
      <c r="D1214" s="196">
        <v>88.9</v>
      </c>
      <c r="E1214" s="196" t="s">
        <v>923</v>
      </c>
      <c r="F1214" s="196">
        <v>87</v>
      </c>
      <c r="G1214" s="196">
        <f t="shared" si="19"/>
        <v>43.5</v>
      </c>
      <c r="H1214" s="196">
        <v>73990</v>
      </c>
      <c r="I1214" s="196" t="s">
        <v>924</v>
      </c>
      <c r="J1214" s="196"/>
    </row>
    <row r="1215" spans="1:10" ht="14.4" hidden="1" outlineLevel="1">
      <c r="A1215" s="196" t="s">
        <v>351</v>
      </c>
      <c r="B1215" s="197">
        <v>42150</v>
      </c>
      <c r="C1215" s="196" t="s">
        <v>914</v>
      </c>
      <c r="D1215" s="196">
        <v>90</v>
      </c>
      <c r="E1215" s="196" t="s">
        <v>921</v>
      </c>
      <c r="F1215" s="196">
        <v>89.9</v>
      </c>
      <c r="G1215" s="196">
        <f t="shared" si="19"/>
        <v>44.95</v>
      </c>
      <c r="H1215" s="196">
        <v>5480</v>
      </c>
      <c r="I1215" s="196" t="s">
        <v>922</v>
      </c>
      <c r="J1215" s="196"/>
    </row>
    <row r="1216" spans="1:10" ht="14.4" hidden="1" outlineLevel="1">
      <c r="A1216" s="196" t="s">
        <v>351</v>
      </c>
      <c r="B1216" s="197">
        <v>42151</v>
      </c>
      <c r="C1216" s="196" t="s">
        <v>918</v>
      </c>
      <c r="D1216" s="196">
        <v>89.8</v>
      </c>
      <c r="E1216" s="196" t="s">
        <v>919</v>
      </c>
      <c r="F1216" s="196">
        <v>89.1</v>
      </c>
      <c r="G1216" s="196">
        <f t="shared" si="19"/>
        <v>44.55</v>
      </c>
      <c r="H1216" s="196">
        <v>38300</v>
      </c>
      <c r="I1216" s="196" t="s">
        <v>920</v>
      </c>
      <c r="J1216" s="196"/>
    </row>
    <row r="1217" spans="1:10" ht="14.4" hidden="1" outlineLevel="1">
      <c r="A1217" s="196" t="s">
        <v>351</v>
      </c>
      <c r="B1217" s="197">
        <v>42152</v>
      </c>
      <c r="C1217" s="196" t="s">
        <v>627</v>
      </c>
      <c r="D1217" s="196">
        <v>88</v>
      </c>
      <c r="E1217" s="196" t="s">
        <v>627</v>
      </c>
      <c r="F1217" s="196">
        <v>88</v>
      </c>
      <c r="G1217" s="196">
        <f t="shared" si="19"/>
        <v>44</v>
      </c>
      <c r="H1217" s="196">
        <v>11000</v>
      </c>
      <c r="I1217" s="196" t="s">
        <v>917</v>
      </c>
      <c r="J1217" s="196"/>
    </row>
    <row r="1218" spans="1:10" ht="14.4" hidden="1" outlineLevel="1">
      <c r="A1218" s="196" t="s">
        <v>351</v>
      </c>
      <c r="B1218" s="197">
        <v>42153</v>
      </c>
      <c r="C1218" s="196" t="s">
        <v>914</v>
      </c>
      <c r="D1218" s="196">
        <v>89.5</v>
      </c>
      <c r="E1218" s="196" t="s">
        <v>915</v>
      </c>
      <c r="F1218" s="196">
        <v>89</v>
      </c>
      <c r="G1218" s="196">
        <f t="shared" si="19"/>
        <v>44.5</v>
      </c>
      <c r="H1218" s="196">
        <v>22527</v>
      </c>
      <c r="I1218" s="196" t="s">
        <v>916</v>
      </c>
      <c r="J1218" s="196"/>
    </row>
    <row r="1219" spans="1:10" ht="14.4" hidden="1" outlineLevel="1">
      <c r="A1219" s="196" t="s">
        <v>351</v>
      </c>
      <c r="B1219" s="197">
        <v>42156</v>
      </c>
      <c r="C1219" s="196" t="s">
        <v>911</v>
      </c>
      <c r="D1219" s="196">
        <v>91.5</v>
      </c>
      <c r="E1219" s="196" t="s">
        <v>912</v>
      </c>
      <c r="F1219" s="196">
        <v>89.9</v>
      </c>
      <c r="G1219" s="196">
        <f t="shared" si="19"/>
        <v>44.95</v>
      </c>
      <c r="H1219" s="196">
        <v>291997</v>
      </c>
      <c r="I1219" s="196" t="s">
        <v>913</v>
      </c>
      <c r="J1219" s="196"/>
    </row>
    <row r="1220" spans="1:10" ht="14.4" hidden="1" outlineLevel="1">
      <c r="A1220" s="196" t="s">
        <v>351</v>
      </c>
      <c r="B1220" s="197">
        <v>42158</v>
      </c>
      <c r="C1220" s="196" t="s">
        <v>856</v>
      </c>
      <c r="D1220" s="196">
        <v>96.6</v>
      </c>
      <c r="E1220" s="196" t="s">
        <v>847</v>
      </c>
      <c r="F1220" s="196">
        <v>93.4</v>
      </c>
      <c r="G1220" s="196">
        <f t="shared" si="19"/>
        <v>46.7</v>
      </c>
      <c r="H1220" s="196">
        <v>727887</v>
      </c>
      <c r="I1220" s="196" t="s">
        <v>910</v>
      </c>
      <c r="J1220" s="196"/>
    </row>
    <row r="1221" spans="1:10" ht="14.4" hidden="1" outlineLevel="1">
      <c r="A1221" s="196" t="s">
        <v>351</v>
      </c>
      <c r="B1221" s="197">
        <v>42159</v>
      </c>
      <c r="C1221" s="196" t="s">
        <v>908</v>
      </c>
      <c r="D1221" s="196">
        <v>94</v>
      </c>
      <c r="E1221" s="196" t="s">
        <v>891</v>
      </c>
      <c r="F1221" s="196">
        <v>92.5</v>
      </c>
      <c r="G1221" s="196">
        <f t="shared" si="19"/>
        <v>46.25</v>
      </c>
      <c r="H1221" s="196">
        <v>60695</v>
      </c>
      <c r="I1221" s="196" t="s">
        <v>909</v>
      </c>
      <c r="J1221" s="196"/>
    </row>
    <row r="1222" spans="1:10" ht="14.4" hidden="1" outlineLevel="1">
      <c r="A1222" s="196" t="s">
        <v>351</v>
      </c>
      <c r="B1222" s="197">
        <v>42160</v>
      </c>
      <c r="C1222" s="196" t="s">
        <v>901</v>
      </c>
      <c r="D1222" s="196">
        <v>92.7</v>
      </c>
      <c r="E1222" s="196" t="s">
        <v>867</v>
      </c>
      <c r="F1222" s="196">
        <v>91.3</v>
      </c>
      <c r="G1222" s="196">
        <f t="shared" si="19"/>
        <v>45.65</v>
      </c>
      <c r="H1222" s="196">
        <v>72496</v>
      </c>
      <c r="I1222" s="196" t="s">
        <v>907</v>
      </c>
      <c r="J1222" s="196"/>
    </row>
    <row r="1223" spans="1:10" ht="14.4" hidden="1" outlineLevel="1">
      <c r="A1223" s="196" t="s">
        <v>351</v>
      </c>
      <c r="B1223" s="197">
        <v>42163</v>
      </c>
      <c r="C1223" s="196" t="s">
        <v>861</v>
      </c>
      <c r="D1223" s="196">
        <v>93.9</v>
      </c>
      <c r="E1223" s="196" t="s">
        <v>870</v>
      </c>
      <c r="F1223" s="196">
        <v>90.1</v>
      </c>
      <c r="G1223" s="196">
        <f t="shared" si="19"/>
        <v>45.05</v>
      </c>
      <c r="H1223" s="196">
        <v>18832</v>
      </c>
      <c r="I1223" s="196" t="s">
        <v>906</v>
      </c>
      <c r="J1223" s="196"/>
    </row>
    <row r="1224" spans="1:10" ht="14.4" hidden="1" outlineLevel="1">
      <c r="A1224" s="196" t="s">
        <v>351</v>
      </c>
      <c r="B1224" s="197">
        <v>42164</v>
      </c>
      <c r="C1224" s="196" t="s">
        <v>874</v>
      </c>
      <c r="D1224" s="196">
        <v>92.8</v>
      </c>
      <c r="E1224" s="196" t="s">
        <v>874</v>
      </c>
      <c r="F1224" s="196">
        <v>91.2</v>
      </c>
      <c r="G1224" s="196">
        <f t="shared" si="19"/>
        <v>45.6</v>
      </c>
      <c r="H1224" s="196">
        <v>16231</v>
      </c>
      <c r="I1224" s="196" t="s">
        <v>905</v>
      </c>
      <c r="J1224" s="196"/>
    </row>
    <row r="1225" spans="1:10" ht="14.4" hidden="1" outlineLevel="1">
      <c r="A1225" s="196" t="s">
        <v>351</v>
      </c>
      <c r="B1225" s="197">
        <v>42165</v>
      </c>
      <c r="C1225" s="196" t="s">
        <v>903</v>
      </c>
      <c r="D1225" s="196">
        <v>92.1</v>
      </c>
      <c r="E1225" s="196" t="s">
        <v>895</v>
      </c>
      <c r="F1225" s="196">
        <v>91.3</v>
      </c>
      <c r="G1225" s="196">
        <f t="shared" si="19"/>
        <v>45.65</v>
      </c>
      <c r="H1225" s="196">
        <v>55769</v>
      </c>
      <c r="I1225" s="196" t="s">
        <v>904</v>
      </c>
      <c r="J1225" s="196"/>
    </row>
    <row r="1226" spans="1:10" ht="14.4" hidden="1" outlineLevel="1">
      <c r="A1226" s="196" t="s">
        <v>351</v>
      </c>
      <c r="B1226" s="197">
        <v>42166</v>
      </c>
      <c r="C1226" s="196" t="s">
        <v>901</v>
      </c>
      <c r="D1226" s="196">
        <v>93</v>
      </c>
      <c r="E1226" s="196" t="s">
        <v>901</v>
      </c>
      <c r="F1226" s="196">
        <v>92.6</v>
      </c>
      <c r="G1226" s="196">
        <f t="shared" si="19"/>
        <v>46.3</v>
      </c>
      <c r="H1226" s="196">
        <v>33704</v>
      </c>
      <c r="I1226" s="196" t="s">
        <v>902</v>
      </c>
      <c r="J1226" s="196"/>
    </row>
    <row r="1227" spans="1:10" ht="14.4" hidden="1" outlineLevel="1">
      <c r="A1227" s="196" t="s">
        <v>351</v>
      </c>
      <c r="B1227" s="197">
        <v>42167</v>
      </c>
      <c r="C1227" s="196" t="s">
        <v>863</v>
      </c>
      <c r="D1227" s="196">
        <v>93</v>
      </c>
      <c r="E1227" s="196" t="s">
        <v>863</v>
      </c>
      <c r="F1227" s="196">
        <v>92.5</v>
      </c>
      <c r="G1227" s="196">
        <f t="shared" si="19"/>
        <v>46.25</v>
      </c>
      <c r="H1227" s="196">
        <v>58721</v>
      </c>
      <c r="I1227" s="196" t="s">
        <v>900</v>
      </c>
      <c r="J1227" s="196"/>
    </row>
    <row r="1228" spans="1:10" ht="14.4" hidden="1" outlineLevel="1">
      <c r="A1228" s="196" t="s">
        <v>351</v>
      </c>
      <c r="B1228" s="197">
        <v>42170</v>
      </c>
      <c r="C1228" s="196" t="s">
        <v>859</v>
      </c>
      <c r="D1228" s="196">
        <v>92.9</v>
      </c>
      <c r="E1228" s="196" t="s">
        <v>863</v>
      </c>
      <c r="F1228" s="196">
        <v>92</v>
      </c>
      <c r="G1228" s="196">
        <f t="shared" si="19"/>
        <v>46</v>
      </c>
      <c r="H1228" s="196">
        <v>20994</v>
      </c>
      <c r="I1228" s="196" t="s">
        <v>899</v>
      </c>
      <c r="J1228" s="196"/>
    </row>
    <row r="1229" spans="1:10" ht="14.4" hidden="1" outlineLevel="1">
      <c r="A1229" s="196" t="s">
        <v>351</v>
      </c>
      <c r="B1229" s="197">
        <v>42171</v>
      </c>
      <c r="C1229" s="196" t="s">
        <v>897</v>
      </c>
      <c r="D1229" s="196">
        <v>91.8</v>
      </c>
      <c r="E1229" s="196" t="s">
        <v>872</v>
      </c>
      <c r="F1229" s="196">
        <v>91.4</v>
      </c>
      <c r="G1229" s="196">
        <f t="shared" si="19"/>
        <v>45.7</v>
      </c>
      <c r="H1229" s="196">
        <v>45744</v>
      </c>
      <c r="I1229" s="196" t="s">
        <v>898</v>
      </c>
      <c r="J1229" s="196"/>
    </row>
    <row r="1230" spans="1:10" ht="14.4" hidden="1" outlineLevel="1">
      <c r="A1230" s="196" t="s">
        <v>351</v>
      </c>
      <c r="B1230" s="197">
        <v>42172</v>
      </c>
      <c r="C1230" s="196" t="s">
        <v>893</v>
      </c>
      <c r="D1230" s="196">
        <v>92</v>
      </c>
      <c r="E1230" s="196" t="s">
        <v>895</v>
      </c>
      <c r="F1230" s="196">
        <v>91.9</v>
      </c>
      <c r="G1230" s="196">
        <f t="shared" si="19"/>
        <v>45.95</v>
      </c>
      <c r="H1230" s="196">
        <v>17436</v>
      </c>
      <c r="I1230" s="196" t="s">
        <v>896</v>
      </c>
      <c r="J1230" s="196"/>
    </row>
    <row r="1231" spans="1:10" ht="14.4" hidden="1" outlineLevel="1">
      <c r="A1231" s="196" t="s">
        <v>351</v>
      </c>
      <c r="B1231" s="197">
        <v>42173</v>
      </c>
      <c r="C1231" s="196" t="s">
        <v>891</v>
      </c>
      <c r="D1231" s="196">
        <v>91.5</v>
      </c>
      <c r="E1231" s="196" t="s">
        <v>893</v>
      </c>
      <c r="F1231" s="196">
        <v>91.5</v>
      </c>
      <c r="G1231" s="196">
        <f t="shared" si="19"/>
        <v>45.75</v>
      </c>
      <c r="H1231" s="196">
        <v>1200</v>
      </c>
      <c r="I1231" s="196" t="s">
        <v>894</v>
      </c>
      <c r="J1231" s="196"/>
    </row>
    <row r="1232" spans="1:10" ht="14.4" hidden="1" outlineLevel="1">
      <c r="A1232" s="196" t="s">
        <v>351</v>
      </c>
      <c r="B1232" s="197">
        <v>42174</v>
      </c>
      <c r="C1232" s="196" t="s">
        <v>863</v>
      </c>
      <c r="D1232" s="196">
        <v>93.9</v>
      </c>
      <c r="E1232" s="196" t="s">
        <v>891</v>
      </c>
      <c r="F1232" s="196">
        <v>92</v>
      </c>
      <c r="G1232" s="196">
        <f t="shared" si="19"/>
        <v>46</v>
      </c>
      <c r="H1232" s="196">
        <v>19046</v>
      </c>
      <c r="I1232" s="196" t="s">
        <v>892</v>
      </c>
      <c r="J1232" s="196"/>
    </row>
    <row r="1233" spans="1:10" ht="14.4" hidden="1" outlineLevel="1">
      <c r="A1233" s="196" t="s">
        <v>351</v>
      </c>
      <c r="B1233" s="197">
        <v>42177</v>
      </c>
      <c r="C1233" s="196" t="s">
        <v>863</v>
      </c>
      <c r="D1233" s="196">
        <v>92.8</v>
      </c>
      <c r="E1233" s="196" t="s">
        <v>878</v>
      </c>
      <c r="F1233" s="196">
        <v>92</v>
      </c>
      <c r="G1233" s="196">
        <f t="shared" si="19"/>
        <v>46</v>
      </c>
      <c r="H1233" s="196">
        <v>23446</v>
      </c>
      <c r="I1233" s="196" t="s">
        <v>890</v>
      </c>
      <c r="J1233" s="196"/>
    </row>
    <row r="1234" spans="1:10" ht="14.4" hidden="1" outlineLevel="1">
      <c r="A1234" s="196" t="s">
        <v>351</v>
      </c>
      <c r="B1234" s="197">
        <v>42178</v>
      </c>
      <c r="C1234" s="196" t="s">
        <v>888</v>
      </c>
      <c r="D1234" s="196">
        <v>93</v>
      </c>
      <c r="E1234" s="196" t="s">
        <v>878</v>
      </c>
      <c r="F1234" s="196">
        <v>93</v>
      </c>
      <c r="G1234" s="196">
        <f t="shared" si="19"/>
        <v>46.5</v>
      </c>
      <c r="H1234" s="196">
        <v>35311</v>
      </c>
      <c r="I1234" s="196" t="s">
        <v>889</v>
      </c>
      <c r="J1234" s="196"/>
    </row>
    <row r="1235" spans="1:10" ht="14.4" hidden="1" outlineLevel="1">
      <c r="A1235" s="196" t="s">
        <v>351</v>
      </c>
      <c r="B1235" s="197">
        <v>42179</v>
      </c>
      <c r="C1235" s="196" t="s">
        <v>854</v>
      </c>
      <c r="D1235" s="196">
        <v>94</v>
      </c>
      <c r="E1235" s="196" t="s">
        <v>885</v>
      </c>
      <c r="F1235" s="196">
        <v>92.7</v>
      </c>
      <c r="G1235" s="196">
        <f t="shared" si="19"/>
        <v>46.35</v>
      </c>
      <c r="H1235" s="196">
        <v>13958</v>
      </c>
      <c r="I1235" s="196" t="s">
        <v>887</v>
      </c>
      <c r="J1235" s="196"/>
    </row>
    <row r="1236" spans="1:10" ht="14.4" hidden="1" outlineLevel="1">
      <c r="A1236" s="196" t="s">
        <v>351</v>
      </c>
      <c r="B1236" s="197">
        <v>42180</v>
      </c>
      <c r="C1236" s="196" t="s">
        <v>885</v>
      </c>
      <c r="D1236" s="196">
        <v>92.8</v>
      </c>
      <c r="E1236" s="196" t="s">
        <v>872</v>
      </c>
      <c r="F1236" s="196">
        <v>91.2</v>
      </c>
      <c r="G1236" s="196">
        <f t="shared" si="19"/>
        <v>45.6</v>
      </c>
      <c r="H1236" s="196">
        <v>9541</v>
      </c>
      <c r="I1236" s="196" t="s">
        <v>886</v>
      </c>
      <c r="J1236" s="196"/>
    </row>
    <row r="1237" spans="1:10" ht="14.4" hidden="1" outlineLevel="1">
      <c r="A1237" s="196" t="s">
        <v>351</v>
      </c>
      <c r="B1237" s="197">
        <v>42181</v>
      </c>
      <c r="C1237" s="196" t="s">
        <v>883</v>
      </c>
      <c r="D1237" s="196">
        <v>92.4</v>
      </c>
      <c r="E1237" s="196" t="s">
        <v>872</v>
      </c>
      <c r="F1237" s="196">
        <v>91</v>
      </c>
      <c r="G1237" s="196">
        <f t="shared" si="19"/>
        <v>45.5</v>
      </c>
      <c r="H1237" s="196">
        <v>25964</v>
      </c>
      <c r="I1237" s="196" t="s">
        <v>884</v>
      </c>
      <c r="J1237" s="196"/>
    </row>
    <row r="1238" spans="1:10" ht="14.4" hidden="1" outlineLevel="1">
      <c r="A1238" s="196" t="s">
        <v>351</v>
      </c>
      <c r="B1238" s="197">
        <v>42184</v>
      </c>
      <c r="C1238" s="196" t="s">
        <v>867</v>
      </c>
      <c r="D1238" s="196">
        <v>94</v>
      </c>
      <c r="E1238" s="196" t="s">
        <v>867</v>
      </c>
      <c r="F1238" s="196">
        <v>90.7</v>
      </c>
      <c r="G1238" s="196">
        <f t="shared" si="19"/>
        <v>45.35</v>
      </c>
      <c r="H1238" s="196">
        <v>214518</v>
      </c>
      <c r="I1238" s="196" t="s">
        <v>882</v>
      </c>
      <c r="J1238" s="196"/>
    </row>
    <row r="1239" spans="1:10" ht="14.4" hidden="1" outlineLevel="1">
      <c r="A1239" s="196" t="s">
        <v>351</v>
      </c>
      <c r="B1239" s="197">
        <v>42185</v>
      </c>
      <c r="C1239" s="196" t="s">
        <v>847</v>
      </c>
      <c r="D1239" s="196">
        <v>93</v>
      </c>
      <c r="E1239" s="196" t="s">
        <v>872</v>
      </c>
      <c r="F1239" s="196">
        <v>91</v>
      </c>
      <c r="G1239" s="196">
        <f t="shared" si="19"/>
        <v>45.5</v>
      </c>
      <c r="H1239" s="196">
        <v>21047</v>
      </c>
      <c r="I1239" s="196" t="s">
        <v>881</v>
      </c>
      <c r="J1239" s="196"/>
    </row>
    <row r="1240" spans="1:10" ht="14.4" hidden="1" outlineLevel="1">
      <c r="A1240" s="196" t="s">
        <v>351</v>
      </c>
      <c r="B1240" s="197">
        <v>42187</v>
      </c>
      <c r="C1240" s="196" t="s">
        <v>863</v>
      </c>
      <c r="D1240" s="196">
        <v>92.2</v>
      </c>
      <c r="E1240" s="196" t="s">
        <v>872</v>
      </c>
      <c r="F1240" s="196">
        <v>91</v>
      </c>
      <c r="G1240" s="196">
        <f t="shared" si="19"/>
        <v>45.5</v>
      </c>
      <c r="H1240" s="196">
        <v>60398</v>
      </c>
      <c r="I1240" s="196" t="s">
        <v>880</v>
      </c>
      <c r="J1240" s="196"/>
    </row>
    <row r="1241" spans="1:10" ht="14.4" hidden="1" outlineLevel="1">
      <c r="A1241" s="196" t="s">
        <v>351</v>
      </c>
      <c r="B1241" s="197">
        <v>42188</v>
      </c>
      <c r="C1241" s="196" t="s">
        <v>863</v>
      </c>
      <c r="D1241" s="196">
        <v>92</v>
      </c>
      <c r="E1241" s="196" t="s">
        <v>878</v>
      </c>
      <c r="F1241" s="196">
        <v>91.6</v>
      </c>
      <c r="G1241" s="196">
        <f t="shared" si="19"/>
        <v>45.8</v>
      </c>
      <c r="H1241" s="196">
        <v>135</v>
      </c>
      <c r="I1241" s="196" t="s">
        <v>879</v>
      </c>
      <c r="J1241" s="196"/>
    </row>
    <row r="1242" spans="1:10" ht="14.4" hidden="1" outlineLevel="1">
      <c r="A1242" s="196" t="s">
        <v>351</v>
      </c>
      <c r="B1242" s="197">
        <v>42191</v>
      </c>
      <c r="C1242" s="196" t="s">
        <v>872</v>
      </c>
      <c r="D1242" s="196">
        <v>92</v>
      </c>
      <c r="E1242" s="196" t="s">
        <v>872</v>
      </c>
      <c r="F1242" s="196">
        <v>91.1</v>
      </c>
      <c r="G1242" s="196">
        <f t="shared" si="19"/>
        <v>45.55</v>
      </c>
      <c r="H1242" s="196">
        <v>33302</v>
      </c>
      <c r="I1242" s="196" t="s">
        <v>877</v>
      </c>
      <c r="J1242" s="196"/>
    </row>
    <row r="1243" spans="1:10" ht="14.4" hidden="1" outlineLevel="1">
      <c r="A1243" s="196" t="s">
        <v>351</v>
      </c>
      <c r="B1243" s="197">
        <v>42192</v>
      </c>
      <c r="C1243" s="196" t="s">
        <v>874</v>
      </c>
      <c r="D1243" s="196">
        <v>90.9</v>
      </c>
      <c r="E1243" s="196" t="s">
        <v>875</v>
      </c>
      <c r="F1243" s="196">
        <v>89.8</v>
      </c>
      <c r="G1243" s="196">
        <f t="shared" si="19"/>
        <v>44.9</v>
      </c>
      <c r="H1243" s="196">
        <v>2013</v>
      </c>
      <c r="I1243" s="196" t="s">
        <v>876</v>
      </c>
      <c r="J1243" s="196"/>
    </row>
    <row r="1244" spans="1:10" ht="14.4" hidden="1" outlineLevel="1">
      <c r="A1244" s="196" t="s">
        <v>351</v>
      </c>
      <c r="B1244" s="197">
        <v>42193</v>
      </c>
      <c r="C1244" s="196" t="s">
        <v>872</v>
      </c>
      <c r="D1244" s="196">
        <v>91</v>
      </c>
      <c r="E1244" s="196" t="s">
        <v>872</v>
      </c>
      <c r="F1244" s="196">
        <v>89.8</v>
      </c>
      <c r="G1244" s="196">
        <f t="shared" si="19"/>
        <v>44.9</v>
      </c>
      <c r="H1244" s="196">
        <v>5</v>
      </c>
      <c r="I1244" s="196" t="s">
        <v>873</v>
      </c>
      <c r="J1244" s="196"/>
    </row>
    <row r="1245" spans="1:10" ht="14.4" hidden="1" outlineLevel="1">
      <c r="A1245" s="196" t="s">
        <v>351</v>
      </c>
      <c r="B1245" s="197">
        <v>42194</v>
      </c>
      <c r="C1245" s="196" t="s">
        <v>869</v>
      </c>
      <c r="D1245" s="196">
        <v>92</v>
      </c>
      <c r="E1245" s="196" t="s">
        <v>870</v>
      </c>
      <c r="F1245" s="196">
        <v>91</v>
      </c>
      <c r="G1245" s="196">
        <f t="shared" si="19"/>
        <v>45.5</v>
      </c>
      <c r="H1245" s="196">
        <v>35860</v>
      </c>
      <c r="I1245" s="196" t="s">
        <v>871</v>
      </c>
      <c r="J1245" s="196"/>
    </row>
    <row r="1246" spans="1:10" ht="14.4" hidden="1" outlineLevel="1">
      <c r="A1246" s="196" t="s">
        <v>351</v>
      </c>
      <c r="B1246" s="197">
        <v>42195</v>
      </c>
      <c r="C1246" s="196" t="s">
        <v>866</v>
      </c>
      <c r="D1246" s="196">
        <v>92.9</v>
      </c>
      <c r="E1246" s="196" t="s">
        <v>867</v>
      </c>
      <c r="F1246" s="196">
        <v>92</v>
      </c>
      <c r="G1246" s="196">
        <f t="shared" si="19"/>
        <v>46</v>
      </c>
      <c r="H1246" s="196">
        <v>22904</v>
      </c>
      <c r="I1246" s="196" t="s">
        <v>868</v>
      </c>
      <c r="J1246" s="196"/>
    </row>
    <row r="1247" spans="1:10" ht="14.4" hidden="1" outlineLevel="1">
      <c r="A1247" s="196" t="s">
        <v>351</v>
      </c>
      <c r="B1247" s="197">
        <v>42198</v>
      </c>
      <c r="C1247" s="196" t="s">
        <v>847</v>
      </c>
      <c r="D1247" s="196">
        <v>93</v>
      </c>
      <c r="E1247" s="196" t="s">
        <v>847</v>
      </c>
      <c r="F1247" s="196">
        <v>93</v>
      </c>
      <c r="G1247" s="196">
        <f t="shared" si="19"/>
        <v>46.5</v>
      </c>
      <c r="H1247" s="196">
        <v>102</v>
      </c>
      <c r="I1247" s="196" t="s">
        <v>865</v>
      </c>
      <c r="J1247" s="196"/>
    </row>
    <row r="1248" spans="1:10" ht="14.4" hidden="1" outlineLevel="1">
      <c r="A1248" s="196" t="s">
        <v>351</v>
      </c>
      <c r="B1248" s="197">
        <v>42199</v>
      </c>
      <c r="C1248" s="196" t="s">
        <v>863</v>
      </c>
      <c r="D1248" s="196">
        <v>94</v>
      </c>
      <c r="E1248" s="196" t="s">
        <v>863</v>
      </c>
      <c r="F1248" s="196">
        <v>93</v>
      </c>
      <c r="G1248" s="196">
        <f t="shared" si="19"/>
        <v>46.5</v>
      </c>
      <c r="H1248" s="196">
        <v>61004</v>
      </c>
      <c r="I1248" s="196" t="s">
        <v>864</v>
      </c>
      <c r="J1248" s="196"/>
    </row>
    <row r="1249" spans="1:10" ht="14.4" hidden="1" outlineLevel="1">
      <c r="A1249" s="196" t="s">
        <v>351</v>
      </c>
      <c r="B1249" s="197">
        <v>42200</v>
      </c>
      <c r="C1249" s="196" t="s">
        <v>861</v>
      </c>
      <c r="D1249" s="196">
        <v>95</v>
      </c>
      <c r="E1249" s="196" t="s">
        <v>854</v>
      </c>
      <c r="F1249" s="196">
        <v>94.3</v>
      </c>
      <c r="G1249" s="196">
        <f t="shared" si="19"/>
        <v>47.15</v>
      </c>
      <c r="H1249" s="196">
        <v>231124</v>
      </c>
      <c r="I1249" s="196" t="s">
        <v>862</v>
      </c>
      <c r="J1249" s="196"/>
    </row>
    <row r="1250" spans="1:10" ht="14.4" hidden="1" outlineLevel="1">
      <c r="A1250" s="196" t="s">
        <v>351</v>
      </c>
      <c r="B1250" s="197">
        <v>42201</v>
      </c>
      <c r="C1250" s="196" t="s">
        <v>858</v>
      </c>
      <c r="D1250" s="196">
        <v>95</v>
      </c>
      <c r="E1250" s="196" t="s">
        <v>859</v>
      </c>
      <c r="F1250" s="196">
        <v>92.8</v>
      </c>
      <c r="G1250" s="196">
        <f t="shared" si="19"/>
        <v>46.4</v>
      </c>
      <c r="H1250" s="196">
        <v>40799</v>
      </c>
      <c r="I1250" s="196" t="s">
        <v>860</v>
      </c>
      <c r="J1250" s="196"/>
    </row>
    <row r="1251" spans="1:10" ht="14.4" hidden="1" outlineLevel="1">
      <c r="A1251" s="196" t="s">
        <v>351</v>
      </c>
      <c r="B1251" s="197">
        <v>42202</v>
      </c>
      <c r="C1251" s="196" t="s">
        <v>856</v>
      </c>
      <c r="D1251" s="196">
        <v>94.6</v>
      </c>
      <c r="E1251" s="196" t="s">
        <v>856</v>
      </c>
      <c r="F1251" s="196">
        <v>93.5</v>
      </c>
      <c r="G1251" s="196">
        <f t="shared" si="19"/>
        <v>46.75</v>
      </c>
      <c r="H1251" s="196">
        <v>8402</v>
      </c>
      <c r="I1251" s="196" t="s">
        <v>857</v>
      </c>
      <c r="J1251" s="196"/>
    </row>
    <row r="1252" spans="1:10" ht="14.4" hidden="1" outlineLevel="1">
      <c r="A1252" s="196" t="s">
        <v>351</v>
      </c>
      <c r="B1252" s="197">
        <v>42205</v>
      </c>
      <c r="C1252" s="196" t="s">
        <v>846</v>
      </c>
      <c r="D1252" s="196">
        <v>94.5</v>
      </c>
      <c r="E1252" s="196" t="s">
        <v>854</v>
      </c>
      <c r="F1252" s="196">
        <v>94</v>
      </c>
      <c r="G1252" s="196">
        <f t="shared" si="19"/>
        <v>47</v>
      </c>
      <c r="H1252" s="196">
        <v>8780</v>
      </c>
      <c r="I1252" s="196" t="s">
        <v>855</v>
      </c>
      <c r="J1252" s="196"/>
    </row>
    <row r="1253" spans="1:10" ht="14.4" hidden="1" outlineLevel="1">
      <c r="A1253" s="196" t="s">
        <v>351</v>
      </c>
      <c r="B1253" s="197">
        <v>42206</v>
      </c>
      <c r="C1253" s="196" t="s">
        <v>851</v>
      </c>
      <c r="D1253" s="196">
        <v>94.3</v>
      </c>
      <c r="E1253" s="196" t="s">
        <v>852</v>
      </c>
      <c r="F1253" s="196">
        <v>94</v>
      </c>
      <c r="G1253" s="196">
        <f t="shared" si="19"/>
        <v>47</v>
      </c>
      <c r="H1253" s="196">
        <v>15550</v>
      </c>
      <c r="I1253" s="196" t="s">
        <v>853</v>
      </c>
      <c r="J1253" s="196"/>
    </row>
    <row r="1254" spans="1:10" ht="14.4" hidden="1" outlineLevel="1">
      <c r="A1254" s="196" t="s">
        <v>351</v>
      </c>
      <c r="B1254" s="197">
        <v>42207</v>
      </c>
      <c r="C1254" s="196" t="s">
        <v>849</v>
      </c>
      <c r="D1254" s="196">
        <v>94.5</v>
      </c>
      <c r="E1254" s="196" t="s">
        <v>849</v>
      </c>
      <c r="F1254" s="196">
        <v>94.1</v>
      </c>
      <c r="G1254" s="196">
        <f t="shared" si="19"/>
        <v>47.05</v>
      </c>
      <c r="H1254" s="196">
        <v>25414</v>
      </c>
      <c r="I1254" s="196" t="s">
        <v>850</v>
      </c>
      <c r="J1254" s="196"/>
    </row>
    <row r="1255" spans="1:10" ht="14.4" hidden="1" outlineLevel="1">
      <c r="A1255" s="196" t="s">
        <v>351</v>
      </c>
      <c r="B1255" s="197">
        <v>42208</v>
      </c>
      <c r="C1255" s="196" t="s">
        <v>846</v>
      </c>
      <c r="D1255" s="196">
        <v>95</v>
      </c>
      <c r="E1255" s="196" t="s">
        <v>847</v>
      </c>
      <c r="F1255" s="196">
        <v>95</v>
      </c>
      <c r="G1255" s="196">
        <f t="shared" si="19"/>
        <v>47.5</v>
      </c>
      <c r="H1255" s="196">
        <v>52420</v>
      </c>
      <c r="I1255" s="196" t="s">
        <v>848</v>
      </c>
      <c r="J1255" s="196"/>
    </row>
    <row r="1256" spans="1:10" ht="14.4" hidden="1" outlineLevel="1">
      <c r="A1256" s="196" t="s">
        <v>351</v>
      </c>
      <c r="B1256" s="197">
        <v>42209</v>
      </c>
      <c r="C1256" s="196" t="s">
        <v>621</v>
      </c>
      <c r="D1256" s="196">
        <v>96.9</v>
      </c>
      <c r="E1256" s="196" t="s">
        <v>621</v>
      </c>
      <c r="F1256" s="196">
        <v>96</v>
      </c>
      <c r="G1256" s="196">
        <f t="shared" si="19"/>
        <v>48</v>
      </c>
      <c r="H1256" s="196">
        <v>156650</v>
      </c>
      <c r="I1256" s="196" t="s">
        <v>845</v>
      </c>
      <c r="J1256" s="196"/>
    </row>
    <row r="1257" spans="1:10" ht="14.4" hidden="1" outlineLevel="1">
      <c r="A1257" s="196" t="s">
        <v>351</v>
      </c>
      <c r="B1257" s="197">
        <v>42212</v>
      </c>
      <c r="C1257" s="196" t="s">
        <v>842</v>
      </c>
      <c r="D1257" s="196">
        <v>98.7</v>
      </c>
      <c r="E1257" s="196" t="s">
        <v>843</v>
      </c>
      <c r="F1257" s="196">
        <v>96.9</v>
      </c>
      <c r="G1257" s="196">
        <f t="shared" si="19"/>
        <v>48.45</v>
      </c>
      <c r="H1257" s="196">
        <v>291172</v>
      </c>
      <c r="I1257" s="196" t="s">
        <v>844</v>
      </c>
      <c r="J1257" s="196"/>
    </row>
    <row r="1258" spans="1:10" ht="14.4" hidden="1" outlineLevel="1">
      <c r="A1258" s="196" t="s">
        <v>351</v>
      </c>
      <c r="B1258" s="197">
        <v>42213</v>
      </c>
      <c r="C1258" s="196" t="s">
        <v>839</v>
      </c>
      <c r="D1258" s="196">
        <v>98.5</v>
      </c>
      <c r="E1258" s="196" t="s">
        <v>840</v>
      </c>
      <c r="F1258" s="196">
        <v>97.9</v>
      </c>
      <c r="G1258" s="196">
        <f t="shared" si="19"/>
        <v>48.95</v>
      </c>
      <c r="H1258" s="196">
        <v>22782</v>
      </c>
      <c r="I1258" s="196" t="s">
        <v>841</v>
      </c>
      <c r="J1258" s="196"/>
    </row>
    <row r="1259" spans="1:10" ht="14.4" hidden="1" outlineLevel="1">
      <c r="A1259" s="196" t="s">
        <v>351</v>
      </c>
      <c r="B1259" s="197">
        <v>42214</v>
      </c>
      <c r="C1259" s="196" t="s">
        <v>620</v>
      </c>
      <c r="D1259" s="196">
        <v>100</v>
      </c>
      <c r="E1259" s="196" t="s">
        <v>837</v>
      </c>
      <c r="F1259" s="196">
        <v>99.7</v>
      </c>
      <c r="G1259" s="196">
        <f t="shared" si="19"/>
        <v>49.85</v>
      </c>
      <c r="H1259" s="196">
        <v>248306</v>
      </c>
      <c r="I1259" s="196" t="s">
        <v>838</v>
      </c>
      <c r="J1259" s="196"/>
    </row>
    <row r="1260" spans="1:10" ht="14.4" hidden="1" outlineLevel="1">
      <c r="A1260" s="196" t="s">
        <v>351</v>
      </c>
      <c r="B1260" s="197">
        <v>42215</v>
      </c>
      <c r="C1260" s="196" t="s">
        <v>604</v>
      </c>
      <c r="D1260" s="196">
        <v>103</v>
      </c>
      <c r="E1260" s="196" t="s">
        <v>604</v>
      </c>
      <c r="F1260" s="196">
        <v>102.1</v>
      </c>
      <c r="G1260" s="196">
        <f t="shared" si="19"/>
        <v>51.05</v>
      </c>
      <c r="H1260" s="196">
        <v>166286</v>
      </c>
      <c r="I1260" s="196" t="s">
        <v>836</v>
      </c>
      <c r="J1260" s="196"/>
    </row>
    <row r="1261" spans="1:10" ht="14.4" hidden="1" outlineLevel="1">
      <c r="A1261" s="196" t="s">
        <v>351</v>
      </c>
      <c r="B1261" s="197">
        <v>42219</v>
      </c>
      <c r="C1261" s="196" t="s">
        <v>595</v>
      </c>
      <c r="D1261" s="196">
        <v>104</v>
      </c>
      <c r="E1261" s="196" t="s">
        <v>596</v>
      </c>
      <c r="F1261" s="196">
        <v>103.4</v>
      </c>
      <c r="G1261" s="196">
        <f t="shared" si="19"/>
        <v>51.7</v>
      </c>
      <c r="H1261" s="196">
        <v>88504</v>
      </c>
      <c r="I1261" s="196" t="s">
        <v>835</v>
      </c>
      <c r="J1261" s="196"/>
    </row>
    <row r="1262" spans="1:10" ht="14.4" hidden="1" outlineLevel="1">
      <c r="A1262" s="196" t="s">
        <v>351</v>
      </c>
      <c r="B1262" s="197">
        <v>42220</v>
      </c>
      <c r="C1262" s="196" t="s">
        <v>833</v>
      </c>
      <c r="D1262" s="196">
        <v>106</v>
      </c>
      <c r="E1262" s="196" t="s">
        <v>593</v>
      </c>
      <c r="F1262" s="196">
        <v>105.2</v>
      </c>
      <c r="G1262" s="196">
        <f t="shared" si="19"/>
        <v>52.6</v>
      </c>
      <c r="H1262" s="196">
        <v>323709</v>
      </c>
      <c r="I1262" s="196" t="s">
        <v>834</v>
      </c>
      <c r="J1262" s="196"/>
    </row>
    <row r="1263" spans="1:10" ht="14.4" hidden="1" outlineLevel="1">
      <c r="A1263" s="196" t="s">
        <v>351</v>
      </c>
      <c r="B1263" s="197">
        <v>42221</v>
      </c>
      <c r="C1263" s="196" t="s">
        <v>583</v>
      </c>
      <c r="D1263" s="196">
        <v>111</v>
      </c>
      <c r="E1263" s="196" t="s">
        <v>583</v>
      </c>
      <c r="F1263" s="196">
        <v>110</v>
      </c>
      <c r="G1263" s="196">
        <f t="shared" si="19"/>
        <v>55</v>
      </c>
      <c r="H1263" s="196">
        <v>447126</v>
      </c>
      <c r="I1263" s="196" t="s">
        <v>832</v>
      </c>
      <c r="J1263" s="196"/>
    </row>
    <row r="1264" spans="1:10" ht="14.4" hidden="1" outlineLevel="1">
      <c r="A1264" s="196" t="s">
        <v>351</v>
      </c>
      <c r="B1264" s="197">
        <v>42222</v>
      </c>
      <c r="C1264" s="196" t="s">
        <v>647</v>
      </c>
      <c r="D1264" s="196">
        <v>113</v>
      </c>
      <c r="E1264" s="196" t="s">
        <v>830</v>
      </c>
      <c r="F1264" s="196">
        <v>112.7</v>
      </c>
      <c r="G1264" s="196">
        <f t="shared" si="19"/>
        <v>56.35</v>
      </c>
      <c r="H1264" s="196">
        <v>475257</v>
      </c>
      <c r="I1264" s="196" t="s">
        <v>831</v>
      </c>
      <c r="J1264" s="196"/>
    </row>
    <row r="1265" spans="1:10" ht="14.4" hidden="1" outlineLevel="1">
      <c r="A1265" s="196" t="s">
        <v>351</v>
      </c>
      <c r="B1265" s="197">
        <v>42223</v>
      </c>
      <c r="C1265" s="196" t="s">
        <v>489</v>
      </c>
      <c r="D1265" s="196">
        <v>113</v>
      </c>
      <c r="E1265" s="196" t="s">
        <v>569</v>
      </c>
      <c r="F1265" s="196">
        <v>111</v>
      </c>
      <c r="G1265" s="196">
        <f t="shared" ref="G1265:G1329" si="20">F1265/2</f>
        <v>55.5</v>
      </c>
      <c r="H1265" s="196">
        <v>59750</v>
      </c>
      <c r="I1265" s="196" t="s">
        <v>829</v>
      </c>
      <c r="J1265" s="196"/>
    </row>
    <row r="1266" spans="1:10" ht="14.4" collapsed="1">
      <c r="A1266" s="196" t="s">
        <v>351</v>
      </c>
      <c r="B1266" s="197">
        <v>42226</v>
      </c>
      <c r="C1266" s="196" t="s">
        <v>656</v>
      </c>
      <c r="D1266" s="196">
        <v>111.5</v>
      </c>
      <c r="E1266" s="196" t="s">
        <v>647</v>
      </c>
      <c r="F1266" s="196">
        <v>110</v>
      </c>
      <c r="G1266" s="196">
        <f t="shared" si="20"/>
        <v>55</v>
      </c>
      <c r="H1266" s="196">
        <v>126894</v>
      </c>
      <c r="I1266" s="196" t="s">
        <v>828</v>
      </c>
      <c r="J1266" s="196"/>
    </row>
    <row r="1267" spans="1:10" ht="14.4">
      <c r="A1267" s="196" t="s">
        <v>351</v>
      </c>
      <c r="B1267" s="197">
        <v>42227</v>
      </c>
      <c r="C1267" s="196" t="s">
        <v>647</v>
      </c>
      <c r="D1267" s="196">
        <v>115.5</v>
      </c>
      <c r="E1267" s="196" t="s">
        <v>647</v>
      </c>
      <c r="F1267" s="196">
        <v>114.9</v>
      </c>
      <c r="G1267" s="196">
        <f t="shared" si="20"/>
        <v>57.45</v>
      </c>
      <c r="H1267" s="196">
        <v>194508</v>
      </c>
      <c r="I1267" s="196" t="s">
        <v>827</v>
      </c>
      <c r="J1267" s="196"/>
    </row>
    <row r="1268" spans="1:10" ht="14.4">
      <c r="A1268" s="196" t="s">
        <v>351</v>
      </c>
      <c r="B1268" s="197">
        <v>42228</v>
      </c>
      <c r="C1268" s="196" t="s">
        <v>687</v>
      </c>
      <c r="D1268" s="196">
        <v>116</v>
      </c>
      <c r="E1268" s="196" t="s">
        <v>492</v>
      </c>
      <c r="F1268" s="196">
        <v>114</v>
      </c>
      <c r="G1268" s="196">
        <f t="shared" si="20"/>
        <v>57</v>
      </c>
      <c r="H1268" s="196">
        <v>65981</v>
      </c>
      <c r="I1268" s="196" t="s">
        <v>826</v>
      </c>
      <c r="J1268" s="196"/>
    </row>
    <row r="1269" spans="1:10" ht="14.4">
      <c r="A1269" s="196" t="s">
        <v>351</v>
      </c>
      <c r="B1269" s="197">
        <v>42229</v>
      </c>
      <c r="C1269" s="196" t="s">
        <v>712</v>
      </c>
      <c r="D1269" s="196">
        <v>115.9</v>
      </c>
      <c r="E1269" s="196" t="s">
        <v>559</v>
      </c>
      <c r="F1269" s="196">
        <v>112.1</v>
      </c>
      <c r="G1269" s="196">
        <f t="shared" si="20"/>
        <v>56.05</v>
      </c>
      <c r="H1269" s="196">
        <v>43827</v>
      </c>
      <c r="I1269" s="196" t="s">
        <v>825</v>
      </c>
      <c r="J1269" s="196"/>
    </row>
    <row r="1270" spans="1:10" ht="14.4">
      <c r="A1270" s="196" t="s">
        <v>351</v>
      </c>
      <c r="B1270" s="197">
        <v>42230</v>
      </c>
      <c r="C1270" s="196" t="s">
        <v>823</v>
      </c>
      <c r="D1270" s="196">
        <v>114</v>
      </c>
      <c r="E1270" s="196" t="s">
        <v>823</v>
      </c>
      <c r="F1270" s="196">
        <v>113.1</v>
      </c>
      <c r="G1270" s="196">
        <f t="shared" si="20"/>
        <v>56.55</v>
      </c>
      <c r="H1270" s="196">
        <v>85990</v>
      </c>
      <c r="I1270" s="196" t="s">
        <v>824</v>
      </c>
      <c r="J1270" s="196"/>
    </row>
    <row r="1271" spans="1:10" ht="14.4">
      <c r="A1271" s="196" t="s">
        <v>351</v>
      </c>
      <c r="B1271" s="197">
        <v>42233</v>
      </c>
      <c r="C1271" s="196" t="s">
        <v>514</v>
      </c>
      <c r="D1271" s="196">
        <v>122.9</v>
      </c>
      <c r="E1271" s="196" t="s">
        <v>521</v>
      </c>
      <c r="F1271" s="196">
        <v>120.6</v>
      </c>
      <c r="G1271" s="196">
        <f t="shared" si="20"/>
        <v>60.3</v>
      </c>
      <c r="H1271" s="196">
        <v>549569</v>
      </c>
      <c r="I1271" s="196" t="s">
        <v>822</v>
      </c>
      <c r="J1271" s="196"/>
    </row>
    <row r="1272" spans="1:10" ht="14.4">
      <c r="A1272" s="196" t="s">
        <v>351</v>
      </c>
      <c r="B1272" s="197">
        <v>42234</v>
      </c>
      <c r="C1272" s="196" t="s">
        <v>820</v>
      </c>
      <c r="D1272" s="196">
        <v>126</v>
      </c>
      <c r="E1272" s="196" t="s">
        <v>539</v>
      </c>
      <c r="F1272" s="196">
        <v>123.6</v>
      </c>
      <c r="G1272" s="196">
        <f t="shared" si="20"/>
        <v>61.8</v>
      </c>
      <c r="H1272" s="196">
        <v>138156</v>
      </c>
      <c r="I1272" s="196" t="s">
        <v>821</v>
      </c>
      <c r="J1272" s="196"/>
    </row>
    <row r="1273" spans="1:10" ht="14.4">
      <c r="A1273" s="196" t="s">
        <v>351</v>
      </c>
      <c r="B1273" s="197">
        <v>42235</v>
      </c>
      <c r="C1273" s="196" t="s">
        <v>546</v>
      </c>
      <c r="D1273" s="196">
        <v>124.5</v>
      </c>
      <c r="E1273" s="196" t="s">
        <v>514</v>
      </c>
      <c r="F1273" s="196">
        <v>120.1</v>
      </c>
      <c r="G1273" s="196">
        <f t="shared" si="20"/>
        <v>60.05</v>
      </c>
      <c r="H1273" s="196">
        <v>62979</v>
      </c>
      <c r="I1273" s="196" t="s">
        <v>819</v>
      </c>
      <c r="J1273" s="196"/>
    </row>
    <row r="1274" spans="1:10" ht="14.4">
      <c r="A1274" s="196" t="s">
        <v>351</v>
      </c>
      <c r="B1274" s="197">
        <v>42236</v>
      </c>
      <c r="C1274" s="196" t="s">
        <v>817</v>
      </c>
      <c r="D1274" s="196">
        <v>121.5</v>
      </c>
      <c r="E1274" s="196" t="s">
        <v>515</v>
      </c>
      <c r="F1274" s="196">
        <v>118.8</v>
      </c>
      <c r="G1274" s="196">
        <f t="shared" si="20"/>
        <v>59.4</v>
      </c>
      <c r="H1274" s="196">
        <v>99805</v>
      </c>
      <c r="I1274" s="196" t="s">
        <v>818</v>
      </c>
      <c r="J1274" s="196"/>
    </row>
    <row r="1275" spans="1:10" ht="14.4">
      <c r="A1275" s="196" t="s">
        <v>351</v>
      </c>
      <c r="B1275" s="197">
        <v>42237</v>
      </c>
      <c r="C1275" s="196" t="s">
        <v>815</v>
      </c>
      <c r="D1275" s="196">
        <v>120.6</v>
      </c>
      <c r="E1275" s="196" t="s">
        <v>815</v>
      </c>
      <c r="F1275" s="196">
        <v>120</v>
      </c>
      <c r="G1275" s="196">
        <f t="shared" si="20"/>
        <v>60</v>
      </c>
      <c r="H1275" s="196">
        <v>50569</v>
      </c>
      <c r="I1275" s="196" t="s">
        <v>816</v>
      </c>
      <c r="J1275" s="196"/>
    </row>
    <row r="1276" spans="1:10" ht="14.4">
      <c r="A1276" s="196" t="s">
        <v>351</v>
      </c>
      <c r="B1276" s="197">
        <v>42240</v>
      </c>
      <c r="C1276" s="196" t="s">
        <v>514</v>
      </c>
      <c r="D1276" s="196">
        <v>120</v>
      </c>
      <c r="E1276" s="196" t="s">
        <v>559</v>
      </c>
      <c r="F1276" s="196">
        <v>115.2</v>
      </c>
      <c r="G1276" s="196">
        <f t="shared" si="20"/>
        <v>57.6</v>
      </c>
      <c r="H1276" s="196">
        <v>60715</v>
      </c>
      <c r="I1276" s="196" t="s">
        <v>814</v>
      </c>
      <c r="J1276" s="196"/>
    </row>
    <row r="1277" spans="1:10" ht="14.4">
      <c r="A1277" s="196" t="s">
        <v>351</v>
      </c>
      <c r="B1277" s="197">
        <v>42241</v>
      </c>
      <c r="C1277" s="196" t="s">
        <v>812</v>
      </c>
      <c r="D1277" s="196">
        <v>114.1</v>
      </c>
      <c r="E1277" s="196" t="s">
        <v>674</v>
      </c>
      <c r="F1277" s="196">
        <v>110.1</v>
      </c>
      <c r="G1277" s="196">
        <f t="shared" si="20"/>
        <v>55.05</v>
      </c>
      <c r="H1277" s="196">
        <v>146067</v>
      </c>
      <c r="I1277" s="196" t="s">
        <v>813</v>
      </c>
      <c r="J1277" s="196"/>
    </row>
    <row r="1278" spans="1:10" ht="14.4">
      <c r="A1278" s="196" t="s">
        <v>351</v>
      </c>
      <c r="B1278" s="197">
        <v>42242</v>
      </c>
      <c r="C1278" s="196" t="s">
        <v>810</v>
      </c>
      <c r="D1278" s="196">
        <v>114.9</v>
      </c>
      <c r="E1278" s="196" t="s">
        <v>574</v>
      </c>
      <c r="F1278" s="196">
        <v>111.5</v>
      </c>
      <c r="G1278" s="196">
        <f t="shared" si="20"/>
        <v>55.75</v>
      </c>
      <c r="H1278" s="196">
        <v>19117</v>
      </c>
      <c r="I1278" s="196" t="s">
        <v>811</v>
      </c>
      <c r="J1278" s="196"/>
    </row>
    <row r="1279" spans="1:10" ht="14.4">
      <c r="A1279" s="196" t="s">
        <v>351</v>
      </c>
      <c r="B1279" s="197">
        <v>42243</v>
      </c>
      <c r="C1279" s="196" t="s">
        <v>489</v>
      </c>
      <c r="D1279" s="196">
        <v>115</v>
      </c>
      <c r="E1279" s="196" t="s">
        <v>489</v>
      </c>
      <c r="F1279" s="196">
        <v>114</v>
      </c>
      <c r="G1279" s="196">
        <f t="shared" si="20"/>
        <v>57</v>
      </c>
      <c r="H1279" s="196">
        <v>100303</v>
      </c>
      <c r="I1279" s="196" t="s">
        <v>809</v>
      </c>
      <c r="J1279" s="196"/>
    </row>
    <row r="1280" spans="1:10" ht="14.4">
      <c r="A1280" s="196" t="s">
        <v>351</v>
      </c>
      <c r="B1280" s="197">
        <v>42244</v>
      </c>
      <c r="C1280" s="196" t="s">
        <v>494</v>
      </c>
      <c r="D1280" s="196">
        <v>118</v>
      </c>
      <c r="E1280" s="196" t="s">
        <v>494</v>
      </c>
      <c r="F1280" s="196">
        <v>116.2</v>
      </c>
      <c r="G1280" s="196">
        <f t="shared" si="20"/>
        <v>58.1</v>
      </c>
      <c r="H1280" s="196">
        <v>167886</v>
      </c>
      <c r="I1280" s="196" t="s">
        <v>808</v>
      </c>
      <c r="J1280" s="196"/>
    </row>
    <row r="1281" spans="1:10" ht="14.4">
      <c r="A1281" s="196" t="s">
        <v>351</v>
      </c>
      <c r="B1281" s="197">
        <v>42247</v>
      </c>
      <c r="C1281" s="196" t="s">
        <v>515</v>
      </c>
      <c r="D1281" s="196">
        <v>118</v>
      </c>
      <c r="E1281" s="196" t="s">
        <v>494</v>
      </c>
      <c r="F1281" s="196">
        <v>114</v>
      </c>
      <c r="G1281" s="196">
        <f t="shared" si="20"/>
        <v>57</v>
      </c>
      <c r="H1281" s="196">
        <v>65240</v>
      </c>
      <c r="I1281" s="196" t="s">
        <v>807</v>
      </c>
      <c r="J1281" s="196"/>
    </row>
    <row r="1282" spans="1:10" ht="14.4">
      <c r="A1282" s="196" t="s">
        <v>351</v>
      </c>
      <c r="B1282" s="197">
        <v>42248</v>
      </c>
      <c r="C1282" s="196" t="s">
        <v>804</v>
      </c>
      <c r="D1282" s="196">
        <v>117</v>
      </c>
      <c r="E1282" s="196" t="s">
        <v>805</v>
      </c>
      <c r="F1282" s="196">
        <v>114.8</v>
      </c>
      <c r="G1282" s="196">
        <f t="shared" si="20"/>
        <v>57.4</v>
      </c>
      <c r="H1282" s="196">
        <v>177979</v>
      </c>
      <c r="I1282" s="196" t="s">
        <v>806</v>
      </c>
      <c r="J1282" s="196"/>
    </row>
    <row r="1283" spans="1:10" ht="14.4">
      <c r="A1283" s="196" t="s">
        <v>351</v>
      </c>
      <c r="B1283" s="197">
        <v>42249</v>
      </c>
      <c r="C1283" s="196" t="s">
        <v>494</v>
      </c>
      <c r="D1283" s="196">
        <v>114.1</v>
      </c>
      <c r="E1283" s="196" t="s">
        <v>576</v>
      </c>
      <c r="F1283" s="196">
        <v>112.5</v>
      </c>
      <c r="G1283" s="196">
        <f t="shared" si="20"/>
        <v>56.25</v>
      </c>
      <c r="H1283" s="196">
        <v>66204</v>
      </c>
      <c r="I1283" s="196" t="s">
        <v>803</v>
      </c>
      <c r="J1283" s="196"/>
    </row>
    <row r="1284" spans="1:10" ht="14.4">
      <c r="A1284" s="196" t="s">
        <v>351</v>
      </c>
      <c r="B1284" s="197">
        <v>42250</v>
      </c>
      <c r="C1284" s="196" t="s">
        <v>563</v>
      </c>
      <c r="D1284" s="196">
        <v>114</v>
      </c>
      <c r="E1284" s="196" t="s">
        <v>563</v>
      </c>
      <c r="F1284" s="196">
        <v>114</v>
      </c>
      <c r="G1284" s="196">
        <f t="shared" si="20"/>
        <v>57</v>
      </c>
      <c r="H1284" s="196">
        <v>14550</v>
      </c>
      <c r="I1284" s="196" t="s">
        <v>802</v>
      </c>
      <c r="J1284" s="196"/>
    </row>
    <row r="1285" spans="1:10" ht="14.4">
      <c r="A1285" s="196" t="s">
        <v>351</v>
      </c>
      <c r="B1285" s="197">
        <v>42251</v>
      </c>
      <c r="C1285" s="196" t="s">
        <v>494</v>
      </c>
      <c r="D1285" s="196">
        <v>114</v>
      </c>
      <c r="E1285" s="196" t="s">
        <v>688</v>
      </c>
      <c r="F1285" s="196">
        <v>112.2</v>
      </c>
      <c r="G1285" s="196">
        <f t="shared" si="20"/>
        <v>56.1</v>
      </c>
      <c r="H1285" s="196">
        <v>8508</v>
      </c>
      <c r="I1285" s="196" t="s">
        <v>801</v>
      </c>
      <c r="J1285" s="196"/>
    </row>
    <row r="1286" spans="1:10" ht="14.4">
      <c r="A1286" s="196" t="s">
        <v>351</v>
      </c>
      <c r="B1286" s="197">
        <v>42254</v>
      </c>
      <c r="C1286" s="196" t="s">
        <v>688</v>
      </c>
      <c r="D1286" s="196">
        <v>111.1</v>
      </c>
      <c r="E1286" s="196">
        <v>107</v>
      </c>
      <c r="F1286" s="196">
        <v>107.5</v>
      </c>
      <c r="G1286" s="196">
        <f t="shared" si="20"/>
        <v>53.75</v>
      </c>
      <c r="H1286" s="196">
        <v>35628</v>
      </c>
      <c r="I1286" s="196" t="s">
        <v>800</v>
      </c>
      <c r="J1286" s="196"/>
    </row>
    <row r="1287" spans="1:10" ht="14.4">
      <c r="A1287" s="196" t="s">
        <v>351</v>
      </c>
      <c r="B1287" s="197">
        <v>42255</v>
      </c>
      <c r="C1287" s="196" t="s">
        <v>674</v>
      </c>
      <c r="D1287" s="196">
        <v>109.5</v>
      </c>
      <c r="E1287" s="196">
        <v>107</v>
      </c>
      <c r="F1287" s="196">
        <v>107.2</v>
      </c>
      <c r="G1287" s="196">
        <f t="shared" si="20"/>
        <v>53.6</v>
      </c>
      <c r="H1287" s="196">
        <v>35531</v>
      </c>
      <c r="I1287" s="196" t="s">
        <v>799</v>
      </c>
      <c r="J1287" s="196"/>
    </row>
    <row r="1288" spans="1:10" ht="14.4">
      <c r="A1288" s="196" t="s">
        <v>351</v>
      </c>
      <c r="B1288" s="197">
        <v>42256</v>
      </c>
      <c r="C1288" s="196" t="s">
        <v>674</v>
      </c>
      <c r="D1288" s="196">
        <v>112</v>
      </c>
      <c r="E1288" s="196">
        <v>108</v>
      </c>
      <c r="F1288" s="196">
        <v>110.9</v>
      </c>
      <c r="G1288" s="196">
        <f t="shared" si="20"/>
        <v>55.45</v>
      </c>
      <c r="H1288" s="196">
        <v>17016</v>
      </c>
      <c r="I1288" s="196" t="s">
        <v>798</v>
      </c>
      <c r="J1288" s="196"/>
    </row>
    <row r="1289" spans="1:10" ht="14.4">
      <c r="A1289" s="196" t="s">
        <v>351</v>
      </c>
      <c r="B1289" s="197">
        <v>42257</v>
      </c>
      <c r="C1289" s="196" t="s">
        <v>796</v>
      </c>
      <c r="D1289" s="196">
        <v>111.5</v>
      </c>
      <c r="E1289" s="196">
        <v>108</v>
      </c>
      <c r="F1289" s="196">
        <v>108</v>
      </c>
      <c r="G1289" s="196">
        <f t="shared" si="20"/>
        <v>54</v>
      </c>
      <c r="H1289" s="196">
        <v>54009</v>
      </c>
      <c r="I1289" s="196" t="s">
        <v>797</v>
      </c>
      <c r="J1289" s="196"/>
    </row>
    <row r="1290" spans="1:10" ht="14.4">
      <c r="A1290" s="196" t="s">
        <v>351</v>
      </c>
      <c r="B1290" s="197">
        <v>42258</v>
      </c>
      <c r="C1290" s="196" t="s">
        <v>674</v>
      </c>
      <c r="D1290" s="196">
        <v>108.1</v>
      </c>
      <c r="E1290" s="196">
        <v>107.6</v>
      </c>
      <c r="F1290" s="196">
        <v>108</v>
      </c>
      <c r="G1290" s="196">
        <f t="shared" si="20"/>
        <v>54</v>
      </c>
      <c r="H1290" s="196">
        <v>59943</v>
      </c>
      <c r="I1290" s="196" t="s">
        <v>795</v>
      </c>
      <c r="J1290" s="196"/>
    </row>
    <row r="1291" spans="1:10" ht="14.4">
      <c r="A1291" s="196" t="s">
        <v>351</v>
      </c>
      <c r="B1291" s="197">
        <v>42261</v>
      </c>
      <c r="C1291" s="196" t="s">
        <v>674</v>
      </c>
      <c r="D1291" s="196">
        <v>108</v>
      </c>
      <c r="E1291" s="196">
        <v>107.6</v>
      </c>
      <c r="F1291" s="196">
        <v>108</v>
      </c>
      <c r="G1291" s="196">
        <f t="shared" si="20"/>
        <v>54</v>
      </c>
      <c r="H1291" s="196">
        <v>68420</v>
      </c>
      <c r="I1291" s="196" t="s">
        <v>794</v>
      </c>
      <c r="J1291" s="196"/>
    </row>
    <row r="1292" spans="1:10" ht="14.4">
      <c r="A1292" s="196" t="s">
        <v>351</v>
      </c>
      <c r="B1292" s="197">
        <v>42262</v>
      </c>
      <c r="C1292" s="196" t="s">
        <v>651</v>
      </c>
      <c r="D1292" s="196">
        <v>109</v>
      </c>
      <c r="E1292" s="196">
        <v>108</v>
      </c>
      <c r="F1292" s="196">
        <v>109</v>
      </c>
      <c r="G1292" s="196">
        <f t="shared" si="20"/>
        <v>54.5</v>
      </c>
      <c r="H1292" s="196">
        <v>77888</v>
      </c>
      <c r="I1292" s="196" t="s">
        <v>793</v>
      </c>
      <c r="J1292" s="196"/>
    </row>
    <row r="1293" spans="1:10" ht="14.4">
      <c r="A1293" s="196" t="s">
        <v>351</v>
      </c>
      <c r="B1293" s="197">
        <v>42263</v>
      </c>
      <c r="C1293" s="196" t="s">
        <v>651</v>
      </c>
      <c r="D1293" s="196">
        <v>109</v>
      </c>
      <c r="E1293" s="196">
        <v>107.5</v>
      </c>
      <c r="F1293" s="196">
        <v>107.7</v>
      </c>
      <c r="G1293" s="196">
        <f t="shared" si="20"/>
        <v>53.85</v>
      </c>
      <c r="H1293" s="196">
        <v>58797</v>
      </c>
      <c r="I1293" s="196" t="s">
        <v>792</v>
      </c>
      <c r="J1293" s="196"/>
    </row>
    <row r="1294" spans="1:10" ht="14.4">
      <c r="A1294" s="196" t="s">
        <v>351</v>
      </c>
      <c r="B1294" s="197">
        <v>42264</v>
      </c>
      <c r="C1294" s="196" t="s">
        <v>674</v>
      </c>
      <c r="D1294" s="196">
        <v>110</v>
      </c>
      <c r="E1294" s="196">
        <v>107.5</v>
      </c>
      <c r="F1294" s="196">
        <v>108.1</v>
      </c>
      <c r="G1294" s="196">
        <f t="shared" si="20"/>
        <v>54.05</v>
      </c>
      <c r="H1294" s="196">
        <v>419891</v>
      </c>
      <c r="I1294" s="196" t="s">
        <v>791</v>
      </c>
      <c r="J1294" s="196"/>
    </row>
    <row r="1295" spans="1:10" s="211" customFormat="1" ht="14.4">
      <c r="A1295" s="209"/>
      <c r="B1295" s="210"/>
      <c r="C1295" s="209"/>
      <c r="D1295" s="209"/>
      <c r="E1295" s="209"/>
      <c r="F1295" s="209"/>
      <c r="G1295" s="209"/>
      <c r="H1295" s="209"/>
      <c r="I1295" s="209"/>
      <c r="J1295" s="209"/>
    </row>
    <row r="1296" spans="1:10" ht="14.4">
      <c r="A1296" s="196" t="s">
        <v>351</v>
      </c>
      <c r="B1296" s="197">
        <v>42265</v>
      </c>
      <c r="C1296" s="196" t="s">
        <v>784</v>
      </c>
      <c r="D1296" s="196">
        <v>110</v>
      </c>
      <c r="E1296" s="196">
        <v>108</v>
      </c>
      <c r="F1296" s="196">
        <v>108.8</v>
      </c>
      <c r="G1296" s="196">
        <f t="shared" si="20"/>
        <v>54.4</v>
      </c>
      <c r="H1296" s="196">
        <v>8292</v>
      </c>
      <c r="I1296" s="196" t="s">
        <v>790</v>
      </c>
      <c r="J1296" s="196"/>
    </row>
    <row r="1297" spans="1:10" ht="14.4">
      <c r="A1297" s="196" t="s">
        <v>351</v>
      </c>
      <c r="B1297" s="197">
        <v>42268</v>
      </c>
      <c r="C1297" s="196" t="s">
        <v>647</v>
      </c>
      <c r="D1297" s="196">
        <v>110</v>
      </c>
      <c r="E1297" s="196">
        <v>109</v>
      </c>
      <c r="F1297" s="196">
        <v>109.9</v>
      </c>
      <c r="G1297" s="196">
        <f t="shared" si="20"/>
        <v>54.95</v>
      </c>
      <c r="H1297" s="196">
        <v>25625</v>
      </c>
      <c r="I1297" s="196" t="s">
        <v>789</v>
      </c>
      <c r="J1297" s="196"/>
    </row>
    <row r="1298" spans="1:10" ht="14.4">
      <c r="A1298" s="196" t="s">
        <v>351</v>
      </c>
      <c r="B1298" s="197">
        <v>42269</v>
      </c>
      <c r="C1298" s="196" t="s">
        <v>654</v>
      </c>
      <c r="D1298" s="196">
        <v>109.9</v>
      </c>
      <c r="E1298" s="196">
        <v>109</v>
      </c>
      <c r="F1298" s="196">
        <v>109.1</v>
      </c>
      <c r="G1298" s="196">
        <f t="shared" si="20"/>
        <v>54.55</v>
      </c>
      <c r="H1298" s="196">
        <v>18730</v>
      </c>
      <c r="I1298" s="196" t="s">
        <v>788</v>
      </c>
      <c r="J1298" s="196"/>
    </row>
    <row r="1299" spans="1:10" ht="14.4">
      <c r="A1299" s="196" t="s">
        <v>351</v>
      </c>
      <c r="B1299" s="197">
        <v>42270</v>
      </c>
      <c r="C1299" s="196" t="s">
        <v>786</v>
      </c>
      <c r="D1299" s="196">
        <v>109.4</v>
      </c>
      <c r="E1299" s="196">
        <v>108.6</v>
      </c>
      <c r="F1299" s="196">
        <v>108.9</v>
      </c>
      <c r="G1299" s="196">
        <f t="shared" si="20"/>
        <v>54.45</v>
      </c>
      <c r="H1299" s="196">
        <v>7366</v>
      </c>
      <c r="I1299" s="196" t="s">
        <v>787</v>
      </c>
      <c r="J1299" s="196"/>
    </row>
    <row r="1300" spans="1:10" ht="14.4">
      <c r="A1300" s="196" t="s">
        <v>351</v>
      </c>
      <c r="B1300" s="197">
        <v>42272</v>
      </c>
      <c r="C1300" s="196" t="s">
        <v>784</v>
      </c>
      <c r="D1300" s="196">
        <v>109</v>
      </c>
      <c r="E1300" s="196">
        <v>108</v>
      </c>
      <c r="F1300" s="196">
        <v>108.4</v>
      </c>
      <c r="G1300" s="196">
        <f t="shared" si="20"/>
        <v>54.2</v>
      </c>
      <c r="H1300" s="196">
        <v>26580</v>
      </c>
      <c r="I1300" s="196" t="s">
        <v>785</v>
      </c>
      <c r="J1300" s="196"/>
    </row>
    <row r="1301" spans="1:10" ht="14.4">
      <c r="A1301" s="196" t="s">
        <v>351</v>
      </c>
      <c r="B1301" s="197">
        <v>42275</v>
      </c>
      <c r="C1301" s="196" t="s">
        <v>578</v>
      </c>
      <c r="D1301" s="196">
        <v>108.5</v>
      </c>
      <c r="E1301" s="196">
        <v>108</v>
      </c>
      <c r="F1301" s="196">
        <v>108</v>
      </c>
      <c r="G1301" s="196">
        <f t="shared" si="20"/>
        <v>54</v>
      </c>
      <c r="H1301" s="196">
        <v>22100</v>
      </c>
      <c r="I1301" s="196" t="s">
        <v>783</v>
      </c>
      <c r="J1301" s="196"/>
    </row>
    <row r="1302" spans="1:10" ht="14.4">
      <c r="A1302" s="196" t="s">
        <v>351</v>
      </c>
      <c r="B1302" s="197">
        <v>42276</v>
      </c>
      <c r="C1302" s="196" t="s">
        <v>673</v>
      </c>
      <c r="D1302" s="196">
        <v>109</v>
      </c>
      <c r="E1302" s="196">
        <v>108.1</v>
      </c>
      <c r="F1302" s="196">
        <v>109</v>
      </c>
      <c r="G1302" s="196">
        <f t="shared" si="20"/>
        <v>54.5</v>
      </c>
      <c r="H1302" s="196">
        <v>10007</v>
      </c>
      <c r="I1302" s="196" t="s">
        <v>782</v>
      </c>
      <c r="J1302" s="196"/>
    </row>
    <row r="1303" spans="1:10" ht="14.4">
      <c r="A1303" s="196" t="s">
        <v>351</v>
      </c>
      <c r="B1303" s="197">
        <v>42277</v>
      </c>
      <c r="C1303" s="196" t="s">
        <v>521</v>
      </c>
      <c r="D1303" s="196">
        <v>118.2</v>
      </c>
      <c r="E1303" s="196">
        <v>105</v>
      </c>
      <c r="F1303" s="196">
        <v>108.4</v>
      </c>
      <c r="G1303" s="196">
        <f t="shared" si="20"/>
        <v>54.2</v>
      </c>
      <c r="H1303" s="196">
        <v>16955</v>
      </c>
      <c r="I1303" s="196" t="s">
        <v>781</v>
      </c>
      <c r="J1303" s="196"/>
    </row>
    <row r="1304" spans="1:10" ht="14.4">
      <c r="A1304" s="196" t="s">
        <v>351</v>
      </c>
      <c r="B1304" s="197">
        <v>42278</v>
      </c>
      <c r="C1304" s="196" t="s">
        <v>674</v>
      </c>
      <c r="D1304" s="196">
        <v>109</v>
      </c>
      <c r="E1304" s="196">
        <v>108</v>
      </c>
      <c r="F1304" s="196">
        <v>108.9</v>
      </c>
      <c r="G1304" s="196">
        <f t="shared" si="20"/>
        <v>54.45</v>
      </c>
      <c r="H1304" s="196">
        <v>4500</v>
      </c>
      <c r="I1304" s="196" t="s">
        <v>780</v>
      </c>
      <c r="J1304" s="196"/>
    </row>
    <row r="1305" spans="1:10" ht="14.4">
      <c r="A1305" s="196" t="s">
        <v>351</v>
      </c>
      <c r="B1305" s="197">
        <v>42279</v>
      </c>
      <c r="C1305" s="196" t="s">
        <v>569</v>
      </c>
      <c r="D1305" s="196">
        <v>117</v>
      </c>
      <c r="E1305" s="196">
        <v>109</v>
      </c>
      <c r="F1305" s="196">
        <v>114.1</v>
      </c>
      <c r="G1305" s="196">
        <f t="shared" si="20"/>
        <v>57.05</v>
      </c>
      <c r="H1305" s="196">
        <v>216003</v>
      </c>
      <c r="I1305" s="196" t="s">
        <v>779</v>
      </c>
      <c r="J1305" s="196"/>
    </row>
    <row r="1306" spans="1:10" ht="14.4">
      <c r="A1306" s="196" t="s">
        <v>351</v>
      </c>
      <c r="B1306" s="197">
        <v>42282</v>
      </c>
      <c r="C1306" s="196" t="s">
        <v>777</v>
      </c>
      <c r="D1306" s="196">
        <v>120</v>
      </c>
      <c r="E1306" s="196">
        <v>114.9</v>
      </c>
      <c r="F1306" s="196">
        <v>119.8</v>
      </c>
      <c r="G1306" s="196">
        <f t="shared" si="20"/>
        <v>59.9</v>
      </c>
      <c r="H1306" s="196">
        <v>330564</v>
      </c>
      <c r="I1306" s="196" t="s">
        <v>778</v>
      </c>
      <c r="J1306" s="196"/>
    </row>
    <row r="1307" spans="1:10" ht="14.4">
      <c r="A1307" s="196" t="s">
        <v>351</v>
      </c>
      <c r="B1307" s="197">
        <v>42283</v>
      </c>
      <c r="C1307" s="196" t="s">
        <v>542</v>
      </c>
      <c r="D1307" s="196">
        <v>124</v>
      </c>
      <c r="E1307" s="196">
        <v>119.5</v>
      </c>
      <c r="F1307" s="196">
        <v>123.1</v>
      </c>
      <c r="G1307" s="196">
        <f t="shared" si="20"/>
        <v>61.55</v>
      </c>
      <c r="H1307" s="196">
        <v>276998</v>
      </c>
      <c r="I1307" s="196" t="s">
        <v>776</v>
      </c>
      <c r="J1307" s="196"/>
    </row>
    <row r="1308" spans="1:10" ht="14.4">
      <c r="A1308" s="196" t="s">
        <v>351</v>
      </c>
      <c r="B1308" s="197">
        <v>42284</v>
      </c>
      <c r="C1308" s="196" t="s">
        <v>546</v>
      </c>
      <c r="D1308" s="196">
        <v>124</v>
      </c>
      <c r="E1308" s="196">
        <v>120.5</v>
      </c>
      <c r="F1308" s="196">
        <v>121.1</v>
      </c>
      <c r="G1308" s="196">
        <f t="shared" si="20"/>
        <v>60.55</v>
      </c>
      <c r="H1308" s="196">
        <v>43917</v>
      </c>
      <c r="I1308" s="196" t="s">
        <v>775</v>
      </c>
      <c r="J1308" s="196"/>
    </row>
    <row r="1309" spans="1:10" ht="14.4">
      <c r="A1309" s="196" t="s">
        <v>351</v>
      </c>
      <c r="B1309" s="197">
        <v>42285</v>
      </c>
      <c r="C1309" s="196" t="s">
        <v>773</v>
      </c>
      <c r="D1309" s="196">
        <v>123</v>
      </c>
      <c r="E1309" s="196">
        <v>119.8</v>
      </c>
      <c r="F1309" s="196">
        <v>121.6</v>
      </c>
      <c r="G1309" s="196">
        <f t="shared" si="20"/>
        <v>60.8</v>
      </c>
      <c r="H1309" s="196">
        <v>37279</v>
      </c>
      <c r="I1309" s="196" t="s">
        <v>774</v>
      </c>
      <c r="J1309" s="196"/>
    </row>
    <row r="1310" spans="1:10" ht="14.4">
      <c r="A1310" s="196" t="s">
        <v>351</v>
      </c>
      <c r="B1310" s="197">
        <v>42286</v>
      </c>
      <c r="C1310" s="196" t="s">
        <v>527</v>
      </c>
      <c r="D1310" s="196">
        <v>128</v>
      </c>
      <c r="E1310" s="196">
        <v>121</v>
      </c>
      <c r="F1310" s="196">
        <v>126.8</v>
      </c>
      <c r="G1310" s="196">
        <f t="shared" si="20"/>
        <v>63.4</v>
      </c>
      <c r="H1310" s="196">
        <v>501869</v>
      </c>
      <c r="I1310" s="196" t="s">
        <v>772</v>
      </c>
      <c r="J1310" s="196"/>
    </row>
    <row r="1311" spans="1:10" ht="14.4">
      <c r="A1311" s="196" t="s">
        <v>351</v>
      </c>
      <c r="B1311" s="197">
        <v>42289</v>
      </c>
      <c r="C1311" s="196" t="s">
        <v>770</v>
      </c>
      <c r="D1311" s="196">
        <v>128.69999999999999</v>
      </c>
      <c r="E1311" s="196">
        <v>126.2</v>
      </c>
      <c r="F1311" s="196">
        <v>126.7</v>
      </c>
      <c r="G1311" s="196">
        <f t="shared" si="20"/>
        <v>63.35</v>
      </c>
      <c r="H1311" s="196">
        <v>56729</v>
      </c>
      <c r="I1311" s="196" t="s">
        <v>771</v>
      </c>
      <c r="J1311" s="196"/>
    </row>
    <row r="1312" spans="1:10" ht="14.4">
      <c r="A1312" s="196" t="s">
        <v>351</v>
      </c>
      <c r="B1312" s="197">
        <v>42290</v>
      </c>
      <c r="C1312" s="196" t="s">
        <v>768</v>
      </c>
      <c r="D1312" s="196">
        <v>126.7</v>
      </c>
      <c r="E1312" s="196">
        <v>121</v>
      </c>
      <c r="F1312" s="196">
        <v>124.2</v>
      </c>
      <c r="G1312" s="196">
        <f t="shared" si="20"/>
        <v>62.1</v>
      </c>
      <c r="H1312" s="196">
        <v>274108</v>
      </c>
      <c r="I1312" s="196" t="s">
        <v>769</v>
      </c>
      <c r="J1312" s="196"/>
    </row>
    <row r="1313" spans="1:10" ht="14.4">
      <c r="A1313" s="196" t="s">
        <v>351</v>
      </c>
      <c r="B1313" s="197">
        <v>42291</v>
      </c>
      <c r="C1313" s="196" t="s">
        <v>552</v>
      </c>
      <c r="D1313" s="196">
        <v>125.9</v>
      </c>
      <c r="E1313" s="196">
        <v>121.9</v>
      </c>
      <c r="F1313" s="196">
        <v>122.1</v>
      </c>
      <c r="G1313" s="196">
        <f t="shared" si="20"/>
        <v>61.05</v>
      </c>
      <c r="H1313" s="196">
        <v>41915</v>
      </c>
      <c r="I1313" s="196" t="s">
        <v>767</v>
      </c>
      <c r="J1313" s="196"/>
    </row>
    <row r="1314" spans="1:10" ht="14.4">
      <c r="A1314" s="196" t="s">
        <v>351</v>
      </c>
      <c r="B1314" s="197">
        <v>42292</v>
      </c>
      <c r="C1314" s="196" t="s">
        <v>765</v>
      </c>
      <c r="D1314" s="196">
        <v>122.5</v>
      </c>
      <c r="E1314" s="196">
        <v>118.5</v>
      </c>
      <c r="F1314" s="196">
        <v>119.6</v>
      </c>
      <c r="G1314" s="196">
        <f t="shared" si="20"/>
        <v>59.8</v>
      </c>
      <c r="H1314" s="196">
        <v>43376</v>
      </c>
      <c r="I1314" s="196" t="s">
        <v>766</v>
      </c>
      <c r="J1314" s="196"/>
    </row>
    <row r="1315" spans="1:10" ht="14.4">
      <c r="A1315" s="196" t="s">
        <v>351</v>
      </c>
      <c r="B1315" s="197">
        <v>42293</v>
      </c>
      <c r="C1315" s="196" t="s">
        <v>760</v>
      </c>
      <c r="D1315" s="196">
        <v>122</v>
      </c>
      <c r="E1315" s="196">
        <v>119.1</v>
      </c>
      <c r="F1315" s="196">
        <v>119.5</v>
      </c>
      <c r="G1315" s="196">
        <f t="shared" si="20"/>
        <v>59.75</v>
      </c>
      <c r="H1315" s="196">
        <v>82355</v>
      </c>
      <c r="I1315" s="196" t="s">
        <v>764</v>
      </c>
      <c r="J1315" s="196"/>
    </row>
    <row r="1316" spans="1:10" ht="14.4">
      <c r="A1316" s="196" t="s">
        <v>351</v>
      </c>
      <c r="B1316" s="197">
        <v>42296</v>
      </c>
      <c r="C1316" s="196" t="s">
        <v>534</v>
      </c>
      <c r="D1316" s="196">
        <v>121</v>
      </c>
      <c r="E1316" s="196">
        <v>118.5</v>
      </c>
      <c r="F1316" s="196">
        <v>119.6</v>
      </c>
      <c r="G1316" s="196">
        <f t="shared" si="20"/>
        <v>59.8</v>
      </c>
      <c r="H1316" s="196">
        <v>42129</v>
      </c>
      <c r="I1316" s="196" t="s">
        <v>763</v>
      </c>
      <c r="J1316" s="196"/>
    </row>
    <row r="1317" spans="1:10" ht="14.4">
      <c r="A1317" s="196" t="s">
        <v>351</v>
      </c>
      <c r="B1317" s="197">
        <v>42297</v>
      </c>
      <c r="C1317" s="196" t="s">
        <v>732</v>
      </c>
      <c r="D1317" s="196">
        <v>122.5</v>
      </c>
      <c r="E1317" s="196">
        <v>119.9</v>
      </c>
      <c r="F1317" s="196">
        <v>120.5</v>
      </c>
      <c r="G1317" s="196">
        <f t="shared" si="20"/>
        <v>60.25</v>
      </c>
      <c r="H1317" s="196">
        <v>29095</v>
      </c>
      <c r="I1317" s="196" t="s">
        <v>762</v>
      </c>
      <c r="J1317" s="196"/>
    </row>
    <row r="1318" spans="1:10" ht="14.4">
      <c r="A1318" s="196" t="s">
        <v>351</v>
      </c>
      <c r="B1318" s="197">
        <v>42298</v>
      </c>
      <c r="C1318" s="196" t="s">
        <v>760</v>
      </c>
      <c r="D1318" s="196">
        <v>122.4</v>
      </c>
      <c r="E1318" s="196">
        <v>120</v>
      </c>
      <c r="F1318" s="196">
        <v>122</v>
      </c>
      <c r="G1318" s="196">
        <f t="shared" si="20"/>
        <v>61</v>
      </c>
      <c r="H1318" s="196">
        <v>29376</v>
      </c>
      <c r="I1318" s="196" t="s">
        <v>761</v>
      </c>
      <c r="J1318" s="196"/>
    </row>
    <row r="1319" spans="1:10" ht="14.4">
      <c r="A1319" s="196" t="s">
        <v>351</v>
      </c>
      <c r="B1319" s="197">
        <v>42299</v>
      </c>
      <c r="C1319" s="196" t="s">
        <v>754</v>
      </c>
      <c r="D1319" s="196">
        <v>121</v>
      </c>
      <c r="E1319" s="196">
        <v>119.5</v>
      </c>
      <c r="F1319" s="196">
        <v>119.8</v>
      </c>
      <c r="G1319" s="196">
        <f t="shared" si="20"/>
        <v>59.9</v>
      </c>
      <c r="H1319" s="196">
        <v>35813</v>
      </c>
      <c r="I1319" s="196" t="s">
        <v>759</v>
      </c>
      <c r="J1319" s="196"/>
    </row>
    <row r="1320" spans="1:10" ht="14.4">
      <c r="A1320" s="196" t="s">
        <v>351</v>
      </c>
      <c r="B1320" s="197">
        <v>42300</v>
      </c>
      <c r="C1320" s="196" t="s">
        <v>704</v>
      </c>
      <c r="D1320" s="196">
        <v>120.9</v>
      </c>
      <c r="E1320" s="196">
        <v>119.1</v>
      </c>
      <c r="F1320" s="196">
        <v>120.6</v>
      </c>
      <c r="G1320" s="196">
        <f t="shared" si="20"/>
        <v>60.3</v>
      </c>
      <c r="H1320" s="196">
        <v>75982</v>
      </c>
      <c r="I1320" s="196" t="s">
        <v>758</v>
      </c>
      <c r="J1320" s="196"/>
    </row>
    <row r="1321" spans="1:10" ht="14.4">
      <c r="A1321" s="196" t="s">
        <v>351</v>
      </c>
      <c r="B1321" s="197">
        <v>42303</v>
      </c>
      <c r="C1321" s="196" t="s">
        <v>756</v>
      </c>
      <c r="D1321" s="196">
        <v>122.3</v>
      </c>
      <c r="E1321" s="196">
        <v>120</v>
      </c>
      <c r="F1321" s="196">
        <v>120.6</v>
      </c>
      <c r="G1321" s="196">
        <f t="shared" si="20"/>
        <v>60.3</v>
      </c>
      <c r="H1321" s="196">
        <v>42080</v>
      </c>
      <c r="I1321" s="196" t="s">
        <v>757</v>
      </c>
      <c r="J1321" s="196"/>
    </row>
    <row r="1322" spans="1:10" ht="14.4">
      <c r="A1322" s="196" t="s">
        <v>351</v>
      </c>
      <c r="B1322" s="197">
        <v>42305</v>
      </c>
      <c r="C1322" s="196" t="s">
        <v>754</v>
      </c>
      <c r="D1322" s="196">
        <v>120.5</v>
      </c>
      <c r="E1322" s="196">
        <v>120</v>
      </c>
      <c r="F1322" s="196">
        <v>120</v>
      </c>
      <c r="G1322" s="196">
        <f t="shared" si="20"/>
        <v>60</v>
      </c>
      <c r="H1322" s="196">
        <v>48540</v>
      </c>
      <c r="I1322" s="196" t="s">
        <v>755</v>
      </c>
      <c r="J1322" s="196"/>
    </row>
    <row r="1323" spans="1:10" ht="14.4">
      <c r="A1323" s="196" t="s">
        <v>351</v>
      </c>
      <c r="B1323" s="197">
        <v>42306</v>
      </c>
      <c r="C1323" s="196" t="s">
        <v>704</v>
      </c>
      <c r="D1323" s="196">
        <v>122</v>
      </c>
      <c r="E1323" s="196">
        <v>119</v>
      </c>
      <c r="F1323" s="196">
        <v>119.6</v>
      </c>
      <c r="G1323" s="196">
        <f t="shared" si="20"/>
        <v>59.8</v>
      </c>
      <c r="H1323" s="196">
        <v>22245</v>
      </c>
      <c r="I1323" s="196" t="s">
        <v>753</v>
      </c>
      <c r="J1323" s="196"/>
    </row>
    <row r="1324" spans="1:10" ht="14.4">
      <c r="A1324" s="196" t="s">
        <v>351</v>
      </c>
      <c r="B1324" s="197">
        <v>42307</v>
      </c>
      <c r="C1324" s="196" t="s">
        <v>517</v>
      </c>
      <c r="D1324" s="196">
        <v>119.8</v>
      </c>
      <c r="E1324" s="196">
        <v>118.6</v>
      </c>
      <c r="F1324" s="196">
        <v>119</v>
      </c>
      <c r="G1324" s="196">
        <f t="shared" si="20"/>
        <v>59.5</v>
      </c>
      <c r="H1324" s="196">
        <v>16210</v>
      </c>
      <c r="I1324" s="196" t="s">
        <v>752</v>
      </c>
      <c r="J1324" s="196"/>
    </row>
    <row r="1325" spans="1:10" ht="14.4">
      <c r="A1325" s="196" t="s">
        <v>351</v>
      </c>
      <c r="B1325" s="197">
        <v>42310</v>
      </c>
      <c r="C1325" s="196" t="s">
        <v>517</v>
      </c>
      <c r="D1325" s="196">
        <v>119</v>
      </c>
      <c r="E1325" s="196">
        <v>119</v>
      </c>
      <c r="F1325" s="196">
        <v>119</v>
      </c>
      <c r="G1325" s="196">
        <f t="shared" si="20"/>
        <v>59.5</v>
      </c>
      <c r="H1325" s="196">
        <v>9220</v>
      </c>
      <c r="I1325" s="196" t="s">
        <v>751</v>
      </c>
      <c r="J1325" s="196"/>
    </row>
    <row r="1326" spans="1:10" ht="14.4">
      <c r="A1326" s="196" t="s">
        <v>351</v>
      </c>
      <c r="B1326" s="197">
        <v>42311</v>
      </c>
      <c r="C1326" s="196" t="s">
        <v>517</v>
      </c>
      <c r="D1326" s="196">
        <v>119.1</v>
      </c>
      <c r="E1326" s="196">
        <v>118</v>
      </c>
      <c r="F1326" s="196">
        <v>118.7</v>
      </c>
      <c r="G1326" s="196">
        <f t="shared" si="20"/>
        <v>59.35</v>
      </c>
      <c r="H1326" s="196">
        <v>105647</v>
      </c>
      <c r="I1326" s="196" t="s">
        <v>750</v>
      </c>
      <c r="J1326" s="196"/>
    </row>
    <row r="1327" spans="1:10" ht="14.4">
      <c r="A1327" s="196" t="s">
        <v>351</v>
      </c>
      <c r="B1327" s="197">
        <v>42312</v>
      </c>
      <c r="C1327" s="196" t="s">
        <v>748</v>
      </c>
      <c r="D1327" s="196">
        <v>118.7</v>
      </c>
      <c r="E1327" s="196">
        <v>114</v>
      </c>
      <c r="F1327" s="196">
        <v>115</v>
      </c>
      <c r="G1327" s="196">
        <f t="shared" si="20"/>
        <v>57.5</v>
      </c>
      <c r="H1327" s="196">
        <v>53033</v>
      </c>
      <c r="I1327" s="196" t="s">
        <v>749</v>
      </c>
      <c r="J1327" s="196"/>
    </row>
    <row r="1328" spans="1:10" ht="14.4">
      <c r="A1328" s="196" t="s">
        <v>351</v>
      </c>
      <c r="B1328" s="197">
        <v>42313</v>
      </c>
      <c r="C1328" s="196" t="s">
        <v>491</v>
      </c>
      <c r="D1328" s="196">
        <v>118</v>
      </c>
      <c r="E1328" s="196">
        <v>115</v>
      </c>
      <c r="F1328" s="196">
        <v>116.9</v>
      </c>
      <c r="G1328" s="196">
        <f t="shared" si="20"/>
        <v>58.45</v>
      </c>
      <c r="H1328" s="196">
        <v>8192</v>
      </c>
      <c r="I1328" s="196" t="s">
        <v>747</v>
      </c>
      <c r="J1328" s="196"/>
    </row>
    <row r="1329" spans="1:10" ht="14.4">
      <c r="A1329" s="196" t="s">
        <v>351</v>
      </c>
      <c r="B1329" s="197">
        <v>42314</v>
      </c>
      <c r="C1329" s="196" t="s">
        <v>515</v>
      </c>
      <c r="D1329" s="196">
        <v>122</v>
      </c>
      <c r="E1329" s="196">
        <v>118</v>
      </c>
      <c r="F1329" s="196">
        <v>120</v>
      </c>
      <c r="G1329" s="196">
        <f t="shared" si="20"/>
        <v>60</v>
      </c>
      <c r="H1329" s="196">
        <v>9968</v>
      </c>
      <c r="I1329" s="196" t="s">
        <v>746</v>
      </c>
      <c r="J1329" s="196"/>
    </row>
    <row r="1330" spans="1:10" ht="14.4">
      <c r="A1330" s="196" t="s">
        <v>351</v>
      </c>
      <c r="B1330" s="197">
        <v>42317</v>
      </c>
      <c r="C1330" s="196" t="s">
        <v>514</v>
      </c>
      <c r="D1330" s="196">
        <v>120</v>
      </c>
      <c r="E1330" s="196">
        <v>120</v>
      </c>
      <c r="F1330" s="196">
        <v>120</v>
      </c>
      <c r="G1330" s="196">
        <f t="shared" ref="G1330:G1393" si="21">F1330/2</f>
        <v>60</v>
      </c>
      <c r="H1330" s="196">
        <v>1800</v>
      </c>
      <c r="I1330" s="196" t="s">
        <v>745</v>
      </c>
      <c r="J1330" s="196"/>
    </row>
    <row r="1331" spans="1:10" ht="14.4">
      <c r="A1331" s="196" t="s">
        <v>351</v>
      </c>
      <c r="B1331" s="197">
        <v>42319</v>
      </c>
      <c r="C1331" s="196" t="s">
        <v>743</v>
      </c>
      <c r="D1331" s="196">
        <v>120</v>
      </c>
      <c r="E1331" s="196">
        <v>117.5</v>
      </c>
      <c r="F1331" s="196">
        <v>118.8</v>
      </c>
      <c r="G1331" s="196">
        <f t="shared" si="21"/>
        <v>59.4</v>
      </c>
      <c r="H1331" s="196">
        <v>17310</v>
      </c>
      <c r="I1331" s="196" t="s">
        <v>744</v>
      </c>
      <c r="J1331" s="196"/>
    </row>
    <row r="1332" spans="1:10" ht="14.4">
      <c r="A1332" s="196" t="s">
        <v>351</v>
      </c>
      <c r="B1332" s="197">
        <v>42320</v>
      </c>
      <c r="C1332" s="196" t="s">
        <v>732</v>
      </c>
      <c r="D1332" s="196">
        <v>120</v>
      </c>
      <c r="E1332" s="196">
        <v>118.4</v>
      </c>
      <c r="F1332" s="196">
        <v>119.2</v>
      </c>
      <c r="G1332" s="196">
        <f t="shared" si="21"/>
        <v>59.6</v>
      </c>
      <c r="H1332" s="196">
        <v>12890</v>
      </c>
      <c r="I1332" s="196" t="s">
        <v>742</v>
      </c>
      <c r="J1332" s="196"/>
    </row>
    <row r="1333" spans="1:10" ht="14.4">
      <c r="A1333" s="196" t="s">
        <v>351</v>
      </c>
      <c r="B1333" s="197">
        <v>42321</v>
      </c>
      <c r="C1333" s="196" t="s">
        <v>740</v>
      </c>
      <c r="D1333" s="196">
        <v>120</v>
      </c>
      <c r="E1333" s="196">
        <v>118.3</v>
      </c>
      <c r="F1333" s="196">
        <v>119.8</v>
      </c>
      <c r="G1333" s="196">
        <f t="shared" si="21"/>
        <v>59.9</v>
      </c>
      <c r="H1333" s="196">
        <v>12846</v>
      </c>
      <c r="I1333" s="196" t="s">
        <v>741</v>
      </c>
      <c r="J1333" s="196"/>
    </row>
    <row r="1334" spans="1:10" ht="14.4">
      <c r="A1334" s="196" t="s">
        <v>351</v>
      </c>
      <c r="B1334" s="197">
        <v>42324</v>
      </c>
      <c r="C1334" s="196" t="s">
        <v>514</v>
      </c>
      <c r="D1334" s="196">
        <v>120</v>
      </c>
      <c r="E1334" s="196">
        <v>116.2</v>
      </c>
      <c r="F1334" s="196">
        <v>117.6</v>
      </c>
      <c r="G1334" s="196">
        <f t="shared" si="21"/>
        <v>58.8</v>
      </c>
      <c r="H1334" s="196">
        <v>31630</v>
      </c>
      <c r="I1334" s="196" t="s">
        <v>739</v>
      </c>
      <c r="J1334" s="196"/>
    </row>
    <row r="1335" spans="1:10" ht="14.4">
      <c r="A1335" s="196" t="s">
        <v>351</v>
      </c>
      <c r="B1335" s="197">
        <v>42325</v>
      </c>
      <c r="C1335" s="196" t="s">
        <v>505</v>
      </c>
      <c r="D1335" s="196">
        <v>118</v>
      </c>
      <c r="E1335" s="196">
        <v>116</v>
      </c>
      <c r="F1335" s="196">
        <v>116.9</v>
      </c>
      <c r="G1335" s="196">
        <f t="shared" si="21"/>
        <v>58.45</v>
      </c>
      <c r="H1335" s="196">
        <v>23832</v>
      </c>
      <c r="I1335" s="196" t="s">
        <v>738</v>
      </c>
      <c r="J1335" s="196"/>
    </row>
    <row r="1336" spans="1:10" ht="14.4">
      <c r="A1336" s="196" t="s">
        <v>351</v>
      </c>
      <c r="B1336" s="197">
        <v>42326</v>
      </c>
      <c r="C1336" s="196" t="s">
        <v>512</v>
      </c>
      <c r="D1336" s="196">
        <v>117.9</v>
      </c>
      <c r="E1336" s="196">
        <v>117</v>
      </c>
      <c r="F1336" s="196">
        <v>117</v>
      </c>
      <c r="G1336" s="196">
        <f t="shared" si="21"/>
        <v>58.5</v>
      </c>
      <c r="H1336" s="196">
        <v>58189</v>
      </c>
      <c r="I1336" s="196" t="s">
        <v>737</v>
      </c>
      <c r="J1336" s="196"/>
    </row>
    <row r="1337" spans="1:10" ht="14.4">
      <c r="A1337" s="196" t="s">
        <v>351</v>
      </c>
      <c r="B1337" s="197">
        <v>42327</v>
      </c>
      <c r="C1337" s="196" t="s">
        <v>512</v>
      </c>
      <c r="D1337" s="196">
        <v>119.9</v>
      </c>
      <c r="E1337" s="196">
        <v>116.8</v>
      </c>
      <c r="F1337" s="196">
        <v>118.9</v>
      </c>
      <c r="G1337" s="196">
        <f t="shared" si="21"/>
        <v>59.45</v>
      </c>
      <c r="H1337" s="196">
        <v>132980</v>
      </c>
      <c r="I1337" s="196" t="s">
        <v>736</v>
      </c>
      <c r="J1337" s="196"/>
    </row>
    <row r="1338" spans="1:10" ht="14.4">
      <c r="A1338" s="196" t="s">
        <v>351</v>
      </c>
      <c r="B1338" s="197">
        <v>42328</v>
      </c>
      <c r="C1338" s="196" t="s">
        <v>525</v>
      </c>
      <c r="D1338" s="196">
        <v>120</v>
      </c>
      <c r="E1338" s="196">
        <v>118.1</v>
      </c>
      <c r="F1338" s="196">
        <v>120</v>
      </c>
      <c r="G1338" s="196">
        <f t="shared" si="21"/>
        <v>60</v>
      </c>
      <c r="H1338" s="196">
        <v>88662</v>
      </c>
      <c r="I1338" s="196" t="s">
        <v>735</v>
      </c>
      <c r="J1338" s="196"/>
    </row>
    <row r="1339" spans="1:10" ht="14.4">
      <c r="A1339" s="196" t="s">
        <v>351</v>
      </c>
      <c r="B1339" s="197">
        <v>42331</v>
      </c>
      <c r="C1339" s="196" t="s">
        <v>542</v>
      </c>
      <c r="D1339" s="196">
        <v>122</v>
      </c>
      <c r="E1339" s="196">
        <v>119.5</v>
      </c>
      <c r="F1339" s="196">
        <v>120</v>
      </c>
      <c r="G1339" s="196">
        <f t="shared" si="21"/>
        <v>60</v>
      </c>
      <c r="H1339" s="196">
        <v>102842</v>
      </c>
      <c r="I1339" s="196" t="s">
        <v>734</v>
      </c>
      <c r="J1339" s="196"/>
    </row>
    <row r="1340" spans="1:10" ht="14.4">
      <c r="A1340" s="196" t="s">
        <v>351</v>
      </c>
      <c r="B1340" s="197">
        <v>42332</v>
      </c>
      <c r="C1340" s="196" t="s">
        <v>732</v>
      </c>
      <c r="D1340" s="196">
        <v>119.9</v>
      </c>
      <c r="E1340" s="196">
        <v>117.5</v>
      </c>
      <c r="F1340" s="196">
        <v>119</v>
      </c>
      <c r="G1340" s="196">
        <f t="shared" si="21"/>
        <v>59.5</v>
      </c>
      <c r="H1340" s="196">
        <v>2352</v>
      </c>
      <c r="I1340" s="196" t="s">
        <v>733</v>
      </c>
      <c r="J1340" s="196"/>
    </row>
    <row r="1341" spans="1:10" ht="14.4">
      <c r="A1341" s="196" t="s">
        <v>351</v>
      </c>
      <c r="B1341" s="197">
        <v>42334</v>
      </c>
      <c r="C1341" s="196" t="s">
        <v>730</v>
      </c>
      <c r="D1341" s="196">
        <v>118</v>
      </c>
      <c r="E1341" s="196">
        <v>115.8</v>
      </c>
      <c r="F1341" s="196">
        <v>116.8</v>
      </c>
      <c r="G1341" s="196">
        <f t="shared" si="21"/>
        <v>58.4</v>
      </c>
      <c r="H1341" s="196">
        <v>18512</v>
      </c>
      <c r="I1341" s="196" t="s">
        <v>731</v>
      </c>
      <c r="J1341" s="196"/>
    </row>
    <row r="1342" spans="1:10" ht="14.4">
      <c r="A1342" s="196" t="s">
        <v>351</v>
      </c>
      <c r="B1342" s="197">
        <v>42335</v>
      </c>
      <c r="C1342" s="196" t="s">
        <v>727</v>
      </c>
      <c r="D1342" s="196">
        <v>117.5</v>
      </c>
      <c r="E1342" s="196">
        <v>116</v>
      </c>
      <c r="F1342" s="196">
        <v>117.3</v>
      </c>
      <c r="G1342" s="196">
        <f t="shared" si="21"/>
        <v>58.65</v>
      </c>
      <c r="H1342" s="196">
        <v>16465</v>
      </c>
      <c r="I1342" s="196" t="s">
        <v>729</v>
      </c>
      <c r="J1342" s="196"/>
    </row>
    <row r="1343" spans="1:10" ht="14.4">
      <c r="A1343" s="196" t="s">
        <v>351</v>
      </c>
      <c r="B1343" s="197">
        <v>42338</v>
      </c>
      <c r="C1343" s="196" t="s">
        <v>512</v>
      </c>
      <c r="D1343" s="196">
        <v>117.5</v>
      </c>
      <c r="E1343" s="196">
        <v>116.2</v>
      </c>
      <c r="F1343" s="196">
        <v>117</v>
      </c>
      <c r="G1343" s="196">
        <f t="shared" si="21"/>
        <v>58.5</v>
      </c>
      <c r="H1343" s="196">
        <v>6200</v>
      </c>
      <c r="I1343" s="196" t="s">
        <v>728</v>
      </c>
      <c r="J1343" s="196"/>
    </row>
    <row r="1344" spans="1:10" ht="14.4">
      <c r="A1344" s="196" t="s">
        <v>351</v>
      </c>
      <c r="B1344" s="197">
        <v>42339</v>
      </c>
      <c r="C1344" s="196" t="s">
        <v>512</v>
      </c>
      <c r="D1344" s="196">
        <v>120</v>
      </c>
      <c r="E1344" s="196">
        <v>117</v>
      </c>
      <c r="F1344" s="196">
        <v>119.1</v>
      </c>
      <c r="G1344" s="196">
        <f t="shared" si="21"/>
        <v>59.55</v>
      </c>
      <c r="H1344" s="196">
        <v>23000</v>
      </c>
      <c r="I1344" s="196" t="s">
        <v>726</v>
      </c>
      <c r="J1344" s="196"/>
    </row>
    <row r="1345" spans="1:10" ht="14.4">
      <c r="A1345" s="196" t="s">
        <v>351</v>
      </c>
      <c r="B1345" s="197">
        <v>42340</v>
      </c>
      <c r="C1345" s="196" t="s">
        <v>517</v>
      </c>
      <c r="D1345" s="196">
        <v>119</v>
      </c>
      <c r="E1345" s="196">
        <v>117</v>
      </c>
      <c r="F1345" s="196">
        <v>117.3</v>
      </c>
      <c r="G1345" s="196">
        <f t="shared" si="21"/>
        <v>58.65</v>
      </c>
      <c r="H1345" s="196">
        <v>31538</v>
      </c>
      <c r="I1345" s="196" t="s">
        <v>725</v>
      </c>
      <c r="J1345" s="196"/>
    </row>
    <row r="1346" spans="1:10" ht="14.4">
      <c r="A1346" s="196" t="s">
        <v>351</v>
      </c>
      <c r="B1346" s="197">
        <v>42341</v>
      </c>
      <c r="C1346" s="196" t="s">
        <v>723</v>
      </c>
      <c r="D1346" s="196">
        <v>118.8</v>
      </c>
      <c r="E1346" s="196">
        <v>117.5</v>
      </c>
      <c r="F1346" s="196">
        <v>118</v>
      </c>
      <c r="G1346" s="196">
        <f t="shared" si="21"/>
        <v>59</v>
      </c>
      <c r="H1346" s="196">
        <v>5136</v>
      </c>
      <c r="I1346" s="196" t="s">
        <v>724</v>
      </c>
      <c r="J1346" s="196"/>
    </row>
    <row r="1347" spans="1:10" ht="14.4">
      <c r="A1347" s="196" t="s">
        <v>351</v>
      </c>
      <c r="B1347" s="197">
        <v>42342</v>
      </c>
      <c r="C1347" s="196" t="s">
        <v>721</v>
      </c>
      <c r="D1347" s="196">
        <v>118.9</v>
      </c>
      <c r="E1347" s="196">
        <v>116.5</v>
      </c>
      <c r="F1347" s="196">
        <v>116.7</v>
      </c>
      <c r="G1347" s="196">
        <f t="shared" si="21"/>
        <v>58.35</v>
      </c>
      <c r="H1347" s="196">
        <v>12132</v>
      </c>
      <c r="I1347" s="196" t="s">
        <v>722</v>
      </c>
      <c r="J1347" s="196"/>
    </row>
    <row r="1348" spans="1:10" ht="14.4">
      <c r="A1348" s="196" t="s">
        <v>351</v>
      </c>
      <c r="B1348" s="197">
        <v>42345</v>
      </c>
      <c r="C1348" s="196" t="s">
        <v>512</v>
      </c>
      <c r="D1348" s="196">
        <v>117</v>
      </c>
      <c r="E1348" s="196">
        <v>115.6</v>
      </c>
      <c r="F1348" s="196">
        <v>116.3</v>
      </c>
      <c r="G1348" s="196">
        <f t="shared" si="21"/>
        <v>58.15</v>
      </c>
      <c r="H1348" s="196">
        <v>21910</v>
      </c>
      <c r="I1348" s="196" t="s">
        <v>720</v>
      </c>
      <c r="J1348" s="196"/>
    </row>
    <row r="1349" spans="1:10" ht="14.4">
      <c r="A1349" s="196" t="s">
        <v>351</v>
      </c>
      <c r="B1349" s="197">
        <v>42346</v>
      </c>
      <c r="C1349" s="196" t="s">
        <v>687</v>
      </c>
      <c r="D1349" s="196">
        <v>116.9</v>
      </c>
      <c r="E1349" s="196">
        <v>115.2</v>
      </c>
      <c r="F1349" s="196">
        <v>116.9</v>
      </c>
      <c r="G1349" s="196">
        <f t="shared" si="21"/>
        <v>58.45</v>
      </c>
      <c r="H1349" s="196">
        <v>66540</v>
      </c>
      <c r="I1349" s="196" t="s">
        <v>719</v>
      </c>
      <c r="J1349" s="196"/>
    </row>
    <row r="1350" spans="1:10" ht="14.4">
      <c r="A1350" s="196" t="s">
        <v>351</v>
      </c>
      <c r="B1350" s="197">
        <v>42347</v>
      </c>
      <c r="C1350" s="196" t="s">
        <v>717</v>
      </c>
      <c r="D1350" s="196">
        <v>117</v>
      </c>
      <c r="E1350" s="196">
        <v>115.1</v>
      </c>
      <c r="F1350" s="196">
        <v>115.6</v>
      </c>
      <c r="G1350" s="196">
        <f t="shared" si="21"/>
        <v>57.8</v>
      </c>
      <c r="H1350" s="196">
        <v>11751</v>
      </c>
      <c r="I1350" s="196" t="s">
        <v>718</v>
      </c>
      <c r="J1350" s="196"/>
    </row>
    <row r="1351" spans="1:10" ht="14.4">
      <c r="A1351" s="196" t="s">
        <v>351</v>
      </c>
      <c r="B1351" s="197">
        <v>42348</v>
      </c>
      <c r="C1351" s="196" t="s">
        <v>503</v>
      </c>
      <c r="D1351" s="196">
        <v>116.5</v>
      </c>
      <c r="E1351" s="196">
        <v>114</v>
      </c>
      <c r="F1351" s="196">
        <v>115.5</v>
      </c>
      <c r="G1351" s="196">
        <f t="shared" si="21"/>
        <v>57.75</v>
      </c>
      <c r="H1351" s="196">
        <v>60792</v>
      </c>
      <c r="I1351" s="196" t="s">
        <v>716</v>
      </c>
      <c r="J1351" s="196"/>
    </row>
    <row r="1352" spans="1:10" ht="14.4">
      <c r="A1352" s="196" t="s">
        <v>351</v>
      </c>
      <c r="B1352" s="197">
        <v>42349</v>
      </c>
      <c r="C1352" s="196" t="s">
        <v>714</v>
      </c>
      <c r="D1352" s="196">
        <v>117.9</v>
      </c>
      <c r="E1352" s="196">
        <v>115.2</v>
      </c>
      <c r="F1352" s="196">
        <v>116.9</v>
      </c>
      <c r="G1352" s="196">
        <f t="shared" si="21"/>
        <v>58.45</v>
      </c>
      <c r="H1352" s="196">
        <v>28726</v>
      </c>
      <c r="I1352" s="196" t="s">
        <v>715</v>
      </c>
      <c r="J1352" s="196"/>
    </row>
    <row r="1353" spans="1:10" ht="14.4">
      <c r="A1353" s="196" t="s">
        <v>351</v>
      </c>
      <c r="B1353" s="197">
        <v>42352</v>
      </c>
      <c r="C1353" s="196" t="s">
        <v>712</v>
      </c>
      <c r="D1353" s="196">
        <v>116.9</v>
      </c>
      <c r="E1353" s="196">
        <v>115.8</v>
      </c>
      <c r="F1353" s="196">
        <v>116.7</v>
      </c>
      <c r="G1353" s="196">
        <f t="shared" si="21"/>
        <v>58.35</v>
      </c>
      <c r="H1353" s="196">
        <v>22550</v>
      </c>
      <c r="I1353" s="196" t="s">
        <v>713</v>
      </c>
      <c r="J1353" s="196"/>
    </row>
    <row r="1354" spans="1:10" ht="14.4">
      <c r="A1354" s="196" t="s">
        <v>351</v>
      </c>
      <c r="B1354" s="197">
        <v>42353</v>
      </c>
      <c r="C1354" s="196" t="s">
        <v>710</v>
      </c>
      <c r="D1354" s="196">
        <v>117.2</v>
      </c>
      <c r="E1354" s="196">
        <v>115.8</v>
      </c>
      <c r="F1354" s="196">
        <v>116.3</v>
      </c>
      <c r="G1354" s="196">
        <f t="shared" si="21"/>
        <v>58.15</v>
      </c>
      <c r="H1354" s="196">
        <v>23465</v>
      </c>
      <c r="I1354" s="196" t="s">
        <v>711</v>
      </c>
      <c r="J1354" s="196"/>
    </row>
    <row r="1355" spans="1:10" ht="14.4">
      <c r="A1355" s="196" t="s">
        <v>351</v>
      </c>
      <c r="B1355" s="197">
        <v>42354</v>
      </c>
      <c r="C1355" s="196" t="s">
        <v>498</v>
      </c>
      <c r="D1355" s="196">
        <v>117</v>
      </c>
      <c r="E1355" s="196">
        <v>116</v>
      </c>
      <c r="F1355" s="196">
        <v>116.5</v>
      </c>
      <c r="G1355" s="196">
        <f t="shared" si="21"/>
        <v>58.25</v>
      </c>
      <c r="H1355" s="196">
        <v>20260</v>
      </c>
      <c r="I1355" s="196" t="s">
        <v>709</v>
      </c>
      <c r="J1355" s="196"/>
    </row>
    <row r="1356" spans="1:10" ht="14.4">
      <c r="A1356" s="196" t="s">
        <v>351</v>
      </c>
      <c r="B1356" s="197">
        <v>42355</v>
      </c>
      <c r="C1356" s="196" t="s">
        <v>707</v>
      </c>
      <c r="D1356" s="196">
        <v>119.9</v>
      </c>
      <c r="E1356" s="196">
        <v>116</v>
      </c>
      <c r="F1356" s="196">
        <v>119.4</v>
      </c>
      <c r="G1356" s="196">
        <f t="shared" si="21"/>
        <v>59.7</v>
      </c>
      <c r="H1356" s="196">
        <v>10134</v>
      </c>
      <c r="I1356" s="196" t="s">
        <v>708</v>
      </c>
      <c r="J1356" s="196"/>
    </row>
    <row r="1357" spans="1:10" ht="14.4">
      <c r="A1357" s="196" t="s">
        <v>351</v>
      </c>
      <c r="B1357" s="197">
        <v>42356</v>
      </c>
      <c r="C1357" s="196" t="s">
        <v>517</v>
      </c>
      <c r="D1357" s="196">
        <v>121.9</v>
      </c>
      <c r="E1357" s="196">
        <v>119</v>
      </c>
      <c r="F1357" s="196">
        <v>119.8</v>
      </c>
      <c r="G1357" s="196">
        <f t="shared" si="21"/>
        <v>59.9</v>
      </c>
      <c r="H1357" s="196">
        <v>130304</v>
      </c>
      <c r="I1357" s="196" t="s">
        <v>706</v>
      </c>
      <c r="J1357" s="196"/>
    </row>
    <row r="1358" spans="1:10" ht="14.4">
      <c r="A1358" s="196" t="s">
        <v>351</v>
      </c>
      <c r="B1358" s="197">
        <v>42359</v>
      </c>
      <c r="C1358" s="196" t="s">
        <v>704</v>
      </c>
      <c r="D1358" s="196">
        <v>119.8</v>
      </c>
      <c r="E1358" s="196">
        <v>119</v>
      </c>
      <c r="F1358" s="196">
        <v>119.3</v>
      </c>
      <c r="G1358" s="196">
        <f t="shared" si="21"/>
        <v>59.65</v>
      </c>
      <c r="H1358" s="196">
        <v>4500</v>
      </c>
      <c r="I1358" s="196" t="s">
        <v>705</v>
      </c>
      <c r="J1358" s="196"/>
    </row>
    <row r="1359" spans="1:10" ht="14.4">
      <c r="A1359" s="196" t="s">
        <v>351</v>
      </c>
      <c r="B1359" s="197">
        <v>42360</v>
      </c>
      <c r="C1359" s="196" t="s">
        <v>517</v>
      </c>
      <c r="D1359" s="196">
        <v>119.9</v>
      </c>
      <c r="E1359" s="196">
        <v>119</v>
      </c>
      <c r="F1359" s="196">
        <v>119.3</v>
      </c>
      <c r="G1359" s="196">
        <f t="shared" si="21"/>
        <v>59.65</v>
      </c>
      <c r="H1359" s="196">
        <v>10710</v>
      </c>
      <c r="I1359" s="196" t="s">
        <v>703</v>
      </c>
      <c r="J1359" s="196"/>
    </row>
    <row r="1360" spans="1:10" ht="14.4">
      <c r="A1360" s="196" t="s">
        <v>351</v>
      </c>
      <c r="B1360" s="197">
        <v>42361</v>
      </c>
      <c r="C1360" s="196" t="s">
        <v>701</v>
      </c>
      <c r="D1360" s="196">
        <v>119.4</v>
      </c>
      <c r="E1360" s="196">
        <v>119.4</v>
      </c>
      <c r="F1360" s="196">
        <v>119.4</v>
      </c>
      <c r="G1360" s="196">
        <f t="shared" si="21"/>
        <v>59.7</v>
      </c>
      <c r="H1360" s="196">
        <v>501</v>
      </c>
      <c r="I1360" s="196" t="s">
        <v>702</v>
      </c>
      <c r="J1360" s="196"/>
    </row>
    <row r="1361" spans="1:10" ht="14.4">
      <c r="A1361" s="196" t="s">
        <v>351</v>
      </c>
      <c r="B1361" s="197">
        <v>42366</v>
      </c>
      <c r="C1361" s="196" t="s">
        <v>517</v>
      </c>
      <c r="D1361" s="196">
        <v>119</v>
      </c>
      <c r="E1361" s="196">
        <v>118</v>
      </c>
      <c r="F1361" s="196">
        <v>118.6</v>
      </c>
      <c r="G1361" s="196">
        <f t="shared" si="21"/>
        <v>59.3</v>
      </c>
      <c r="H1361" s="196">
        <v>8325</v>
      </c>
      <c r="I1361" s="196" t="s">
        <v>700</v>
      </c>
      <c r="J1361" s="196"/>
    </row>
    <row r="1362" spans="1:10" ht="14.4">
      <c r="A1362" s="196" t="s">
        <v>351</v>
      </c>
      <c r="B1362" s="197">
        <v>42367</v>
      </c>
      <c r="C1362" s="196" t="s">
        <v>525</v>
      </c>
      <c r="D1362" s="196">
        <v>119.9</v>
      </c>
      <c r="E1362" s="196">
        <v>119.5</v>
      </c>
      <c r="F1362" s="196">
        <v>119.6</v>
      </c>
      <c r="G1362" s="196">
        <f t="shared" si="21"/>
        <v>59.8</v>
      </c>
      <c r="H1362" s="196">
        <v>2500</v>
      </c>
      <c r="I1362" s="196" t="s">
        <v>699</v>
      </c>
      <c r="J1362" s="196"/>
    </row>
    <row r="1363" spans="1:10" ht="14.4">
      <c r="A1363" s="196" t="s">
        <v>351</v>
      </c>
      <c r="B1363" s="197">
        <v>42368</v>
      </c>
      <c r="C1363" s="196" t="s">
        <v>525</v>
      </c>
      <c r="D1363" s="196">
        <v>121</v>
      </c>
      <c r="E1363" s="196">
        <v>119.5</v>
      </c>
      <c r="F1363" s="196">
        <v>120.2</v>
      </c>
      <c r="G1363" s="196">
        <f t="shared" si="21"/>
        <v>60.1</v>
      </c>
      <c r="H1363" s="196">
        <v>25825</v>
      </c>
      <c r="I1363" s="196" t="s">
        <v>698</v>
      </c>
      <c r="J1363" s="196"/>
    </row>
    <row r="1364" spans="1:10" ht="14.4">
      <c r="A1364" s="196" t="s">
        <v>351</v>
      </c>
      <c r="B1364" s="197">
        <v>42369</v>
      </c>
      <c r="C1364" s="196" t="s">
        <v>696</v>
      </c>
      <c r="D1364" s="196">
        <v>121.5</v>
      </c>
      <c r="E1364" s="196">
        <v>120</v>
      </c>
      <c r="F1364" s="196">
        <v>120.9</v>
      </c>
      <c r="G1364" s="196">
        <f t="shared" si="21"/>
        <v>60.45</v>
      </c>
      <c r="H1364" s="196">
        <v>15100</v>
      </c>
      <c r="I1364" s="196" t="s">
        <v>697</v>
      </c>
      <c r="J1364" s="196"/>
    </row>
    <row r="1365" spans="1:10" ht="14.4">
      <c r="A1365" s="196" t="s">
        <v>351</v>
      </c>
      <c r="B1365" s="197">
        <v>42373</v>
      </c>
      <c r="C1365" s="196" t="s">
        <v>542</v>
      </c>
      <c r="D1365" s="196">
        <v>122</v>
      </c>
      <c r="E1365" s="196">
        <v>119.6</v>
      </c>
      <c r="F1365" s="196">
        <v>120.5</v>
      </c>
      <c r="G1365" s="196">
        <f t="shared" si="21"/>
        <v>60.25</v>
      </c>
      <c r="H1365" s="196">
        <v>41256</v>
      </c>
      <c r="I1365" s="196" t="s">
        <v>695</v>
      </c>
      <c r="J1365" s="196"/>
    </row>
    <row r="1366" spans="1:10" ht="14.4">
      <c r="A1366" s="196" t="s">
        <v>351</v>
      </c>
      <c r="B1366" s="197">
        <v>42374</v>
      </c>
      <c r="C1366" s="196" t="s">
        <v>693</v>
      </c>
      <c r="D1366" s="196">
        <v>119.8</v>
      </c>
      <c r="E1366" s="196">
        <v>119</v>
      </c>
      <c r="F1366" s="196">
        <v>119.2</v>
      </c>
      <c r="G1366" s="196">
        <f t="shared" si="21"/>
        <v>59.6</v>
      </c>
      <c r="H1366" s="196">
        <v>19623</v>
      </c>
      <c r="I1366" s="196" t="s">
        <v>694</v>
      </c>
      <c r="J1366" s="196"/>
    </row>
    <row r="1367" spans="1:10" ht="14.4">
      <c r="A1367" s="196" t="s">
        <v>351</v>
      </c>
      <c r="B1367" s="197">
        <v>42375</v>
      </c>
      <c r="C1367" s="196" t="s">
        <v>515</v>
      </c>
      <c r="D1367" s="196">
        <v>119.6</v>
      </c>
      <c r="E1367" s="196">
        <v>117.5</v>
      </c>
      <c r="F1367" s="196">
        <v>119.1</v>
      </c>
      <c r="G1367" s="196">
        <f t="shared" si="21"/>
        <v>59.55</v>
      </c>
      <c r="H1367" s="196">
        <v>13255</v>
      </c>
      <c r="I1367" s="196" t="s">
        <v>692</v>
      </c>
      <c r="J1367" s="196"/>
    </row>
    <row r="1368" spans="1:10" ht="14.4">
      <c r="A1368" s="196" t="s">
        <v>351</v>
      </c>
      <c r="B1368" s="197">
        <v>42376</v>
      </c>
      <c r="C1368" s="196" t="s">
        <v>522</v>
      </c>
      <c r="D1368" s="196">
        <v>119</v>
      </c>
      <c r="E1368" s="196">
        <v>117.5</v>
      </c>
      <c r="F1368" s="196">
        <v>118.5</v>
      </c>
      <c r="G1368" s="196">
        <f t="shared" si="21"/>
        <v>59.25</v>
      </c>
      <c r="H1368" s="196">
        <v>10852</v>
      </c>
      <c r="I1368" s="196" t="s">
        <v>691</v>
      </c>
      <c r="J1368" s="196"/>
    </row>
    <row r="1369" spans="1:10" ht="14.4">
      <c r="A1369" s="196" t="s">
        <v>351</v>
      </c>
      <c r="B1369" s="197">
        <v>42377</v>
      </c>
      <c r="C1369" s="196" t="s">
        <v>509</v>
      </c>
      <c r="D1369" s="196">
        <v>117.1</v>
      </c>
      <c r="E1369" s="196">
        <v>115</v>
      </c>
      <c r="F1369" s="196">
        <v>116.4</v>
      </c>
      <c r="G1369" s="196">
        <f t="shared" si="21"/>
        <v>58.2</v>
      </c>
      <c r="H1369" s="196">
        <v>28375</v>
      </c>
      <c r="I1369" s="196" t="s">
        <v>690</v>
      </c>
      <c r="J1369" s="196"/>
    </row>
    <row r="1370" spans="1:10" ht="14.4">
      <c r="A1370" s="196" t="s">
        <v>351</v>
      </c>
      <c r="B1370" s="197">
        <v>42380</v>
      </c>
      <c r="C1370" s="196" t="s">
        <v>687</v>
      </c>
      <c r="D1370" s="196">
        <v>115.5</v>
      </c>
      <c r="E1370" s="196">
        <v>111.1</v>
      </c>
      <c r="F1370" s="196">
        <v>114</v>
      </c>
      <c r="G1370" s="196">
        <f t="shared" si="21"/>
        <v>57</v>
      </c>
      <c r="H1370" s="196">
        <v>29426</v>
      </c>
      <c r="I1370" s="196" t="s">
        <v>689</v>
      </c>
      <c r="J1370" s="196"/>
    </row>
    <row r="1371" spans="1:10" ht="14.4">
      <c r="A1371" s="196" t="s">
        <v>351</v>
      </c>
      <c r="B1371" s="197">
        <v>42381</v>
      </c>
      <c r="C1371" s="196" t="s">
        <v>488</v>
      </c>
      <c r="D1371" s="196">
        <v>113.5</v>
      </c>
      <c r="E1371" s="196">
        <v>111.6</v>
      </c>
      <c r="F1371" s="196">
        <v>111.9</v>
      </c>
      <c r="G1371" s="196">
        <f t="shared" si="21"/>
        <v>55.95</v>
      </c>
      <c r="H1371" s="196">
        <v>148935</v>
      </c>
      <c r="I1371" s="196" t="s">
        <v>686</v>
      </c>
      <c r="J1371" s="196"/>
    </row>
    <row r="1372" spans="1:10" ht="14.4">
      <c r="A1372" s="196" t="s">
        <v>351</v>
      </c>
      <c r="B1372" s="197">
        <v>42382</v>
      </c>
      <c r="C1372" s="196" t="s">
        <v>649</v>
      </c>
      <c r="D1372" s="196">
        <v>114</v>
      </c>
      <c r="E1372" s="196">
        <v>111.9</v>
      </c>
      <c r="F1372" s="196">
        <v>112.4</v>
      </c>
      <c r="G1372" s="196">
        <f t="shared" si="21"/>
        <v>56.2</v>
      </c>
      <c r="H1372" s="196">
        <v>49047</v>
      </c>
      <c r="I1372" s="196" t="s">
        <v>685</v>
      </c>
      <c r="J1372" s="196"/>
    </row>
    <row r="1373" spans="1:10" ht="14.4">
      <c r="A1373" s="196" t="s">
        <v>351</v>
      </c>
      <c r="B1373" s="197">
        <v>42383</v>
      </c>
      <c r="C1373" s="196" t="s">
        <v>683</v>
      </c>
      <c r="D1373" s="196">
        <v>112</v>
      </c>
      <c r="E1373" s="196">
        <v>110</v>
      </c>
      <c r="F1373" s="196">
        <v>111</v>
      </c>
      <c r="G1373" s="196">
        <f t="shared" si="21"/>
        <v>55.5</v>
      </c>
      <c r="H1373" s="196">
        <v>38034</v>
      </c>
      <c r="I1373" s="196" t="s">
        <v>684</v>
      </c>
      <c r="J1373" s="196"/>
    </row>
    <row r="1374" spans="1:10" ht="14.4">
      <c r="A1374" s="196" t="s">
        <v>351</v>
      </c>
      <c r="B1374" s="197">
        <v>42387</v>
      </c>
      <c r="C1374" s="196" t="s">
        <v>574</v>
      </c>
      <c r="D1374" s="196">
        <v>109.1</v>
      </c>
      <c r="E1374" s="196">
        <v>103.1</v>
      </c>
      <c r="F1374" s="196">
        <v>103.7</v>
      </c>
      <c r="G1374" s="196">
        <f t="shared" si="21"/>
        <v>51.85</v>
      </c>
      <c r="H1374" s="196">
        <v>20257</v>
      </c>
      <c r="I1374" s="196" t="s">
        <v>682</v>
      </c>
      <c r="J1374" s="196"/>
    </row>
    <row r="1375" spans="1:10" ht="14.4">
      <c r="A1375" s="196" t="s">
        <v>351</v>
      </c>
      <c r="B1375" s="197">
        <v>42388</v>
      </c>
      <c r="C1375" s="196" t="s">
        <v>614</v>
      </c>
      <c r="D1375" s="196">
        <v>106</v>
      </c>
      <c r="E1375" s="196">
        <v>98</v>
      </c>
      <c r="F1375" s="196">
        <v>104.3</v>
      </c>
      <c r="G1375" s="196">
        <f t="shared" si="21"/>
        <v>52.15</v>
      </c>
      <c r="H1375" s="196">
        <v>177886</v>
      </c>
      <c r="I1375" s="196" t="s">
        <v>681</v>
      </c>
      <c r="J1375" s="196"/>
    </row>
    <row r="1376" spans="1:10" ht="14.4">
      <c r="A1376" s="196" t="s">
        <v>351</v>
      </c>
      <c r="B1376" s="197">
        <v>42389</v>
      </c>
      <c r="C1376" s="196" t="s">
        <v>679</v>
      </c>
      <c r="D1376" s="196">
        <v>107.9</v>
      </c>
      <c r="E1376" s="196">
        <v>102</v>
      </c>
      <c r="F1376" s="196">
        <v>105.4</v>
      </c>
      <c r="G1376" s="196">
        <f t="shared" si="21"/>
        <v>52.7</v>
      </c>
      <c r="H1376" s="196">
        <v>15799</v>
      </c>
      <c r="I1376" s="196" t="s">
        <v>680</v>
      </c>
      <c r="J1376" s="196"/>
    </row>
    <row r="1377" spans="1:10" ht="14.4">
      <c r="A1377" s="196" t="s">
        <v>351</v>
      </c>
      <c r="B1377" s="197">
        <v>42390</v>
      </c>
      <c r="C1377" s="196" t="s">
        <v>595</v>
      </c>
      <c r="D1377" s="196">
        <v>110</v>
      </c>
      <c r="E1377" s="196">
        <v>102.5</v>
      </c>
      <c r="F1377" s="196">
        <v>109.4</v>
      </c>
      <c r="G1377" s="196">
        <f t="shared" si="21"/>
        <v>54.7</v>
      </c>
      <c r="H1377" s="196">
        <v>24052</v>
      </c>
      <c r="I1377" s="196" t="s">
        <v>678</v>
      </c>
      <c r="J1377" s="196"/>
    </row>
    <row r="1378" spans="1:10" ht="14.4">
      <c r="A1378" s="196" t="s">
        <v>351</v>
      </c>
      <c r="B1378" s="197">
        <v>42391</v>
      </c>
      <c r="C1378" s="196" t="s">
        <v>647</v>
      </c>
      <c r="D1378" s="196">
        <v>111</v>
      </c>
      <c r="E1378" s="196">
        <v>109.8</v>
      </c>
      <c r="F1378" s="196">
        <v>109.9</v>
      </c>
      <c r="G1378" s="196">
        <f t="shared" si="21"/>
        <v>54.95</v>
      </c>
      <c r="H1378" s="196">
        <v>44937</v>
      </c>
      <c r="I1378" s="196" t="s">
        <v>677</v>
      </c>
      <c r="J1378" s="196"/>
    </row>
    <row r="1379" spans="1:10" ht="14.4">
      <c r="A1379" s="196" t="s">
        <v>351</v>
      </c>
      <c r="B1379" s="197">
        <v>42394</v>
      </c>
      <c r="C1379" s="196" t="s">
        <v>671</v>
      </c>
      <c r="D1379" s="196">
        <v>112</v>
      </c>
      <c r="E1379" s="196">
        <v>108</v>
      </c>
      <c r="F1379" s="196">
        <v>111.3</v>
      </c>
      <c r="G1379" s="196">
        <f t="shared" si="21"/>
        <v>55.65</v>
      </c>
      <c r="H1379" s="196">
        <v>5713</v>
      </c>
      <c r="I1379" s="196" t="s">
        <v>676</v>
      </c>
      <c r="J1379" s="196"/>
    </row>
    <row r="1380" spans="1:10" ht="14.4">
      <c r="A1380" s="196" t="s">
        <v>351</v>
      </c>
      <c r="B1380" s="197">
        <v>42395</v>
      </c>
      <c r="C1380" s="196" t="s">
        <v>673</v>
      </c>
      <c r="D1380" s="196">
        <v>110</v>
      </c>
      <c r="E1380" s="196">
        <v>108</v>
      </c>
      <c r="F1380" s="196">
        <v>109.5</v>
      </c>
      <c r="G1380" s="196">
        <f t="shared" si="21"/>
        <v>54.75</v>
      </c>
      <c r="H1380" s="196">
        <v>2291</v>
      </c>
      <c r="I1380" s="196" t="s">
        <v>675</v>
      </c>
      <c r="J1380" s="196"/>
    </row>
    <row r="1381" spans="1:10" ht="14.4">
      <c r="A1381" s="196" t="s">
        <v>351</v>
      </c>
      <c r="B1381" s="197">
        <v>42396</v>
      </c>
      <c r="C1381" s="196" t="s">
        <v>671</v>
      </c>
      <c r="D1381" s="196">
        <v>112</v>
      </c>
      <c r="E1381" s="196">
        <v>109.9</v>
      </c>
      <c r="F1381" s="196">
        <v>111.4</v>
      </c>
      <c r="G1381" s="196">
        <f t="shared" si="21"/>
        <v>55.7</v>
      </c>
      <c r="H1381" s="196">
        <v>16530</v>
      </c>
      <c r="I1381" s="196" t="s">
        <v>672</v>
      </c>
      <c r="J1381" s="196"/>
    </row>
    <row r="1382" spans="1:10" ht="14.4">
      <c r="A1382" s="196" t="s">
        <v>351</v>
      </c>
      <c r="B1382" s="197">
        <v>42397</v>
      </c>
      <c r="C1382" s="196" t="s">
        <v>647</v>
      </c>
      <c r="D1382" s="196">
        <v>112</v>
      </c>
      <c r="E1382" s="196">
        <v>110</v>
      </c>
      <c r="F1382" s="196">
        <v>110.7</v>
      </c>
      <c r="G1382" s="196">
        <f t="shared" si="21"/>
        <v>55.35</v>
      </c>
      <c r="H1382" s="196">
        <v>13260</v>
      </c>
      <c r="I1382" s="196" t="s">
        <v>670</v>
      </c>
      <c r="J1382" s="196"/>
    </row>
    <row r="1383" spans="1:10" ht="14.4">
      <c r="A1383" s="196" t="s">
        <v>351</v>
      </c>
      <c r="B1383" s="197">
        <v>42398</v>
      </c>
      <c r="C1383" s="196" t="s">
        <v>668</v>
      </c>
      <c r="D1383" s="196">
        <v>113.9</v>
      </c>
      <c r="E1383" s="196">
        <v>110.1</v>
      </c>
      <c r="F1383" s="196">
        <v>112</v>
      </c>
      <c r="G1383" s="196">
        <f t="shared" si="21"/>
        <v>56</v>
      </c>
      <c r="H1383" s="196">
        <v>1670</v>
      </c>
      <c r="I1383" s="196" t="s">
        <v>669</v>
      </c>
      <c r="J1383" s="196"/>
    </row>
    <row r="1384" spans="1:10" ht="14.4">
      <c r="A1384" s="196" t="s">
        <v>351</v>
      </c>
      <c r="B1384" s="197">
        <v>42401</v>
      </c>
      <c r="C1384" s="196" t="s">
        <v>489</v>
      </c>
      <c r="D1384" s="196">
        <v>114.9</v>
      </c>
      <c r="E1384" s="196">
        <v>113</v>
      </c>
      <c r="F1384" s="196">
        <v>114.6</v>
      </c>
      <c r="G1384" s="196">
        <f t="shared" si="21"/>
        <v>57.3</v>
      </c>
      <c r="H1384" s="196">
        <v>10014</v>
      </c>
      <c r="I1384" s="196" t="s">
        <v>667</v>
      </c>
      <c r="J1384" s="196"/>
    </row>
    <row r="1385" spans="1:10" ht="14.4">
      <c r="A1385" s="196" t="s">
        <v>351</v>
      </c>
      <c r="B1385" s="197">
        <v>42402</v>
      </c>
      <c r="C1385" s="196" t="s">
        <v>665</v>
      </c>
      <c r="D1385" s="196">
        <v>116</v>
      </c>
      <c r="E1385" s="196">
        <v>113.8</v>
      </c>
      <c r="F1385" s="196">
        <v>115.8</v>
      </c>
      <c r="G1385" s="196">
        <f t="shared" si="21"/>
        <v>57.9</v>
      </c>
      <c r="H1385" s="196">
        <v>46051</v>
      </c>
      <c r="I1385" s="196" t="s">
        <v>666</v>
      </c>
      <c r="J1385" s="196"/>
    </row>
    <row r="1386" spans="1:10" ht="14.4">
      <c r="A1386" s="196" t="s">
        <v>351</v>
      </c>
      <c r="B1386" s="197">
        <v>42403</v>
      </c>
      <c r="C1386" s="196" t="s">
        <v>498</v>
      </c>
      <c r="D1386" s="196">
        <v>116</v>
      </c>
      <c r="E1386" s="196">
        <v>114.8</v>
      </c>
      <c r="F1386" s="196">
        <v>115.3</v>
      </c>
      <c r="G1386" s="196">
        <f t="shared" si="21"/>
        <v>57.65</v>
      </c>
      <c r="H1386" s="196">
        <v>7262</v>
      </c>
      <c r="I1386" s="196" t="s">
        <v>664</v>
      </c>
      <c r="J1386" s="196"/>
    </row>
    <row r="1387" spans="1:10" ht="14.4">
      <c r="A1387" s="196" t="s">
        <v>351</v>
      </c>
      <c r="B1387" s="197">
        <v>42405</v>
      </c>
      <c r="C1387" s="196" t="s">
        <v>489</v>
      </c>
      <c r="D1387" s="196">
        <v>116.9</v>
      </c>
      <c r="E1387" s="196">
        <v>113</v>
      </c>
      <c r="F1387" s="196">
        <v>116.8</v>
      </c>
      <c r="G1387" s="196">
        <f t="shared" si="21"/>
        <v>58.4</v>
      </c>
      <c r="H1387" s="196">
        <v>11082</v>
      </c>
      <c r="I1387" s="196" t="s">
        <v>663</v>
      </c>
      <c r="J1387" s="196"/>
    </row>
    <row r="1388" spans="1:10" ht="14.4">
      <c r="A1388" s="196" t="s">
        <v>351</v>
      </c>
      <c r="B1388" s="197">
        <v>42408</v>
      </c>
      <c r="C1388" s="196" t="s">
        <v>494</v>
      </c>
      <c r="D1388" s="196">
        <v>116</v>
      </c>
      <c r="E1388" s="196">
        <v>114</v>
      </c>
      <c r="F1388" s="196">
        <v>115.7</v>
      </c>
      <c r="G1388" s="196">
        <f t="shared" si="21"/>
        <v>57.85</v>
      </c>
      <c r="H1388" s="196">
        <v>7868</v>
      </c>
      <c r="I1388" s="196" t="s">
        <v>662</v>
      </c>
      <c r="J1388" s="196"/>
    </row>
    <row r="1389" spans="1:10" ht="14.4">
      <c r="A1389" s="196" t="s">
        <v>351</v>
      </c>
      <c r="B1389" s="197">
        <v>42409</v>
      </c>
      <c r="C1389" s="196" t="s">
        <v>660</v>
      </c>
      <c r="D1389" s="196">
        <v>115.8</v>
      </c>
      <c r="E1389" s="196">
        <v>114</v>
      </c>
      <c r="F1389" s="196">
        <v>114.9</v>
      </c>
      <c r="G1389" s="196">
        <f t="shared" si="21"/>
        <v>57.45</v>
      </c>
      <c r="H1389" s="196">
        <v>5050</v>
      </c>
      <c r="I1389" s="196" t="s">
        <v>661</v>
      </c>
      <c r="J1389" s="196"/>
    </row>
    <row r="1390" spans="1:10" ht="14.4">
      <c r="A1390" s="196" t="s">
        <v>351</v>
      </c>
      <c r="B1390" s="197">
        <v>42410</v>
      </c>
      <c r="C1390" s="196" t="s">
        <v>658</v>
      </c>
      <c r="D1390" s="196">
        <v>116.5</v>
      </c>
      <c r="E1390" s="196">
        <v>112.5</v>
      </c>
      <c r="F1390" s="196">
        <v>115.3</v>
      </c>
      <c r="G1390" s="196">
        <f t="shared" si="21"/>
        <v>57.65</v>
      </c>
      <c r="H1390" s="196">
        <v>6300</v>
      </c>
      <c r="I1390" s="196" t="s">
        <v>659</v>
      </c>
      <c r="J1390" s="196"/>
    </row>
    <row r="1391" spans="1:10" ht="14.4">
      <c r="A1391" s="196" t="s">
        <v>351</v>
      </c>
      <c r="B1391" s="197">
        <v>42411</v>
      </c>
      <c r="C1391" s="196" t="s">
        <v>491</v>
      </c>
      <c r="D1391" s="196">
        <v>115</v>
      </c>
      <c r="E1391" s="196">
        <v>110.1</v>
      </c>
      <c r="F1391" s="196">
        <v>114</v>
      </c>
      <c r="G1391" s="196">
        <f t="shared" si="21"/>
        <v>57</v>
      </c>
      <c r="H1391" s="196">
        <v>5177</v>
      </c>
      <c r="I1391" s="196" t="s">
        <v>657</v>
      </c>
      <c r="J1391" s="196"/>
    </row>
    <row r="1392" spans="1:10" ht="14.4">
      <c r="A1392" s="196" t="s">
        <v>351</v>
      </c>
      <c r="B1392" s="197">
        <v>42412</v>
      </c>
      <c r="C1392" s="196" t="s">
        <v>653</v>
      </c>
      <c r="D1392" s="196">
        <v>113.9</v>
      </c>
      <c r="E1392" s="196">
        <v>109.5</v>
      </c>
      <c r="F1392" s="196">
        <v>111.4</v>
      </c>
      <c r="G1392" s="196">
        <f t="shared" si="21"/>
        <v>55.7</v>
      </c>
      <c r="H1392" s="196">
        <v>8480</v>
      </c>
      <c r="I1392" s="196" t="s">
        <v>655</v>
      </c>
      <c r="J1392" s="196"/>
    </row>
    <row r="1393" spans="1:10" ht="14.4">
      <c r="A1393" s="196" t="s">
        <v>351</v>
      </c>
      <c r="B1393" s="197">
        <v>42415</v>
      </c>
      <c r="C1393" s="196" t="s">
        <v>647</v>
      </c>
      <c r="D1393" s="196">
        <v>110</v>
      </c>
      <c r="E1393" s="196">
        <v>109</v>
      </c>
      <c r="F1393" s="196">
        <v>109.1</v>
      </c>
      <c r="G1393" s="196">
        <f t="shared" si="21"/>
        <v>54.55</v>
      </c>
      <c r="H1393" s="196">
        <v>9380</v>
      </c>
      <c r="I1393" s="196" t="s">
        <v>652</v>
      </c>
      <c r="J1393" s="196"/>
    </row>
    <row r="1394" spans="1:10" ht="14.4">
      <c r="A1394" s="196" t="s">
        <v>351</v>
      </c>
      <c r="B1394" s="197">
        <v>42416</v>
      </c>
      <c r="C1394" s="196" t="s">
        <v>649</v>
      </c>
      <c r="D1394" s="196">
        <v>111.9</v>
      </c>
      <c r="E1394" s="196">
        <v>107</v>
      </c>
      <c r="F1394" s="196">
        <v>107.1</v>
      </c>
      <c r="G1394" s="196">
        <f t="shared" ref="G1394:G1457" si="22">F1394/2</f>
        <v>53.55</v>
      </c>
      <c r="H1394" s="196">
        <v>10945</v>
      </c>
      <c r="I1394" s="196" t="s">
        <v>650</v>
      </c>
      <c r="J1394" s="196"/>
    </row>
    <row r="1395" spans="1:10" ht="14.4">
      <c r="A1395" s="196" t="s">
        <v>351</v>
      </c>
      <c r="B1395" s="197">
        <v>42417</v>
      </c>
      <c r="C1395" s="196" t="s">
        <v>647</v>
      </c>
      <c r="D1395" s="196">
        <v>110</v>
      </c>
      <c r="E1395" s="196">
        <v>104</v>
      </c>
      <c r="F1395" s="196">
        <v>104.9</v>
      </c>
      <c r="G1395" s="196">
        <f t="shared" si="22"/>
        <v>52.45</v>
      </c>
      <c r="H1395" s="196">
        <v>17022</v>
      </c>
      <c r="I1395" s="196" t="s">
        <v>648</v>
      </c>
      <c r="J1395" s="196"/>
    </row>
    <row r="1396" spans="1:10" ht="14.4">
      <c r="A1396" s="196" t="s">
        <v>351</v>
      </c>
      <c r="B1396" s="197">
        <v>42418</v>
      </c>
      <c r="C1396" s="196" t="s">
        <v>614</v>
      </c>
      <c r="D1396" s="196">
        <v>107.5</v>
      </c>
      <c r="E1396" s="196">
        <v>103</v>
      </c>
      <c r="F1396" s="196">
        <v>103</v>
      </c>
      <c r="G1396" s="196">
        <f t="shared" si="22"/>
        <v>51.5</v>
      </c>
      <c r="H1396" s="196">
        <v>56591</v>
      </c>
      <c r="I1396" s="196" t="s">
        <v>646</v>
      </c>
      <c r="J1396" s="196"/>
    </row>
    <row r="1397" spans="1:10" ht="14.4">
      <c r="A1397" s="196" t="s">
        <v>351</v>
      </c>
      <c r="B1397" s="197">
        <v>42419</v>
      </c>
      <c r="C1397" s="196" t="s">
        <v>595</v>
      </c>
      <c r="D1397" s="196">
        <v>105</v>
      </c>
      <c r="E1397" s="196">
        <v>103</v>
      </c>
      <c r="F1397" s="196">
        <v>103.1</v>
      </c>
      <c r="G1397" s="196">
        <f t="shared" si="22"/>
        <v>51.55</v>
      </c>
      <c r="H1397" s="196">
        <v>37096</v>
      </c>
      <c r="I1397" s="196" t="s">
        <v>645</v>
      </c>
      <c r="J1397" s="196"/>
    </row>
    <row r="1398" spans="1:10" ht="14.4">
      <c r="A1398" s="196" t="s">
        <v>351</v>
      </c>
      <c r="B1398" s="197">
        <v>42423</v>
      </c>
      <c r="C1398" s="196" t="s">
        <v>643</v>
      </c>
      <c r="D1398" s="196">
        <v>103.2</v>
      </c>
      <c r="E1398" s="196">
        <v>102</v>
      </c>
      <c r="F1398" s="196">
        <v>102.9</v>
      </c>
      <c r="G1398" s="196">
        <f t="shared" si="22"/>
        <v>51.45</v>
      </c>
      <c r="H1398" s="196">
        <v>55547</v>
      </c>
      <c r="I1398" s="196" t="s">
        <v>644</v>
      </c>
      <c r="J1398" s="196"/>
    </row>
    <row r="1399" spans="1:10" ht="14.4">
      <c r="A1399" s="196" t="s">
        <v>351</v>
      </c>
      <c r="B1399" s="197">
        <v>42424</v>
      </c>
      <c r="C1399" s="196" t="s">
        <v>589</v>
      </c>
      <c r="D1399" s="196">
        <v>102.9</v>
      </c>
      <c r="E1399" s="196">
        <v>102</v>
      </c>
      <c r="F1399" s="196">
        <v>102.4</v>
      </c>
      <c r="G1399" s="196">
        <f t="shared" si="22"/>
        <v>51.2</v>
      </c>
      <c r="H1399" s="196">
        <v>18192</v>
      </c>
      <c r="I1399" s="196" t="s">
        <v>642</v>
      </c>
      <c r="J1399" s="196"/>
    </row>
    <row r="1400" spans="1:10" ht="14.4">
      <c r="A1400" s="196" t="s">
        <v>351</v>
      </c>
      <c r="B1400" s="197">
        <v>42425</v>
      </c>
      <c r="C1400" s="196" t="s">
        <v>640</v>
      </c>
      <c r="D1400" s="196">
        <v>103</v>
      </c>
      <c r="E1400" s="196">
        <v>101.6</v>
      </c>
      <c r="F1400" s="196">
        <v>103</v>
      </c>
      <c r="G1400" s="196">
        <f t="shared" si="22"/>
        <v>51.5</v>
      </c>
      <c r="H1400" s="196">
        <v>1156</v>
      </c>
      <c r="I1400" s="196" t="s">
        <v>641</v>
      </c>
      <c r="J1400" s="196"/>
    </row>
    <row r="1401" spans="1:10" ht="14.4">
      <c r="A1401" s="196" t="s">
        <v>351</v>
      </c>
      <c r="B1401" s="197">
        <v>42426</v>
      </c>
      <c r="C1401" s="196" t="s">
        <v>595</v>
      </c>
      <c r="D1401" s="196">
        <v>103</v>
      </c>
      <c r="E1401" s="196">
        <v>102</v>
      </c>
      <c r="F1401" s="196">
        <v>102.5</v>
      </c>
      <c r="G1401" s="196">
        <f t="shared" si="22"/>
        <v>51.25</v>
      </c>
      <c r="H1401" s="196">
        <v>284951</v>
      </c>
      <c r="I1401" s="196" t="s">
        <v>639</v>
      </c>
      <c r="J1401" s="196"/>
    </row>
    <row r="1402" spans="1:10" ht="14.4">
      <c r="A1402" s="196" t="s">
        <v>351</v>
      </c>
      <c r="B1402" s="197">
        <v>42429</v>
      </c>
      <c r="C1402" s="196" t="s">
        <v>589</v>
      </c>
      <c r="D1402" s="196">
        <v>102.1</v>
      </c>
      <c r="E1402" s="196">
        <v>101.9</v>
      </c>
      <c r="F1402" s="196">
        <v>102</v>
      </c>
      <c r="G1402" s="196">
        <f t="shared" si="22"/>
        <v>51</v>
      </c>
      <c r="H1402" s="196">
        <v>96100</v>
      </c>
      <c r="I1402" s="196" t="s">
        <v>638</v>
      </c>
      <c r="J1402" s="196"/>
    </row>
    <row r="1403" spans="1:10" ht="14.4">
      <c r="A1403" s="196" t="s">
        <v>351</v>
      </c>
      <c r="B1403" s="197">
        <v>42430</v>
      </c>
      <c r="C1403" s="196" t="s">
        <v>636</v>
      </c>
      <c r="D1403" s="196">
        <v>101.6</v>
      </c>
      <c r="E1403" s="196">
        <v>98</v>
      </c>
      <c r="F1403" s="196">
        <v>100</v>
      </c>
      <c r="G1403" s="196">
        <f t="shared" si="22"/>
        <v>50</v>
      </c>
      <c r="H1403" s="196">
        <v>29145</v>
      </c>
      <c r="I1403" s="196" t="s">
        <v>637</v>
      </c>
      <c r="J1403" s="196"/>
    </row>
    <row r="1404" spans="1:10" ht="14.4">
      <c r="A1404" s="196" t="s">
        <v>351</v>
      </c>
      <c r="B1404" s="197">
        <v>42431</v>
      </c>
      <c r="C1404" s="196" t="s">
        <v>600</v>
      </c>
      <c r="D1404" s="196">
        <v>100</v>
      </c>
      <c r="E1404" s="196">
        <v>98.2</v>
      </c>
      <c r="F1404" s="196">
        <v>100</v>
      </c>
      <c r="G1404" s="196">
        <f t="shared" si="22"/>
        <v>50</v>
      </c>
      <c r="H1404" s="196">
        <v>32250</v>
      </c>
      <c r="I1404" s="196" t="s">
        <v>635</v>
      </c>
      <c r="J1404" s="196"/>
    </row>
    <row r="1405" spans="1:10" ht="14.4">
      <c r="A1405" s="196" t="s">
        <v>351</v>
      </c>
      <c r="B1405" s="197">
        <v>42432</v>
      </c>
      <c r="C1405" s="196" t="s">
        <v>633</v>
      </c>
      <c r="D1405" s="196">
        <v>101</v>
      </c>
      <c r="E1405" s="196">
        <v>98</v>
      </c>
      <c r="F1405" s="196">
        <v>100.6</v>
      </c>
      <c r="G1405" s="196">
        <f t="shared" si="22"/>
        <v>50.3</v>
      </c>
      <c r="H1405" s="196">
        <v>27975</v>
      </c>
      <c r="I1405" s="196" t="s">
        <v>634</v>
      </c>
      <c r="J1405" s="196"/>
    </row>
    <row r="1406" spans="1:10" ht="14.4">
      <c r="A1406" s="196" t="s">
        <v>351</v>
      </c>
      <c r="B1406" s="197">
        <v>42433</v>
      </c>
      <c r="C1406" s="196" t="s">
        <v>631</v>
      </c>
      <c r="D1406" s="196">
        <v>101.8</v>
      </c>
      <c r="E1406" s="196">
        <v>100</v>
      </c>
      <c r="F1406" s="196">
        <v>101.6</v>
      </c>
      <c r="G1406" s="196">
        <f t="shared" si="22"/>
        <v>50.8</v>
      </c>
      <c r="H1406" s="196">
        <v>3201</v>
      </c>
      <c r="I1406" s="196" t="s">
        <v>632</v>
      </c>
      <c r="J1406" s="196"/>
    </row>
    <row r="1407" spans="1:10" ht="14.4">
      <c r="A1407" s="196" t="s">
        <v>351</v>
      </c>
      <c r="B1407" s="197">
        <v>42437</v>
      </c>
      <c r="C1407" s="196" t="s">
        <v>629</v>
      </c>
      <c r="D1407" s="196">
        <v>99.2</v>
      </c>
      <c r="E1407" s="196">
        <v>95</v>
      </c>
      <c r="F1407" s="196">
        <v>96.7</v>
      </c>
      <c r="G1407" s="196">
        <f t="shared" si="22"/>
        <v>48.35</v>
      </c>
      <c r="H1407" s="196">
        <v>14242</v>
      </c>
      <c r="I1407" s="196" t="s">
        <v>630</v>
      </c>
      <c r="J1407" s="196"/>
    </row>
    <row r="1408" spans="1:10" ht="14.4">
      <c r="A1408" s="196" t="s">
        <v>351</v>
      </c>
      <c r="B1408" s="197">
        <v>42438</v>
      </c>
      <c r="C1408" s="196" t="s">
        <v>626</v>
      </c>
      <c r="D1408" s="196">
        <v>96</v>
      </c>
      <c r="E1408" s="196">
        <v>88</v>
      </c>
      <c r="F1408" s="196">
        <v>93.8</v>
      </c>
      <c r="G1408" s="196">
        <f t="shared" si="22"/>
        <v>46.9</v>
      </c>
      <c r="H1408" s="196">
        <v>13989</v>
      </c>
      <c r="I1408" s="196" t="s">
        <v>628</v>
      </c>
      <c r="J1408" s="196"/>
    </row>
    <row r="1409" spans="1:10" ht="14.4">
      <c r="A1409" s="196" t="s">
        <v>351</v>
      </c>
      <c r="B1409" s="197">
        <v>42439</v>
      </c>
      <c r="C1409" s="196" t="s">
        <v>621</v>
      </c>
      <c r="D1409" s="196">
        <v>99.9</v>
      </c>
      <c r="E1409" s="196">
        <v>95</v>
      </c>
      <c r="F1409" s="196">
        <v>98.2</v>
      </c>
      <c r="G1409" s="196">
        <f t="shared" si="22"/>
        <v>49.1</v>
      </c>
      <c r="H1409" s="196">
        <v>46306</v>
      </c>
      <c r="I1409" s="196" t="s">
        <v>625</v>
      </c>
      <c r="J1409" s="196"/>
    </row>
    <row r="1410" spans="1:10" ht="14.4">
      <c r="A1410" s="196" t="s">
        <v>351</v>
      </c>
      <c r="B1410" s="197">
        <v>42440</v>
      </c>
      <c r="C1410" s="196" t="s">
        <v>623</v>
      </c>
      <c r="D1410" s="196">
        <v>100.9</v>
      </c>
      <c r="E1410" s="196">
        <v>98.2</v>
      </c>
      <c r="F1410" s="196">
        <v>100.7</v>
      </c>
      <c r="G1410" s="196">
        <f t="shared" si="22"/>
        <v>50.35</v>
      </c>
      <c r="H1410" s="196">
        <v>5550</v>
      </c>
      <c r="I1410" s="196" t="s">
        <v>624</v>
      </c>
      <c r="J1410" s="196"/>
    </row>
    <row r="1411" spans="1:10" ht="14.4">
      <c r="A1411" s="196" t="s">
        <v>351</v>
      </c>
      <c r="B1411" s="197">
        <v>42443</v>
      </c>
      <c r="C1411" s="196" t="s">
        <v>620</v>
      </c>
      <c r="D1411" s="196">
        <v>100</v>
      </c>
      <c r="E1411" s="196">
        <v>95</v>
      </c>
      <c r="F1411" s="196">
        <v>99.7</v>
      </c>
      <c r="G1411" s="196">
        <f t="shared" si="22"/>
        <v>49.85</v>
      </c>
      <c r="H1411" s="196">
        <v>4600</v>
      </c>
      <c r="I1411" s="196" t="s">
        <v>622</v>
      </c>
      <c r="J1411" s="196"/>
    </row>
    <row r="1412" spans="1:10" ht="14.4">
      <c r="A1412" s="196" t="s">
        <v>351</v>
      </c>
      <c r="B1412" s="197">
        <v>42444</v>
      </c>
      <c r="C1412" s="196" t="s">
        <v>618</v>
      </c>
      <c r="D1412" s="196">
        <v>100</v>
      </c>
      <c r="E1412" s="196">
        <v>95.1</v>
      </c>
      <c r="F1412" s="196">
        <v>99.6</v>
      </c>
      <c r="G1412" s="196">
        <f t="shared" si="22"/>
        <v>49.8</v>
      </c>
      <c r="H1412" s="196">
        <v>4367</v>
      </c>
      <c r="I1412" s="196" t="s">
        <v>619</v>
      </c>
      <c r="J1412" s="196"/>
    </row>
    <row r="1413" spans="1:10" ht="14.4">
      <c r="A1413" s="196" t="s">
        <v>351</v>
      </c>
      <c r="B1413" s="197">
        <v>42445</v>
      </c>
      <c r="C1413" s="196" t="s">
        <v>616</v>
      </c>
      <c r="D1413" s="196">
        <v>108</v>
      </c>
      <c r="E1413" s="196">
        <v>99</v>
      </c>
      <c r="F1413" s="196">
        <v>102.3</v>
      </c>
      <c r="G1413" s="196">
        <f t="shared" si="22"/>
        <v>51.15</v>
      </c>
      <c r="H1413" s="196">
        <v>12420</v>
      </c>
      <c r="I1413" s="196" t="s">
        <v>617</v>
      </c>
      <c r="J1413" s="196"/>
    </row>
    <row r="1414" spans="1:10" ht="14.4">
      <c r="A1414" s="196" t="s">
        <v>351</v>
      </c>
      <c r="B1414" s="197">
        <v>42446</v>
      </c>
      <c r="C1414" s="196" t="s">
        <v>614</v>
      </c>
      <c r="D1414" s="196">
        <v>106.5</v>
      </c>
      <c r="E1414" s="196">
        <v>103.5</v>
      </c>
      <c r="F1414" s="196">
        <v>105</v>
      </c>
      <c r="G1414" s="196">
        <f t="shared" si="22"/>
        <v>52.5</v>
      </c>
      <c r="H1414" s="196">
        <v>6507</v>
      </c>
      <c r="I1414" s="196" t="s">
        <v>615</v>
      </c>
      <c r="J1414" s="196"/>
    </row>
    <row r="1415" spans="1:10" ht="14.4">
      <c r="A1415" s="196" t="s">
        <v>351</v>
      </c>
      <c r="B1415" s="197">
        <v>42447</v>
      </c>
      <c r="C1415" s="196" t="s">
        <v>595</v>
      </c>
      <c r="D1415" s="196">
        <v>105</v>
      </c>
      <c r="E1415" s="196">
        <v>103</v>
      </c>
      <c r="F1415" s="196">
        <v>105</v>
      </c>
      <c r="G1415" s="196">
        <f t="shared" si="22"/>
        <v>52.5</v>
      </c>
      <c r="H1415" s="196">
        <v>600</v>
      </c>
      <c r="I1415" s="196" t="s">
        <v>613</v>
      </c>
      <c r="J1415" s="196"/>
    </row>
    <row r="1416" spans="1:10" ht="14.4">
      <c r="A1416" s="196" t="s">
        <v>351</v>
      </c>
      <c r="B1416" s="197">
        <v>42450</v>
      </c>
      <c r="C1416" s="196" t="s">
        <v>593</v>
      </c>
      <c r="D1416" s="196">
        <v>104</v>
      </c>
      <c r="E1416" s="196">
        <v>103</v>
      </c>
      <c r="F1416" s="196">
        <v>103.4</v>
      </c>
      <c r="G1416" s="196">
        <f t="shared" si="22"/>
        <v>51.7</v>
      </c>
      <c r="H1416" s="196">
        <v>1000</v>
      </c>
      <c r="I1416" s="196" t="s">
        <v>612</v>
      </c>
      <c r="J1416" s="196"/>
    </row>
    <row r="1417" spans="1:10" ht="14.4">
      <c r="A1417" s="196" t="s">
        <v>351</v>
      </c>
      <c r="B1417" s="197">
        <v>42452</v>
      </c>
      <c r="C1417" s="196" t="s">
        <v>88</v>
      </c>
      <c r="D1417" s="196" t="s">
        <v>88</v>
      </c>
      <c r="E1417" s="196" t="s">
        <v>88</v>
      </c>
      <c r="F1417" s="196">
        <v>103.4</v>
      </c>
      <c r="G1417" s="196">
        <f t="shared" si="22"/>
        <v>51.7</v>
      </c>
      <c r="H1417" s="196">
        <v>0</v>
      </c>
      <c r="I1417" s="196" t="s">
        <v>611</v>
      </c>
      <c r="J1417" s="196"/>
    </row>
    <row r="1418" spans="1:10" ht="14.4">
      <c r="A1418" s="196" t="s">
        <v>351</v>
      </c>
      <c r="B1418" s="197">
        <v>42453</v>
      </c>
      <c r="C1418" s="196" t="s">
        <v>88</v>
      </c>
      <c r="D1418" s="196" t="s">
        <v>88</v>
      </c>
      <c r="E1418" s="196" t="s">
        <v>88</v>
      </c>
      <c r="F1418" s="196">
        <v>103.4</v>
      </c>
      <c r="G1418" s="196">
        <f t="shared" si="22"/>
        <v>51.7</v>
      </c>
      <c r="H1418" s="196">
        <v>0</v>
      </c>
      <c r="I1418" s="196" t="s">
        <v>611</v>
      </c>
      <c r="J1418" s="196"/>
    </row>
    <row r="1419" spans="1:10" ht="14.4">
      <c r="A1419" s="196" t="s">
        <v>351</v>
      </c>
      <c r="B1419" s="197">
        <v>42457</v>
      </c>
      <c r="C1419" s="196" t="s">
        <v>609</v>
      </c>
      <c r="D1419" s="196">
        <v>103.5</v>
      </c>
      <c r="E1419" s="196">
        <v>103.5</v>
      </c>
      <c r="F1419" s="196">
        <v>103.4</v>
      </c>
      <c r="G1419" s="196">
        <f t="shared" si="22"/>
        <v>51.7</v>
      </c>
      <c r="H1419" s="196">
        <v>1</v>
      </c>
      <c r="I1419" s="196" t="s">
        <v>610</v>
      </c>
      <c r="J1419" s="196"/>
    </row>
    <row r="1420" spans="1:10" ht="14.4">
      <c r="A1420" s="196" t="s">
        <v>351</v>
      </c>
      <c r="B1420" s="197">
        <v>42458</v>
      </c>
      <c r="C1420" s="196" t="s">
        <v>604</v>
      </c>
      <c r="D1420" s="196">
        <v>101</v>
      </c>
      <c r="E1420" s="196">
        <v>95.1</v>
      </c>
      <c r="F1420" s="196">
        <v>98.1</v>
      </c>
      <c r="G1420" s="196">
        <f t="shared" si="22"/>
        <v>49.05</v>
      </c>
      <c r="H1420" s="196">
        <v>19859</v>
      </c>
      <c r="I1420" s="196" t="s">
        <v>608</v>
      </c>
      <c r="J1420" s="196"/>
    </row>
    <row r="1421" spans="1:10" ht="14.4">
      <c r="A1421" s="196" t="s">
        <v>351</v>
      </c>
      <c r="B1421" s="197">
        <v>42459</v>
      </c>
      <c r="C1421" s="196" t="s">
        <v>604</v>
      </c>
      <c r="D1421" s="196">
        <v>101</v>
      </c>
      <c r="E1421" s="196">
        <v>101</v>
      </c>
      <c r="F1421" s="196">
        <v>101</v>
      </c>
      <c r="G1421" s="196">
        <f t="shared" si="22"/>
        <v>50.5</v>
      </c>
      <c r="H1421" s="196">
        <v>300</v>
      </c>
      <c r="I1421" s="196" t="s">
        <v>606</v>
      </c>
      <c r="J1421" s="196"/>
    </row>
    <row r="1422" spans="1:10" ht="14.4">
      <c r="A1422" s="196" t="s">
        <v>351</v>
      </c>
      <c r="B1422" s="197">
        <v>42460</v>
      </c>
      <c r="C1422" s="196" t="s">
        <v>604</v>
      </c>
      <c r="D1422" s="196">
        <v>101.5</v>
      </c>
      <c r="E1422" s="196">
        <v>100</v>
      </c>
      <c r="F1422" s="196">
        <v>100.9</v>
      </c>
      <c r="G1422" s="196">
        <f t="shared" si="22"/>
        <v>50.45</v>
      </c>
      <c r="H1422" s="196">
        <v>10677</v>
      </c>
      <c r="I1422" s="196" t="s">
        <v>605</v>
      </c>
      <c r="J1422" s="196"/>
    </row>
    <row r="1423" spans="1:10" s="192" customFormat="1" ht="14.4">
      <c r="A1423" s="198" t="s">
        <v>351</v>
      </c>
      <c r="B1423" s="199">
        <v>42461</v>
      </c>
      <c r="C1423" s="198" t="s">
        <v>602</v>
      </c>
      <c r="D1423" s="198">
        <v>101.5</v>
      </c>
      <c r="E1423" s="198">
        <v>100</v>
      </c>
      <c r="F1423" s="198">
        <v>100.1</v>
      </c>
      <c r="G1423" s="198">
        <f t="shared" si="22"/>
        <v>50.05</v>
      </c>
      <c r="H1423" s="198">
        <v>8985</v>
      </c>
      <c r="I1423" s="198" t="s">
        <v>603</v>
      </c>
      <c r="J1423" s="198">
        <f>AVERAGE(G1423:G1500)</f>
        <v>57.716666666666661</v>
      </c>
    </row>
    <row r="1424" spans="1:10" ht="14.4">
      <c r="A1424" s="196" t="s">
        <v>351</v>
      </c>
      <c r="B1424" s="197">
        <v>42464</v>
      </c>
      <c r="C1424" s="196" t="s">
        <v>600</v>
      </c>
      <c r="D1424" s="196">
        <v>102</v>
      </c>
      <c r="E1424" s="196">
        <v>100</v>
      </c>
      <c r="F1424" s="196">
        <v>100.5</v>
      </c>
      <c r="G1424" s="196">
        <f t="shared" si="22"/>
        <v>50.25</v>
      </c>
      <c r="H1424" s="196">
        <v>29782</v>
      </c>
      <c r="I1424" s="196" t="s">
        <v>601</v>
      </c>
      <c r="J1424" s="196"/>
    </row>
    <row r="1425" spans="1:10" ht="14.4">
      <c r="A1425" s="196" t="s">
        <v>351</v>
      </c>
      <c r="B1425" s="197">
        <v>42465</v>
      </c>
      <c r="C1425" s="196" t="s">
        <v>598</v>
      </c>
      <c r="D1425" s="196">
        <v>103.8</v>
      </c>
      <c r="E1425" s="196">
        <v>102.9</v>
      </c>
      <c r="F1425" s="196">
        <v>103</v>
      </c>
      <c r="G1425" s="196">
        <f t="shared" si="22"/>
        <v>51.5</v>
      </c>
      <c r="H1425" s="196">
        <v>10726</v>
      </c>
      <c r="I1425" s="196" t="s">
        <v>599</v>
      </c>
      <c r="J1425" s="196"/>
    </row>
    <row r="1426" spans="1:10" ht="14.4">
      <c r="A1426" s="196" t="s">
        <v>351</v>
      </c>
      <c r="B1426" s="197">
        <v>42466</v>
      </c>
      <c r="C1426" s="196" t="s">
        <v>595</v>
      </c>
      <c r="D1426" s="196">
        <v>103.9</v>
      </c>
      <c r="E1426" s="196">
        <v>102.8</v>
      </c>
      <c r="F1426" s="196">
        <v>103.3</v>
      </c>
      <c r="G1426" s="196">
        <f t="shared" si="22"/>
        <v>51.65</v>
      </c>
      <c r="H1426" s="196">
        <v>5144</v>
      </c>
      <c r="I1426" s="196" t="s">
        <v>597</v>
      </c>
      <c r="J1426" s="196"/>
    </row>
    <row r="1427" spans="1:10" ht="14.4">
      <c r="A1427" s="196" t="s">
        <v>351</v>
      </c>
      <c r="B1427" s="197">
        <v>42467</v>
      </c>
      <c r="C1427" s="196" t="s">
        <v>593</v>
      </c>
      <c r="D1427" s="196">
        <v>108</v>
      </c>
      <c r="E1427" s="196">
        <v>103.1</v>
      </c>
      <c r="F1427" s="196">
        <v>104.9</v>
      </c>
      <c r="G1427" s="196">
        <f t="shared" si="22"/>
        <v>52.45</v>
      </c>
      <c r="H1427" s="196">
        <v>61405</v>
      </c>
      <c r="I1427" s="196" t="s">
        <v>594</v>
      </c>
      <c r="J1427" s="196"/>
    </row>
    <row r="1428" spans="1:10" ht="14.4">
      <c r="A1428" s="196" t="s">
        <v>351</v>
      </c>
      <c r="B1428" s="197">
        <v>42468</v>
      </c>
      <c r="C1428" s="196" t="s">
        <v>591</v>
      </c>
      <c r="D1428" s="196">
        <v>108</v>
      </c>
      <c r="E1428" s="196">
        <v>106.2</v>
      </c>
      <c r="F1428" s="196">
        <v>107.2</v>
      </c>
      <c r="G1428" s="196">
        <f t="shared" si="22"/>
        <v>53.6</v>
      </c>
      <c r="H1428" s="196">
        <v>3667</v>
      </c>
      <c r="I1428" s="196" t="s">
        <v>592</v>
      </c>
      <c r="J1428" s="196"/>
    </row>
    <row r="1429" spans="1:10" ht="14.4">
      <c r="A1429" s="196" t="s">
        <v>351</v>
      </c>
      <c r="B1429" s="197">
        <v>42471</v>
      </c>
      <c r="C1429" s="196" t="s">
        <v>587</v>
      </c>
      <c r="D1429" s="196">
        <v>106.9</v>
      </c>
      <c r="E1429" s="196">
        <v>102</v>
      </c>
      <c r="F1429" s="196">
        <v>106.9</v>
      </c>
      <c r="G1429" s="196">
        <f t="shared" si="22"/>
        <v>53.45</v>
      </c>
      <c r="H1429" s="196">
        <v>1481</v>
      </c>
      <c r="I1429" s="196" t="s">
        <v>590</v>
      </c>
      <c r="J1429" s="196"/>
    </row>
    <row r="1430" spans="1:10" ht="14.4">
      <c r="A1430" s="196" t="s">
        <v>351</v>
      </c>
      <c r="B1430" s="197">
        <v>42472</v>
      </c>
      <c r="C1430" s="196" t="s">
        <v>580</v>
      </c>
      <c r="D1430" s="196">
        <v>107.1</v>
      </c>
      <c r="E1430" s="196">
        <v>105.2</v>
      </c>
      <c r="F1430" s="196">
        <v>107</v>
      </c>
      <c r="G1430" s="196">
        <f t="shared" si="22"/>
        <v>53.5</v>
      </c>
      <c r="H1430" s="196">
        <v>4994</v>
      </c>
      <c r="I1430" s="196" t="s">
        <v>588</v>
      </c>
      <c r="J1430" s="196"/>
    </row>
    <row r="1431" spans="1:10" ht="14.4">
      <c r="A1431" s="196" t="s">
        <v>351</v>
      </c>
      <c r="B1431" s="197">
        <v>42475</v>
      </c>
      <c r="C1431" s="196" t="s">
        <v>585</v>
      </c>
      <c r="D1431" s="196">
        <v>107.6</v>
      </c>
      <c r="E1431" s="196">
        <v>106.1</v>
      </c>
      <c r="F1431" s="196">
        <v>106.8</v>
      </c>
      <c r="G1431" s="196">
        <f t="shared" si="22"/>
        <v>53.4</v>
      </c>
      <c r="H1431" s="196">
        <v>10275</v>
      </c>
      <c r="I1431" s="196" t="s">
        <v>586</v>
      </c>
      <c r="J1431" s="196"/>
    </row>
    <row r="1432" spans="1:10" ht="14.4">
      <c r="A1432" s="196" t="s">
        <v>351</v>
      </c>
      <c r="B1432" s="197">
        <v>42478</v>
      </c>
      <c r="C1432" s="196" t="s">
        <v>583</v>
      </c>
      <c r="D1432" s="196">
        <v>107.4</v>
      </c>
      <c r="E1432" s="196">
        <v>106.1</v>
      </c>
      <c r="F1432" s="196">
        <v>107.4</v>
      </c>
      <c r="G1432" s="196">
        <f t="shared" si="22"/>
        <v>53.7</v>
      </c>
      <c r="H1432" s="196">
        <v>4850</v>
      </c>
      <c r="I1432" s="196" t="s">
        <v>584</v>
      </c>
      <c r="J1432" s="196"/>
    </row>
    <row r="1433" spans="1:10" ht="14.4">
      <c r="A1433" s="196" t="s">
        <v>351</v>
      </c>
      <c r="B1433" s="197">
        <v>42479</v>
      </c>
      <c r="C1433" s="196" t="s">
        <v>578</v>
      </c>
      <c r="D1433" s="196">
        <v>108.5</v>
      </c>
      <c r="E1433" s="196">
        <v>106.4</v>
      </c>
      <c r="F1433" s="196">
        <v>107</v>
      </c>
      <c r="G1433" s="196">
        <f t="shared" si="22"/>
        <v>53.5</v>
      </c>
      <c r="H1433" s="196">
        <v>6830</v>
      </c>
      <c r="I1433" s="196" t="s">
        <v>582</v>
      </c>
      <c r="J1433" s="196"/>
    </row>
    <row r="1434" spans="1:10" ht="14.4">
      <c r="A1434" s="196" t="s">
        <v>351</v>
      </c>
      <c r="B1434" s="197">
        <v>42480</v>
      </c>
      <c r="C1434" s="196" t="s">
        <v>580</v>
      </c>
      <c r="D1434" s="196">
        <v>108.7</v>
      </c>
      <c r="E1434" s="196">
        <v>106.4</v>
      </c>
      <c r="F1434" s="196">
        <v>108.5</v>
      </c>
      <c r="G1434" s="196">
        <f t="shared" si="22"/>
        <v>54.25</v>
      </c>
      <c r="H1434" s="196">
        <v>11768</v>
      </c>
      <c r="I1434" s="196" t="s">
        <v>581</v>
      </c>
      <c r="J1434" s="196"/>
    </row>
    <row r="1435" spans="1:10" ht="14.4">
      <c r="A1435" s="196" t="s">
        <v>351</v>
      </c>
      <c r="B1435" s="197">
        <v>42482</v>
      </c>
      <c r="C1435" s="196" t="s">
        <v>578</v>
      </c>
      <c r="D1435" s="196">
        <v>114</v>
      </c>
      <c r="E1435" s="196">
        <v>108.3</v>
      </c>
      <c r="F1435" s="196">
        <v>112.4</v>
      </c>
      <c r="G1435" s="196">
        <f t="shared" si="22"/>
        <v>56.2</v>
      </c>
      <c r="H1435" s="196">
        <v>18749</v>
      </c>
      <c r="I1435" s="196" t="s">
        <v>579</v>
      </c>
      <c r="J1435" s="196"/>
    </row>
    <row r="1436" spans="1:10" ht="14.4">
      <c r="A1436" s="196" t="s">
        <v>351</v>
      </c>
      <c r="B1436" s="197">
        <v>42485</v>
      </c>
      <c r="C1436" s="196" t="s">
        <v>576</v>
      </c>
      <c r="D1436" s="196">
        <v>113</v>
      </c>
      <c r="E1436" s="196">
        <v>109.2</v>
      </c>
      <c r="F1436" s="196">
        <v>112</v>
      </c>
      <c r="G1436" s="196">
        <f t="shared" si="22"/>
        <v>56</v>
      </c>
      <c r="H1436" s="196">
        <v>11770</v>
      </c>
      <c r="I1436" s="196" t="s">
        <v>577</v>
      </c>
      <c r="J1436" s="196"/>
    </row>
    <row r="1437" spans="1:10" ht="14.4">
      <c r="A1437" s="196" t="s">
        <v>351</v>
      </c>
      <c r="B1437" s="197">
        <v>42486</v>
      </c>
      <c r="C1437" s="196" t="s">
        <v>574</v>
      </c>
      <c r="D1437" s="196">
        <v>112.9</v>
      </c>
      <c r="E1437" s="196">
        <v>109.1</v>
      </c>
      <c r="F1437" s="196">
        <v>112.9</v>
      </c>
      <c r="G1437" s="196">
        <f t="shared" si="22"/>
        <v>56.45</v>
      </c>
      <c r="H1437" s="196">
        <v>2020</v>
      </c>
      <c r="I1437" s="196" t="s">
        <v>575</v>
      </c>
      <c r="J1437" s="196"/>
    </row>
    <row r="1438" spans="1:10" ht="14.4">
      <c r="A1438" s="196" t="s">
        <v>351</v>
      </c>
      <c r="B1438" s="197">
        <v>42487</v>
      </c>
      <c r="C1438" s="196" t="s">
        <v>572</v>
      </c>
      <c r="D1438" s="196">
        <v>113</v>
      </c>
      <c r="E1438" s="196">
        <v>112.8</v>
      </c>
      <c r="F1438" s="196">
        <v>112.9</v>
      </c>
      <c r="G1438" s="196">
        <f t="shared" si="22"/>
        <v>56.45</v>
      </c>
      <c r="H1438" s="196">
        <v>1554</v>
      </c>
      <c r="I1438" s="196" t="s">
        <v>573</v>
      </c>
      <c r="J1438" s="196"/>
    </row>
    <row r="1439" spans="1:10" ht="14.4">
      <c r="A1439" s="196" t="s">
        <v>351</v>
      </c>
      <c r="B1439" s="197">
        <v>42488</v>
      </c>
      <c r="C1439" s="196" t="s">
        <v>558</v>
      </c>
      <c r="D1439" s="196">
        <v>113.9</v>
      </c>
      <c r="E1439" s="196">
        <v>109.2</v>
      </c>
      <c r="F1439" s="196">
        <v>113.2</v>
      </c>
      <c r="G1439" s="196">
        <f t="shared" si="22"/>
        <v>56.6</v>
      </c>
      <c r="H1439" s="196">
        <v>7009</v>
      </c>
      <c r="I1439" s="196" t="s">
        <v>571</v>
      </c>
      <c r="J1439" s="196"/>
    </row>
    <row r="1440" spans="1:10" ht="14.4">
      <c r="A1440" s="196" t="s">
        <v>351</v>
      </c>
      <c r="B1440" s="197">
        <v>42489</v>
      </c>
      <c r="C1440" s="196" t="s">
        <v>569</v>
      </c>
      <c r="D1440" s="196">
        <v>114</v>
      </c>
      <c r="E1440" s="196">
        <v>109.2</v>
      </c>
      <c r="F1440" s="196">
        <v>113</v>
      </c>
      <c r="G1440" s="196">
        <f t="shared" si="22"/>
        <v>56.5</v>
      </c>
      <c r="H1440" s="196">
        <v>46324</v>
      </c>
      <c r="I1440" s="196" t="s">
        <v>570</v>
      </c>
      <c r="J1440" s="196"/>
    </row>
    <row r="1441" spans="1:10" ht="14.4">
      <c r="A1441" s="196" t="s">
        <v>351</v>
      </c>
      <c r="B1441" s="197">
        <v>42493</v>
      </c>
      <c r="C1441" s="196" t="s">
        <v>567</v>
      </c>
      <c r="D1441" s="196">
        <v>113.9</v>
      </c>
      <c r="E1441" s="196">
        <v>112.7</v>
      </c>
      <c r="F1441" s="196">
        <v>113</v>
      </c>
      <c r="G1441" s="196">
        <f t="shared" si="22"/>
        <v>56.5</v>
      </c>
      <c r="H1441" s="196">
        <v>9111</v>
      </c>
      <c r="I1441" s="196" t="s">
        <v>568</v>
      </c>
      <c r="J1441" s="196"/>
    </row>
    <row r="1442" spans="1:10" ht="14.4">
      <c r="A1442" s="196" t="s">
        <v>351</v>
      </c>
      <c r="B1442" s="197">
        <v>42494</v>
      </c>
      <c r="C1442" s="196" t="s">
        <v>565</v>
      </c>
      <c r="D1442" s="196">
        <v>113.9</v>
      </c>
      <c r="E1442" s="196">
        <v>113</v>
      </c>
      <c r="F1442" s="196">
        <v>113</v>
      </c>
      <c r="G1442" s="196">
        <f t="shared" si="22"/>
        <v>56.5</v>
      </c>
      <c r="H1442" s="196">
        <v>24919</v>
      </c>
      <c r="I1442" s="196" t="s">
        <v>566</v>
      </c>
      <c r="J1442" s="196"/>
    </row>
    <row r="1443" spans="1:10" ht="14.4">
      <c r="A1443" s="196" t="s">
        <v>351</v>
      </c>
      <c r="B1443" s="197">
        <v>42495</v>
      </c>
      <c r="C1443" s="196" t="s">
        <v>562</v>
      </c>
      <c r="D1443" s="196">
        <v>112.6</v>
      </c>
      <c r="E1443" s="196">
        <v>112.5</v>
      </c>
      <c r="F1443" s="196">
        <v>112.5</v>
      </c>
      <c r="G1443" s="196">
        <f t="shared" si="22"/>
        <v>56.25</v>
      </c>
      <c r="H1443" s="196">
        <v>525</v>
      </c>
      <c r="I1443" s="196" t="s">
        <v>564</v>
      </c>
      <c r="J1443" s="196"/>
    </row>
    <row r="1444" spans="1:10" ht="14.4">
      <c r="A1444" s="196" t="s">
        <v>351</v>
      </c>
      <c r="B1444" s="197">
        <v>42496</v>
      </c>
      <c r="C1444" s="196" t="s">
        <v>558</v>
      </c>
      <c r="D1444" s="196">
        <v>113.5</v>
      </c>
      <c r="E1444" s="196">
        <v>112</v>
      </c>
      <c r="F1444" s="196">
        <v>113</v>
      </c>
      <c r="G1444" s="196">
        <f t="shared" si="22"/>
        <v>56.5</v>
      </c>
      <c r="H1444" s="196">
        <v>7696</v>
      </c>
      <c r="I1444" s="196" t="s">
        <v>561</v>
      </c>
      <c r="J1444" s="196"/>
    </row>
    <row r="1445" spans="1:10" ht="14.4">
      <c r="A1445" s="196" t="s">
        <v>351</v>
      </c>
      <c r="B1445" s="197">
        <v>42499</v>
      </c>
      <c r="C1445" s="196" t="s">
        <v>558</v>
      </c>
      <c r="D1445" s="196">
        <v>113</v>
      </c>
      <c r="E1445" s="196">
        <v>111</v>
      </c>
      <c r="F1445" s="196">
        <v>111.2</v>
      </c>
      <c r="G1445" s="196">
        <f t="shared" si="22"/>
        <v>55.6</v>
      </c>
      <c r="H1445" s="196">
        <v>7300</v>
      </c>
      <c r="I1445" s="196" t="s">
        <v>560</v>
      </c>
      <c r="J1445" s="196"/>
    </row>
    <row r="1446" spans="1:10" ht="14.4">
      <c r="A1446" s="196" t="s">
        <v>351</v>
      </c>
      <c r="B1446" s="197">
        <v>42500</v>
      </c>
      <c r="C1446" s="196" t="s">
        <v>489</v>
      </c>
      <c r="D1446" s="196">
        <v>114</v>
      </c>
      <c r="E1446" s="196">
        <v>113</v>
      </c>
      <c r="F1446" s="196">
        <v>113.8</v>
      </c>
      <c r="G1446" s="196">
        <f t="shared" si="22"/>
        <v>56.9</v>
      </c>
      <c r="H1446" s="196">
        <v>60801</v>
      </c>
      <c r="I1446" s="196" t="s">
        <v>557</v>
      </c>
      <c r="J1446" s="196"/>
    </row>
    <row r="1447" spans="1:10" ht="14.4">
      <c r="A1447" s="196" t="s">
        <v>351</v>
      </c>
      <c r="B1447" s="197">
        <v>42501</v>
      </c>
      <c r="C1447" s="196" t="s">
        <v>494</v>
      </c>
      <c r="D1447" s="196">
        <v>117</v>
      </c>
      <c r="E1447" s="196">
        <v>113.5</v>
      </c>
      <c r="F1447" s="196">
        <v>117</v>
      </c>
      <c r="G1447" s="196">
        <f t="shared" si="22"/>
        <v>58.5</v>
      </c>
      <c r="H1447" s="196">
        <v>586853</v>
      </c>
      <c r="I1447" s="196" t="s">
        <v>556</v>
      </c>
      <c r="J1447" s="196"/>
    </row>
    <row r="1448" spans="1:10" ht="14.4">
      <c r="A1448" s="196" t="s">
        <v>351</v>
      </c>
      <c r="B1448" s="197">
        <v>42502</v>
      </c>
      <c r="C1448" s="196" t="s">
        <v>538</v>
      </c>
      <c r="D1448" s="196">
        <v>127</v>
      </c>
      <c r="E1448" s="196">
        <v>122</v>
      </c>
      <c r="F1448" s="196">
        <v>123.9</v>
      </c>
      <c r="G1448" s="196">
        <f t="shared" si="22"/>
        <v>61.95</v>
      </c>
      <c r="H1448" s="196">
        <v>639822</v>
      </c>
      <c r="I1448" s="196" t="s">
        <v>555</v>
      </c>
      <c r="J1448" s="196"/>
    </row>
    <row r="1449" spans="1:10" ht="14.4">
      <c r="A1449" s="196" t="s">
        <v>351</v>
      </c>
      <c r="B1449" s="197">
        <v>42503</v>
      </c>
      <c r="C1449" s="196" t="s">
        <v>546</v>
      </c>
      <c r="D1449" s="196">
        <v>125.4</v>
      </c>
      <c r="E1449" s="196">
        <v>124</v>
      </c>
      <c r="F1449" s="196">
        <v>124.4</v>
      </c>
      <c r="G1449" s="196">
        <f t="shared" si="22"/>
        <v>62.2</v>
      </c>
      <c r="H1449" s="196">
        <v>80065</v>
      </c>
      <c r="I1449" s="196" t="s">
        <v>554</v>
      </c>
      <c r="J1449" s="196"/>
    </row>
    <row r="1450" spans="1:10" ht="14.4">
      <c r="A1450" s="196" t="s">
        <v>351</v>
      </c>
      <c r="B1450" s="197">
        <v>42506</v>
      </c>
      <c r="C1450" s="196" t="s">
        <v>552</v>
      </c>
      <c r="D1450" s="196">
        <v>125.9</v>
      </c>
      <c r="E1450" s="196">
        <v>123.9</v>
      </c>
      <c r="F1450" s="196">
        <v>123.9</v>
      </c>
      <c r="G1450" s="196">
        <f t="shared" si="22"/>
        <v>61.95</v>
      </c>
      <c r="H1450" s="196">
        <v>35005</v>
      </c>
      <c r="I1450" s="196" t="s">
        <v>553</v>
      </c>
      <c r="J1450" s="196"/>
    </row>
    <row r="1451" spans="1:10" ht="14.4">
      <c r="A1451" s="196" t="s">
        <v>351</v>
      </c>
      <c r="B1451" s="197">
        <v>42507</v>
      </c>
      <c r="C1451" s="196" t="s">
        <v>550</v>
      </c>
      <c r="D1451" s="196">
        <v>124.2</v>
      </c>
      <c r="E1451" s="196">
        <v>121</v>
      </c>
      <c r="F1451" s="196">
        <v>122.9</v>
      </c>
      <c r="G1451" s="196">
        <f t="shared" si="22"/>
        <v>61.45</v>
      </c>
      <c r="H1451" s="196">
        <v>57533</v>
      </c>
      <c r="I1451" s="196" t="s">
        <v>551</v>
      </c>
      <c r="J1451" s="196"/>
    </row>
    <row r="1452" spans="1:10" ht="14.4">
      <c r="A1452" s="196" t="s">
        <v>351</v>
      </c>
      <c r="B1452" s="197">
        <v>42508</v>
      </c>
      <c r="C1452" s="196" t="s">
        <v>548</v>
      </c>
      <c r="D1452" s="196">
        <v>125</v>
      </c>
      <c r="E1452" s="196">
        <v>122.7</v>
      </c>
      <c r="F1452" s="196">
        <v>123</v>
      </c>
      <c r="G1452" s="196">
        <f t="shared" si="22"/>
        <v>61.5</v>
      </c>
      <c r="H1452" s="196">
        <v>245994</v>
      </c>
      <c r="I1452" s="196" t="s">
        <v>549</v>
      </c>
      <c r="J1452" s="196"/>
    </row>
    <row r="1453" spans="1:10" ht="14.4">
      <c r="A1453" s="196" t="s">
        <v>351</v>
      </c>
      <c r="B1453" s="197">
        <v>42509</v>
      </c>
      <c r="C1453" s="196" t="s">
        <v>545</v>
      </c>
      <c r="D1453" s="196">
        <v>124.4</v>
      </c>
      <c r="E1453" s="196">
        <v>124</v>
      </c>
      <c r="F1453" s="196">
        <v>124.2</v>
      </c>
      <c r="G1453" s="196">
        <f t="shared" si="22"/>
        <v>62.1</v>
      </c>
      <c r="H1453" s="196">
        <v>15790</v>
      </c>
      <c r="I1453" s="196" t="s">
        <v>547</v>
      </c>
      <c r="J1453" s="196"/>
    </row>
    <row r="1454" spans="1:10" ht="14.4">
      <c r="A1454" s="196" t="s">
        <v>351</v>
      </c>
      <c r="B1454" s="197">
        <v>42510</v>
      </c>
      <c r="C1454" s="196" t="s">
        <v>538</v>
      </c>
      <c r="D1454" s="196">
        <v>124.4</v>
      </c>
      <c r="E1454" s="196">
        <v>123</v>
      </c>
      <c r="F1454" s="196">
        <v>123.6</v>
      </c>
      <c r="G1454" s="196">
        <f t="shared" si="22"/>
        <v>61.8</v>
      </c>
      <c r="H1454" s="196">
        <v>15805</v>
      </c>
      <c r="I1454" s="196" t="s">
        <v>544</v>
      </c>
      <c r="J1454" s="196"/>
    </row>
    <row r="1455" spans="1:10" ht="14.4">
      <c r="A1455" s="196" t="s">
        <v>351</v>
      </c>
      <c r="B1455" s="197">
        <v>42514</v>
      </c>
      <c r="C1455" s="196" t="s">
        <v>541</v>
      </c>
      <c r="D1455" s="196">
        <v>122.8</v>
      </c>
      <c r="E1455" s="196">
        <v>122</v>
      </c>
      <c r="F1455" s="196">
        <v>122.4</v>
      </c>
      <c r="G1455" s="196">
        <f t="shared" si="22"/>
        <v>61.2</v>
      </c>
      <c r="H1455" s="196">
        <v>3913</v>
      </c>
      <c r="I1455" s="196" t="s">
        <v>543</v>
      </c>
      <c r="J1455" s="196"/>
    </row>
    <row r="1456" spans="1:10" ht="14.4">
      <c r="A1456" s="196" t="s">
        <v>351</v>
      </c>
      <c r="B1456" s="197">
        <v>42515</v>
      </c>
      <c r="C1456" s="196" t="s">
        <v>538</v>
      </c>
      <c r="D1456" s="196">
        <v>123</v>
      </c>
      <c r="E1456" s="196">
        <v>121.1</v>
      </c>
      <c r="F1456" s="196">
        <v>122.3</v>
      </c>
      <c r="G1456" s="196">
        <f t="shared" si="22"/>
        <v>61.15</v>
      </c>
      <c r="H1456" s="196">
        <v>15100</v>
      </c>
      <c r="I1456" s="196" t="s">
        <v>540</v>
      </c>
      <c r="J1456" s="196"/>
    </row>
    <row r="1457" spans="1:10" ht="14.4">
      <c r="A1457" s="196" t="s">
        <v>351</v>
      </c>
      <c r="B1457" s="197">
        <v>42516</v>
      </c>
      <c r="C1457" s="196" t="s">
        <v>536</v>
      </c>
      <c r="D1457" s="196">
        <v>122.4</v>
      </c>
      <c r="E1457" s="196">
        <v>121</v>
      </c>
      <c r="F1457" s="196">
        <v>121.6</v>
      </c>
      <c r="G1457" s="196">
        <f t="shared" si="22"/>
        <v>60.8</v>
      </c>
      <c r="H1457" s="196">
        <v>22083</v>
      </c>
      <c r="I1457" s="196" t="s">
        <v>537</v>
      </c>
      <c r="J1457" s="196"/>
    </row>
    <row r="1458" spans="1:10" ht="14.4">
      <c r="A1458" s="196" t="s">
        <v>351</v>
      </c>
      <c r="B1458" s="197">
        <v>42517</v>
      </c>
      <c r="C1458" s="196" t="s">
        <v>534</v>
      </c>
      <c r="D1458" s="196">
        <v>122.5</v>
      </c>
      <c r="E1458" s="196">
        <v>120.5</v>
      </c>
      <c r="F1458" s="196">
        <v>121.8</v>
      </c>
      <c r="G1458" s="196">
        <f t="shared" ref="G1458:G1479" si="23">F1458/2</f>
        <v>60.9</v>
      </c>
      <c r="H1458" s="196">
        <v>3411</v>
      </c>
      <c r="I1458" s="196" t="s">
        <v>535</v>
      </c>
      <c r="J1458" s="196"/>
    </row>
    <row r="1459" spans="1:10" ht="14.4">
      <c r="A1459" s="196" t="s">
        <v>351</v>
      </c>
      <c r="B1459" s="197">
        <v>42520</v>
      </c>
      <c r="C1459" s="196" t="s">
        <v>532</v>
      </c>
      <c r="D1459" s="196">
        <v>121.2</v>
      </c>
      <c r="E1459" s="196">
        <v>118</v>
      </c>
      <c r="F1459" s="196">
        <v>119.2</v>
      </c>
      <c r="G1459" s="196">
        <f t="shared" si="23"/>
        <v>59.6</v>
      </c>
      <c r="H1459" s="196">
        <v>16211</v>
      </c>
      <c r="I1459" s="196" t="s">
        <v>533</v>
      </c>
      <c r="J1459" s="196"/>
    </row>
    <row r="1460" spans="1:10" ht="14.4">
      <c r="A1460" s="196" t="s">
        <v>351</v>
      </c>
      <c r="B1460" s="197">
        <v>42521</v>
      </c>
      <c r="C1460" s="196" t="s">
        <v>515</v>
      </c>
      <c r="D1460" s="196">
        <v>118.5</v>
      </c>
      <c r="E1460" s="196">
        <v>116</v>
      </c>
      <c r="F1460" s="196">
        <v>117.7</v>
      </c>
      <c r="G1460" s="196">
        <f t="shared" si="23"/>
        <v>58.85</v>
      </c>
      <c r="H1460" s="196">
        <v>21799</v>
      </c>
      <c r="I1460" s="196" t="s">
        <v>531</v>
      </c>
      <c r="J1460" s="196"/>
    </row>
    <row r="1461" spans="1:10" ht="14.4">
      <c r="A1461" s="196" t="s">
        <v>351</v>
      </c>
      <c r="B1461" s="197">
        <v>42522</v>
      </c>
      <c r="C1461" s="196" t="s">
        <v>517</v>
      </c>
      <c r="D1461" s="196">
        <v>119</v>
      </c>
      <c r="E1461" s="196">
        <v>117</v>
      </c>
      <c r="F1461" s="196">
        <v>118.8</v>
      </c>
      <c r="G1461" s="196">
        <f t="shared" si="23"/>
        <v>59.4</v>
      </c>
      <c r="H1461" s="196">
        <v>5554</v>
      </c>
      <c r="I1461" s="196" t="s">
        <v>530</v>
      </c>
      <c r="J1461" s="196"/>
    </row>
    <row r="1462" spans="1:10" ht="14.4">
      <c r="A1462" s="196" t="s">
        <v>351</v>
      </c>
      <c r="B1462" s="197">
        <v>42523</v>
      </c>
      <c r="C1462" s="196" t="s">
        <v>517</v>
      </c>
      <c r="D1462" s="196">
        <v>122</v>
      </c>
      <c r="E1462" s="196">
        <v>117.5</v>
      </c>
      <c r="F1462" s="196">
        <v>118.9</v>
      </c>
      <c r="G1462" s="196">
        <f t="shared" si="23"/>
        <v>59.45</v>
      </c>
      <c r="H1462" s="196">
        <v>3976</v>
      </c>
      <c r="I1462" s="196" t="s">
        <v>529</v>
      </c>
      <c r="J1462" s="196"/>
    </row>
    <row r="1463" spans="1:10" ht="14.4">
      <c r="A1463" s="196" t="s">
        <v>351</v>
      </c>
      <c r="B1463" s="197">
        <v>42524</v>
      </c>
      <c r="C1463" s="196" t="s">
        <v>527</v>
      </c>
      <c r="D1463" s="196">
        <v>121</v>
      </c>
      <c r="E1463" s="196">
        <v>117.5</v>
      </c>
      <c r="F1463" s="196">
        <v>117.5</v>
      </c>
      <c r="G1463" s="196">
        <f t="shared" si="23"/>
        <v>58.75</v>
      </c>
      <c r="H1463" s="196">
        <v>9606</v>
      </c>
      <c r="I1463" s="196" t="s">
        <v>528</v>
      </c>
      <c r="J1463" s="196"/>
    </row>
    <row r="1464" spans="1:10" ht="14.4">
      <c r="A1464" s="196" t="s">
        <v>351</v>
      </c>
      <c r="B1464" s="197">
        <v>42527</v>
      </c>
      <c r="C1464" s="196" t="s">
        <v>524</v>
      </c>
      <c r="D1464" s="196">
        <v>120.2</v>
      </c>
      <c r="E1464" s="196">
        <v>119.5</v>
      </c>
      <c r="F1464" s="196">
        <v>120</v>
      </c>
      <c r="G1464" s="196">
        <f t="shared" si="23"/>
        <v>60</v>
      </c>
      <c r="H1464" s="196">
        <v>593</v>
      </c>
      <c r="I1464" s="196" t="s">
        <v>526</v>
      </c>
      <c r="J1464" s="196"/>
    </row>
    <row r="1465" spans="1:10" ht="14.4">
      <c r="A1465" s="196" t="s">
        <v>351</v>
      </c>
      <c r="B1465" s="197">
        <v>42528</v>
      </c>
      <c r="C1465" s="196" t="s">
        <v>521</v>
      </c>
      <c r="D1465" s="196">
        <v>119.8</v>
      </c>
      <c r="E1465" s="196">
        <v>118.1</v>
      </c>
      <c r="F1465" s="196">
        <v>119</v>
      </c>
      <c r="G1465" s="196">
        <f t="shared" si="23"/>
        <v>59.5</v>
      </c>
      <c r="H1465" s="196">
        <v>5268</v>
      </c>
      <c r="I1465" s="196" t="s">
        <v>523</v>
      </c>
      <c r="J1465" s="196"/>
    </row>
    <row r="1466" spans="1:10" ht="14.4">
      <c r="A1466" s="196" t="s">
        <v>351</v>
      </c>
      <c r="B1466" s="197">
        <v>42529</v>
      </c>
      <c r="C1466" s="196" t="s">
        <v>519</v>
      </c>
      <c r="D1466" s="196">
        <v>119</v>
      </c>
      <c r="E1466" s="196">
        <v>118</v>
      </c>
      <c r="F1466" s="196">
        <v>119</v>
      </c>
      <c r="G1466" s="196">
        <f t="shared" si="23"/>
        <v>59.5</v>
      </c>
      <c r="H1466" s="196">
        <v>12585</v>
      </c>
      <c r="I1466" s="196" t="s">
        <v>520</v>
      </c>
      <c r="J1466" s="196"/>
    </row>
    <row r="1467" spans="1:10" ht="14.4">
      <c r="A1467" s="196" t="s">
        <v>351</v>
      </c>
      <c r="B1467" s="197">
        <v>42530</v>
      </c>
      <c r="C1467" s="196" t="s">
        <v>517</v>
      </c>
      <c r="D1467" s="196">
        <v>119.9</v>
      </c>
      <c r="E1467" s="196">
        <v>118</v>
      </c>
      <c r="F1467" s="196">
        <v>118</v>
      </c>
      <c r="G1467" s="196">
        <f t="shared" si="23"/>
        <v>59</v>
      </c>
      <c r="H1467" s="196">
        <v>1285</v>
      </c>
      <c r="I1467" s="196" t="s">
        <v>518</v>
      </c>
      <c r="J1467" s="196"/>
    </row>
    <row r="1468" spans="1:10" ht="14.4">
      <c r="A1468" s="196" t="s">
        <v>351</v>
      </c>
      <c r="B1468" s="197">
        <v>42531</v>
      </c>
      <c r="C1468" s="196" t="s">
        <v>514</v>
      </c>
      <c r="D1468" s="196">
        <v>120</v>
      </c>
      <c r="E1468" s="196">
        <v>118</v>
      </c>
      <c r="F1468" s="196">
        <v>119</v>
      </c>
      <c r="G1468" s="196">
        <f t="shared" si="23"/>
        <v>59.5</v>
      </c>
      <c r="H1468" s="196">
        <v>2550</v>
      </c>
      <c r="I1468" s="196" t="s">
        <v>516</v>
      </c>
      <c r="J1468" s="196"/>
    </row>
    <row r="1469" spans="1:10" ht="14.4">
      <c r="A1469" s="196" t="s">
        <v>351</v>
      </c>
      <c r="B1469" s="197">
        <v>42534</v>
      </c>
      <c r="C1469" s="196" t="s">
        <v>511</v>
      </c>
      <c r="D1469" s="196">
        <v>119</v>
      </c>
      <c r="E1469" s="196">
        <v>117</v>
      </c>
      <c r="F1469" s="196">
        <v>118.3</v>
      </c>
      <c r="G1469" s="196">
        <f t="shared" si="23"/>
        <v>59.15</v>
      </c>
      <c r="H1469" s="196">
        <v>92616</v>
      </c>
      <c r="I1469" s="196" t="s">
        <v>513</v>
      </c>
      <c r="J1469" s="196"/>
    </row>
    <row r="1470" spans="1:10" ht="14.4">
      <c r="A1470" s="196" t="s">
        <v>351</v>
      </c>
      <c r="B1470" s="197">
        <v>42535</v>
      </c>
      <c r="C1470" s="196" t="s">
        <v>508</v>
      </c>
      <c r="D1470" s="196">
        <v>118.5</v>
      </c>
      <c r="E1470" s="196">
        <v>117.1</v>
      </c>
      <c r="F1470" s="196">
        <v>117.6</v>
      </c>
      <c r="G1470" s="196">
        <f t="shared" si="23"/>
        <v>58.8</v>
      </c>
      <c r="H1470" s="196">
        <v>11440</v>
      </c>
      <c r="I1470" s="196" t="s">
        <v>510</v>
      </c>
      <c r="J1470" s="196"/>
    </row>
    <row r="1471" spans="1:10" ht="14.4">
      <c r="A1471" s="196" t="s">
        <v>351</v>
      </c>
      <c r="B1471" s="197">
        <v>42536</v>
      </c>
      <c r="C1471" s="196" t="s">
        <v>496</v>
      </c>
      <c r="D1471" s="196">
        <v>119</v>
      </c>
      <c r="E1471" s="196">
        <v>116.5</v>
      </c>
      <c r="F1471" s="196">
        <v>117.3</v>
      </c>
      <c r="G1471" s="196">
        <f t="shared" si="23"/>
        <v>58.65</v>
      </c>
      <c r="H1471" s="196">
        <v>6451</v>
      </c>
      <c r="I1471" s="196" t="s">
        <v>507</v>
      </c>
      <c r="J1471" s="196"/>
    </row>
    <row r="1472" spans="1:10" ht="14.4">
      <c r="A1472" s="196" t="s">
        <v>351</v>
      </c>
      <c r="B1472" s="197">
        <v>42537</v>
      </c>
      <c r="C1472" s="196" t="s">
        <v>505</v>
      </c>
      <c r="D1472" s="196">
        <v>116.6</v>
      </c>
      <c r="E1472" s="196">
        <v>115</v>
      </c>
      <c r="F1472" s="196">
        <v>115.6</v>
      </c>
      <c r="G1472" s="196">
        <f t="shared" si="23"/>
        <v>57.8</v>
      </c>
      <c r="H1472" s="196">
        <v>15480</v>
      </c>
      <c r="I1472" s="196" t="s">
        <v>506</v>
      </c>
      <c r="J1472" s="196"/>
    </row>
    <row r="1473" spans="1:10" ht="14.4">
      <c r="A1473" s="196" t="s">
        <v>351</v>
      </c>
      <c r="B1473" s="197">
        <v>42538</v>
      </c>
      <c r="C1473" s="196" t="s">
        <v>503</v>
      </c>
      <c r="D1473" s="196">
        <v>118</v>
      </c>
      <c r="E1473" s="196">
        <v>115.1</v>
      </c>
      <c r="F1473" s="196">
        <v>115.8</v>
      </c>
      <c r="G1473" s="196">
        <f t="shared" si="23"/>
        <v>57.9</v>
      </c>
      <c r="H1473" s="196">
        <v>4483</v>
      </c>
      <c r="I1473" s="196" t="s">
        <v>504</v>
      </c>
      <c r="J1473" s="196"/>
    </row>
    <row r="1474" spans="1:10" ht="14.4">
      <c r="A1474" s="196" t="s">
        <v>351</v>
      </c>
      <c r="B1474" s="197">
        <v>42541</v>
      </c>
      <c r="C1474" s="196" t="s">
        <v>498</v>
      </c>
      <c r="D1474" s="196">
        <v>116.3</v>
      </c>
      <c r="E1474" s="196">
        <v>116</v>
      </c>
      <c r="F1474" s="196">
        <v>116.2</v>
      </c>
      <c r="G1474" s="196">
        <f t="shared" si="23"/>
        <v>58.1</v>
      </c>
      <c r="H1474" s="196">
        <v>6979</v>
      </c>
      <c r="I1474" s="196" t="s">
        <v>502</v>
      </c>
      <c r="J1474" s="196"/>
    </row>
    <row r="1475" spans="1:10" ht="14.4">
      <c r="A1475" s="196" t="s">
        <v>351</v>
      </c>
      <c r="B1475" s="197">
        <v>42542</v>
      </c>
      <c r="C1475" s="196" t="s">
        <v>500</v>
      </c>
      <c r="D1475" s="196">
        <v>118.5</v>
      </c>
      <c r="E1475" s="196">
        <v>116</v>
      </c>
      <c r="F1475" s="196">
        <v>116</v>
      </c>
      <c r="G1475" s="196">
        <f t="shared" si="23"/>
        <v>58</v>
      </c>
      <c r="H1475" s="196">
        <v>22532</v>
      </c>
      <c r="I1475" s="196" t="s">
        <v>501</v>
      </c>
      <c r="J1475" s="196"/>
    </row>
    <row r="1476" spans="1:10" ht="14.4">
      <c r="A1476" s="196" t="s">
        <v>351</v>
      </c>
      <c r="B1476" s="197">
        <v>42543</v>
      </c>
      <c r="C1476" s="196" t="s">
        <v>498</v>
      </c>
      <c r="D1476" s="196">
        <v>117</v>
      </c>
      <c r="E1476" s="196">
        <v>116</v>
      </c>
      <c r="F1476" s="196">
        <v>116.6</v>
      </c>
      <c r="G1476" s="196">
        <f t="shared" si="23"/>
        <v>58.3</v>
      </c>
      <c r="H1476" s="196">
        <v>1553</v>
      </c>
      <c r="I1476" s="196" t="s">
        <v>499</v>
      </c>
      <c r="J1476" s="196"/>
    </row>
    <row r="1477" spans="1:10" ht="14.4">
      <c r="A1477" s="196" t="s">
        <v>351</v>
      </c>
      <c r="B1477" s="197">
        <v>42544</v>
      </c>
      <c r="C1477" s="196" t="s">
        <v>496</v>
      </c>
      <c r="D1477" s="196">
        <v>117</v>
      </c>
      <c r="E1477" s="196">
        <v>115</v>
      </c>
      <c r="F1477" s="196">
        <v>115.9</v>
      </c>
      <c r="G1477" s="196">
        <f t="shared" si="23"/>
        <v>57.95</v>
      </c>
      <c r="H1477" s="196">
        <v>114643</v>
      </c>
      <c r="I1477" s="196" t="s">
        <v>497</v>
      </c>
      <c r="J1477" s="196"/>
    </row>
    <row r="1478" spans="1:10" ht="14.4">
      <c r="A1478" s="196" t="s">
        <v>351</v>
      </c>
      <c r="B1478" s="197">
        <v>42545</v>
      </c>
      <c r="C1478" s="196" t="s">
        <v>491</v>
      </c>
      <c r="D1478" s="196">
        <v>116</v>
      </c>
      <c r="E1478" s="196">
        <v>114</v>
      </c>
      <c r="F1478" s="196">
        <v>115.5</v>
      </c>
      <c r="G1478" s="196">
        <f t="shared" si="23"/>
        <v>57.75</v>
      </c>
      <c r="H1478" s="196">
        <v>28730</v>
      </c>
      <c r="I1478" s="196" t="s">
        <v>495</v>
      </c>
      <c r="J1478" s="196"/>
    </row>
    <row r="1479" spans="1:10" ht="14.4">
      <c r="A1479" s="196" t="s">
        <v>351</v>
      </c>
      <c r="B1479" s="197">
        <v>42548</v>
      </c>
      <c r="C1479" s="196" t="s">
        <v>491</v>
      </c>
      <c r="D1479" s="196">
        <v>115.5</v>
      </c>
      <c r="E1479" s="196">
        <v>113.1</v>
      </c>
      <c r="F1479" s="196">
        <v>114</v>
      </c>
      <c r="G1479" s="196">
        <f t="shared" si="23"/>
        <v>57</v>
      </c>
      <c r="H1479" s="196">
        <v>305150</v>
      </c>
      <c r="I1479" s="196" t="s">
        <v>493</v>
      </c>
      <c r="J1479" s="196"/>
    </row>
    <row r="1480" spans="1:10" ht="14.4">
      <c r="A1480" s="196" t="s">
        <v>351</v>
      </c>
      <c r="B1480" s="197">
        <v>42549</v>
      </c>
      <c r="C1480" s="196" t="s">
        <v>489</v>
      </c>
      <c r="D1480" s="196">
        <v>115.7</v>
      </c>
      <c r="E1480" s="196">
        <v>113</v>
      </c>
      <c r="F1480" s="196">
        <v>115</v>
      </c>
      <c r="G1480" s="196">
        <f>F1480/2</f>
        <v>57.5</v>
      </c>
      <c r="H1480" s="196">
        <v>95379</v>
      </c>
      <c r="I1480" s="196" t="s">
        <v>490</v>
      </c>
      <c r="J1480" s="196"/>
    </row>
    <row r="1481" spans="1:10" ht="14.4">
      <c r="A1481" s="196" t="s">
        <v>351</v>
      </c>
      <c r="B1481" s="197">
        <v>42555</v>
      </c>
      <c r="C1481" s="196" t="s">
        <v>486</v>
      </c>
      <c r="D1481" s="196">
        <v>58.6</v>
      </c>
      <c r="E1481" s="196">
        <v>52.7</v>
      </c>
      <c r="F1481" s="196">
        <v>57.5</v>
      </c>
      <c r="G1481" s="196">
        <f t="shared" ref="G1481:G1500" si="24">F1481</f>
        <v>57.5</v>
      </c>
      <c r="H1481" s="196">
        <v>12725</v>
      </c>
      <c r="I1481" s="196" t="s">
        <v>487</v>
      </c>
      <c r="J1481" s="196"/>
    </row>
    <row r="1482" spans="1:10" ht="14.4">
      <c r="A1482" s="196" t="s">
        <v>351</v>
      </c>
      <c r="B1482" s="197">
        <v>42556</v>
      </c>
      <c r="C1482" s="196" t="s">
        <v>484</v>
      </c>
      <c r="D1482" s="196">
        <v>56</v>
      </c>
      <c r="E1482" s="196">
        <v>56</v>
      </c>
      <c r="F1482" s="196">
        <v>56</v>
      </c>
      <c r="G1482" s="196">
        <f t="shared" si="24"/>
        <v>56</v>
      </c>
      <c r="H1482" s="196">
        <v>1000</v>
      </c>
      <c r="I1482" s="196" t="s">
        <v>485</v>
      </c>
      <c r="J1482" s="196"/>
    </row>
    <row r="1483" spans="1:10" ht="14.4">
      <c r="A1483" s="196" t="s">
        <v>351</v>
      </c>
      <c r="B1483" s="197">
        <v>42558</v>
      </c>
      <c r="C1483" s="196" t="s">
        <v>482</v>
      </c>
      <c r="D1483" s="196">
        <v>58.5</v>
      </c>
      <c r="E1483" s="196">
        <v>54.2</v>
      </c>
      <c r="F1483" s="196">
        <v>58.4</v>
      </c>
      <c r="G1483" s="196">
        <f t="shared" si="24"/>
        <v>58.4</v>
      </c>
      <c r="H1483" s="196">
        <v>702</v>
      </c>
      <c r="I1483" s="196" t="s">
        <v>483</v>
      </c>
      <c r="J1483" s="196"/>
    </row>
    <row r="1484" spans="1:10" ht="14.4">
      <c r="A1484" s="196" t="s">
        <v>351</v>
      </c>
      <c r="B1484" s="197">
        <v>42559</v>
      </c>
      <c r="C1484" s="196" t="s">
        <v>479</v>
      </c>
      <c r="D1484" s="196">
        <v>58.9</v>
      </c>
      <c r="E1484" s="196">
        <v>58</v>
      </c>
      <c r="F1484" s="196">
        <v>58.3</v>
      </c>
      <c r="G1484" s="196">
        <f t="shared" si="24"/>
        <v>58.3</v>
      </c>
      <c r="H1484" s="196">
        <v>42239</v>
      </c>
      <c r="I1484" s="196" t="s">
        <v>481</v>
      </c>
      <c r="J1484" s="196"/>
    </row>
    <row r="1485" spans="1:10" ht="14.4">
      <c r="A1485" s="196" t="s">
        <v>351</v>
      </c>
      <c r="B1485" s="197">
        <v>42562</v>
      </c>
      <c r="C1485" s="196" t="s">
        <v>478</v>
      </c>
      <c r="D1485" s="196">
        <v>59.9</v>
      </c>
      <c r="E1485" s="196">
        <v>58.5</v>
      </c>
      <c r="F1485" s="196">
        <v>59.5</v>
      </c>
      <c r="G1485" s="196">
        <f t="shared" si="24"/>
        <v>59.5</v>
      </c>
      <c r="H1485" s="196">
        <v>8260</v>
      </c>
      <c r="I1485" s="196" t="s">
        <v>480</v>
      </c>
      <c r="J1485" s="196"/>
    </row>
    <row r="1486" spans="1:10" ht="14.4">
      <c r="A1486" s="196" t="s">
        <v>351</v>
      </c>
      <c r="B1486" s="197">
        <v>42563</v>
      </c>
      <c r="C1486" s="196" t="s">
        <v>475</v>
      </c>
      <c r="D1486" s="196">
        <v>59</v>
      </c>
      <c r="E1486" s="196">
        <v>58.1</v>
      </c>
      <c r="F1486" s="196">
        <v>58.3</v>
      </c>
      <c r="G1486" s="196">
        <f t="shared" si="24"/>
        <v>58.3</v>
      </c>
      <c r="H1486" s="196">
        <v>4866</v>
      </c>
      <c r="I1486" s="196" t="s">
        <v>477</v>
      </c>
      <c r="J1486" s="196"/>
    </row>
    <row r="1487" spans="1:10" ht="14.4">
      <c r="A1487" s="196" t="s">
        <v>351</v>
      </c>
      <c r="B1487" s="197">
        <v>42564</v>
      </c>
      <c r="C1487" s="196" t="s">
        <v>468</v>
      </c>
      <c r="D1487" s="196">
        <v>59</v>
      </c>
      <c r="E1487" s="196">
        <v>56.7</v>
      </c>
      <c r="F1487" s="196">
        <v>58.2</v>
      </c>
      <c r="G1487" s="196">
        <f t="shared" si="24"/>
        <v>58.2</v>
      </c>
      <c r="H1487" s="196">
        <v>54702</v>
      </c>
      <c r="I1487" s="196" t="s">
        <v>474</v>
      </c>
      <c r="J1487" s="196"/>
    </row>
    <row r="1488" spans="1:10" ht="14.4">
      <c r="A1488" s="196" t="s">
        <v>351</v>
      </c>
      <c r="B1488" s="197">
        <v>42565</v>
      </c>
      <c r="C1488" s="196" t="s">
        <v>471</v>
      </c>
      <c r="D1488" s="196">
        <v>59</v>
      </c>
      <c r="E1488" s="196">
        <v>58</v>
      </c>
      <c r="F1488" s="196">
        <v>58.1</v>
      </c>
      <c r="G1488" s="196">
        <f t="shared" si="24"/>
        <v>58.1</v>
      </c>
      <c r="H1488" s="196">
        <v>135133</v>
      </c>
      <c r="I1488" s="196" t="s">
        <v>473</v>
      </c>
      <c r="J1488" s="196"/>
    </row>
    <row r="1489" spans="1:10" ht="14.4">
      <c r="A1489" s="196" t="s">
        <v>351</v>
      </c>
      <c r="B1489" s="197">
        <v>42566</v>
      </c>
      <c r="C1489" s="196" t="s">
        <v>471</v>
      </c>
      <c r="D1489" s="196">
        <v>59</v>
      </c>
      <c r="E1489" s="196">
        <v>58</v>
      </c>
      <c r="F1489" s="196">
        <v>58</v>
      </c>
      <c r="G1489" s="196">
        <f t="shared" si="24"/>
        <v>58</v>
      </c>
      <c r="H1489" s="196">
        <v>11130</v>
      </c>
      <c r="I1489" s="196" t="s">
        <v>472</v>
      </c>
      <c r="J1489" s="196"/>
    </row>
    <row r="1490" spans="1:10" ht="14.4">
      <c r="A1490" s="196" t="s">
        <v>351</v>
      </c>
      <c r="B1490" s="197">
        <v>42569</v>
      </c>
      <c r="C1490" s="196" t="s">
        <v>468</v>
      </c>
      <c r="D1490" s="196">
        <v>59</v>
      </c>
      <c r="E1490" s="196">
        <v>57.8</v>
      </c>
      <c r="F1490" s="196">
        <v>58</v>
      </c>
      <c r="G1490" s="196">
        <f t="shared" si="24"/>
        <v>58</v>
      </c>
      <c r="H1490" s="196">
        <v>107907</v>
      </c>
      <c r="I1490" s="196" t="s">
        <v>470</v>
      </c>
      <c r="J1490" s="196"/>
    </row>
    <row r="1491" spans="1:10" ht="14.4">
      <c r="A1491" s="193" t="s">
        <v>351</v>
      </c>
      <c r="B1491" s="194">
        <v>42571</v>
      </c>
      <c r="C1491" s="193" t="s">
        <v>479</v>
      </c>
      <c r="D1491" s="193">
        <v>58.9</v>
      </c>
      <c r="E1491" s="193">
        <v>57.1</v>
      </c>
      <c r="F1491" s="193">
        <v>58</v>
      </c>
      <c r="G1491" s="196">
        <f t="shared" si="24"/>
        <v>58</v>
      </c>
      <c r="H1491" s="193">
        <v>21790</v>
      </c>
      <c r="I1491" s="193" t="s">
        <v>2378</v>
      </c>
      <c r="J1491" s="193"/>
    </row>
    <row r="1492" spans="1:10" ht="14.4">
      <c r="A1492" s="193" t="s">
        <v>351</v>
      </c>
      <c r="B1492" s="194">
        <v>42572</v>
      </c>
      <c r="C1492" s="193" t="s">
        <v>2372</v>
      </c>
      <c r="D1492" s="193">
        <v>58.9</v>
      </c>
      <c r="E1492" s="193">
        <v>58</v>
      </c>
      <c r="F1492" s="193">
        <v>58</v>
      </c>
      <c r="G1492" s="196">
        <f t="shared" si="24"/>
        <v>58</v>
      </c>
      <c r="H1492" s="193">
        <v>1061</v>
      </c>
      <c r="I1492" s="193" t="s">
        <v>2377</v>
      </c>
      <c r="J1492" s="193"/>
    </row>
    <row r="1493" spans="1:10" ht="14.4">
      <c r="A1493" s="193" t="s">
        <v>351</v>
      </c>
      <c r="B1493" s="194">
        <v>42573</v>
      </c>
      <c r="C1493" s="193" t="s">
        <v>468</v>
      </c>
      <c r="D1493" s="193">
        <v>58.9</v>
      </c>
      <c r="E1493" s="193">
        <v>58</v>
      </c>
      <c r="F1493" s="193">
        <v>58.6</v>
      </c>
      <c r="G1493" s="196">
        <f t="shared" si="24"/>
        <v>58.6</v>
      </c>
      <c r="H1493" s="193">
        <v>2567</v>
      </c>
      <c r="I1493" s="193" t="s">
        <v>2376</v>
      </c>
      <c r="J1493" s="193"/>
    </row>
    <row r="1494" spans="1:10" ht="14.4">
      <c r="A1494" s="193" t="s">
        <v>351</v>
      </c>
      <c r="B1494" s="194">
        <v>42576</v>
      </c>
      <c r="C1494" s="193" t="s">
        <v>476</v>
      </c>
      <c r="D1494" s="193">
        <v>58.9</v>
      </c>
      <c r="E1494" s="193">
        <v>56</v>
      </c>
      <c r="F1494" s="193">
        <v>58.5</v>
      </c>
      <c r="G1494" s="196">
        <f t="shared" si="24"/>
        <v>58.5</v>
      </c>
      <c r="H1494" s="193">
        <v>13019</v>
      </c>
      <c r="I1494" s="193" t="s">
        <v>2375</v>
      </c>
      <c r="J1494" s="193"/>
    </row>
    <row r="1495" spans="1:10" ht="14.4">
      <c r="A1495" s="193" t="s">
        <v>351</v>
      </c>
      <c r="B1495" s="194">
        <v>42577</v>
      </c>
      <c r="C1495" s="193" t="s">
        <v>479</v>
      </c>
      <c r="D1495" s="193">
        <v>58.9</v>
      </c>
      <c r="E1495" s="193">
        <v>58.5</v>
      </c>
      <c r="F1495" s="193">
        <v>58.9</v>
      </c>
      <c r="G1495" s="196">
        <f t="shared" si="24"/>
        <v>58.9</v>
      </c>
      <c r="H1495" s="193">
        <v>4409</v>
      </c>
      <c r="I1495" s="193" t="s">
        <v>2374</v>
      </c>
      <c r="J1495" s="193"/>
    </row>
    <row r="1496" spans="1:10" ht="14.4">
      <c r="A1496" s="193" t="s">
        <v>351</v>
      </c>
      <c r="B1496" s="194">
        <v>42578</v>
      </c>
      <c r="C1496" s="193" t="s">
        <v>2372</v>
      </c>
      <c r="D1496" s="193">
        <v>58.9</v>
      </c>
      <c r="E1496" s="193">
        <v>57.5</v>
      </c>
      <c r="F1496" s="193">
        <v>58.4</v>
      </c>
      <c r="G1496" s="196">
        <f t="shared" si="24"/>
        <v>58.4</v>
      </c>
      <c r="H1496" s="193">
        <v>44301</v>
      </c>
      <c r="I1496" s="193" t="s">
        <v>2373</v>
      </c>
      <c r="J1496" s="193"/>
    </row>
    <row r="1497" spans="1:10" ht="14.4">
      <c r="A1497" s="193" t="s">
        <v>351</v>
      </c>
      <c r="B1497" s="194">
        <v>42579</v>
      </c>
      <c r="C1497" s="193" t="s">
        <v>468</v>
      </c>
      <c r="D1497" s="193">
        <v>59.6</v>
      </c>
      <c r="E1497" s="193">
        <v>58</v>
      </c>
      <c r="F1497" s="193">
        <v>59</v>
      </c>
      <c r="G1497" s="196">
        <f t="shared" si="24"/>
        <v>59</v>
      </c>
      <c r="H1497" s="193">
        <v>15874</v>
      </c>
      <c r="I1497" s="193" t="s">
        <v>2371</v>
      </c>
      <c r="J1497" s="193"/>
    </row>
    <row r="1498" spans="1:10" ht="14.4">
      <c r="A1498" s="193" t="s">
        <v>351</v>
      </c>
      <c r="B1498" s="194">
        <v>42580</v>
      </c>
      <c r="C1498" s="193" t="s">
        <v>468</v>
      </c>
      <c r="D1498" s="193">
        <v>59.5</v>
      </c>
      <c r="E1498" s="193">
        <v>58</v>
      </c>
      <c r="F1498" s="193">
        <v>59.4</v>
      </c>
      <c r="G1498" s="196">
        <f t="shared" si="24"/>
        <v>59.4</v>
      </c>
      <c r="H1498" s="193">
        <v>29290</v>
      </c>
      <c r="I1498" s="193" t="s">
        <v>2370</v>
      </c>
      <c r="J1498" s="193"/>
    </row>
    <row r="1499" spans="1:10" ht="14.4">
      <c r="A1499" s="193" t="s">
        <v>351</v>
      </c>
      <c r="B1499" s="194">
        <v>42583</v>
      </c>
      <c r="C1499" s="193" t="s">
        <v>2368</v>
      </c>
      <c r="D1499" s="193">
        <v>59.5</v>
      </c>
      <c r="E1499" s="193">
        <v>58.5</v>
      </c>
      <c r="F1499" s="193">
        <v>59.3</v>
      </c>
      <c r="G1499" s="196">
        <f t="shared" si="24"/>
        <v>59.3</v>
      </c>
      <c r="H1499" s="193">
        <v>6370</v>
      </c>
      <c r="I1499" s="193" t="s">
        <v>2369</v>
      </c>
      <c r="J1499" s="193"/>
    </row>
    <row r="1500" spans="1:10" ht="14.4">
      <c r="A1500" s="193" t="s">
        <v>351</v>
      </c>
      <c r="B1500" s="194">
        <v>42584</v>
      </c>
      <c r="C1500" s="193" t="s">
        <v>1709</v>
      </c>
      <c r="D1500" s="193">
        <v>60</v>
      </c>
      <c r="E1500" s="193">
        <v>59.3</v>
      </c>
      <c r="F1500" s="193">
        <v>59.8</v>
      </c>
      <c r="G1500" s="196">
        <f t="shared" si="24"/>
        <v>59.8</v>
      </c>
      <c r="H1500" s="193">
        <v>93927</v>
      </c>
      <c r="I1500" s="193" t="s">
        <v>2367</v>
      </c>
      <c r="J1500" s="193"/>
    </row>
    <row r="1501" spans="1:10" ht="14.4">
      <c r="A1501" s="193" t="s">
        <v>351</v>
      </c>
      <c r="B1501" s="257">
        <v>42585</v>
      </c>
      <c r="C1501" s="191">
        <v>60</v>
      </c>
      <c r="D1501" s="191">
        <v>60</v>
      </c>
      <c r="E1501" s="191">
        <v>59</v>
      </c>
      <c r="F1501" s="191">
        <v>59.8</v>
      </c>
      <c r="G1501" s="191">
        <v>59.8</v>
      </c>
      <c r="H1501" s="191">
        <v>76339</v>
      </c>
      <c r="I1501" s="191">
        <v>4561093.0999999996</v>
      </c>
    </row>
    <row r="1502" spans="1:10" ht="14.4">
      <c r="A1502" s="193" t="s">
        <v>351</v>
      </c>
      <c r="B1502" s="257">
        <v>42586</v>
      </c>
      <c r="C1502" s="191">
        <v>59</v>
      </c>
      <c r="D1502" s="191">
        <v>60</v>
      </c>
      <c r="E1502" s="191">
        <v>58.6</v>
      </c>
      <c r="F1502" s="191">
        <v>59.4</v>
      </c>
      <c r="G1502" s="191">
        <v>59.4</v>
      </c>
      <c r="H1502" s="191">
        <v>31316</v>
      </c>
      <c r="I1502" s="191">
        <v>1848774.7</v>
      </c>
    </row>
    <row r="1503" spans="1:10" ht="14.4">
      <c r="A1503" s="193" t="s">
        <v>351</v>
      </c>
      <c r="B1503" s="257">
        <v>42587</v>
      </c>
      <c r="C1503" s="191">
        <v>58.4</v>
      </c>
      <c r="D1503" s="191">
        <v>59.2</v>
      </c>
      <c r="E1503" s="191">
        <v>58.2</v>
      </c>
      <c r="F1503" s="191">
        <v>58.9</v>
      </c>
      <c r="G1503" s="191">
        <v>58.9</v>
      </c>
      <c r="H1503" s="191">
        <v>11432</v>
      </c>
      <c r="I1503" s="191">
        <v>673880.6</v>
      </c>
    </row>
    <row r="1504" spans="1:10" ht="14.4">
      <c r="A1504" s="193" t="s">
        <v>351</v>
      </c>
      <c r="B1504" s="257">
        <v>42590</v>
      </c>
      <c r="C1504" s="191">
        <v>59</v>
      </c>
      <c r="D1504" s="191">
        <v>59.2</v>
      </c>
      <c r="E1504" s="191">
        <v>58.2</v>
      </c>
      <c r="F1504" s="191">
        <v>58.3</v>
      </c>
      <c r="G1504" s="191">
        <v>58.3</v>
      </c>
      <c r="H1504" s="191">
        <v>2086</v>
      </c>
      <c r="I1504" s="191">
        <v>122041</v>
      </c>
    </row>
    <row r="1505" spans="1:13" ht="14.4">
      <c r="A1505" s="193" t="s">
        <v>351</v>
      </c>
      <c r="B1505" s="257">
        <v>42591</v>
      </c>
      <c r="C1505" s="191">
        <v>58.9</v>
      </c>
      <c r="D1505" s="191">
        <v>59.3</v>
      </c>
      <c r="E1505" s="191">
        <v>58.8</v>
      </c>
      <c r="F1505" s="191">
        <v>59</v>
      </c>
      <c r="G1505" s="191">
        <v>59</v>
      </c>
      <c r="H1505" s="191">
        <v>36111</v>
      </c>
      <c r="I1505" s="191">
        <v>2127482.7999999998</v>
      </c>
    </row>
    <row r="1506" spans="1:13" ht="14.4">
      <c r="A1506" s="193" t="s">
        <v>351</v>
      </c>
      <c r="B1506" s="257">
        <v>42592</v>
      </c>
      <c r="C1506" s="191">
        <v>59</v>
      </c>
      <c r="D1506" s="191">
        <v>59.5</v>
      </c>
      <c r="E1506" s="191">
        <v>57.1</v>
      </c>
      <c r="F1506" s="191">
        <v>58.9</v>
      </c>
      <c r="G1506" s="191">
        <v>58.9</v>
      </c>
      <c r="H1506" s="191">
        <v>75373</v>
      </c>
      <c r="I1506" s="191">
        <v>4442755</v>
      </c>
    </row>
    <row r="1507" spans="1:13" ht="14.4">
      <c r="A1507" s="193" t="s">
        <v>351</v>
      </c>
      <c r="B1507" s="257">
        <v>42593</v>
      </c>
      <c r="C1507" s="191">
        <v>59.3</v>
      </c>
      <c r="D1507" s="191">
        <v>59.3</v>
      </c>
      <c r="E1507" s="191">
        <v>58.3</v>
      </c>
      <c r="F1507" s="191">
        <v>58.6</v>
      </c>
      <c r="G1507" s="191">
        <v>58.6</v>
      </c>
      <c r="H1507" s="191">
        <v>5722</v>
      </c>
      <c r="I1507" s="191">
        <v>335047.40000000002</v>
      </c>
    </row>
    <row r="1508" spans="1:13" ht="14.4">
      <c r="A1508" s="193" t="s">
        <v>351</v>
      </c>
      <c r="B1508" s="257">
        <v>42594</v>
      </c>
      <c r="C1508" s="191">
        <v>58.7</v>
      </c>
      <c r="D1508" s="191">
        <v>59</v>
      </c>
      <c r="E1508" s="191">
        <v>58.2</v>
      </c>
      <c r="F1508" s="191">
        <v>58.6</v>
      </c>
      <c r="G1508" s="191">
        <v>58.6</v>
      </c>
      <c r="H1508" s="191">
        <v>9498</v>
      </c>
      <c r="I1508" s="191">
        <v>555981.6</v>
      </c>
    </row>
    <row r="1509" spans="1:13" ht="14.4">
      <c r="A1509" s="193" t="s">
        <v>351</v>
      </c>
      <c r="B1509" s="257">
        <v>42597</v>
      </c>
      <c r="C1509" s="191">
        <v>59</v>
      </c>
      <c r="D1509" s="191">
        <v>59</v>
      </c>
      <c r="E1509" s="191">
        <v>58.5</v>
      </c>
      <c r="F1509" s="191">
        <v>58.9</v>
      </c>
      <c r="G1509" s="191">
        <v>58.9</v>
      </c>
      <c r="H1509" s="191">
        <v>61609</v>
      </c>
      <c r="I1509" s="191">
        <v>3609991</v>
      </c>
    </row>
    <row r="1510" spans="1:13" ht="14.4">
      <c r="A1510" s="193" t="s">
        <v>351</v>
      </c>
      <c r="B1510" s="257">
        <v>42598</v>
      </c>
      <c r="C1510" s="191">
        <v>58.6</v>
      </c>
      <c r="D1510" s="191">
        <v>59</v>
      </c>
      <c r="E1510" s="191">
        <v>58.5</v>
      </c>
      <c r="F1510" s="191">
        <v>58.9</v>
      </c>
      <c r="G1510" s="191">
        <v>58.9</v>
      </c>
      <c r="H1510" s="191">
        <v>4595</v>
      </c>
      <c r="I1510" s="191">
        <v>270611</v>
      </c>
    </row>
    <row r="1511" spans="1:13" ht="14.4">
      <c r="A1511" s="193" t="s">
        <v>351</v>
      </c>
      <c r="B1511" s="257">
        <v>42600</v>
      </c>
      <c r="C1511" s="191">
        <v>59</v>
      </c>
      <c r="D1511" s="191">
        <v>59</v>
      </c>
      <c r="E1511" s="191">
        <v>58.3</v>
      </c>
      <c r="F1511" s="191">
        <v>58.9</v>
      </c>
      <c r="G1511" s="191">
        <v>58.9</v>
      </c>
      <c r="H1511" s="191">
        <v>10272</v>
      </c>
      <c r="I1511" s="191">
        <v>600348.19999999995</v>
      </c>
    </row>
    <row r="1512" spans="1:13" ht="14.4">
      <c r="A1512" s="193" t="s">
        <v>351</v>
      </c>
      <c r="B1512" s="257">
        <v>42601</v>
      </c>
      <c r="C1512" s="191">
        <v>58.9</v>
      </c>
      <c r="D1512" s="191">
        <v>58.9</v>
      </c>
      <c r="E1512" s="191">
        <v>58.3</v>
      </c>
      <c r="F1512" s="191">
        <v>58.4</v>
      </c>
      <c r="G1512" s="191">
        <v>58.4</v>
      </c>
      <c r="H1512" s="191">
        <v>15176</v>
      </c>
      <c r="I1512" s="191">
        <v>887964.4</v>
      </c>
    </row>
    <row r="1513" spans="1:13" ht="14.4">
      <c r="A1513" s="193" t="s">
        <v>351</v>
      </c>
      <c r="B1513" s="257">
        <v>42604</v>
      </c>
      <c r="C1513" s="191">
        <v>58.3</v>
      </c>
      <c r="D1513" s="191">
        <v>59.5</v>
      </c>
      <c r="E1513" s="191">
        <v>58.3</v>
      </c>
      <c r="F1513" s="191">
        <v>59.2</v>
      </c>
      <c r="G1513" s="191">
        <v>59.2</v>
      </c>
      <c r="H1513" s="191">
        <v>282942</v>
      </c>
      <c r="I1513" s="191">
        <v>16628208.699999999</v>
      </c>
    </row>
    <row r="1514" spans="1:13" ht="14.4">
      <c r="A1514" s="193" t="s">
        <v>351</v>
      </c>
      <c r="B1514" s="257">
        <v>42605</v>
      </c>
      <c r="C1514" s="191">
        <v>59.5</v>
      </c>
      <c r="D1514" s="191">
        <v>63.5</v>
      </c>
      <c r="E1514" s="191">
        <v>59.5</v>
      </c>
      <c r="F1514" s="191">
        <v>63.2</v>
      </c>
      <c r="G1514" s="191">
        <v>63.2</v>
      </c>
      <c r="H1514" s="191">
        <v>1129565</v>
      </c>
      <c r="I1514" s="191">
        <v>70298294.5</v>
      </c>
      <c r="M1514" s="647"/>
    </row>
    <row r="1515" spans="1:13" ht="14.4">
      <c r="A1515" s="193" t="s">
        <v>351</v>
      </c>
      <c r="B1515" s="257">
        <v>42606</v>
      </c>
      <c r="C1515" s="191">
        <v>63.5</v>
      </c>
      <c r="D1515" s="191">
        <v>63.9</v>
      </c>
      <c r="E1515" s="191">
        <v>62.3</v>
      </c>
      <c r="F1515" s="191">
        <v>62.9</v>
      </c>
      <c r="G1515" s="191">
        <v>62.9</v>
      </c>
      <c r="H1515" s="191">
        <v>106959</v>
      </c>
      <c r="I1515" s="191">
        <v>6746978.7000000002</v>
      </c>
      <c r="M1515" s="647"/>
    </row>
    <row r="1516" spans="1:13" ht="14.4">
      <c r="A1516" s="193" t="s">
        <v>351</v>
      </c>
      <c r="B1516" s="257">
        <v>42607</v>
      </c>
      <c r="C1516" s="191">
        <v>63</v>
      </c>
      <c r="D1516" s="191">
        <v>63</v>
      </c>
      <c r="E1516" s="191">
        <v>62</v>
      </c>
      <c r="F1516" s="191">
        <v>62</v>
      </c>
      <c r="G1516" s="191">
        <v>62</v>
      </c>
      <c r="H1516" s="191">
        <v>110928</v>
      </c>
      <c r="I1516" s="191">
        <v>6883985.0999999996</v>
      </c>
      <c r="M1516" s="647"/>
    </row>
    <row r="1517" spans="1:13" ht="14.4">
      <c r="A1517" s="193" t="s">
        <v>351</v>
      </c>
      <c r="B1517" s="257">
        <v>42608</v>
      </c>
      <c r="C1517" s="191">
        <v>62.9</v>
      </c>
      <c r="D1517" s="191">
        <v>62.9</v>
      </c>
      <c r="E1517" s="191">
        <v>61.8</v>
      </c>
      <c r="F1517" s="191">
        <v>62</v>
      </c>
      <c r="G1517" s="191">
        <v>62</v>
      </c>
      <c r="H1517" s="191">
        <v>340111</v>
      </c>
      <c r="I1517" s="191">
        <v>21087307</v>
      </c>
      <c r="M1517" s="647"/>
    </row>
    <row r="1518" spans="1:13" ht="14.4">
      <c r="A1518" s="193" t="s">
        <v>351</v>
      </c>
      <c r="B1518" s="257">
        <v>42611</v>
      </c>
      <c r="C1518" s="191">
        <v>62</v>
      </c>
      <c r="D1518" s="191">
        <v>62.4</v>
      </c>
      <c r="E1518" s="191">
        <v>61.1</v>
      </c>
      <c r="F1518" s="191">
        <v>62.2</v>
      </c>
      <c r="G1518" s="191">
        <v>62.2</v>
      </c>
      <c r="H1518" s="191">
        <v>54227</v>
      </c>
      <c r="I1518" s="191">
        <v>3337079.4</v>
      </c>
      <c r="M1518" s="647"/>
    </row>
    <row r="1519" spans="1:13" ht="14.4">
      <c r="A1519" s="193" t="s">
        <v>351</v>
      </c>
      <c r="B1519" s="257">
        <v>42612</v>
      </c>
      <c r="C1519" s="191">
        <v>61.5</v>
      </c>
      <c r="D1519" s="191">
        <v>63</v>
      </c>
      <c r="E1519" s="191">
        <v>61.5</v>
      </c>
      <c r="F1519" s="191">
        <v>62.2</v>
      </c>
      <c r="G1519" s="191">
        <v>62.2</v>
      </c>
      <c r="H1519" s="191">
        <v>28932</v>
      </c>
      <c r="I1519" s="191">
        <v>1801085.8</v>
      </c>
      <c r="M1519" s="647"/>
    </row>
    <row r="1520" spans="1:13" ht="14.4">
      <c r="A1520" s="193" t="s">
        <v>351</v>
      </c>
      <c r="B1520" s="257">
        <v>42613</v>
      </c>
      <c r="C1520" s="191">
        <v>62.9</v>
      </c>
      <c r="D1520" s="191">
        <v>64</v>
      </c>
      <c r="E1520" s="191">
        <v>62.9</v>
      </c>
      <c r="F1520" s="191">
        <v>63.5</v>
      </c>
      <c r="G1520" s="191">
        <v>63.5</v>
      </c>
      <c r="H1520" s="191">
        <v>184409</v>
      </c>
      <c r="I1520" s="191">
        <v>11712291</v>
      </c>
      <c r="M1520" s="647"/>
    </row>
    <row r="1521" spans="1:14" ht="14.4">
      <c r="A1521" s="193" t="s">
        <v>351</v>
      </c>
      <c r="B1521" s="257">
        <v>42614</v>
      </c>
      <c r="C1521" s="191">
        <v>63.4</v>
      </c>
      <c r="D1521" s="191">
        <v>64.2</v>
      </c>
      <c r="E1521" s="191">
        <v>63.4</v>
      </c>
      <c r="F1521" s="191">
        <v>63.8</v>
      </c>
      <c r="G1521" s="191">
        <v>63.8</v>
      </c>
      <c r="H1521" s="191">
        <v>77447</v>
      </c>
      <c r="I1521" s="191">
        <v>4953333.3</v>
      </c>
      <c r="M1521" s="647"/>
      <c r="N1521"/>
    </row>
    <row r="1522" spans="1:14" ht="14.4">
      <c r="A1522" s="193" t="s">
        <v>351</v>
      </c>
      <c r="B1522" s="257">
        <v>42615</v>
      </c>
      <c r="C1522" s="191">
        <v>64</v>
      </c>
      <c r="D1522" s="191">
        <v>64.2</v>
      </c>
      <c r="E1522" s="191">
        <v>63.1</v>
      </c>
      <c r="F1522" s="191">
        <v>63.3</v>
      </c>
      <c r="G1522" s="191">
        <v>63.3</v>
      </c>
      <c r="H1522" s="191">
        <v>64064</v>
      </c>
      <c r="I1522" s="191">
        <v>4089870.4</v>
      </c>
      <c r="M1522" s="647"/>
      <c r="N1522"/>
    </row>
    <row r="1523" spans="1:14" ht="14.4">
      <c r="A1523" s="193" t="s">
        <v>351</v>
      </c>
      <c r="B1523" s="257">
        <v>42618</v>
      </c>
      <c r="C1523" s="191">
        <v>64</v>
      </c>
      <c r="D1523" s="191">
        <v>64</v>
      </c>
      <c r="E1523" s="191">
        <v>63</v>
      </c>
      <c r="F1523" s="191">
        <v>63.7</v>
      </c>
      <c r="G1523" s="191">
        <v>63.7</v>
      </c>
      <c r="H1523" s="191">
        <v>17778</v>
      </c>
      <c r="I1523" s="191">
        <v>1131833.3999999999</v>
      </c>
      <c r="M1523" s="647"/>
      <c r="N1523"/>
    </row>
    <row r="1524" spans="1:14" ht="14.4">
      <c r="A1524" s="193" t="s">
        <v>351</v>
      </c>
      <c r="B1524" s="257">
        <v>42619</v>
      </c>
      <c r="C1524" s="191">
        <v>63</v>
      </c>
      <c r="D1524" s="191">
        <v>63.8</v>
      </c>
      <c r="E1524" s="191">
        <v>63</v>
      </c>
      <c r="F1524" s="191">
        <v>63.7</v>
      </c>
      <c r="G1524" s="191">
        <v>63.7</v>
      </c>
      <c r="H1524" s="191">
        <v>15696</v>
      </c>
      <c r="I1524" s="191">
        <v>992735</v>
      </c>
      <c r="M1524" s="647"/>
      <c r="N1524"/>
    </row>
    <row r="1525" spans="1:14" ht="14.4">
      <c r="A1525" s="193" t="s">
        <v>351</v>
      </c>
      <c r="B1525" s="257">
        <v>42620</v>
      </c>
      <c r="C1525" s="191">
        <v>63</v>
      </c>
      <c r="D1525" s="191">
        <v>63.8</v>
      </c>
      <c r="E1525" s="191">
        <v>62.5</v>
      </c>
      <c r="F1525" s="191">
        <v>63</v>
      </c>
      <c r="G1525" s="191">
        <v>63</v>
      </c>
      <c r="H1525" s="191">
        <v>59487</v>
      </c>
      <c r="I1525" s="191">
        <v>3748060.9</v>
      </c>
      <c r="M1525" s="647"/>
      <c r="N1525"/>
    </row>
    <row r="1526" spans="1:14" ht="14.4">
      <c r="A1526" s="193" t="s">
        <v>351</v>
      </c>
      <c r="B1526" s="257">
        <v>42621</v>
      </c>
      <c r="C1526" s="191">
        <v>63.5</v>
      </c>
      <c r="D1526" s="191">
        <v>63.7</v>
      </c>
      <c r="E1526" s="191">
        <v>62.5</v>
      </c>
      <c r="F1526" s="191">
        <v>63.2</v>
      </c>
      <c r="G1526" s="191">
        <v>63.2</v>
      </c>
      <c r="H1526" s="191">
        <v>24191</v>
      </c>
      <c r="I1526" s="191">
        <v>1528147.5</v>
      </c>
      <c r="M1526" s="647"/>
      <c r="N1526"/>
    </row>
    <row r="1527" spans="1:14" ht="14.4">
      <c r="A1527" s="193" t="s">
        <v>351</v>
      </c>
      <c r="B1527" s="257">
        <v>42622</v>
      </c>
      <c r="C1527" s="191">
        <v>62.6</v>
      </c>
      <c r="D1527" s="191">
        <v>63.4</v>
      </c>
      <c r="E1527" s="191">
        <v>62.5</v>
      </c>
      <c r="F1527" s="191">
        <v>62.6</v>
      </c>
      <c r="G1527" s="191">
        <v>62.6</v>
      </c>
      <c r="H1527" s="191">
        <v>417712</v>
      </c>
      <c r="I1527" s="191">
        <v>26109778</v>
      </c>
      <c r="M1527" s="647"/>
      <c r="N1527"/>
    </row>
    <row r="1528" spans="1:14" ht="14.4">
      <c r="A1528" s="193" t="s">
        <v>351</v>
      </c>
      <c r="B1528" s="257">
        <v>42626</v>
      </c>
      <c r="C1528" s="191">
        <v>62.6</v>
      </c>
      <c r="D1528" s="191">
        <v>63</v>
      </c>
      <c r="E1528" s="191">
        <v>62.1</v>
      </c>
      <c r="F1528" s="191">
        <v>62.6</v>
      </c>
      <c r="G1528" s="191">
        <v>62.6</v>
      </c>
      <c r="H1528" s="191">
        <v>20225</v>
      </c>
      <c r="I1528" s="191">
        <v>1266802.7</v>
      </c>
      <c r="M1528" s="647"/>
      <c r="N1528"/>
    </row>
    <row r="1529" spans="1:14" ht="14.4">
      <c r="A1529" s="193" t="s">
        <v>351</v>
      </c>
      <c r="B1529" s="257">
        <v>42627</v>
      </c>
      <c r="C1529" s="191">
        <v>63.5</v>
      </c>
      <c r="D1529" s="191">
        <v>63.5</v>
      </c>
      <c r="E1529" s="191">
        <v>62.1</v>
      </c>
      <c r="F1529" s="191">
        <v>62.9</v>
      </c>
      <c r="G1529" s="191">
        <v>62.9</v>
      </c>
      <c r="H1529" s="191">
        <v>20466</v>
      </c>
      <c r="I1529" s="191">
        <v>1281200</v>
      </c>
      <c r="M1529" s="647"/>
      <c r="N1529"/>
    </row>
    <row r="1530" spans="1:14" ht="14.4">
      <c r="A1530" s="193" t="s">
        <v>351</v>
      </c>
      <c r="B1530" s="257">
        <v>42628</v>
      </c>
      <c r="C1530" s="191">
        <v>63</v>
      </c>
      <c r="D1530" s="191">
        <v>63</v>
      </c>
      <c r="E1530" s="191">
        <v>62.3</v>
      </c>
      <c r="F1530" s="191">
        <v>62.7</v>
      </c>
      <c r="G1530" s="191">
        <v>62.7</v>
      </c>
      <c r="H1530" s="191">
        <v>224035</v>
      </c>
      <c r="I1530" s="191">
        <v>14012416.4</v>
      </c>
      <c r="M1530" s="647"/>
      <c r="N1530"/>
    </row>
    <row r="1531" spans="1:14" ht="14.4">
      <c r="A1531" s="193" t="s">
        <v>351</v>
      </c>
      <c r="B1531" s="257">
        <v>42632</v>
      </c>
      <c r="C1531" s="191">
        <v>63.5</v>
      </c>
      <c r="D1531" s="191">
        <v>63.5</v>
      </c>
      <c r="E1531" s="191">
        <v>62.5</v>
      </c>
      <c r="F1531" s="191">
        <v>62.5</v>
      </c>
      <c r="G1531" s="191">
        <v>62.5</v>
      </c>
      <c r="H1531" s="191">
        <v>25987</v>
      </c>
      <c r="I1531" s="191">
        <v>1649672.5</v>
      </c>
      <c r="M1531" s="647"/>
      <c r="N1531"/>
    </row>
    <row r="1532" spans="1:14" customFormat="1" ht="14.4">
      <c r="A1532" t="s">
        <v>351</v>
      </c>
      <c r="B1532" s="647">
        <v>42633</v>
      </c>
      <c r="C1532">
        <v>62.4</v>
      </c>
      <c r="D1532">
        <v>62.5</v>
      </c>
      <c r="E1532">
        <v>62</v>
      </c>
      <c r="F1532">
        <v>62.5</v>
      </c>
      <c r="G1532" s="196">
        <f t="shared" ref="G1532:G1562" si="25">F1532</f>
        <v>62.5</v>
      </c>
      <c r="H1532">
        <v>42960</v>
      </c>
      <c r="I1532">
        <v>2672269</v>
      </c>
      <c r="M1532" s="647"/>
    </row>
    <row r="1533" spans="1:14" customFormat="1" ht="14.4">
      <c r="A1533" t="s">
        <v>351</v>
      </c>
      <c r="B1533" s="647">
        <v>42634</v>
      </c>
      <c r="C1533">
        <v>62.5</v>
      </c>
      <c r="D1533">
        <v>64.2</v>
      </c>
      <c r="E1533">
        <v>61</v>
      </c>
      <c r="F1533">
        <v>64</v>
      </c>
      <c r="G1533" s="196">
        <f t="shared" si="25"/>
        <v>64</v>
      </c>
      <c r="H1533">
        <v>591433</v>
      </c>
      <c r="I1533">
        <v>37239090.399999999</v>
      </c>
      <c r="M1533" s="647"/>
    </row>
    <row r="1534" spans="1:14" customFormat="1" ht="14.4">
      <c r="A1534" t="s">
        <v>351</v>
      </c>
      <c r="B1534" s="647">
        <v>42635</v>
      </c>
      <c r="C1534">
        <v>63.9</v>
      </c>
      <c r="D1534">
        <v>63.9</v>
      </c>
      <c r="E1534">
        <v>63.5</v>
      </c>
      <c r="F1534">
        <v>63.5</v>
      </c>
      <c r="G1534" s="196">
        <f t="shared" si="25"/>
        <v>63.5</v>
      </c>
      <c r="H1534">
        <v>24094</v>
      </c>
      <c r="I1534">
        <v>1530343</v>
      </c>
      <c r="M1534" s="647"/>
    </row>
    <row r="1535" spans="1:14" customFormat="1" ht="14.4">
      <c r="A1535" t="s">
        <v>351</v>
      </c>
      <c r="B1535" s="647">
        <v>42636</v>
      </c>
      <c r="C1535">
        <v>64</v>
      </c>
      <c r="D1535">
        <v>64</v>
      </c>
      <c r="E1535">
        <v>63.5</v>
      </c>
      <c r="F1535">
        <v>63.5</v>
      </c>
      <c r="G1535" s="196">
        <f t="shared" si="25"/>
        <v>63.5</v>
      </c>
      <c r="H1535">
        <v>16743</v>
      </c>
      <c r="I1535">
        <v>1063243.6000000001</v>
      </c>
      <c r="M1535" s="647"/>
    </row>
    <row r="1536" spans="1:14" customFormat="1" ht="14.4">
      <c r="A1536" t="s">
        <v>351</v>
      </c>
      <c r="B1536" s="647">
        <v>42639</v>
      </c>
      <c r="C1536">
        <v>64</v>
      </c>
      <c r="D1536">
        <v>64</v>
      </c>
      <c r="E1536">
        <v>62</v>
      </c>
      <c r="F1536">
        <v>63</v>
      </c>
      <c r="G1536" s="196">
        <f t="shared" si="25"/>
        <v>63</v>
      </c>
      <c r="H1536">
        <v>6066</v>
      </c>
      <c r="I1536">
        <v>381649</v>
      </c>
      <c r="M1536" s="647"/>
    </row>
    <row r="1537" spans="1:13" customFormat="1" ht="14.4">
      <c r="A1537" t="s">
        <v>351</v>
      </c>
      <c r="B1537" s="647">
        <v>42640</v>
      </c>
      <c r="C1537">
        <v>62.1</v>
      </c>
      <c r="D1537">
        <v>63</v>
      </c>
      <c r="E1537">
        <v>62.1</v>
      </c>
      <c r="F1537">
        <v>63</v>
      </c>
      <c r="G1537" s="196">
        <f t="shared" si="25"/>
        <v>63</v>
      </c>
      <c r="H1537">
        <v>5370</v>
      </c>
      <c r="I1537">
        <v>337977</v>
      </c>
      <c r="M1537" s="647"/>
    </row>
    <row r="1538" spans="1:13" customFormat="1" ht="14.4">
      <c r="A1538" t="s">
        <v>351</v>
      </c>
      <c r="B1538" s="647">
        <v>42641</v>
      </c>
      <c r="C1538">
        <v>62.4</v>
      </c>
      <c r="D1538">
        <v>63.9</v>
      </c>
      <c r="E1538">
        <v>62.4</v>
      </c>
      <c r="F1538">
        <v>63.5</v>
      </c>
      <c r="G1538" s="196">
        <f t="shared" si="25"/>
        <v>63.5</v>
      </c>
      <c r="H1538">
        <v>14766</v>
      </c>
      <c r="I1538">
        <v>935824.3</v>
      </c>
      <c r="M1538" s="647"/>
    </row>
    <row r="1539" spans="1:13" customFormat="1" ht="14.4">
      <c r="A1539" t="s">
        <v>351</v>
      </c>
      <c r="B1539" s="647">
        <v>42642</v>
      </c>
      <c r="C1539">
        <v>63.1</v>
      </c>
      <c r="D1539">
        <v>64.8</v>
      </c>
      <c r="E1539">
        <v>63.1</v>
      </c>
      <c r="F1539">
        <v>64.5</v>
      </c>
      <c r="G1539" s="196">
        <f t="shared" si="25"/>
        <v>64.5</v>
      </c>
      <c r="H1539">
        <v>213858</v>
      </c>
      <c r="I1539">
        <v>13741319.4</v>
      </c>
      <c r="M1539" s="647"/>
    </row>
    <row r="1540" spans="1:13" customFormat="1" ht="14.4">
      <c r="A1540" t="s">
        <v>351</v>
      </c>
      <c r="B1540" s="647">
        <v>42643</v>
      </c>
      <c r="C1540">
        <v>64.7</v>
      </c>
      <c r="D1540">
        <v>65.599999999999994</v>
      </c>
      <c r="E1540">
        <v>64.5</v>
      </c>
      <c r="F1540">
        <v>64.7</v>
      </c>
      <c r="G1540" s="196">
        <f t="shared" si="25"/>
        <v>64.7</v>
      </c>
      <c r="H1540">
        <v>205460</v>
      </c>
      <c r="I1540">
        <v>13386294.5</v>
      </c>
      <c r="M1540" s="647"/>
    </row>
    <row r="1541" spans="1:13" customFormat="1" ht="14.4">
      <c r="A1541" t="s">
        <v>351</v>
      </c>
      <c r="B1541" s="647">
        <v>42646</v>
      </c>
      <c r="C1541">
        <v>64.5</v>
      </c>
      <c r="D1541">
        <v>65</v>
      </c>
      <c r="E1541">
        <v>64.400000000000006</v>
      </c>
      <c r="F1541">
        <v>65</v>
      </c>
      <c r="G1541" s="196">
        <f t="shared" si="25"/>
        <v>65</v>
      </c>
      <c r="H1541">
        <v>240505</v>
      </c>
      <c r="I1541">
        <v>15618184</v>
      </c>
      <c r="M1541" s="647"/>
    </row>
    <row r="1542" spans="1:13" customFormat="1" ht="14.4">
      <c r="A1542" t="s">
        <v>351</v>
      </c>
      <c r="B1542" s="647">
        <v>42647</v>
      </c>
      <c r="C1542">
        <v>65</v>
      </c>
      <c r="D1542">
        <v>65.5</v>
      </c>
      <c r="E1542">
        <v>65</v>
      </c>
      <c r="F1542">
        <v>65</v>
      </c>
      <c r="G1542" s="196">
        <f t="shared" si="25"/>
        <v>65</v>
      </c>
      <c r="H1542">
        <v>83004</v>
      </c>
      <c r="I1542">
        <v>5404785.9000000004</v>
      </c>
      <c r="M1542" s="647"/>
    </row>
    <row r="1543" spans="1:13" customFormat="1" ht="14.4">
      <c r="A1543" t="s">
        <v>351</v>
      </c>
      <c r="B1543" s="647">
        <v>42648</v>
      </c>
      <c r="C1543">
        <v>64.7</v>
      </c>
      <c r="D1543">
        <v>65.400000000000006</v>
      </c>
      <c r="E1543">
        <v>64.5</v>
      </c>
      <c r="F1543">
        <v>65</v>
      </c>
      <c r="G1543" s="196">
        <f t="shared" si="25"/>
        <v>65</v>
      </c>
      <c r="H1543">
        <v>145150</v>
      </c>
      <c r="I1543">
        <v>9433471</v>
      </c>
      <c r="M1543" s="647"/>
    </row>
    <row r="1544" spans="1:13" customFormat="1" ht="14.4">
      <c r="A1544" t="s">
        <v>351</v>
      </c>
      <c r="B1544" s="647">
        <v>42649</v>
      </c>
      <c r="C1544">
        <v>65</v>
      </c>
      <c r="D1544">
        <v>65</v>
      </c>
      <c r="E1544">
        <v>64.2</v>
      </c>
      <c r="F1544">
        <v>64.400000000000006</v>
      </c>
      <c r="G1544" s="196">
        <f t="shared" si="25"/>
        <v>64.400000000000006</v>
      </c>
      <c r="H1544">
        <v>23478</v>
      </c>
      <c r="I1544">
        <v>1516927.3</v>
      </c>
      <c r="M1544" s="647"/>
    </row>
    <row r="1545" spans="1:13" customFormat="1" ht="14.4">
      <c r="A1545" t="s">
        <v>351</v>
      </c>
      <c r="B1545" s="647">
        <v>42650</v>
      </c>
      <c r="C1545">
        <v>64.3</v>
      </c>
      <c r="D1545">
        <v>64.3</v>
      </c>
      <c r="E1545">
        <v>64</v>
      </c>
      <c r="F1545">
        <v>64.3</v>
      </c>
      <c r="G1545" s="196">
        <f t="shared" si="25"/>
        <v>64.3</v>
      </c>
      <c r="H1545">
        <v>45251</v>
      </c>
      <c r="I1545">
        <v>2896267.3</v>
      </c>
      <c r="M1545" s="647"/>
    </row>
    <row r="1546" spans="1:13" customFormat="1" ht="14.4">
      <c r="A1546" t="s">
        <v>351</v>
      </c>
      <c r="B1546" s="647">
        <v>42653</v>
      </c>
      <c r="C1546">
        <v>64.3</v>
      </c>
      <c r="D1546">
        <v>64.3</v>
      </c>
      <c r="E1546">
        <v>63.6</v>
      </c>
      <c r="F1546">
        <v>63.6</v>
      </c>
      <c r="G1546" s="196">
        <f t="shared" si="25"/>
        <v>63.6</v>
      </c>
      <c r="H1546">
        <v>2821</v>
      </c>
      <c r="I1546">
        <v>180435.6</v>
      </c>
      <c r="M1546" s="647"/>
    </row>
    <row r="1547" spans="1:13" customFormat="1" ht="14.4">
      <c r="A1547" t="s">
        <v>351</v>
      </c>
      <c r="B1547" s="647">
        <v>42654</v>
      </c>
      <c r="C1547">
        <v>63.6</v>
      </c>
      <c r="D1547">
        <v>64</v>
      </c>
      <c r="E1547">
        <v>62.8</v>
      </c>
      <c r="F1547">
        <v>64</v>
      </c>
      <c r="G1547" s="196">
        <f t="shared" si="25"/>
        <v>64</v>
      </c>
      <c r="H1547">
        <v>50173</v>
      </c>
      <c r="I1547">
        <v>3204459.6</v>
      </c>
      <c r="M1547" s="647"/>
    </row>
    <row r="1548" spans="1:13" customFormat="1" ht="14.4">
      <c r="A1548" t="s">
        <v>351</v>
      </c>
      <c r="B1548" s="647">
        <v>42655</v>
      </c>
      <c r="C1548">
        <v>63.5</v>
      </c>
      <c r="D1548">
        <v>64</v>
      </c>
      <c r="E1548">
        <v>62.7</v>
      </c>
      <c r="F1548">
        <v>62.9</v>
      </c>
      <c r="G1548" s="196">
        <f t="shared" si="25"/>
        <v>62.9</v>
      </c>
      <c r="H1548">
        <v>16250</v>
      </c>
      <c r="I1548">
        <v>1023736.2</v>
      </c>
      <c r="M1548" s="647"/>
    </row>
    <row r="1549" spans="1:13" customFormat="1" ht="14.4">
      <c r="A1549" t="s">
        <v>351</v>
      </c>
      <c r="B1549" s="647">
        <v>42656</v>
      </c>
      <c r="C1549">
        <v>63.4</v>
      </c>
      <c r="D1549">
        <v>63.4</v>
      </c>
      <c r="E1549">
        <v>62.6</v>
      </c>
      <c r="F1549">
        <v>62.7</v>
      </c>
      <c r="G1549" s="196">
        <f t="shared" si="25"/>
        <v>62.7</v>
      </c>
      <c r="H1549">
        <v>16950</v>
      </c>
      <c r="I1549">
        <v>1066887.5</v>
      </c>
      <c r="M1549" s="647"/>
    </row>
    <row r="1550" spans="1:13" customFormat="1" ht="14.4">
      <c r="A1550" t="s">
        <v>351</v>
      </c>
      <c r="B1550" s="647">
        <v>42657</v>
      </c>
      <c r="C1550">
        <v>62.7</v>
      </c>
      <c r="D1550">
        <v>63.9</v>
      </c>
      <c r="E1550">
        <v>62.5</v>
      </c>
      <c r="F1550">
        <v>62.8</v>
      </c>
      <c r="G1550" s="196">
        <f t="shared" si="25"/>
        <v>62.8</v>
      </c>
      <c r="H1550">
        <v>12670</v>
      </c>
      <c r="I1550">
        <v>796614.5</v>
      </c>
      <c r="M1550" s="647"/>
    </row>
    <row r="1551" spans="1:13" customFormat="1" ht="14.4">
      <c r="A1551" t="s">
        <v>351</v>
      </c>
      <c r="B1551" s="647">
        <v>42660</v>
      </c>
      <c r="C1551">
        <v>64</v>
      </c>
      <c r="D1551">
        <v>64</v>
      </c>
      <c r="E1551">
        <v>62</v>
      </c>
      <c r="F1551">
        <v>63</v>
      </c>
      <c r="G1551" s="196">
        <f t="shared" si="25"/>
        <v>63</v>
      </c>
      <c r="H1551">
        <v>10979</v>
      </c>
      <c r="I1551">
        <v>683994.5</v>
      </c>
      <c r="M1551" s="647"/>
    </row>
    <row r="1552" spans="1:13" customFormat="1" ht="14.4">
      <c r="A1552" t="s">
        <v>351</v>
      </c>
      <c r="B1552" s="647">
        <v>42661</v>
      </c>
      <c r="C1552">
        <v>63.9</v>
      </c>
      <c r="D1552">
        <v>64</v>
      </c>
      <c r="E1552">
        <v>62.6</v>
      </c>
      <c r="F1552">
        <v>64</v>
      </c>
      <c r="G1552" s="196">
        <f t="shared" si="25"/>
        <v>64</v>
      </c>
      <c r="H1552">
        <v>200549</v>
      </c>
      <c r="I1552">
        <v>12832039.4</v>
      </c>
      <c r="M1552" s="647"/>
    </row>
    <row r="1553" spans="1:13" customFormat="1" ht="14.4">
      <c r="A1553" t="s">
        <v>351</v>
      </c>
      <c r="B1553" s="647">
        <v>42662</v>
      </c>
      <c r="C1553">
        <v>64</v>
      </c>
      <c r="D1553">
        <v>64</v>
      </c>
      <c r="E1553">
        <v>63</v>
      </c>
      <c r="F1553">
        <v>64</v>
      </c>
      <c r="G1553" s="196">
        <f t="shared" si="25"/>
        <v>64</v>
      </c>
      <c r="H1553">
        <v>408603</v>
      </c>
      <c r="I1553">
        <v>26150572.300000001</v>
      </c>
      <c r="M1553" s="647"/>
    </row>
    <row r="1554" spans="1:13" customFormat="1" ht="14.4">
      <c r="A1554" t="s">
        <v>351</v>
      </c>
      <c r="B1554" s="647">
        <v>42663</v>
      </c>
      <c r="C1554">
        <v>64</v>
      </c>
      <c r="D1554">
        <v>64</v>
      </c>
      <c r="E1554">
        <v>63.5</v>
      </c>
      <c r="F1554">
        <v>64</v>
      </c>
      <c r="G1554" s="196">
        <f t="shared" si="25"/>
        <v>64</v>
      </c>
      <c r="H1554">
        <v>702983</v>
      </c>
      <c r="I1554">
        <v>44986805.299999997</v>
      </c>
      <c r="M1554" s="647"/>
    </row>
    <row r="1555" spans="1:13" customFormat="1" ht="14.4">
      <c r="A1555" t="s">
        <v>351</v>
      </c>
      <c r="B1555" s="647">
        <v>42664</v>
      </c>
      <c r="C1555">
        <v>64</v>
      </c>
      <c r="D1555">
        <v>64</v>
      </c>
      <c r="E1555">
        <v>63.3</v>
      </c>
      <c r="F1555">
        <v>63.8</v>
      </c>
      <c r="G1555" s="196">
        <f t="shared" si="25"/>
        <v>63.8</v>
      </c>
      <c r="H1555">
        <v>12169</v>
      </c>
      <c r="I1555">
        <v>774684.2</v>
      </c>
      <c r="M1555" s="647"/>
    </row>
    <row r="1556" spans="1:13" customFormat="1" ht="14.4">
      <c r="A1556" t="s">
        <v>351</v>
      </c>
      <c r="B1556" s="647">
        <v>42667</v>
      </c>
      <c r="C1556">
        <v>63.2</v>
      </c>
      <c r="D1556">
        <v>63.9</v>
      </c>
      <c r="E1556">
        <v>63.2</v>
      </c>
      <c r="F1556">
        <v>63.8</v>
      </c>
      <c r="G1556" s="196">
        <f t="shared" si="25"/>
        <v>63.8</v>
      </c>
      <c r="H1556">
        <v>1014</v>
      </c>
      <c r="I1556">
        <v>64721.8</v>
      </c>
      <c r="M1556" s="647"/>
    </row>
    <row r="1557" spans="1:13" customFormat="1" ht="14.4">
      <c r="A1557" t="s">
        <v>351</v>
      </c>
      <c r="B1557" s="647">
        <v>42668</v>
      </c>
      <c r="C1557">
        <v>63.2</v>
      </c>
      <c r="D1557">
        <v>63.8</v>
      </c>
      <c r="E1557">
        <v>63</v>
      </c>
      <c r="F1557">
        <v>63.7</v>
      </c>
      <c r="G1557" s="196">
        <f t="shared" si="25"/>
        <v>63.7</v>
      </c>
      <c r="H1557">
        <v>4176</v>
      </c>
      <c r="I1557">
        <v>264728</v>
      </c>
      <c r="M1557" s="647"/>
    </row>
    <row r="1558" spans="1:13" customFormat="1" ht="14.4">
      <c r="A1558" t="s">
        <v>351</v>
      </c>
      <c r="B1558" s="647">
        <v>42669</v>
      </c>
      <c r="C1558">
        <v>63</v>
      </c>
      <c r="D1558">
        <v>63.4</v>
      </c>
      <c r="E1558">
        <v>63</v>
      </c>
      <c r="F1558">
        <v>63.4</v>
      </c>
      <c r="G1558" s="196">
        <f t="shared" si="25"/>
        <v>63.4</v>
      </c>
      <c r="H1558">
        <v>785</v>
      </c>
      <c r="I1558">
        <v>49675</v>
      </c>
      <c r="M1558" s="647"/>
    </row>
    <row r="1559" spans="1:13" customFormat="1" ht="14.4">
      <c r="A1559" t="s">
        <v>351</v>
      </c>
      <c r="B1559" s="647">
        <v>42670</v>
      </c>
      <c r="C1559">
        <v>63</v>
      </c>
      <c r="D1559">
        <v>63</v>
      </c>
      <c r="E1559">
        <v>62.9</v>
      </c>
      <c r="F1559">
        <v>63</v>
      </c>
      <c r="G1559" s="196">
        <f t="shared" si="25"/>
        <v>63</v>
      </c>
      <c r="H1559">
        <v>305</v>
      </c>
      <c r="I1559">
        <v>19212.5</v>
      </c>
      <c r="M1559" s="647"/>
    </row>
    <row r="1560" spans="1:13" customFormat="1" ht="14.4">
      <c r="A1560" t="s">
        <v>351</v>
      </c>
      <c r="B1560" s="647">
        <v>42671</v>
      </c>
      <c r="C1560">
        <v>62.9</v>
      </c>
      <c r="D1560">
        <v>62.9</v>
      </c>
      <c r="E1560">
        <v>62.9</v>
      </c>
      <c r="F1560">
        <v>63.3</v>
      </c>
      <c r="G1560" s="196">
        <f t="shared" si="25"/>
        <v>63.3</v>
      </c>
      <c r="H1560">
        <v>2281</v>
      </c>
      <c r="I1560">
        <v>144080.4</v>
      </c>
      <c r="M1560" s="647"/>
    </row>
    <row r="1561" spans="1:13" customFormat="1" ht="14.4">
      <c r="A1561" t="s">
        <v>351</v>
      </c>
      <c r="B1561" s="647">
        <v>42674</v>
      </c>
      <c r="C1561">
        <v>62</v>
      </c>
      <c r="D1561">
        <v>63</v>
      </c>
      <c r="E1561">
        <v>62</v>
      </c>
      <c r="F1561">
        <v>63</v>
      </c>
      <c r="G1561" s="196">
        <f t="shared" si="25"/>
        <v>63</v>
      </c>
      <c r="H1561">
        <v>6141</v>
      </c>
      <c r="I1561">
        <v>386891.6</v>
      </c>
      <c r="M1561" s="647"/>
    </row>
    <row r="1562" spans="1:13" customFormat="1" ht="14.4">
      <c r="A1562" t="s">
        <v>351</v>
      </c>
      <c r="B1562" s="647">
        <v>42675</v>
      </c>
      <c r="C1562">
        <v>62.4</v>
      </c>
      <c r="D1562">
        <v>63</v>
      </c>
      <c r="E1562">
        <v>62.4</v>
      </c>
      <c r="F1562">
        <v>62.9</v>
      </c>
      <c r="G1562" s="196">
        <f t="shared" si="25"/>
        <v>62.9</v>
      </c>
      <c r="H1562">
        <v>600</v>
      </c>
      <c r="I1562">
        <v>37740</v>
      </c>
      <c r="M1562" s="647"/>
    </row>
    <row r="1563" spans="1:13" customFormat="1" ht="14.4">
      <c r="A1563" t="s">
        <v>351</v>
      </c>
      <c r="B1563" s="647">
        <v>42676</v>
      </c>
      <c r="C1563" t="e">
        <v>#VALUE!</v>
      </c>
      <c r="D1563" t="e">
        <v>#VALUE!</v>
      </c>
      <c r="E1563" t="e">
        <v>#VALUE!</v>
      </c>
      <c r="F1563">
        <v>62.2</v>
      </c>
      <c r="G1563" s="196">
        <f t="shared" ref="G1563:G1626" si="26">F1563</f>
        <v>62.2</v>
      </c>
      <c r="H1563">
        <v>616067</v>
      </c>
      <c r="I1563">
        <v>38200346.600000001</v>
      </c>
      <c r="M1563" s="647"/>
    </row>
    <row r="1564" spans="1:13" customFormat="1" ht="14.4">
      <c r="A1564" t="s">
        <v>351</v>
      </c>
      <c r="B1564" s="647">
        <v>42677</v>
      </c>
      <c r="C1564">
        <v>63.5</v>
      </c>
      <c r="D1564">
        <v>63.5</v>
      </c>
      <c r="E1564">
        <v>63</v>
      </c>
      <c r="F1564">
        <v>63.1</v>
      </c>
      <c r="G1564" s="196">
        <f t="shared" si="26"/>
        <v>63.1</v>
      </c>
      <c r="H1564">
        <v>320</v>
      </c>
      <c r="I1564">
        <v>20195.5</v>
      </c>
      <c r="M1564" s="647"/>
    </row>
    <row r="1565" spans="1:13" customFormat="1" ht="14.4">
      <c r="A1565" t="s">
        <v>351</v>
      </c>
      <c r="B1565" s="647">
        <v>42678</v>
      </c>
      <c r="C1565">
        <v>63.4</v>
      </c>
      <c r="D1565">
        <v>63.4</v>
      </c>
      <c r="E1565">
        <v>63.4</v>
      </c>
      <c r="F1565">
        <v>63.1</v>
      </c>
      <c r="G1565" s="196">
        <f t="shared" si="26"/>
        <v>63.1</v>
      </c>
      <c r="H1565">
        <v>10</v>
      </c>
      <c r="I1565">
        <v>634</v>
      </c>
      <c r="M1565" s="647"/>
    </row>
    <row r="1566" spans="1:13" customFormat="1" ht="14.4">
      <c r="A1566" t="s">
        <v>351</v>
      </c>
      <c r="B1566" s="647">
        <v>42681</v>
      </c>
      <c r="C1566">
        <v>63</v>
      </c>
      <c r="D1566">
        <v>63</v>
      </c>
      <c r="E1566">
        <v>62.7</v>
      </c>
      <c r="F1566">
        <v>62.6</v>
      </c>
      <c r="G1566" s="196">
        <f t="shared" si="26"/>
        <v>62.6</v>
      </c>
      <c r="H1566">
        <v>7996</v>
      </c>
      <c r="I1566">
        <v>501185.3</v>
      </c>
      <c r="M1566" s="647"/>
    </row>
    <row r="1567" spans="1:13" customFormat="1" ht="14.4">
      <c r="A1567" t="s">
        <v>351</v>
      </c>
      <c r="B1567" s="647">
        <v>42682</v>
      </c>
      <c r="C1567" t="e">
        <v>#VALUE!</v>
      </c>
      <c r="D1567" t="e">
        <v>#VALUE!</v>
      </c>
      <c r="E1567" t="e">
        <v>#VALUE!</v>
      </c>
      <c r="F1567">
        <v>62.6</v>
      </c>
      <c r="G1567" s="196">
        <f t="shared" si="26"/>
        <v>62.6</v>
      </c>
      <c r="H1567">
        <v>0</v>
      </c>
      <c r="I1567">
        <v>0</v>
      </c>
      <c r="M1567" s="647"/>
    </row>
    <row r="1568" spans="1:13" customFormat="1" ht="14.4">
      <c r="A1568" t="s">
        <v>351</v>
      </c>
      <c r="B1568" s="647">
        <v>42683</v>
      </c>
      <c r="C1568">
        <v>63.4</v>
      </c>
      <c r="D1568" t="e">
        <v>#VALUE!</v>
      </c>
      <c r="E1568">
        <v>62</v>
      </c>
      <c r="F1568">
        <v>62</v>
      </c>
      <c r="G1568" s="196">
        <f t="shared" si="26"/>
        <v>62</v>
      </c>
      <c r="H1568">
        <v>1981</v>
      </c>
      <c r="I1568">
        <v>123221</v>
      </c>
      <c r="M1568" s="647"/>
    </row>
    <row r="1569" spans="1:13" customFormat="1" ht="14.4">
      <c r="A1569" t="s">
        <v>351</v>
      </c>
      <c r="B1569" s="647">
        <v>42684</v>
      </c>
      <c r="C1569">
        <v>62</v>
      </c>
      <c r="D1569">
        <v>63.3</v>
      </c>
      <c r="E1569">
        <v>62</v>
      </c>
      <c r="F1569">
        <v>62</v>
      </c>
      <c r="G1569" s="196">
        <f t="shared" si="26"/>
        <v>62</v>
      </c>
      <c r="H1569">
        <v>1202</v>
      </c>
      <c r="I1569">
        <v>74591.600000000006</v>
      </c>
      <c r="M1569" s="647"/>
    </row>
    <row r="1570" spans="1:13" customFormat="1" ht="14.4">
      <c r="A1570" t="s">
        <v>351</v>
      </c>
      <c r="B1570" s="647">
        <v>42685</v>
      </c>
      <c r="C1570" t="e">
        <v>#VALUE!</v>
      </c>
      <c r="D1570" t="e">
        <v>#VALUE!</v>
      </c>
      <c r="E1570" t="e">
        <v>#VALUE!</v>
      </c>
      <c r="F1570">
        <v>62</v>
      </c>
      <c r="G1570" s="196">
        <f t="shared" si="26"/>
        <v>62</v>
      </c>
      <c r="H1570">
        <v>0</v>
      </c>
      <c r="I1570">
        <v>0</v>
      </c>
      <c r="M1570" s="647"/>
    </row>
    <row r="1571" spans="1:13" customFormat="1" ht="14.4">
      <c r="A1571" t="s">
        <v>351</v>
      </c>
      <c r="B1571" s="647">
        <v>42689</v>
      </c>
      <c r="C1571">
        <v>62</v>
      </c>
      <c r="D1571">
        <v>63</v>
      </c>
      <c r="E1571">
        <v>62</v>
      </c>
      <c r="F1571">
        <v>61.5</v>
      </c>
      <c r="G1571" s="196">
        <f t="shared" si="26"/>
        <v>61.5</v>
      </c>
      <c r="H1571">
        <v>1062</v>
      </c>
      <c r="I1571">
        <v>195018.5</v>
      </c>
      <c r="M1571" s="647"/>
    </row>
    <row r="1572" spans="1:13" customFormat="1" ht="14.4">
      <c r="A1572" t="s">
        <v>351</v>
      </c>
      <c r="B1572" s="647">
        <v>42690</v>
      </c>
      <c r="C1572">
        <v>63</v>
      </c>
      <c r="D1572" t="e">
        <v>#VALUE!</v>
      </c>
      <c r="E1572">
        <v>63</v>
      </c>
      <c r="F1572">
        <v>62</v>
      </c>
      <c r="G1572" s="196">
        <f t="shared" si="26"/>
        <v>62</v>
      </c>
      <c r="H1572">
        <v>91616</v>
      </c>
      <c r="I1572">
        <v>5681291.7000000002</v>
      </c>
      <c r="M1572" s="647"/>
    </row>
    <row r="1573" spans="1:13" customFormat="1" ht="14.4">
      <c r="A1573" t="s">
        <v>351</v>
      </c>
      <c r="B1573" s="647">
        <v>42691</v>
      </c>
      <c r="C1573">
        <v>62.5</v>
      </c>
      <c r="D1573">
        <v>62.5</v>
      </c>
      <c r="E1573">
        <v>61</v>
      </c>
      <c r="F1573">
        <v>61.2</v>
      </c>
      <c r="G1573" s="196">
        <f t="shared" si="26"/>
        <v>61.2</v>
      </c>
      <c r="H1573">
        <v>14322</v>
      </c>
      <c r="I1573">
        <v>877281</v>
      </c>
      <c r="M1573" s="647"/>
    </row>
    <row r="1574" spans="1:13" customFormat="1" ht="14.4">
      <c r="A1574" t="s">
        <v>351</v>
      </c>
      <c r="B1574" s="647">
        <v>42692</v>
      </c>
      <c r="C1574">
        <v>62</v>
      </c>
      <c r="D1574">
        <v>62.5</v>
      </c>
      <c r="E1574">
        <v>61.2</v>
      </c>
      <c r="F1574">
        <v>61.6</v>
      </c>
      <c r="G1574" s="196">
        <f t="shared" si="26"/>
        <v>61.6</v>
      </c>
      <c r="H1574">
        <v>10653</v>
      </c>
      <c r="I1574">
        <v>834237.2</v>
      </c>
      <c r="M1574" s="647"/>
    </row>
    <row r="1575" spans="1:13" customFormat="1" ht="14.4">
      <c r="A1575" t="s">
        <v>351</v>
      </c>
      <c r="B1575" s="647">
        <v>42695</v>
      </c>
      <c r="C1575">
        <v>61</v>
      </c>
      <c r="D1575" t="e">
        <v>#VALUE!</v>
      </c>
      <c r="E1575" t="e">
        <v>#VALUE!</v>
      </c>
      <c r="F1575">
        <v>61</v>
      </c>
      <c r="G1575" s="196">
        <f t="shared" si="26"/>
        <v>61</v>
      </c>
      <c r="H1575">
        <v>41003</v>
      </c>
      <c r="I1575">
        <v>2501183</v>
      </c>
      <c r="M1575" s="647"/>
    </row>
    <row r="1576" spans="1:13" customFormat="1" ht="14.4">
      <c r="A1576" t="s">
        <v>351</v>
      </c>
      <c r="B1576" s="647">
        <v>42696</v>
      </c>
      <c r="C1576">
        <v>60.5</v>
      </c>
      <c r="D1576">
        <v>60.5</v>
      </c>
      <c r="E1576">
        <v>60.1</v>
      </c>
      <c r="F1576">
        <v>59.3</v>
      </c>
      <c r="G1576" s="196">
        <f t="shared" si="26"/>
        <v>59.3</v>
      </c>
      <c r="H1576">
        <v>125037</v>
      </c>
      <c r="I1576">
        <v>7498612.5</v>
      </c>
      <c r="M1576" s="647"/>
    </row>
    <row r="1577" spans="1:13" customFormat="1" ht="14.4">
      <c r="A1577" t="s">
        <v>351</v>
      </c>
      <c r="B1577" s="647">
        <v>42697</v>
      </c>
      <c r="C1577" t="e">
        <v>#VALUE!</v>
      </c>
      <c r="D1577" t="e">
        <v>#VALUE!</v>
      </c>
      <c r="E1577" t="e">
        <v>#VALUE!</v>
      </c>
      <c r="F1577">
        <v>59.6</v>
      </c>
      <c r="G1577" s="196">
        <f t="shared" si="26"/>
        <v>59.6</v>
      </c>
      <c r="H1577">
        <v>307406</v>
      </c>
      <c r="I1577">
        <v>18441315.899999999</v>
      </c>
      <c r="M1577" s="647"/>
    </row>
    <row r="1578" spans="1:13" customFormat="1" ht="14.4">
      <c r="A1578" t="s">
        <v>351</v>
      </c>
      <c r="B1578" s="647">
        <v>42698</v>
      </c>
      <c r="C1578">
        <v>60</v>
      </c>
      <c r="D1578">
        <v>60</v>
      </c>
      <c r="E1578">
        <v>59.8</v>
      </c>
      <c r="F1578">
        <v>60</v>
      </c>
      <c r="G1578" s="196">
        <f t="shared" si="26"/>
        <v>60</v>
      </c>
      <c r="H1578">
        <v>14176</v>
      </c>
      <c r="I1578">
        <v>849927.1</v>
      </c>
      <c r="M1578" s="647"/>
    </row>
    <row r="1579" spans="1:13" customFormat="1" ht="14.4">
      <c r="A1579" t="s">
        <v>351</v>
      </c>
      <c r="B1579" s="647">
        <v>42699</v>
      </c>
      <c r="C1579">
        <v>60</v>
      </c>
      <c r="D1579">
        <v>61</v>
      </c>
      <c r="E1579">
        <v>60</v>
      </c>
      <c r="F1579">
        <v>60</v>
      </c>
      <c r="G1579" s="196">
        <f t="shared" si="26"/>
        <v>60</v>
      </c>
      <c r="H1579">
        <v>6553</v>
      </c>
      <c r="I1579">
        <v>393730</v>
      </c>
      <c r="M1579" s="647"/>
    </row>
    <row r="1580" spans="1:13" customFormat="1" ht="14.4">
      <c r="A1580" t="s">
        <v>351</v>
      </c>
      <c r="B1580" s="647">
        <v>42702</v>
      </c>
      <c r="C1580">
        <v>60</v>
      </c>
      <c r="D1580">
        <v>60</v>
      </c>
      <c r="E1580">
        <v>60</v>
      </c>
      <c r="F1580">
        <v>60</v>
      </c>
      <c r="G1580" s="196">
        <f t="shared" si="26"/>
        <v>60</v>
      </c>
      <c r="H1580">
        <v>10000</v>
      </c>
      <c r="I1580">
        <v>600000</v>
      </c>
      <c r="M1580" s="647"/>
    </row>
    <row r="1581" spans="1:13" customFormat="1" ht="14.4">
      <c r="A1581" t="s">
        <v>351</v>
      </c>
      <c r="B1581" s="647">
        <v>42703</v>
      </c>
      <c r="C1581" t="e">
        <v>#VALUE!</v>
      </c>
      <c r="D1581">
        <v>60.1</v>
      </c>
      <c r="E1581" t="e">
        <v>#VALUE!</v>
      </c>
      <c r="F1581">
        <v>60</v>
      </c>
      <c r="G1581" s="196">
        <f t="shared" si="26"/>
        <v>60</v>
      </c>
      <c r="H1581">
        <v>50600</v>
      </c>
      <c r="I1581">
        <v>3036050</v>
      </c>
      <c r="M1581" s="647"/>
    </row>
    <row r="1582" spans="1:13" customFormat="1" ht="14.4">
      <c r="A1582" t="s">
        <v>351</v>
      </c>
      <c r="B1582" s="647">
        <v>42704</v>
      </c>
      <c r="C1582">
        <v>60</v>
      </c>
      <c r="D1582">
        <v>61.8</v>
      </c>
      <c r="E1582">
        <v>60</v>
      </c>
      <c r="F1582">
        <v>59.6</v>
      </c>
      <c r="G1582" s="196">
        <f t="shared" si="26"/>
        <v>59.6</v>
      </c>
      <c r="H1582">
        <v>29469</v>
      </c>
      <c r="I1582">
        <v>1771439.7</v>
      </c>
      <c r="M1582" s="647"/>
    </row>
    <row r="1583" spans="1:13" customFormat="1" ht="14.4">
      <c r="A1583" t="s">
        <v>351</v>
      </c>
      <c r="B1583" s="647">
        <v>42705</v>
      </c>
      <c r="C1583" t="e">
        <v>#VALUE!</v>
      </c>
      <c r="D1583">
        <v>61.9</v>
      </c>
      <c r="E1583" t="e">
        <v>#VALUE!</v>
      </c>
      <c r="F1583">
        <v>61.9</v>
      </c>
      <c r="G1583" s="196">
        <f t="shared" si="26"/>
        <v>61.9</v>
      </c>
      <c r="H1583">
        <v>37648</v>
      </c>
      <c r="I1583">
        <v>2294078</v>
      </c>
      <c r="M1583" s="647"/>
    </row>
    <row r="1584" spans="1:13" customFormat="1" ht="14.4">
      <c r="A1584" t="s">
        <v>351</v>
      </c>
      <c r="B1584" s="647">
        <v>42706</v>
      </c>
      <c r="C1584">
        <v>61.9</v>
      </c>
      <c r="D1584" t="e">
        <v>#VALUE!</v>
      </c>
      <c r="E1584">
        <v>60.3</v>
      </c>
      <c r="F1584">
        <v>60.3</v>
      </c>
      <c r="G1584" s="196">
        <f t="shared" si="26"/>
        <v>60.3</v>
      </c>
      <c r="H1584">
        <v>3058</v>
      </c>
      <c r="I1584">
        <v>184613.2</v>
      </c>
      <c r="M1584" s="647"/>
    </row>
    <row r="1585" spans="1:13" customFormat="1" ht="14.4">
      <c r="A1585" t="s">
        <v>351</v>
      </c>
      <c r="B1585" s="647">
        <v>42709</v>
      </c>
      <c r="C1585">
        <v>61.5</v>
      </c>
      <c r="D1585" t="e">
        <v>#VALUE!</v>
      </c>
      <c r="E1585">
        <v>61.4</v>
      </c>
      <c r="F1585">
        <v>61.5</v>
      </c>
      <c r="G1585" s="196">
        <f t="shared" si="26"/>
        <v>61.5</v>
      </c>
      <c r="H1585">
        <v>1160</v>
      </c>
      <c r="I1585">
        <v>71334</v>
      </c>
      <c r="M1585" s="647"/>
    </row>
    <row r="1586" spans="1:13" customFormat="1" ht="14.4">
      <c r="A1586" t="s">
        <v>351</v>
      </c>
      <c r="B1586" s="647">
        <v>42710</v>
      </c>
      <c r="C1586">
        <v>61.3</v>
      </c>
      <c r="D1586">
        <v>61.3</v>
      </c>
      <c r="E1586">
        <v>60.5</v>
      </c>
      <c r="F1586">
        <v>60.9</v>
      </c>
      <c r="G1586" s="196">
        <f t="shared" si="26"/>
        <v>60.9</v>
      </c>
      <c r="H1586">
        <v>2170</v>
      </c>
      <c r="I1586">
        <v>131940</v>
      </c>
      <c r="M1586" s="647"/>
    </row>
    <row r="1587" spans="1:13" customFormat="1" ht="14.4">
      <c r="A1587" t="s">
        <v>351</v>
      </c>
      <c r="B1587" s="647">
        <v>42711</v>
      </c>
      <c r="C1587">
        <v>60.9</v>
      </c>
      <c r="D1587" t="e">
        <v>#VALUE!</v>
      </c>
      <c r="E1587">
        <v>59.9</v>
      </c>
      <c r="F1587">
        <v>60</v>
      </c>
      <c r="G1587" s="196">
        <f t="shared" si="26"/>
        <v>60</v>
      </c>
      <c r="H1587">
        <v>116778</v>
      </c>
      <c r="I1587">
        <v>7007953.4000000004</v>
      </c>
      <c r="M1587" s="647"/>
    </row>
    <row r="1588" spans="1:13" customFormat="1" ht="14.4">
      <c r="A1588" t="s">
        <v>351</v>
      </c>
      <c r="B1588" s="647">
        <v>42712</v>
      </c>
      <c r="C1588">
        <v>60</v>
      </c>
      <c r="D1588">
        <v>60.6</v>
      </c>
      <c r="E1588">
        <v>59.5</v>
      </c>
      <c r="F1588">
        <v>60</v>
      </c>
      <c r="G1588" s="196">
        <f t="shared" si="26"/>
        <v>60</v>
      </c>
      <c r="H1588">
        <v>44322</v>
      </c>
      <c r="I1588">
        <v>2659079</v>
      </c>
      <c r="M1588" s="647"/>
    </row>
    <row r="1589" spans="1:13" customFormat="1" ht="14.4">
      <c r="A1589" t="s">
        <v>351</v>
      </c>
      <c r="B1589" s="647">
        <v>42713</v>
      </c>
      <c r="C1589">
        <v>60</v>
      </c>
      <c r="D1589">
        <v>60</v>
      </c>
      <c r="E1589">
        <v>59.6</v>
      </c>
      <c r="F1589">
        <v>59.9</v>
      </c>
      <c r="G1589" s="196">
        <f t="shared" si="26"/>
        <v>59.9</v>
      </c>
      <c r="H1589">
        <v>714</v>
      </c>
      <c r="I1589">
        <v>42804</v>
      </c>
      <c r="M1589" s="647"/>
    </row>
    <row r="1590" spans="1:13" customFormat="1" ht="14.4">
      <c r="A1590" t="s">
        <v>351</v>
      </c>
      <c r="B1590" s="647">
        <v>42718</v>
      </c>
      <c r="C1590">
        <v>59.5</v>
      </c>
      <c r="D1590">
        <v>59.6</v>
      </c>
      <c r="E1590">
        <v>59.5</v>
      </c>
      <c r="F1590">
        <v>59.6</v>
      </c>
      <c r="G1590" s="196">
        <f t="shared" si="26"/>
        <v>59.6</v>
      </c>
      <c r="H1590">
        <v>40105</v>
      </c>
      <c r="I1590">
        <v>2390247.5</v>
      </c>
      <c r="M1590" s="647"/>
    </row>
    <row r="1591" spans="1:13" customFormat="1" ht="14.4">
      <c r="A1591" t="s">
        <v>351</v>
      </c>
      <c r="B1591" s="647">
        <v>42719</v>
      </c>
      <c r="C1591">
        <v>60</v>
      </c>
      <c r="D1591">
        <v>60</v>
      </c>
      <c r="E1591">
        <v>60</v>
      </c>
      <c r="F1591">
        <v>60</v>
      </c>
      <c r="G1591" s="196">
        <f t="shared" si="26"/>
        <v>60</v>
      </c>
      <c r="H1591">
        <v>200000</v>
      </c>
      <c r="I1591">
        <v>12000000</v>
      </c>
      <c r="M1591" s="647"/>
    </row>
    <row r="1592" spans="1:13" customFormat="1" ht="14.4">
      <c r="A1592" t="s">
        <v>351</v>
      </c>
      <c r="B1592" s="647">
        <v>42720</v>
      </c>
      <c r="C1592">
        <v>59.3</v>
      </c>
      <c r="D1592">
        <v>60</v>
      </c>
      <c r="E1592">
        <v>59.3</v>
      </c>
      <c r="F1592">
        <v>59.4</v>
      </c>
      <c r="G1592" s="196">
        <f t="shared" si="26"/>
        <v>59.4</v>
      </c>
      <c r="H1592">
        <v>215</v>
      </c>
      <c r="I1592">
        <v>12764.2</v>
      </c>
      <c r="M1592" s="647"/>
    </row>
    <row r="1593" spans="1:13" customFormat="1" ht="14.4">
      <c r="A1593" t="s">
        <v>351</v>
      </c>
      <c r="B1593" s="647">
        <v>42723</v>
      </c>
      <c r="C1593">
        <v>60.8</v>
      </c>
      <c r="D1593">
        <v>61</v>
      </c>
      <c r="E1593">
        <v>59.5</v>
      </c>
      <c r="F1593">
        <v>59.9</v>
      </c>
      <c r="G1593" s="196">
        <f t="shared" si="26"/>
        <v>59.9</v>
      </c>
      <c r="H1593">
        <v>1101</v>
      </c>
      <c r="I1593">
        <v>66089</v>
      </c>
      <c r="M1593" s="647"/>
    </row>
    <row r="1594" spans="1:13" customFormat="1" ht="14.4">
      <c r="A1594" t="s">
        <v>351</v>
      </c>
      <c r="B1594" s="647">
        <v>42724</v>
      </c>
      <c r="C1594">
        <v>59.7</v>
      </c>
      <c r="D1594">
        <v>61</v>
      </c>
      <c r="E1594">
        <v>59.7</v>
      </c>
      <c r="F1594">
        <v>59.8</v>
      </c>
      <c r="G1594" s="196">
        <f t="shared" si="26"/>
        <v>59.8</v>
      </c>
      <c r="H1594">
        <v>551</v>
      </c>
      <c r="I1594">
        <v>32961</v>
      </c>
      <c r="M1594" s="647"/>
    </row>
    <row r="1595" spans="1:13" customFormat="1" ht="14.4">
      <c r="A1595" t="s">
        <v>351</v>
      </c>
      <c r="B1595" s="647">
        <v>42725</v>
      </c>
      <c r="C1595">
        <v>59.6</v>
      </c>
      <c r="D1595">
        <v>61</v>
      </c>
      <c r="E1595">
        <v>59.6</v>
      </c>
      <c r="F1595">
        <v>60</v>
      </c>
      <c r="G1595" s="196">
        <f t="shared" si="26"/>
        <v>60</v>
      </c>
      <c r="H1595">
        <v>10708</v>
      </c>
      <c r="I1595">
        <v>642339.6</v>
      </c>
      <c r="M1595" s="647"/>
    </row>
    <row r="1596" spans="1:13" customFormat="1" ht="14.4">
      <c r="A1596" t="s">
        <v>351</v>
      </c>
      <c r="B1596" s="647">
        <v>42726</v>
      </c>
      <c r="C1596">
        <v>60</v>
      </c>
      <c r="D1596">
        <v>60</v>
      </c>
      <c r="E1596">
        <v>60</v>
      </c>
      <c r="F1596">
        <v>60</v>
      </c>
      <c r="G1596" s="196">
        <f t="shared" si="26"/>
        <v>60</v>
      </c>
      <c r="H1596">
        <v>1800</v>
      </c>
      <c r="I1596">
        <v>108000</v>
      </c>
      <c r="M1596" s="647"/>
    </row>
    <row r="1597" spans="1:13" customFormat="1" ht="14.4">
      <c r="A1597" t="s">
        <v>351</v>
      </c>
      <c r="B1597" s="647">
        <v>42727</v>
      </c>
      <c r="C1597">
        <v>59.8</v>
      </c>
      <c r="D1597">
        <v>60.5</v>
      </c>
      <c r="E1597">
        <v>59.8</v>
      </c>
      <c r="F1597">
        <v>59.8</v>
      </c>
      <c r="G1597" s="196">
        <f t="shared" si="26"/>
        <v>59.8</v>
      </c>
      <c r="H1597">
        <v>1030</v>
      </c>
      <c r="I1597">
        <v>61601</v>
      </c>
      <c r="M1597" s="647"/>
    </row>
    <row r="1598" spans="1:13" customFormat="1" ht="14.4">
      <c r="A1598" t="s">
        <v>351</v>
      </c>
      <c r="B1598" s="647">
        <v>42731</v>
      </c>
      <c r="C1598">
        <v>60.4</v>
      </c>
      <c r="D1598">
        <v>60.4</v>
      </c>
      <c r="E1598">
        <v>59.8</v>
      </c>
      <c r="F1598">
        <v>59.8</v>
      </c>
      <c r="G1598" s="196">
        <f t="shared" si="26"/>
        <v>59.8</v>
      </c>
      <c r="H1598">
        <v>2304</v>
      </c>
      <c r="I1598">
        <v>137859.79999999999</v>
      </c>
      <c r="M1598" s="647"/>
    </row>
    <row r="1599" spans="1:13" customFormat="1" ht="14.4">
      <c r="A1599" t="s">
        <v>351</v>
      </c>
      <c r="B1599" s="647">
        <v>42732</v>
      </c>
      <c r="C1599">
        <v>61</v>
      </c>
      <c r="D1599">
        <v>61</v>
      </c>
      <c r="E1599">
        <v>60.6</v>
      </c>
      <c r="F1599">
        <v>60.7</v>
      </c>
      <c r="G1599" s="196">
        <f t="shared" si="26"/>
        <v>60.7</v>
      </c>
      <c r="H1599">
        <v>466</v>
      </c>
      <c r="I1599">
        <v>28266</v>
      </c>
      <c r="M1599" s="647"/>
    </row>
    <row r="1600" spans="1:13" customFormat="1" ht="14.4">
      <c r="A1600" t="s">
        <v>351</v>
      </c>
      <c r="B1600" s="647">
        <v>42733</v>
      </c>
      <c r="C1600">
        <v>61.5</v>
      </c>
      <c r="D1600">
        <v>61.5</v>
      </c>
      <c r="E1600">
        <v>61.5</v>
      </c>
      <c r="F1600">
        <v>61.5</v>
      </c>
      <c r="G1600" s="196">
        <f t="shared" si="26"/>
        <v>61.5</v>
      </c>
      <c r="H1600">
        <v>200</v>
      </c>
      <c r="I1600">
        <v>12300</v>
      </c>
      <c r="M1600" s="647"/>
    </row>
    <row r="1601" spans="1:13" customFormat="1" ht="14.4">
      <c r="A1601" t="s">
        <v>351</v>
      </c>
      <c r="B1601" s="647">
        <v>42734</v>
      </c>
      <c r="C1601">
        <v>60.6</v>
      </c>
      <c r="D1601">
        <v>61.5</v>
      </c>
      <c r="E1601">
        <v>60.5</v>
      </c>
      <c r="F1601">
        <v>60.5</v>
      </c>
      <c r="G1601" s="196">
        <f t="shared" si="26"/>
        <v>60.5</v>
      </c>
      <c r="H1601">
        <v>9600</v>
      </c>
      <c r="I1601">
        <v>580930</v>
      </c>
      <c r="M1601" s="647"/>
    </row>
    <row r="1602" spans="1:13" customFormat="1" ht="14.4">
      <c r="A1602" t="s">
        <v>351</v>
      </c>
      <c r="B1602" s="647">
        <v>42737</v>
      </c>
      <c r="C1602">
        <v>60.5</v>
      </c>
      <c r="D1602">
        <v>61.5</v>
      </c>
      <c r="E1602">
        <v>60.5</v>
      </c>
      <c r="F1602">
        <v>60.5</v>
      </c>
      <c r="G1602" s="196">
        <f t="shared" si="26"/>
        <v>60.5</v>
      </c>
      <c r="H1602">
        <v>820</v>
      </c>
      <c r="I1602">
        <v>49620</v>
      </c>
      <c r="M1602" s="647"/>
    </row>
    <row r="1603" spans="1:13" customFormat="1" ht="14.4">
      <c r="A1603" t="s">
        <v>351</v>
      </c>
      <c r="B1603" s="647">
        <v>42738</v>
      </c>
      <c r="C1603">
        <v>60.1</v>
      </c>
      <c r="D1603">
        <v>60.2</v>
      </c>
      <c r="E1603">
        <v>59.9</v>
      </c>
      <c r="F1603">
        <v>60</v>
      </c>
      <c r="G1603" s="196">
        <f t="shared" si="26"/>
        <v>60</v>
      </c>
      <c r="H1603">
        <v>17642</v>
      </c>
      <c r="I1603">
        <v>1058699.8999999999</v>
      </c>
      <c r="M1603" s="647"/>
    </row>
    <row r="1604" spans="1:13" customFormat="1" ht="14.4">
      <c r="A1604" t="s">
        <v>351</v>
      </c>
      <c r="B1604" s="647">
        <v>42739</v>
      </c>
      <c r="C1604">
        <v>60</v>
      </c>
      <c r="D1604">
        <v>60</v>
      </c>
      <c r="E1604">
        <v>59.8</v>
      </c>
      <c r="F1604">
        <v>60</v>
      </c>
      <c r="G1604" s="196">
        <f t="shared" si="26"/>
        <v>60</v>
      </c>
      <c r="H1604">
        <v>5259</v>
      </c>
      <c r="I1604">
        <v>315492.2</v>
      </c>
      <c r="M1604" s="647"/>
    </row>
    <row r="1605" spans="1:13" customFormat="1" ht="14.4">
      <c r="A1605" t="s">
        <v>351</v>
      </c>
      <c r="B1605" s="647">
        <v>42740</v>
      </c>
      <c r="C1605" t="e">
        <v>#VALUE!</v>
      </c>
      <c r="D1605" t="e">
        <v>#VALUE!</v>
      </c>
      <c r="E1605" t="e">
        <v>#VALUE!</v>
      </c>
      <c r="F1605">
        <v>60</v>
      </c>
      <c r="G1605" s="196">
        <f t="shared" si="26"/>
        <v>60</v>
      </c>
      <c r="H1605">
        <v>0</v>
      </c>
      <c r="I1605">
        <v>0</v>
      </c>
      <c r="M1605" s="647"/>
    </row>
    <row r="1606" spans="1:13" customFormat="1" ht="14.4">
      <c r="A1606" t="s">
        <v>351</v>
      </c>
      <c r="B1606" s="647">
        <v>42741</v>
      </c>
      <c r="C1606">
        <v>59.9</v>
      </c>
      <c r="D1606">
        <v>59.9</v>
      </c>
      <c r="E1606">
        <v>59.9</v>
      </c>
      <c r="F1606">
        <v>59.9</v>
      </c>
      <c r="G1606" s="196">
        <f t="shared" si="26"/>
        <v>59.9</v>
      </c>
      <c r="H1606">
        <v>6000</v>
      </c>
      <c r="I1606">
        <v>359400</v>
      </c>
      <c r="M1606" s="647"/>
    </row>
    <row r="1607" spans="1:13" customFormat="1" ht="14.4">
      <c r="A1607" t="s">
        <v>351</v>
      </c>
      <c r="B1607" s="647">
        <v>42744</v>
      </c>
      <c r="C1607">
        <v>59.9</v>
      </c>
      <c r="D1607">
        <v>60</v>
      </c>
      <c r="E1607">
        <v>59.9</v>
      </c>
      <c r="F1607">
        <v>60</v>
      </c>
      <c r="G1607" s="196">
        <f t="shared" si="26"/>
        <v>60</v>
      </c>
      <c r="H1607">
        <v>27116</v>
      </c>
      <c r="I1607">
        <v>1625960</v>
      </c>
      <c r="M1607" s="647"/>
    </row>
    <row r="1608" spans="1:13" customFormat="1" ht="14.4">
      <c r="A1608" t="s">
        <v>351</v>
      </c>
      <c r="B1608" s="647">
        <v>42745</v>
      </c>
      <c r="C1608">
        <v>60</v>
      </c>
      <c r="D1608">
        <v>61</v>
      </c>
      <c r="E1608">
        <v>60</v>
      </c>
      <c r="F1608">
        <v>60.2</v>
      </c>
      <c r="G1608" s="196">
        <f t="shared" si="26"/>
        <v>60.2</v>
      </c>
      <c r="H1608">
        <v>4642</v>
      </c>
      <c r="I1608">
        <v>280352</v>
      </c>
      <c r="M1608" s="647"/>
    </row>
    <row r="1609" spans="1:13" customFormat="1" ht="14.4">
      <c r="A1609" t="s">
        <v>351</v>
      </c>
      <c r="B1609" s="647">
        <v>42746</v>
      </c>
      <c r="C1609">
        <v>60.2</v>
      </c>
      <c r="D1609">
        <v>60.5</v>
      </c>
      <c r="E1609">
        <v>60</v>
      </c>
      <c r="F1609">
        <v>60.3</v>
      </c>
      <c r="G1609" s="196">
        <f t="shared" si="26"/>
        <v>60.3</v>
      </c>
      <c r="H1609">
        <v>64050</v>
      </c>
      <c r="I1609">
        <v>3867385</v>
      </c>
      <c r="M1609" s="647"/>
    </row>
    <row r="1610" spans="1:13" customFormat="1" ht="14.4">
      <c r="A1610" t="s">
        <v>351</v>
      </c>
      <c r="B1610" s="647">
        <v>42748</v>
      </c>
      <c r="C1610">
        <v>60.1</v>
      </c>
      <c r="D1610">
        <v>60.7</v>
      </c>
      <c r="E1610">
        <v>59.1</v>
      </c>
      <c r="F1610">
        <v>60.6</v>
      </c>
      <c r="G1610" s="196">
        <f t="shared" si="26"/>
        <v>60.6</v>
      </c>
      <c r="H1610">
        <v>14044</v>
      </c>
      <c r="I1610">
        <v>850060.80000000005</v>
      </c>
      <c r="M1610" s="647"/>
    </row>
    <row r="1611" spans="1:13" customFormat="1" ht="14.4">
      <c r="A1611" t="s">
        <v>351</v>
      </c>
      <c r="B1611" s="647">
        <v>42751</v>
      </c>
      <c r="C1611">
        <v>61</v>
      </c>
      <c r="D1611">
        <v>61</v>
      </c>
      <c r="E1611">
        <v>61</v>
      </c>
      <c r="F1611">
        <v>61</v>
      </c>
      <c r="G1611" s="196">
        <f t="shared" si="26"/>
        <v>61</v>
      </c>
      <c r="H1611">
        <v>310</v>
      </c>
      <c r="I1611">
        <v>18910</v>
      </c>
      <c r="M1611" s="647"/>
    </row>
    <row r="1612" spans="1:13" customFormat="1" ht="14.4">
      <c r="A1612" t="s">
        <v>351</v>
      </c>
      <c r="B1612" s="647">
        <v>42752</v>
      </c>
      <c r="C1612">
        <v>60</v>
      </c>
      <c r="D1612">
        <v>61</v>
      </c>
      <c r="E1612">
        <v>60</v>
      </c>
      <c r="F1612">
        <v>60</v>
      </c>
      <c r="G1612" s="196">
        <f t="shared" si="26"/>
        <v>60</v>
      </c>
      <c r="H1612">
        <v>14092</v>
      </c>
      <c r="I1612">
        <v>847608</v>
      </c>
      <c r="M1612" s="647"/>
    </row>
    <row r="1613" spans="1:13" customFormat="1" ht="14.4">
      <c r="A1613" t="s">
        <v>351</v>
      </c>
      <c r="B1613" s="647">
        <v>42753</v>
      </c>
      <c r="C1613">
        <v>59.6</v>
      </c>
      <c r="D1613">
        <v>60.9</v>
      </c>
      <c r="E1613">
        <v>59.1</v>
      </c>
      <c r="F1613">
        <v>60</v>
      </c>
      <c r="G1613" s="196">
        <f t="shared" si="26"/>
        <v>60</v>
      </c>
      <c r="H1613">
        <v>12800</v>
      </c>
      <c r="I1613">
        <v>762467</v>
      </c>
      <c r="M1613" s="647"/>
    </row>
    <row r="1614" spans="1:13" customFormat="1" ht="14.4">
      <c r="A1614" t="s">
        <v>351</v>
      </c>
      <c r="B1614" s="647">
        <v>42754</v>
      </c>
      <c r="C1614">
        <v>60</v>
      </c>
      <c r="D1614">
        <v>60</v>
      </c>
      <c r="E1614">
        <v>60</v>
      </c>
      <c r="F1614">
        <v>60</v>
      </c>
      <c r="G1614" s="196">
        <f t="shared" si="26"/>
        <v>60</v>
      </c>
      <c r="H1614">
        <v>2000</v>
      </c>
      <c r="I1614">
        <v>120000</v>
      </c>
      <c r="M1614" s="647"/>
    </row>
    <row r="1615" spans="1:13" customFormat="1" ht="14.4">
      <c r="A1615" t="s">
        <v>351</v>
      </c>
      <c r="B1615" s="647">
        <v>42755</v>
      </c>
      <c r="C1615">
        <v>60</v>
      </c>
      <c r="D1615">
        <v>60</v>
      </c>
      <c r="E1615">
        <v>60</v>
      </c>
      <c r="F1615">
        <v>60</v>
      </c>
      <c r="G1615" s="196">
        <f t="shared" si="26"/>
        <v>60</v>
      </c>
      <c r="H1615">
        <v>70</v>
      </c>
      <c r="I1615">
        <v>4200</v>
      </c>
      <c r="M1615" s="647"/>
    </row>
    <row r="1616" spans="1:13" customFormat="1" ht="14.4">
      <c r="A1616" t="s">
        <v>351</v>
      </c>
      <c r="B1616" s="647">
        <v>42758</v>
      </c>
      <c r="C1616">
        <v>60.5</v>
      </c>
      <c r="D1616">
        <v>60.5</v>
      </c>
      <c r="E1616">
        <v>59.6</v>
      </c>
      <c r="F1616">
        <v>60</v>
      </c>
      <c r="G1616" s="196">
        <f t="shared" si="26"/>
        <v>60</v>
      </c>
      <c r="H1616">
        <v>10128</v>
      </c>
      <c r="I1616">
        <v>607718.80000000005</v>
      </c>
      <c r="M1616" s="647"/>
    </row>
    <row r="1617" spans="1:14" customFormat="1" ht="14.4">
      <c r="A1617" t="s">
        <v>351</v>
      </c>
      <c r="B1617" s="647">
        <v>42759</v>
      </c>
      <c r="C1617">
        <v>59.6</v>
      </c>
      <c r="D1617">
        <v>59.6</v>
      </c>
      <c r="E1617">
        <v>59.5</v>
      </c>
      <c r="F1617">
        <v>59.5</v>
      </c>
      <c r="G1617" s="196">
        <f t="shared" si="26"/>
        <v>59.5</v>
      </c>
      <c r="H1617">
        <v>18173</v>
      </c>
      <c r="I1617">
        <v>1081295.3</v>
      </c>
      <c r="M1617" s="647"/>
    </row>
    <row r="1618" spans="1:14" customFormat="1" ht="14.4">
      <c r="A1618" t="s">
        <v>351</v>
      </c>
      <c r="B1618" s="647">
        <v>42760</v>
      </c>
      <c r="C1618">
        <v>59.5</v>
      </c>
      <c r="D1618">
        <v>60.9</v>
      </c>
      <c r="E1618">
        <v>59</v>
      </c>
      <c r="F1618">
        <v>59.2</v>
      </c>
      <c r="G1618" s="196">
        <f t="shared" si="26"/>
        <v>59.2</v>
      </c>
      <c r="H1618">
        <v>2515</v>
      </c>
      <c r="I1618">
        <v>148994.5</v>
      </c>
      <c r="M1618" s="647"/>
    </row>
    <row r="1619" spans="1:14" customFormat="1" ht="14.4">
      <c r="A1619" t="s">
        <v>351</v>
      </c>
      <c r="B1619" s="647">
        <v>42761</v>
      </c>
      <c r="C1619">
        <v>60</v>
      </c>
      <c r="D1619">
        <v>60</v>
      </c>
      <c r="E1619">
        <v>60</v>
      </c>
      <c r="F1619">
        <v>60</v>
      </c>
      <c r="G1619" s="196">
        <f t="shared" si="26"/>
        <v>60</v>
      </c>
      <c r="H1619">
        <v>73470</v>
      </c>
      <c r="I1619">
        <v>4408200</v>
      </c>
      <c r="M1619" s="647"/>
    </row>
    <row r="1620" spans="1:14" customFormat="1" ht="14.4">
      <c r="A1620" t="s">
        <v>351</v>
      </c>
      <c r="B1620" s="647">
        <v>42762</v>
      </c>
      <c r="C1620">
        <v>59.8</v>
      </c>
      <c r="D1620">
        <v>59.8</v>
      </c>
      <c r="E1620">
        <v>59</v>
      </c>
      <c r="F1620">
        <v>59</v>
      </c>
      <c r="G1620" s="196">
        <f t="shared" si="26"/>
        <v>59</v>
      </c>
      <c r="H1620">
        <v>12024</v>
      </c>
      <c r="I1620">
        <v>710616</v>
      </c>
      <c r="M1620" s="647"/>
    </row>
    <row r="1621" spans="1:14" customFormat="1" ht="14.4">
      <c r="A1621" t="s">
        <v>351</v>
      </c>
      <c r="B1621" s="647">
        <v>42765</v>
      </c>
      <c r="C1621">
        <v>59</v>
      </c>
      <c r="D1621">
        <v>59</v>
      </c>
      <c r="E1621">
        <v>58</v>
      </c>
      <c r="F1621">
        <v>59</v>
      </c>
      <c r="G1621" s="196">
        <f t="shared" si="26"/>
        <v>59</v>
      </c>
      <c r="H1621">
        <v>831</v>
      </c>
      <c r="I1621">
        <v>48899</v>
      </c>
      <c r="M1621" s="257"/>
    </row>
    <row r="1622" spans="1:14" customFormat="1" ht="14.4">
      <c r="A1622" t="s">
        <v>351</v>
      </c>
      <c r="B1622" s="647">
        <v>42766</v>
      </c>
      <c r="C1622">
        <v>59</v>
      </c>
      <c r="D1622">
        <v>59</v>
      </c>
      <c r="E1622">
        <v>58</v>
      </c>
      <c r="F1622">
        <v>59</v>
      </c>
      <c r="G1622" s="196">
        <f t="shared" si="26"/>
        <v>59</v>
      </c>
      <c r="H1622">
        <v>7954</v>
      </c>
      <c r="I1622">
        <v>469276</v>
      </c>
      <c r="M1622" s="257"/>
    </row>
    <row r="1623" spans="1:14" customFormat="1" ht="14.4">
      <c r="A1623" t="s">
        <v>351</v>
      </c>
      <c r="B1623" s="647">
        <v>42767</v>
      </c>
      <c r="C1623" t="e">
        <v>#VALUE!</v>
      </c>
      <c r="D1623" t="e">
        <v>#VALUE!</v>
      </c>
      <c r="E1623" t="e">
        <v>#VALUE!</v>
      </c>
      <c r="F1623">
        <v>59</v>
      </c>
      <c r="G1623" s="196">
        <f t="shared" si="26"/>
        <v>59</v>
      </c>
      <c r="H1623">
        <v>0</v>
      </c>
      <c r="I1623">
        <v>0</v>
      </c>
      <c r="M1623" s="257"/>
    </row>
    <row r="1624" spans="1:14" customFormat="1" ht="14.4">
      <c r="A1624" t="s">
        <v>351</v>
      </c>
      <c r="B1624" s="647">
        <v>42768</v>
      </c>
      <c r="C1624">
        <v>59</v>
      </c>
      <c r="D1624">
        <v>59</v>
      </c>
      <c r="E1624">
        <v>58</v>
      </c>
      <c r="F1624">
        <v>58</v>
      </c>
      <c r="G1624" s="196">
        <f t="shared" si="26"/>
        <v>58</v>
      </c>
      <c r="H1624">
        <v>1370</v>
      </c>
      <c r="I1624">
        <v>79530</v>
      </c>
      <c r="M1624" s="257"/>
    </row>
    <row r="1625" spans="1:14" customFormat="1" ht="14.4">
      <c r="A1625" t="s">
        <v>351</v>
      </c>
      <c r="B1625" s="647">
        <v>42769</v>
      </c>
      <c r="C1625">
        <v>58.4</v>
      </c>
      <c r="D1625">
        <v>58.8</v>
      </c>
      <c r="E1625">
        <v>58</v>
      </c>
      <c r="F1625">
        <v>58.8</v>
      </c>
      <c r="G1625" s="196">
        <f t="shared" si="26"/>
        <v>58.8</v>
      </c>
      <c r="H1625">
        <v>2480</v>
      </c>
      <c r="I1625">
        <v>144072</v>
      </c>
      <c r="M1625" s="257"/>
    </row>
    <row r="1626" spans="1:14" customFormat="1" ht="14.4">
      <c r="A1626" t="s">
        <v>351</v>
      </c>
      <c r="B1626" s="647">
        <v>42772</v>
      </c>
      <c r="C1626">
        <v>57.2</v>
      </c>
      <c r="D1626">
        <v>57.2</v>
      </c>
      <c r="E1626">
        <v>57</v>
      </c>
      <c r="F1626">
        <v>57</v>
      </c>
      <c r="G1626" s="196">
        <f t="shared" si="26"/>
        <v>57</v>
      </c>
      <c r="H1626">
        <v>13916</v>
      </c>
      <c r="I1626">
        <v>793402.1</v>
      </c>
      <c r="M1626" s="257"/>
    </row>
    <row r="1627" spans="1:14" customFormat="1" ht="14.4">
      <c r="A1627" t="s">
        <v>351</v>
      </c>
      <c r="B1627" s="647">
        <v>42773</v>
      </c>
      <c r="C1627">
        <v>57</v>
      </c>
      <c r="D1627">
        <v>58.6</v>
      </c>
      <c r="E1627">
        <v>57</v>
      </c>
      <c r="F1627">
        <v>57.7</v>
      </c>
      <c r="G1627" s="196">
        <f t="shared" ref="G1627:G1690" si="27">F1627</f>
        <v>57.7</v>
      </c>
      <c r="H1627">
        <v>15105</v>
      </c>
      <c r="I1627">
        <v>866600.7</v>
      </c>
      <c r="M1627" s="257"/>
    </row>
    <row r="1628" spans="1:14" customFormat="1" ht="14.4">
      <c r="A1628" t="s">
        <v>351</v>
      </c>
      <c r="B1628" s="647">
        <v>42774</v>
      </c>
      <c r="C1628">
        <v>58.9</v>
      </c>
      <c r="D1628">
        <v>58.9</v>
      </c>
      <c r="E1628">
        <v>58.9</v>
      </c>
      <c r="F1628">
        <v>57.7</v>
      </c>
      <c r="G1628" s="196">
        <f t="shared" si="27"/>
        <v>57.7</v>
      </c>
      <c r="H1628">
        <v>1</v>
      </c>
      <c r="I1628">
        <v>58.9</v>
      </c>
      <c r="M1628" s="257"/>
    </row>
    <row r="1629" spans="1:14" customFormat="1" ht="14.4">
      <c r="A1629" t="s">
        <v>351</v>
      </c>
      <c r="B1629" s="647">
        <v>42775</v>
      </c>
      <c r="C1629">
        <v>58</v>
      </c>
      <c r="D1629">
        <v>58.9</v>
      </c>
      <c r="E1629">
        <v>56</v>
      </c>
      <c r="F1629">
        <v>57.3</v>
      </c>
      <c r="G1629" s="196">
        <f t="shared" si="27"/>
        <v>57.3</v>
      </c>
      <c r="H1629">
        <v>3764</v>
      </c>
      <c r="I1629">
        <v>216198.7</v>
      </c>
      <c r="L1629" s="191"/>
      <c r="M1629" s="257"/>
      <c r="N1629" s="191"/>
    </row>
    <row r="1630" spans="1:14" customFormat="1" ht="14.4">
      <c r="A1630" t="s">
        <v>351</v>
      </c>
      <c r="B1630" s="647">
        <v>42779</v>
      </c>
      <c r="C1630">
        <v>59</v>
      </c>
      <c r="D1630">
        <v>60</v>
      </c>
      <c r="E1630">
        <v>59</v>
      </c>
      <c r="F1630">
        <v>59.5</v>
      </c>
      <c r="G1630" s="196">
        <f t="shared" si="27"/>
        <v>59.5</v>
      </c>
      <c r="H1630">
        <v>301</v>
      </c>
      <c r="I1630">
        <v>17910</v>
      </c>
      <c r="L1630" s="191"/>
      <c r="M1630" s="257"/>
      <c r="N1630" s="191"/>
    </row>
    <row r="1631" spans="1:14" customFormat="1" ht="14.4">
      <c r="A1631" t="s">
        <v>351</v>
      </c>
      <c r="B1631" s="647">
        <v>42780</v>
      </c>
      <c r="C1631">
        <v>59.9</v>
      </c>
      <c r="D1631">
        <v>60</v>
      </c>
      <c r="E1631">
        <v>59.9</v>
      </c>
      <c r="F1631">
        <v>60</v>
      </c>
      <c r="G1631" s="196">
        <f t="shared" si="27"/>
        <v>60</v>
      </c>
      <c r="H1631">
        <v>29679</v>
      </c>
      <c r="I1631">
        <v>1780191.8</v>
      </c>
      <c r="L1631" s="191"/>
      <c r="M1631" s="257"/>
      <c r="N1631" s="191"/>
    </row>
    <row r="1632" spans="1:14" customFormat="1" ht="14.4">
      <c r="A1632" t="s">
        <v>351</v>
      </c>
      <c r="B1632" s="647">
        <v>42781</v>
      </c>
      <c r="C1632">
        <v>59.9</v>
      </c>
      <c r="D1632">
        <v>60</v>
      </c>
      <c r="E1632">
        <v>59.5</v>
      </c>
      <c r="F1632">
        <v>60</v>
      </c>
      <c r="G1632" s="196">
        <f t="shared" si="27"/>
        <v>60</v>
      </c>
      <c r="H1632">
        <v>101321</v>
      </c>
      <c r="I1632">
        <v>6075790</v>
      </c>
      <c r="L1632" s="191"/>
      <c r="M1632" s="257"/>
      <c r="N1632" s="191"/>
    </row>
    <row r="1633" spans="1:14" customFormat="1" ht="14.4">
      <c r="A1633" t="s">
        <v>351</v>
      </c>
      <c r="B1633" s="647">
        <v>42782</v>
      </c>
      <c r="C1633">
        <v>60.1</v>
      </c>
      <c r="D1633">
        <v>60.1</v>
      </c>
      <c r="E1633">
        <v>60</v>
      </c>
      <c r="F1633">
        <v>60</v>
      </c>
      <c r="G1633" s="196">
        <f t="shared" si="27"/>
        <v>60</v>
      </c>
      <c r="H1633">
        <v>12200</v>
      </c>
      <c r="I1633">
        <v>732010</v>
      </c>
      <c r="L1633" s="191"/>
      <c r="M1633" s="257"/>
      <c r="N1633" s="191"/>
    </row>
    <row r="1634" spans="1:14" customFormat="1" ht="14.4">
      <c r="A1634" t="s">
        <v>351</v>
      </c>
      <c r="B1634" s="647">
        <v>42783</v>
      </c>
      <c r="C1634" t="e">
        <v>#VALUE!</v>
      </c>
      <c r="D1634" t="e">
        <v>#VALUE!</v>
      </c>
      <c r="E1634" t="e">
        <v>#VALUE!</v>
      </c>
      <c r="F1634">
        <v>60</v>
      </c>
      <c r="G1634" s="196">
        <f t="shared" si="27"/>
        <v>60</v>
      </c>
      <c r="H1634">
        <v>0</v>
      </c>
      <c r="I1634">
        <v>0</v>
      </c>
      <c r="L1634" s="191"/>
      <c r="M1634" s="257"/>
      <c r="N1634" s="191"/>
    </row>
    <row r="1635" spans="1:14" customFormat="1" ht="14.4">
      <c r="A1635" t="s">
        <v>351</v>
      </c>
      <c r="B1635" s="647">
        <v>42786</v>
      </c>
      <c r="C1635">
        <v>59</v>
      </c>
      <c r="D1635">
        <v>60.3</v>
      </c>
      <c r="E1635">
        <v>59</v>
      </c>
      <c r="F1635">
        <v>59</v>
      </c>
      <c r="G1635" s="196">
        <f t="shared" si="27"/>
        <v>59</v>
      </c>
      <c r="H1635">
        <v>15212</v>
      </c>
      <c r="I1635">
        <v>897710.6</v>
      </c>
      <c r="L1635" s="191"/>
      <c r="M1635" s="257"/>
      <c r="N1635" s="191"/>
    </row>
    <row r="1636" spans="1:14" customFormat="1" ht="14.4">
      <c r="A1636" t="s">
        <v>351</v>
      </c>
      <c r="B1636" s="647">
        <v>42787</v>
      </c>
      <c r="C1636">
        <v>59</v>
      </c>
      <c r="D1636">
        <v>59</v>
      </c>
      <c r="E1636">
        <v>58</v>
      </c>
      <c r="F1636">
        <v>58</v>
      </c>
      <c r="G1636" s="196">
        <f t="shared" si="27"/>
        <v>58</v>
      </c>
      <c r="H1636">
        <v>3590</v>
      </c>
      <c r="I1636">
        <v>210978.1</v>
      </c>
      <c r="L1636" s="191"/>
      <c r="M1636" s="257"/>
      <c r="N1636" s="191"/>
    </row>
    <row r="1637" spans="1:14" customFormat="1" ht="14.4">
      <c r="A1637" t="s">
        <v>351</v>
      </c>
      <c r="B1637" s="647">
        <v>42788</v>
      </c>
      <c r="C1637">
        <v>57</v>
      </c>
      <c r="D1637">
        <v>59.5</v>
      </c>
      <c r="E1637">
        <v>57</v>
      </c>
      <c r="F1637">
        <v>59</v>
      </c>
      <c r="G1637" s="196">
        <f t="shared" si="27"/>
        <v>59</v>
      </c>
      <c r="H1637">
        <v>308</v>
      </c>
      <c r="I1637">
        <v>18187.2</v>
      </c>
      <c r="L1637" s="191"/>
      <c r="M1637" s="257"/>
      <c r="N1637" s="191"/>
    </row>
    <row r="1638" spans="1:14" customFormat="1" ht="14.4">
      <c r="A1638" t="s">
        <v>351</v>
      </c>
      <c r="B1638" s="647">
        <v>42789</v>
      </c>
      <c r="C1638">
        <v>59.5</v>
      </c>
      <c r="D1638">
        <v>59.5</v>
      </c>
      <c r="E1638">
        <v>58.2</v>
      </c>
      <c r="F1638">
        <v>58.2</v>
      </c>
      <c r="G1638" s="196">
        <f t="shared" si="27"/>
        <v>58.2</v>
      </c>
      <c r="H1638">
        <v>564</v>
      </c>
      <c r="I1638">
        <v>33113</v>
      </c>
      <c r="L1638" s="191"/>
      <c r="M1638" s="257"/>
      <c r="N1638" s="191"/>
    </row>
    <row r="1639" spans="1:14" customFormat="1" ht="14.4">
      <c r="A1639" t="s">
        <v>351</v>
      </c>
      <c r="B1639" s="647">
        <v>42793</v>
      </c>
      <c r="C1639">
        <v>56.6</v>
      </c>
      <c r="D1639">
        <v>60</v>
      </c>
      <c r="E1639">
        <v>56.6</v>
      </c>
      <c r="F1639">
        <f>F1638</f>
        <v>58.2</v>
      </c>
      <c r="G1639" s="196">
        <f t="shared" si="27"/>
        <v>58.2</v>
      </c>
      <c r="H1639">
        <v>3013</v>
      </c>
      <c r="I1639">
        <v>180471.2</v>
      </c>
      <c r="L1639" s="191"/>
      <c r="M1639" s="257"/>
      <c r="N1639" s="191"/>
    </row>
    <row r="1640" spans="1:14" customFormat="1" ht="14.4">
      <c r="B1640" s="647">
        <v>42794</v>
      </c>
      <c r="C1640">
        <v>59.7</v>
      </c>
      <c r="D1640">
        <v>59.7</v>
      </c>
      <c r="E1640">
        <v>57.8</v>
      </c>
      <c r="F1640">
        <v>57.8</v>
      </c>
      <c r="G1640" s="196">
        <f t="shared" si="27"/>
        <v>57.8</v>
      </c>
      <c r="H1640">
        <v>31311</v>
      </c>
      <c r="I1640">
        <v>1814566.5</v>
      </c>
    </row>
    <row r="1641" spans="1:14" customFormat="1" ht="14.4">
      <c r="B1641" s="647">
        <v>42795</v>
      </c>
      <c r="C1641">
        <v>57.8</v>
      </c>
      <c r="D1641">
        <v>57.8</v>
      </c>
      <c r="E1641">
        <v>56</v>
      </c>
      <c r="F1641">
        <v>57.7</v>
      </c>
      <c r="G1641" s="196">
        <f t="shared" si="27"/>
        <v>57.7</v>
      </c>
      <c r="H1641">
        <v>5868</v>
      </c>
      <c r="I1641">
        <v>330310.59999999998</v>
      </c>
    </row>
    <row r="1642" spans="1:14" customFormat="1" ht="14.4">
      <c r="B1642" s="647">
        <v>42796</v>
      </c>
      <c r="C1642">
        <v>57.6</v>
      </c>
      <c r="D1642">
        <v>57.6</v>
      </c>
      <c r="E1642">
        <v>57.6</v>
      </c>
      <c r="F1642">
        <v>57.6</v>
      </c>
      <c r="G1642" s="196">
        <f t="shared" si="27"/>
        <v>57.6</v>
      </c>
      <c r="H1642">
        <v>101</v>
      </c>
      <c r="I1642">
        <v>5817.6</v>
      </c>
    </row>
    <row r="1643" spans="1:14" customFormat="1" ht="14.4">
      <c r="B1643" s="647">
        <v>42797</v>
      </c>
      <c r="C1643">
        <v>56.8</v>
      </c>
      <c r="D1643">
        <v>57.4</v>
      </c>
      <c r="E1643">
        <v>56.3</v>
      </c>
      <c r="F1643">
        <v>57.2</v>
      </c>
      <c r="G1643" s="196">
        <f t="shared" si="27"/>
        <v>57.2</v>
      </c>
      <c r="H1643">
        <v>3900</v>
      </c>
      <c r="I1643">
        <v>222953.5</v>
      </c>
    </row>
    <row r="1644" spans="1:14" customFormat="1" ht="14.4">
      <c r="B1644" s="647">
        <v>42800</v>
      </c>
      <c r="C1644">
        <v>57.4</v>
      </c>
      <c r="D1644">
        <v>57.4</v>
      </c>
      <c r="E1644">
        <v>55.5</v>
      </c>
      <c r="F1644">
        <v>56.3</v>
      </c>
      <c r="G1644" s="196">
        <f t="shared" si="27"/>
        <v>56.3</v>
      </c>
      <c r="H1644">
        <v>1810</v>
      </c>
      <c r="I1644">
        <v>101925.1</v>
      </c>
    </row>
    <row r="1645" spans="1:14" customFormat="1" ht="14.4">
      <c r="B1645" s="647">
        <v>42801</v>
      </c>
      <c r="C1645">
        <v>57</v>
      </c>
      <c r="D1645">
        <v>57</v>
      </c>
      <c r="E1645">
        <v>55.3</v>
      </c>
      <c r="F1645">
        <v>56.5</v>
      </c>
      <c r="G1645" s="196">
        <f t="shared" si="27"/>
        <v>56.5</v>
      </c>
      <c r="H1645">
        <v>6700</v>
      </c>
      <c r="I1645">
        <v>378315</v>
      </c>
    </row>
    <row r="1646" spans="1:14" customFormat="1" ht="14.4">
      <c r="B1646" s="647">
        <v>42802</v>
      </c>
      <c r="C1646">
        <v>57</v>
      </c>
      <c r="D1646">
        <v>57</v>
      </c>
      <c r="E1646">
        <v>55</v>
      </c>
      <c r="F1646">
        <v>55.3</v>
      </c>
      <c r="G1646" s="196">
        <f t="shared" si="27"/>
        <v>55.3</v>
      </c>
      <c r="H1646">
        <v>14123</v>
      </c>
      <c r="I1646">
        <v>785824</v>
      </c>
    </row>
    <row r="1647" spans="1:14" customFormat="1" ht="14.4">
      <c r="B1647" s="647">
        <v>42803</v>
      </c>
      <c r="C1647">
        <v>57</v>
      </c>
      <c r="D1647">
        <v>57</v>
      </c>
      <c r="E1647">
        <v>54.9</v>
      </c>
      <c r="F1647">
        <v>55</v>
      </c>
      <c r="G1647" s="196">
        <f t="shared" si="27"/>
        <v>55</v>
      </c>
      <c r="H1647">
        <v>2803</v>
      </c>
      <c r="I1647">
        <v>154348.79999999999</v>
      </c>
    </row>
    <row r="1648" spans="1:14" customFormat="1" ht="14.4">
      <c r="B1648" s="647">
        <v>42804</v>
      </c>
      <c r="C1648">
        <v>57</v>
      </c>
      <c r="D1648">
        <v>57</v>
      </c>
      <c r="E1648">
        <v>54.9</v>
      </c>
      <c r="F1648">
        <v>55</v>
      </c>
      <c r="G1648" s="196">
        <f t="shared" si="27"/>
        <v>55</v>
      </c>
      <c r="H1648">
        <v>4287</v>
      </c>
      <c r="I1648">
        <v>235780</v>
      </c>
    </row>
    <row r="1649" spans="2:9" customFormat="1" ht="14.4">
      <c r="B1649" s="647">
        <v>42807</v>
      </c>
      <c r="C1649">
        <v>55</v>
      </c>
      <c r="D1649">
        <v>55</v>
      </c>
      <c r="E1649">
        <v>55</v>
      </c>
      <c r="F1649">
        <v>55</v>
      </c>
      <c r="G1649" s="196">
        <f t="shared" si="27"/>
        <v>55</v>
      </c>
      <c r="H1649">
        <v>2100</v>
      </c>
      <c r="I1649">
        <v>115500</v>
      </c>
    </row>
    <row r="1650" spans="2:9" customFormat="1" ht="14.4">
      <c r="B1650" s="647">
        <v>42808</v>
      </c>
      <c r="C1650">
        <v>54.5</v>
      </c>
      <c r="D1650">
        <v>55</v>
      </c>
      <c r="E1650">
        <v>54</v>
      </c>
      <c r="F1650">
        <v>54.1</v>
      </c>
      <c r="G1650" s="196">
        <f t="shared" si="27"/>
        <v>54.1</v>
      </c>
      <c r="H1650">
        <v>12917</v>
      </c>
      <c r="I1650">
        <v>701318</v>
      </c>
    </row>
    <row r="1651" spans="2:9" customFormat="1" ht="14.4">
      <c r="B1651" s="647">
        <v>42809</v>
      </c>
      <c r="C1651">
        <v>54.5</v>
      </c>
      <c r="D1651">
        <v>54.5</v>
      </c>
      <c r="E1651">
        <v>54</v>
      </c>
      <c r="F1651">
        <v>54.5</v>
      </c>
      <c r="G1651" s="196">
        <f t="shared" si="27"/>
        <v>54.5</v>
      </c>
      <c r="H1651">
        <v>3016</v>
      </c>
      <c r="I1651">
        <v>163839.20000000001</v>
      </c>
    </row>
    <row r="1652" spans="2:9" customFormat="1" ht="14.4">
      <c r="B1652" s="647">
        <v>42810</v>
      </c>
      <c r="C1652">
        <v>54.5</v>
      </c>
      <c r="D1652">
        <v>54.5</v>
      </c>
      <c r="E1652">
        <v>54.5</v>
      </c>
      <c r="F1652">
        <v>54.5</v>
      </c>
      <c r="G1652" s="196">
        <f t="shared" si="27"/>
        <v>54.5</v>
      </c>
      <c r="H1652">
        <v>5</v>
      </c>
      <c r="I1652">
        <v>272.5</v>
      </c>
    </row>
    <row r="1653" spans="2:9" customFormat="1" ht="14.4">
      <c r="B1653" s="647">
        <v>42811</v>
      </c>
      <c r="C1653">
        <v>54.4</v>
      </c>
      <c r="D1653">
        <v>54.4</v>
      </c>
      <c r="E1653">
        <v>54</v>
      </c>
      <c r="F1653">
        <v>54</v>
      </c>
      <c r="G1653" s="196">
        <f t="shared" si="27"/>
        <v>54</v>
      </c>
      <c r="H1653">
        <v>2932</v>
      </c>
      <c r="I1653">
        <v>159100.79999999999</v>
      </c>
    </row>
    <row r="1654" spans="2:9" customFormat="1" ht="14.4">
      <c r="B1654" s="647">
        <v>42814</v>
      </c>
      <c r="C1654">
        <v>54.5</v>
      </c>
      <c r="D1654">
        <v>54.5</v>
      </c>
      <c r="E1654">
        <v>53</v>
      </c>
      <c r="F1654">
        <v>53.2</v>
      </c>
      <c r="G1654" s="196">
        <f t="shared" si="27"/>
        <v>53.2</v>
      </c>
      <c r="H1654">
        <v>6723</v>
      </c>
      <c r="I1654">
        <v>360905.5</v>
      </c>
    </row>
    <row r="1655" spans="2:9" customFormat="1" ht="14.4">
      <c r="B1655" s="647">
        <v>42815</v>
      </c>
      <c r="C1655">
        <v>53.1</v>
      </c>
      <c r="D1655">
        <v>54.8</v>
      </c>
      <c r="E1655">
        <v>53</v>
      </c>
      <c r="F1655">
        <v>54.8</v>
      </c>
      <c r="G1655" s="196">
        <f t="shared" si="27"/>
        <v>54.8</v>
      </c>
      <c r="H1655">
        <v>2518</v>
      </c>
      <c r="I1655">
        <v>136134.6</v>
      </c>
    </row>
    <row r="1656" spans="2:9" customFormat="1" ht="14.4">
      <c r="B1656" s="647">
        <v>42816</v>
      </c>
      <c r="C1656">
        <v>54.8</v>
      </c>
      <c r="D1656">
        <v>54.8</v>
      </c>
      <c r="E1656">
        <v>53.7</v>
      </c>
      <c r="F1656">
        <v>54.3</v>
      </c>
      <c r="G1656" s="196">
        <f t="shared" si="27"/>
        <v>54.3</v>
      </c>
      <c r="H1656">
        <v>15117</v>
      </c>
      <c r="I1656">
        <v>822810.7</v>
      </c>
    </row>
    <row r="1657" spans="2:9" customFormat="1" ht="14.4">
      <c r="B1657" s="647">
        <v>42817</v>
      </c>
      <c r="C1657">
        <v>54.3</v>
      </c>
      <c r="D1657">
        <v>54.3</v>
      </c>
      <c r="E1657">
        <v>53.7</v>
      </c>
      <c r="F1657">
        <v>54.1</v>
      </c>
      <c r="G1657" s="196">
        <f t="shared" si="27"/>
        <v>54.1</v>
      </c>
      <c r="H1657">
        <v>1975</v>
      </c>
      <c r="I1657">
        <v>106895</v>
      </c>
    </row>
    <row r="1658" spans="2:9" customFormat="1" ht="14.4">
      <c r="B1658" s="647">
        <v>42818</v>
      </c>
      <c r="C1658">
        <v>54.5</v>
      </c>
      <c r="D1658">
        <v>54.5</v>
      </c>
      <c r="E1658">
        <v>54</v>
      </c>
      <c r="F1658">
        <v>54.5</v>
      </c>
      <c r="G1658" s="196">
        <f t="shared" si="27"/>
        <v>54.5</v>
      </c>
      <c r="H1658">
        <v>104</v>
      </c>
      <c r="I1658">
        <v>5666</v>
      </c>
    </row>
    <row r="1659" spans="2:9" customFormat="1" ht="14.4">
      <c r="B1659" s="647">
        <v>42821</v>
      </c>
      <c r="C1659">
        <v>54.5</v>
      </c>
      <c r="D1659">
        <v>54.5</v>
      </c>
      <c r="E1659">
        <v>54.5</v>
      </c>
      <c r="F1659">
        <v>54.5</v>
      </c>
      <c r="G1659" s="196">
        <f t="shared" si="27"/>
        <v>54.5</v>
      </c>
      <c r="H1659">
        <v>500</v>
      </c>
      <c r="I1659">
        <v>27250</v>
      </c>
    </row>
    <row r="1660" spans="2:9" customFormat="1" ht="14.4">
      <c r="B1660" s="647">
        <v>42822</v>
      </c>
      <c r="C1660">
        <v>54.5</v>
      </c>
      <c r="D1660">
        <v>54.5</v>
      </c>
      <c r="E1660">
        <v>53.8</v>
      </c>
      <c r="F1660">
        <v>54</v>
      </c>
      <c r="G1660" s="196">
        <f t="shared" si="27"/>
        <v>54</v>
      </c>
      <c r="H1660">
        <v>1361</v>
      </c>
      <c r="I1660">
        <v>73662.100000000006</v>
      </c>
    </row>
    <row r="1661" spans="2:9" customFormat="1" ht="14.4">
      <c r="B1661" s="647">
        <v>42823</v>
      </c>
      <c r="C1661">
        <v>54.5</v>
      </c>
      <c r="D1661">
        <v>54.6</v>
      </c>
      <c r="E1661">
        <v>54.5</v>
      </c>
      <c r="F1661">
        <v>54.5</v>
      </c>
      <c r="G1661" s="196">
        <f t="shared" si="27"/>
        <v>54.5</v>
      </c>
      <c r="H1661">
        <v>11971</v>
      </c>
      <c r="I1661">
        <v>652424.5</v>
      </c>
    </row>
    <row r="1662" spans="2:9" customFormat="1" ht="14.4">
      <c r="B1662" s="647">
        <v>42824</v>
      </c>
      <c r="C1662">
        <v>54.5</v>
      </c>
      <c r="D1662">
        <v>54.5</v>
      </c>
      <c r="E1662">
        <v>54.5</v>
      </c>
      <c r="F1662">
        <v>54.5</v>
      </c>
      <c r="G1662" s="196">
        <f t="shared" si="27"/>
        <v>54.5</v>
      </c>
      <c r="H1662">
        <v>500</v>
      </c>
      <c r="I1662">
        <v>27250</v>
      </c>
    </row>
    <row r="1663" spans="2:9" customFormat="1" ht="14.4">
      <c r="B1663" s="647">
        <v>42825</v>
      </c>
      <c r="C1663">
        <v>54</v>
      </c>
      <c r="D1663">
        <v>54</v>
      </c>
      <c r="E1663">
        <v>54</v>
      </c>
      <c r="F1663">
        <v>54.5</v>
      </c>
      <c r="G1663" s="196">
        <f t="shared" si="27"/>
        <v>54.5</v>
      </c>
      <c r="H1663">
        <v>1</v>
      </c>
      <c r="I1663">
        <v>54</v>
      </c>
    </row>
    <row r="1664" spans="2:9" customFormat="1" ht="14.4">
      <c r="B1664" s="647">
        <v>42828</v>
      </c>
      <c r="C1664">
        <v>54</v>
      </c>
      <c r="D1664">
        <v>54.5</v>
      </c>
      <c r="E1664">
        <v>54</v>
      </c>
      <c r="F1664">
        <v>54.5</v>
      </c>
      <c r="G1664" s="196">
        <f t="shared" si="27"/>
        <v>54.5</v>
      </c>
      <c r="H1664">
        <v>934</v>
      </c>
      <c r="I1664">
        <v>50603</v>
      </c>
    </row>
    <row r="1665" spans="2:9" customFormat="1" ht="14.4">
      <c r="B1665" s="647">
        <v>42829</v>
      </c>
      <c r="C1665">
        <v>54.5</v>
      </c>
      <c r="D1665">
        <v>55</v>
      </c>
      <c r="E1665">
        <v>54.5</v>
      </c>
      <c r="F1665">
        <v>54.7</v>
      </c>
      <c r="G1665" s="196">
        <f t="shared" si="27"/>
        <v>54.7</v>
      </c>
      <c r="H1665">
        <v>3011</v>
      </c>
      <c r="I1665">
        <v>164759.5</v>
      </c>
    </row>
    <row r="1666" spans="2:9" customFormat="1" ht="14.4">
      <c r="B1666" s="647">
        <v>42830</v>
      </c>
      <c r="C1666">
        <v>56</v>
      </c>
      <c r="D1666">
        <v>57</v>
      </c>
      <c r="E1666">
        <v>55</v>
      </c>
      <c r="F1666">
        <v>55.1</v>
      </c>
      <c r="G1666" s="196">
        <f t="shared" si="27"/>
        <v>55.1</v>
      </c>
      <c r="H1666">
        <v>7386</v>
      </c>
      <c r="I1666">
        <v>411640</v>
      </c>
    </row>
    <row r="1667" spans="2:9" customFormat="1" ht="14.4">
      <c r="B1667" s="647">
        <v>42831</v>
      </c>
      <c r="C1667">
        <v>57</v>
      </c>
      <c r="D1667">
        <v>58</v>
      </c>
      <c r="E1667">
        <v>57</v>
      </c>
      <c r="F1667">
        <v>57</v>
      </c>
      <c r="G1667" s="196">
        <f t="shared" si="27"/>
        <v>57</v>
      </c>
      <c r="H1667">
        <v>4098</v>
      </c>
      <c r="I1667">
        <v>233718</v>
      </c>
    </row>
    <row r="1668" spans="2:9" customFormat="1" ht="14.4">
      <c r="B1668" s="647">
        <v>42832</v>
      </c>
      <c r="C1668">
        <v>56.4</v>
      </c>
      <c r="D1668">
        <v>56.5</v>
      </c>
      <c r="E1668">
        <v>56.4</v>
      </c>
      <c r="F1668">
        <v>56.5</v>
      </c>
      <c r="G1668" s="196">
        <f t="shared" si="27"/>
        <v>56.5</v>
      </c>
      <c r="H1668">
        <v>5050</v>
      </c>
      <c r="I1668">
        <v>285320</v>
      </c>
    </row>
    <row r="1669" spans="2:9" customFormat="1" ht="14.4">
      <c r="B1669" s="647">
        <v>42836</v>
      </c>
      <c r="C1669">
        <v>56.5</v>
      </c>
      <c r="D1669">
        <v>56.5</v>
      </c>
      <c r="E1669">
        <v>56.2</v>
      </c>
      <c r="F1669">
        <v>56.2</v>
      </c>
      <c r="G1669" s="196">
        <f t="shared" si="27"/>
        <v>56.2</v>
      </c>
      <c r="H1669">
        <v>1341</v>
      </c>
      <c r="I1669">
        <v>75384.2</v>
      </c>
    </row>
    <row r="1670" spans="2:9" customFormat="1" ht="14.4">
      <c r="B1670" s="647">
        <v>42837</v>
      </c>
      <c r="C1670">
        <v>56.5</v>
      </c>
      <c r="D1670">
        <v>59.8</v>
      </c>
      <c r="E1670">
        <v>56.5</v>
      </c>
      <c r="F1670">
        <v>59.3</v>
      </c>
      <c r="G1670" s="196">
        <f t="shared" si="27"/>
        <v>59.3</v>
      </c>
      <c r="H1670">
        <v>11361</v>
      </c>
      <c r="I1670">
        <v>657081.80000000005</v>
      </c>
    </row>
    <row r="1671" spans="2:9" customFormat="1" ht="14.4">
      <c r="B1671" s="647">
        <v>42842</v>
      </c>
      <c r="C1671">
        <v>59.9</v>
      </c>
      <c r="D1671">
        <v>59.9</v>
      </c>
      <c r="E1671">
        <v>58.2</v>
      </c>
      <c r="F1671">
        <v>58.2</v>
      </c>
      <c r="G1671" s="196">
        <f t="shared" si="27"/>
        <v>58.2</v>
      </c>
      <c r="H1671">
        <v>10751</v>
      </c>
      <c r="I1671">
        <v>631671.9</v>
      </c>
    </row>
    <row r="1672" spans="2:9" customFormat="1" ht="14.4">
      <c r="B1672" s="647">
        <v>42843</v>
      </c>
      <c r="C1672">
        <v>58.5</v>
      </c>
      <c r="D1672">
        <v>58.5</v>
      </c>
      <c r="E1672">
        <v>58.1</v>
      </c>
      <c r="F1672">
        <v>58.2</v>
      </c>
      <c r="G1672" s="196">
        <f t="shared" si="27"/>
        <v>58.2</v>
      </c>
      <c r="H1672">
        <v>245</v>
      </c>
      <c r="I1672">
        <v>14264.5</v>
      </c>
    </row>
    <row r="1673" spans="2:9" customFormat="1" ht="14.4">
      <c r="B1673" s="647">
        <v>42844</v>
      </c>
      <c r="C1673">
        <v>58.1</v>
      </c>
      <c r="D1673">
        <v>58.5</v>
      </c>
      <c r="E1673">
        <v>58</v>
      </c>
      <c r="F1673">
        <v>58.3</v>
      </c>
      <c r="G1673" s="196">
        <f t="shared" si="27"/>
        <v>58.3</v>
      </c>
      <c r="H1673">
        <v>4880</v>
      </c>
      <c r="I1673">
        <v>283507.09999999998</v>
      </c>
    </row>
    <row r="1674" spans="2:9" customFormat="1" ht="14.4">
      <c r="B1674" s="647">
        <v>42845</v>
      </c>
      <c r="C1674">
        <v>59</v>
      </c>
      <c r="D1674">
        <v>60.5</v>
      </c>
      <c r="E1674">
        <v>59</v>
      </c>
      <c r="F1674">
        <v>60</v>
      </c>
      <c r="G1674" s="196">
        <f t="shared" si="27"/>
        <v>60</v>
      </c>
      <c r="H1674">
        <v>23129</v>
      </c>
      <c r="I1674">
        <v>1379876.1</v>
      </c>
    </row>
    <row r="1675" spans="2:9" customFormat="1" ht="14.4">
      <c r="B1675" s="647">
        <v>42846</v>
      </c>
      <c r="C1675">
        <v>60</v>
      </c>
      <c r="D1675">
        <v>61</v>
      </c>
      <c r="E1675">
        <v>60</v>
      </c>
      <c r="F1675">
        <v>61</v>
      </c>
      <c r="G1675" s="196">
        <f t="shared" si="27"/>
        <v>61</v>
      </c>
      <c r="H1675">
        <v>7036</v>
      </c>
      <c r="I1675">
        <v>426524.8</v>
      </c>
    </row>
    <row r="1676" spans="2:9" customFormat="1" ht="14.4">
      <c r="B1676" s="647">
        <v>42849</v>
      </c>
      <c r="C1676">
        <v>60.1</v>
      </c>
      <c r="D1676">
        <v>60.5</v>
      </c>
      <c r="E1676">
        <v>59.5</v>
      </c>
      <c r="F1676">
        <v>60</v>
      </c>
      <c r="G1676" s="196">
        <f t="shared" si="27"/>
        <v>60</v>
      </c>
      <c r="H1676">
        <v>9960</v>
      </c>
      <c r="I1676">
        <v>597605</v>
      </c>
    </row>
    <row r="1677" spans="2:9" customFormat="1" ht="14.4">
      <c r="B1677" s="647">
        <v>42850</v>
      </c>
      <c r="C1677">
        <v>59.5</v>
      </c>
      <c r="D1677">
        <v>60</v>
      </c>
      <c r="E1677">
        <v>58.5</v>
      </c>
      <c r="F1677">
        <v>58.5</v>
      </c>
      <c r="G1677" s="196">
        <f t="shared" si="27"/>
        <v>58.5</v>
      </c>
      <c r="H1677">
        <v>10227</v>
      </c>
      <c r="I1677">
        <v>601130.19999999995</v>
      </c>
    </row>
    <row r="1678" spans="2:9" customFormat="1" ht="14.4">
      <c r="B1678" s="647">
        <v>42851</v>
      </c>
      <c r="C1678">
        <v>58.6</v>
      </c>
      <c r="D1678">
        <v>60</v>
      </c>
      <c r="E1678">
        <v>58.6</v>
      </c>
      <c r="F1678">
        <v>60</v>
      </c>
      <c r="G1678" s="196">
        <f t="shared" si="27"/>
        <v>60</v>
      </c>
      <c r="H1678">
        <v>3905</v>
      </c>
      <c r="I1678">
        <v>231454.4</v>
      </c>
    </row>
    <row r="1679" spans="2:9" customFormat="1" ht="14.4">
      <c r="B1679" s="647">
        <v>42852</v>
      </c>
      <c r="C1679">
        <v>59.9</v>
      </c>
      <c r="D1679">
        <v>60</v>
      </c>
      <c r="E1679">
        <v>59</v>
      </c>
      <c r="F1679">
        <v>60</v>
      </c>
      <c r="G1679" s="196">
        <f t="shared" si="27"/>
        <v>60</v>
      </c>
      <c r="H1679">
        <v>6150</v>
      </c>
      <c r="I1679">
        <v>363998.9</v>
      </c>
    </row>
    <row r="1680" spans="2:9" customFormat="1" ht="14.4">
      <c r="B1680" s="647">
        <v>42853</v>
      </c>
      <c r="C1680">
        <v>59.1</v>
      </c>
      <c r="D1680">
        <v>60</v>
      </c>
      <c r="E1680">
        <v>59</v>
      </c>
      <c r="F1680">
        <v>59.5</v>
      </c>
      <c r="G1680" s="196">
        <f t="shared" si="27"/>
        <v>59.5</v>
      </c>
      <c r="H1680">
        <v>17067</v>
      </c>
      <c r="I1680">
        <v>1018150</v>
      </c>
    </row>
    <row r="1681" spans="2:9" customFormat="1" ht="14.4">
      <c r="B1681" s="647">
        <v>42857</v>
      </c>
      <c r="C1681">
        <v>60</v>
      </c>
      <c r="D1681">
        <v>61</v>
      </c>
      <c r="E1681">
        <v>60</v>
      </c>
      <c r="F1681">
        <v>60.5</v>
      </c>
      <c r="G1681" s="196">
        <f t="shared" si="27"/>
        <v>60.5</v>
      </c>
      <c r="H1681">
        <v>82374</v>
      </c>
      <c r="I1681">
        <v>4952386.3</v>
      </c>
    </row>
    <row r="1682" spans="2:9" customFormat="1" ht="14.4">
      <c r="B1682" s="647">
        <v>42858</v>
      </c>
      <c r="C1682">
        <v>61</v>
      </c>
      <c r="D1682">
        <v>61.9</v>
      </c>
      <c r="E1682">
        <v>60</v>
      </c>
      <c r="F1682">
        <v>61</v>
      </c>
      <c r="G1682" s="196">
        <f t="shared" si="27"/>
        <v>61</v>
      </c>
      <c r="H1682">
        <v>41126</v>
      </c>
      <c r="I1682">
        <v>2510455.1</v>
      </c>
    </row>
    <row r="1683" spans="2:9" customFormat="1" ht="14.4">
      <c r="B1683" s="647">
        <v>42859</v>
      </c>
      <c r="C1683">
        <v>61</v>
      </c>
      <c r="D1683">
        <v>61.5</v>
      </c>
      <c r="E1683">
        <v>61</v>
      </c>
      <c r="F1683">
        <v>61.1</v>
      </c>
      <c r="G1683" s="196">
        <f t="shared" si="27"/>
        <v>61.1</v>
      </c>
      <c r="H1683">
        <v>84100</v>
      </c>
      <c r="I1683">
        <v>5130650</v>
      </c>
    </row>
    <row r="1684" spans="2:9" customFormat="1" ht="14.4">
      <c r="B1684" s="647">
        <v>42860</v>
      </c>
      <c r="C1684">
        <v>61.1</v>
      </c>
      <c r="D1684">
        <v>64.900000000000006</v>
      </c>
      <c r="E1684">
        <v>61</v>
      </c>
      <c r="F1684">
        <v>64.400000000000006</v>
      </c>
      <c r="G1684" s="196">
        <f t="shared" si="27"/>
        <v>64.400000000000006</v>
      </c>
      <c r="H1684">
        <v>389719</v>
      </c>
      <c r="I1684">
        <v>24648479.199999999</v>
      </c>
    </row>
    <row r="1685" spans="2:9" customFormat="1" ht="14.4">
      <c r="B1685" s="647">
        <v>42863</v>
      </c>
      <c r="C1685">
        <v>64.400000000000006</v>
      </c>
      <c r="D1685">
        <v>64.5</v>
      </c>
      <c r="E1685">
        <v>63</v>
      </c>
      <c r="F1685">
        <v>63.7</v>
      </c>
      <c r="G1685" s="196">
        <f t="shared" si="27"/>
        <v>63.7</v>
      </c>
      <c r="H1685">
        <v>65027</v>
      </c>
      <c r="I1685">
        <v>4147535.9</v>
      </c>
    </row>
    <row r="1686" spans="2:9" customFormat="1" ht="14.4">
      <c r="B1686" s="647">
        <v>42864</v>
      </c>
      <c r="C1686">
        <v>63.9</v>
      </c>
      <c r="D1686">
        <v>64</v>
      </c>
      <c r="E1686">
        <v>62.8</v>
      </c>
      <c r="F1686">
        <v>63</v>
      </c>
      <c r="G1686" s="196">
        <f t="shared" si="27"/>
        <v>63</v>
      </c>
      <c r="H1686">
        <v>27642</v>
      </c>
      <c r="I1686">
        <v>1742372.4</v>
      </c>
    </row>
    <row r="1687" spans="2:9" customFormat="1" ht="14.4">
      <c r="B1687" s="647">
        <v>42867</v>
      </c>
      <c r="C1687">
        <v>63</v>
      </c>
      <c r="D1687">
        <v>63</v>
      </c>
      <c r="E1687">
        <v>62.4</v>
      </c>
      <c r="F1687">
        <v>63</v>
      </c>
      <c r="G1687" s="196">
        <f t="shared" si="27"/>
        <v>63</v>
      </c>
      <c r="H1687">
        <v>43555</v>
      </c>
      <c r="I1687">
        <v>2743715</v>
      </c>
    </row>
    <row r="1688" spans="2:9" customFormat="1" ht="14.4">
      <c r="B1688" s="647">
        <v>42870</v>
      </c>
      <c r="C1688">
        <v>63</v>
      </c>
      <c r="D1688">
        <v>63.1</v>
      </c>
      <c r="E1688">
        <v>62</v>
      </c>
      <c r="F1688">
        <v>62.4</v>
      </c>
      <c r="G1688" s="196">
        <f t="shared" si="27"/>
        <v>62.4</v>
      </c>
      <c r="H1688">
        <v>33700</v>
      </c>
      <c r="I1688">
        <v>2113983.7999999998</v>
      </c>
    </row>
    <row r="1689" spans="2:9" customFormat="1" ht="14.4">
      <c r="B1689" s="647">
        <v>42871</v>
      </c>
      <c r="C1689">
        <v>62</v>
      </c>
      <c r="D1689">
        <v>62</v>
      </c>
      <c r="E1689">
        <v>61.5</v>
      </c>
      <c r="F1689">
        <v>61.5</v>
      </c>
      <c r="G1689" s="196">
        <f t="shared" si="27"/>
        <v>61.5</v>
      </c>
      <c r="H1689">
        <v>14050</v>
      </c>
      <c r="I1689">
        <v>865941.6</v>
      </c>
    </row>
    <row r="1690" spans="2:9" customFormat="1" ht="14.4">
      <c r="B1690" s="647">
        <v>42872</v>
      </c>
      <c r="C1690">
        <v>61.1</v>
      </c>
      <c r="D1690">
        <v>62.3</v>
      </c>
      <c r="E1690">
        <v>61.1</v>
      </c>
      <c r="F1690">
        <v>62</v>
      </c>
      <c r="G1690" s="196">
        <f t="shared" si="27"/>
        <v>62</v>
      </c>
      <c r="H1690">
        <v>149215</v>
      </c>
      <c r="I1690">
        <v>9248943.5</v>
      </c>
    </row>
    <row r="1691" spans="2:9" customFormat="1" ht="14.4">
      <c r="B1691" s="647">
        <v>42873</v>
      </c>
      <c r="C1691">
        <v>62.2</v>
      </c>
      <c r="D1691">
        <v>63</v>
      </c>
      <c r="E1691">
        <v>62</v>
      </c>
      <c r="F1691">
        <v>63</v>
      </c>
      <c r="G1691" s="196">
        <f t="shared" ref="G1691:G1754" si="28">F1691</f>
        <v>63</v>
      </c>
      <c r="H1691">
        <v>111724</v>
      </c>
      <c r="I1691">
        <v>6938771.5</v>
      </c>
    </row>
    <row r="1692" spans="2:9" customFormat="1" ht="14.4">
      <c r="B1692" s="647">
        <v>42874</v>
      </c>
      <c r="C1692">
        <v>63.1</v>
      </c>
      <c r="D1692">
        <v>63.5</v>
      </c>
      <c r="E1692">
        <v>62.5</v>
      </c>
      <c r="F1692">
        <v>62.7</v>
      </c>
      <c r="G1692" s="196">
        <f t="shared" si="28"/>
        <v>62.7</v>
      </c>
      <c r="H1692">
        <v>9627</v>
      </c>
      <c r="I1692">
        <v>606462.19999999995</v>
      </c>
    </row>
    <row r="1693" spans="2:9" customFormat="1" ht="14.4">
      <c r="B1693" s="647">
        <v>42877</v>
      </c>
      <c r="C1693">
        <v>63</v>
      </c>
      <c r="D1693">
        <v>63.4</v>
      </c>
      <c r="E1693">
        <v>62.5</v>
      </c>
      <c r="F1693">
        <v>62.8</v>
      </c>
      <c r="G1693" s="196">
        <f t="shared" si="28"/>
        <v>62.8</v>
      </c>
      <c r="H1693">
        <v>43316</v>
      </c>
      <c r="I1693">
        <v>2717270.5</v>
      </c>
    </row>
    <row r="1694" spans="2:9" customFormat="1" ht="14.4">
      <c r="B1694" s="647">
        <v>42878</v>
      </c>
      <c r="C1694">
        <v>63.2</v>
      </c>
      <c r="D1694">
        <v>63.4</v>
      </c>
      <c r="E1694">
        <v>62.7</v>
      </c>
      <c r="F1694">
        <v>62.7</v>
      </c>
      <c r="G1694" s="196">
        <f t="shared" si="28"/>
        <v>62.7</v>
      </c>
      <c r="H1694">
        <v>3617</v>
      </c>
      <c r="I1694">
        <v>226846.9</v>
      </c>
    </row>
    <row r="1695" spans="2:9" customFormat="1" ht="14.4">
      <c r="B1695" s="647">
        <v>42879</v>
      </c>
      <c r="C1695">
        <v>62.1</v>
      </c>
      <c r="D1695">
        <v>63</v>
      </c>
      <c r="E1695">
        <v>62.1</v>
      </c>
      <c r="F1695">
        <v>63</v>
      </c>
      <c r="G1695" s="196">
        <f t="shared" si="28"/>
        <v>63</v>
      </c>
      <c r="H1695">
        <v>17625</v>
      </c>
      <c r="I1695">
        <v>1109422.5</v>
      </c>
    </row>
    <row r="1696" spans="2:9" customFormat="1" ht="14.4">
      <c r="B1696" s="647">
        <v>42880</v>
      </c>
      <c r="C1696">
        <v>62.5</v>
      </c>
      <c r="D1696">
        <v>63</v>
      </c>
      <c r="E1696">
        <v>62.1</v>
      </c>
      <c r="F1696">
        <v>63</v>
      </c>
      <c r="G1696" s="196">
        <f t="shared" si="28"/>
        <v>63</v>
      </c>
      <c r="H1696">
        <v>157403</v>
      </c>
      <c r="I1696">
        <v>9837490.8000000007</v>
      </c>
    </row>
    <row r="1697" spans="2:9" customFormat="1" ht="14.4">
      <c r="B1697" s="647">
        <v>42881</v>
      </c>
      <c r="C1697">
        <v>62.5</v>
      </c>
      <c r="D1697">
        <v>62.6</v>
      </c>
      <c r="E1697">
        <v>62.5</v>
      </c>
      <c r="F1697">
        <v>62.5</v>
      </c>
      <c r="G1697" s="196">
        <f t="shared" si="28"/>
        <v>62.5</v>
      </c>
      <c r="H1697">
        <v>22107</v>
      </c>
      <c r="I1697">
        <v>1381698.1</v>
      </c>
    </row>
    <row r="1698" spans="2:9" customFormat="1" ht="14.4">
      <c r="B1698" s="647">
        <v>42884</v>
      </c>
      <c r="C1698">
        <v>62.2</v>
      </c>
      <c r="D1698">
        <v>62.5</v>
      </c>
      <c r="E1698">
        <v>62.1</v>
      </c>
      <c r="F1698">
        <v>62.5</v>
      </c>
      <c r="G1698" s="196">
        <f t="shared" si="28"/>
        <v>62.5</v>
      </c>
      <c r="H1698">
        <v>204910</v>
      </c>
      <c r="I1698">
        <v>12806702</v>
      </c>
    </row>
    <row r="1699" spans="2:9" customFormat="1" ht="14.4">
      <c r="B1699" s="647">
        <v>42885</v>
      </c>
      <c r="C1699">
        <v>62.5</v>
      </c>
      <c r="D1699">
        <v>62.5</v>
      </c>
      <c r="E1699">
        <v>62.1</v>
      </c>
      <c r="F1699">
        <v>62.2</v>
      </c>
      <c r="G1699" s="196">
        <f t="shared" si="28"/>
        <v>62.2</v>
      </c>
      <c r="H1699">
        <v>14987</v>
      </c>
      <c r="I1699">
        <v>930894.3</v>
      </c>
    </row>
    <row r="1700" spans="2:9" customFormat="1" ht="14.4">
      <c r="B1700" s="647">
        <v>42886</v>
      </c>
      <c r="C1700">
        <v>61</v>
      </c>
      <c r="D1700">
        <v>61</v>
      </c>
      <c r="E1700">
        <v>57.1</v>
      </c>
      <c r="F1700">
        <v>58.1</v>
      </c>
      <c r="G1700" s="196">
        <f t="shared" si="28"/>
        <v>58.1</v>
      </c>
      <c r="H1700">
        <v>128171</v>
      </c>
      <c r="I1700">
        <v>7457380.7999999998</v>
      </c>
    </row>
    <row r="1701" spans="2:9" customFormat="1" ht="14.4">
      <c r="B1701" s="647">
        <v>42887</v>
      </c>
      <c r="C1701">
        <v>59</v>
      </c>
      <c r="D1701">
        <v>59</v>
      </c>
      <c r="E1701">
        <v>58.5</v>
      </c>
      <c r="F1701">
        <v>58.9</v>
      </c>
      <c r="G1701" s="196">
        <f t="shared" si="28"/>
        <v>58.9</v>
      </c>
      <c r="H1701">
        <v>3138</v>
      </c>
      <c r="I1701">
        <v>184078.2</v>
      </c>
    </row>
    <row r="1702" spans="2:9" customFormat="1" ht="14.4">
      <c r="B1702" s="647">
        <v>42888</v>
      </c>
      <c r="C1702">
        <v>58.9</v>
      </c>
      <c r="D1702">
        <v>59</v>
      </c>
      <c r="E1702">
        <v>58.3</v>
      </c>
      <c r="F1702">
        <v>58.6</v>
      </c>
      <c r="G1702" s="196">
        <f t="shared" si="28"/>
        <v>58.6</v>
      </c>
      <c r="H1702">
        <v>3151</v>
      </c>
      <c r="I1702">
        <v>185212.79999999999</v>
      </c>
    </row>
    <row r="1703" spans="2:9" customFormat="1" ht="14.4">
      <c r="B1703" s="647">
        <v>42891</v>
      </c>
      <c r="C1703">
        <v>58.3</v>
      </c>
      <c r="D1703">
        <v>58.3</v>
      </c>
      <c r="E1703">
        <v>58.1</v>
      </c>
      <c r="F1703">
        <v>58.1</v>
      </c>
      <c r="G1703" s="196">
        <f t="shared" si="28"/>
        <v>58.1</v>
      </c>
      <c r="H1703">
        <v>6072</v>
      </c>
      <c r="I1703">
        <v>353305.4</v>
      </c>
    </row>
    <row r="1704" spans="2:9" customFormat="1" ht="14.4">
      <c r="B1704" s="647">
        <v>42892</v>
      </c>
      <c r="C1704">
        <v>58.2</v>
      </c>
      <c r="D1704">
        <v>58.3</v>
      </c>
      <c r="E1704">
        <v>58</v>
      </c>
      <c r="F1704">
        <v>58</v>
      </c>
      <c r="G1704" s="196">
        <f t="shared" si="28"/>
        <v>58</v>
      </c>
      <c r="H1704">
        <v>22633</v>
      </c>
      <c r="I1704">
        <v>1313577.8999999999</v>
      </c>
    </row>
    <row r="1705" spans="2:9" customFormat="1" ht="14.4">
      <c r="B1705" s="647">
        <v>42893</v>
      </c>
      <c r="C1705">
        <v>59.4</v>
      </c>
      <c r="D1705">
        <v>59.4</v>
      </c>
      <c r="E1705">
        <v>59.4</v>
      </c>
      <c r="F1705">
        <v>59.4</v>
      </c>
      <c r="G1705" s="196">
        <f t="shared" si="28"/>
        <v>59.4</v>
      </c>
      <c r="H1705">
        <v>100</v>
      </c>
      <c r="I1705">
        <v>5940</v>
      </c>
    </row>
    <row r="1706" spans="2:9" customFormat="1" ht="14.4">
      <c r="B1706" s="647">
        <v>42895</v>
      </c>
      <c r="C1706">
        <v>59.2</v>
      </c>
      <c r="D1706">
        <v>59.9</v>
      </c>
      <c r="E1706">
        <v>58.2</v>
      </c>
      <c r="F1706">
        <v>58.5</v>
      </c>
      <c r="G1706" s="196">
        <f t="shared" si="28"/>
        <v>58.5</v>
      </c>
      <c r="H1706">
        <v>24102</v>
      </c>
      <c r="I1706">
        <v>1410279.8</v>
      </c>
    </row>
    <row r="1707" spans="2:9" customFormat="1" ht="14.4">
      <c r="B1707" s="647">
        <v>42898</v>
      </c>
      <c r="C1707">
        <v>58.5</v>
      </c>
      <c r="D1707">
        <v>59.8</v>
      </c>
      <c r="E1707">
        <v>58</v>
      </c>
      <c r="F1707">
        <v>58</v>
      </c>
      <c r="G1707" s="196">
        <f t="shared" si="28"/>
        <v>58</v>
      </c>
      <c r="H1707">
        <v>11099</v>
      </c>
      <c r="I1707">
        <v>649669</v>
      </c>
    </row>
    <row r="1708" spans="2:9" customFormat="1" ht="14.4">
      <c r="B1708" s="647">
        <v>42899</v>
      </c>
      <c r="C1708">
        <v>58.5</v>
      </c>
      <c r="D1708">
        <v>58.5</v>
      </c>
      <c r="E1708">
        <v>58</v>
      </c>
      <c r="F1708">
        <v>58</v>
      </c>
      <c r="G1708" s="196">
        <f t="shared" si="28"/>
        <v>58</v>
      </c>
      <c r="H1708">
        <v>29949</v>
      </c>
      <c r="I1708">
        <v>1737510.1</v>
      </c>
    </row>
    <row r="1709" spans="2:9" customFormat="1" ht="14.4">
      <c r="B1709" s="647">
        <v>42900</v>
      </c>
      <c r="C1709">
        <v>57.8</v>
      </c>
      <c r="D1709">
        <v>58</v>
      </c>
      <c r="E1709">
        <v>57.6</v>
      </c>
      <c r="F1709">
        <v>57.6</v>
      </c>
      <c r="G1709" s="196">
        <f t="shared" si="28"/>
        <v>57.6</v>
      </c>
      <c r="H1709">
        <v>13581</v>
      </c>
      <c r="I1709">
        <v>782326</v>
      </c>
    </row>
    <row r="1710" spans="2:9" customFormat="1" ht="14.4">
      <c r="B1710" s="647">
        <v>42901</v>
      </c>
      <c r="C1710">
        <v>58</v>
      </c>
      <c r="D1710">
        <v>58</v>
      </c>
      <c r="E1710">
        <v>57.5</v>
      </c>
      <c r="F1710">
        <v>58</v>
      </c>
      <c r="G1710" s="196">
        <f t="shared" si="28"/>
        <v>58</v>
      </c>
      <c r="H1710">
        <v>15604</v>
      </c>
      <c r="I1710">
        <v>904607</v>
      </c>
    </row>
    <row r="1711" spans="2:9" customFormat="1" ht="14.4">
      <c r="B1711" s="647">
        <v>42902</v>
      </c>
      <c r="C1711">
        <v>58</v>
      </c>
      <c r="D1711">
        <v>58</v>
      </c>
      <c r="E1711">
        <v>57</v>
      </c>
      <c r="F1711">
        <v>57</v>
      </c>
      <c r="G1711" s="196">
        <f t="shared" si="28"/>
        <v>57</v>
      </c>
      <c r="H1711">
        <v>59006</v>
      </c>
      <c r="I1711">
        <v>3366666</v>
      </c>
    </row>
    <row r="1712" spans="2:9" customFormat="1" ht="14.4">
      <c r="B1712" s="647">
        <v>42905</v>
      </c>
      <c r="C1712">
        <v>58</v>
      </c>
      <c r="D1712">
        <v>58</v>
      </c>
      <c r="E1712">
        <v>57</v>
      </c>
      <c r="F1712">
        <v>57</v>
      </c>
      <c r="G1712" s="196">
        <f t="shared" si="28"/>
        <v>57</v>
      </c>
      <c r="H1712">
        <v>14949</v>
      </c>
      <c r="I1712">
        <v>853703</v>
      </c>
    </row>
    <row r="1713" spans="2:9" customFormat="1" ht="14.4">
      <c r="B1713" s="647">
        <v>42906</v>
      </c>
      <c r="C1713">
        <v>57.2</v>
      </c>
      <c r="D1713">
        <v>57.2</v>
      </c>
      <c r="E1713">
        <v>57</v>
      </c>
      <c r="F1713">
        <v>57</v>
      </c>
      <c r="G1713" s="196">
        <f t="shared" si="28"/>
        <v>57</v>
      </c>
      <c r="H1713">
        <v>6729</v>
      </c>
      <c r="I1713">
        <v>383967</v>
      </c>
    </row>
    <row r="1714" spans="2:9" customFormat="1" ht="14.4">
      <c r="B1714" s="647">
        <v>42907</v>
      </c>
      <c r="C1714">
        <v>57</v>
      </c>
      <c r="D1714">
        <v>57.8</v>
      </c>
      <c r="E1714">
        <v>57</v>
      </c>
      <c r="F1714">
        <v>57</v>
      </c>
      <c r="G1714" s="196">
        <f t="shared" si="28"/>
        <v>57</v>
      </c>
      <c r="H1714">
        <v>103416</v>
      </c>
      <c r="I1714">
        <v>5896762.7999999998</v>
      </c>
    </row>
    <row r="1715" spans="2:9" customFormat="1" ht="14.4">
      <c r="B1715" s="647">
        <v>42908</v>
      </c>
      <c r="C1715">
        <v>57</v>
      </c>
      <c r="D1715">
        <v>57.9</v>
      </c>
      <c r="E1715">
        <v>56.8</v>
      </c>
      <c r="F1715">
        <v>56.9</v>
      </c>
      <c r="G1715" s="196">
        <f t="shared" si="28"/>
        <v>56.9</v>
      </c>
      <c r="H1715">
        <v>196463</v>
      </c>
      <c r="I1715">
        <v>11171314.9</v>
      </c>
    </row>
    <row r="1716" spans="2:9" customFormat="1" ht="14.4">
      <c r="B1716" s="647">
        <v>42909</v>
      </c>
      <c r="C1716">
        <v>57</v>
      </c>
      <c r="D1716">
        <v>57</v>
      </c>
      <c r="E1716">
        <v>56.8</v>
      </c>
      <c r="F1716">
        <v>56.8</v>
      </c>
      <c r="G1716" s="196">
        <f t="shared" si="28"/>
        <v>56.8</v>
      </c>
      <c r="H1716">
        <v>8710</v>
      </c>
      <c r="I1716">
        <v>495219</v>
      </c>
    </row>
    <row r="1717" spans="2:9" customFormat="1" ht="14.4">
      <c r="B1717" s="647">
        <v>42913</v>
      </c>
      <c r="C1717">
        <v>57</v>
      </c>
      <c r="D1717">
        <v>57.5</v>
      </c>
      <c r="E1717">
        <v>56.8</v>
      </c>
      <c r="F1717">
        <v>57</v>
      </c>
      <c r="G1717" s="196">
        <f t="shared" si="28"/>
        <v>57</v>
      </c>
      <c r="H1717">
        <v>11166</v>
      </c>
      <c r="I1717">
        <v>636302.5</v>
      </c>
    </row>
    <row r="1718" spans="2:9" customFormat="1" ht="14.4">
      <c r="B1718" s="647">
        <v>42914</v>
      </c>
      <c r="C1718">
        <v>57</v>
      </c>
      <c r="D1718">
        <v>57.4</v>
      </c>
      <c r="E1718">
        <v>57</v>
      </c>
      <c r="F1718">
        <v>57</v>
      </c>
      <c r="G1718" s="196">
        <f t="shared" si="28"/>
        <v>57</v>
      </c>
      <c r="H1718">
        <v>3187</v>
      </c>
      <c r="I1718">
        <v>181663.8</v>
      </c>
    </row>
    <row r="1719" spans="2:9" customFormat="1" ht="14.4">
      <c r="B1719" s="647">
        <v>42915</v>
      </c>
      <c r="C1719">
        <v>57</v>
      </c>
      <c r="D1719">
        <v>57</v>
      </c>
      <c r="E1719">
        <v>56.8</v>
      </c>
      <c r="F1719">
        <v>57</v>
      </c>
      <c r="G1719" s="196">
        <f t="shared" si="28"/>
        <v>57</v>
      </c>
      <c r="H1719">
        <v>1340</v>
      </c>
      <c r="I1719">
        <v>76360</v>
      </c>
    </row>
    <row r="1720" spans="2:9" customFormat="1" ht="14.4">
      <c r="B1720" s="647">
        <v>42916</v>
      </c>
      <c r="C1720">
        <v>57</v>
      </c>
      <c r="D1720">
        <v>57</v>
      </c>
      <c r="E1720">
        <v>56.5</v>
      </c>
      <c r="F1720">
        <v>56.5</v>
      </c>
      <c r="G1720" s="196">
        <f t="shared" si="28"/>
        <v>56.5</v>
      </c>
      <c r="H1720">
        <v>28810</v>
      </c>
      <c r="I1720">
        <v>1633597</v>
      </c>
    </row>
    <row r="1721" spans="2:9" customFormat="1" ht="14.4">
      <c r="B1721" s="647">
        <v>42919</v>
      </c>
      <c r="C1721">
        <v>57</v>
      </c>
      <c r="D1721">
        <v>57</v>
      </c>
      <c r="E1721">
        <v>56.3</v>
      </c>
      <c r="F1721">
        <v>56.3</v>
      </c>
      <c r="G1721" s="196">
        <f t="shared" si="28"/>
        <v>56.3</v>
      </c>
      <c r="H1721">
        <v>37409</v>
      </c>
      <c r="I1721">
        <v>2128527.4</v>
      </c>
    </row>
    <row r="1722" spans="2:9" customFormat="1" ht="14.4">
      <c r="B1722" s="647">
        <v>42920</v>
      </c>
      <c r="C1722">
        <v>56.9</v>
      </c>
      <c r="D1722">
        <v>56.9</v>
      </c>
      <c r="E1722">
        <v>56.7</v>
      </c>
      <c r="F1722">
        <v>56.7</v>
      </c>
      <c r="G1722" s="196">
        <f t="shared" si="28"/>
        <v>56.7</v>
      </c>
      <c r="H1722">
        <v>2840</v>
      </c>
      <c r="I1722">
        <v>161188</v>
      </c>
    </row>
    <row r="1723" spans="2:9" customFormat="1" ht="14.4">
      <c r="B1723" s="647">
        <v>42921</v>
      </c>
      <c r="C1723">
        <v>56.9</v>
      </c>
      <c r="D1723">
        <v>57.2</v>
      </c>
      <c r="E1723">
        <v>56.6</v>
      </c>
      <c r="F1723">
        <v>57</v>
      </c>
      <c r="G1723" s="196">
        <f t="shared" si="28"/>
        <v>57</v>
      </c>
      <c r="H1723">
        <v>21358</v>
      </c>
      <c r="I1723">
        <v>1216572.5</v>
      </c>
    </row>
    <row r="1724" spans="2:9" customFormat="1" ht="14.4">
      <c r="B1724" s="647">
        <v>42922</v>
      </c>
      <c r="C1724">
        <v>56.9</v>
      </c>
      <c r="D1724">
        <v>57</v>
      </c>
      <c r="E1724">
        <v>56.6</v>
      </c>
      <c r="F1724">
        <v>56.8</v>
      </c>
      <c r="G1724" s="196">
        <f t="shared" si="28"/>
        <v>56.8</v>
      </c>
      <c r="H1724">
        <v>10600</v>
      </c>
      <c r="I1724">
        <v>602855</v>
      </c>
    </row>
    <row r="1725" spans="2:9" customFormat="1" ht="14.4">
      <c r="B1725" s="647">
        <v>42922</v>
      </c>
      <c r="C1725" t="e">
        <v>#VALUE!</v>
      </c>
      <c r="D1725">
        <v>56.7</v>
      </c>
      <c r="E1725">
        <v>56.7</v>
      </c>
      <c r="F1725">
        <f>F1724</f>
        <v>56.8</v>
      </c>
      <c r="G1725" s="196">
        <f t="shared" si="28"/>
        <v>56.8</v>
      </c>
      <c r="H1725">
        <v>500000</v>
      </c>
      <c r="I1725">
        <v>28350000</v>
      </c>
    </row>
    <row r="1726" spans="2:9" customFormat="1" ht="14.4">
      <c r="B1726" s="647">
        <v>42923</v>
      </c>
      <c r="C1726">
        <v>57</v>
      </c>
      <c r="D1726">
        <v>57</v>
      </c>
      <c r="E1726">
        <v>56.9</v>
      </c>
      <c r="F1726">
        <v>57</v>
      </c>
      <c r="G1726" s="196">
        <f t="shared" si="28"/>
        <v>57</v>
      </c>
      <c r="H1726">
        <v>2810</v>
      </c>
      <c r="I1726">
        <v>160110</v>
      </c>
    </row>
    <row r="1727" spans="2:9" customFormat="1" ht="14.4">
      <c r="B1727" s="647">
        <v>42926</v>
      </c>
      <c r="C1727">
        <v>57.3</v>
      </c>
      <c r="D1727">
        <v>57.4</v>
      </c>
      <c r="E1727">
        <v>57</v>
      </c>
      <c r="F1727">
        <v>57</v>
      </c>
      <c r="G1727" s="196">
        <f t="shared" si="28"/>
        <v>57</v>
      </c>
      <c r="H1727">
        <v>5550</v>
      </c>
      <c r="I1727">
        <v>317073</v>
      </c>
    </row>
    <row r="1728" spans="2:9" customFormat="1" ht="14.4">
      <c r="B1728" s="647">
        <v>42927</v>
      </c>
      <c r="C1728">
        <v>58</v>
      </c>
      <c r="D1728">
        <v>58</v>
      </c>
      <c r="E1728">
        <v>57.5</v>
      </c>
      <c r="F1728">
        <v>57.5</v>
      </c>
      <c r="G1728" s="196">
        <f t="shared" si="28"/>
        <v>57.5</v>
      </c>
      <c r="H1728">
        <v>53250</v>
      </c>
      <c r="I1728">
        <v>3062000</v>
      </c>
    </row>
    <row r="1729" spans="2:9" customFormat="1" ht="14.4">
      <c r="B1729" s="647">
        <v>42928</v>
      </c>
      <c r="C1729">
        <v>58.5</v>
      </c>
      <c r="D1729">
        <v>58.5</v>
      </c>
      <c r="E1729">
        <v>57.8</v>
      </c>
      <c r="F1729">
        <v>58.3</v>
      </c>
      <c r="G1729" s="196">
        <f t="shared" si="28"/>
        <v>58.3</v>
      </c>
      <c r="H1729">
        <v>6001</v>
      </c>
      <c r="I1729">
        <v>349218.5</v>
      </c>
    </row>
    <row r="1730" spans="2:9" customFormat="1" ht="14.4">
      <c r="B1730" s="647">
        <v>42929</v>
      </c>
      <c r="C1730">
        <v>59</v>
      </c>
      <c r="D1730">
        <v>59</v>
      </c>
      <c r="E1730">
        <v>57.7</v>
      </c>
      <c r="F1730">
        <v>58</v>
      </c>
      <c r="G1730" s="196">
        <f t="shared" si="28"/>
        <v>58</v>
      </c>
      <c r="H1730">
        <v>10175</v>
      </c>
      <c r="I1730">
        <v>594599.80000000005</v>
      </c>
    </row>
    <row r="1731" spans="2:9" customFormat="1" ht="14.4">
      <c r="B1731" s="647">
        <v>42930</v>
      </c>
      <c r="C1731">
        <v>58</v>
      </c>
      <c r="D1731">
        <v>58</v>
      </c>
      <c r="E1731">
        <v>58</v>
      </c>
      <c r="F1731">
        <v>58</v>
      </c>
      <c r="G1731" s="196">
        <f t="shared" si="28"/>
        <v>58</v>
      </c>
      <c r="H1731">
        <v>3652</v>
      </c>
      <c r="I1731">
        <v>211816</v>
      </c>
    </row>
    <row r="1732" spans="2:9" customFormat="1" ht="14.4">
      <c r="B1732" s="647">
        <v>42933</v>
      </c>
      <c r="C1732">
        <v>58</v>
      </c>
      <c r="D1732">
        <v>58.9</v>
      </c>
      <c r="E1732">
        <v>58</v>
      </c>
      <c r="F1732">
        <v>58</v>
      </c>
      <c r="G1732" s="196">
        <f t="shared" si="28"/>
        <v>58</v>
      </c>
      <c r="H1732">
        <v>9176</v>
      </c>
      <c r="I1732">
        <v>532234.1</v>
      </c>
    </row>
    <row r="1733" spans="2:9" customFormat="1" ht="14.4">
      <c r="B1733" s="647">
        <v>42934</v>
      </c>
      <c r="C1733">
        <v>58</v>
      </c>
      <c r="D1733">
        <v>58.5</v>
      </c>
      <c r="E1733">
        <v>58</v>
      </c>
      <c r="F1733">
        <v>58.5</v>
      </c>
      <c r="G1733" s="196">
        <f t="shared" si="28"/>
        <v>58.5</v>
      </c>
      <c r="H1733">
        <v>27192</v>
      </c>
      <c r="I1733">
        <v>1589568</v>
      </c>
    </row>
    <row r="1734" spans="2:9" customFormat="1" ht="14.4">
      <c r="B1734" s="647">
        <v>42935</v>
      </c>
      <c r="C1734">
        <v>58</v>
      </c>
      <c r="D1734">
        <v>58.5</v>
      </c>
      <c r="E1734">
        <v>57.2</v>
      </c>
      <c r="F1734">
        <v>57.2</v>
      </c>
      <c r="G1734" s="196">
        <f t="shared" si="28"/>
        <v>57.2</v>
      </c>
      <c r="H1734">
        <v>46058</v>
      </c>
      <c r="I1734">
        <v>2678611.2999999998</v>
      </c>
    </row>
    <row r="1735" spans="2:9" customFormat="1" ht="14.4">
      <c r="B1735" s="647">
        <v>42936</v>
      </c>
      <c r="C1735">
        <v>57</v>
      </c>
      <c r="D1735">
        <v>58</v>
      </c>
      <c r="E1735">
        <v>57</v>
      </c>
      <c r="F1735">
        <v>57.6</v>
      </c>
      <c r="G1735" s="196">
        <f t="shared" si="28"/>
        <v>57.6</v>
      </c>
      <c r="H1735">
        <v>2109</v>
      </c>
      <c r="I1735">
        <v>121333.6</v>
      </c>
    </row>
    <row r="1736" spans="2:9" customFormat="1" ht="14.4">
      <c r="B1736" s="647">
        <v>42937</v>
      </c>
      <c r="C1736">
        <v>58</v>
      </c>
      <c r="D1736">
        <v>58</v>
      </c>
      <c r="E1736">
        <v>57.6</v>
      </c>
      <c r="F1736">
        <v>57.6</v>
      </c>
      <c r="G1736" s="196">
        <f t="shared" si="28"/>
        <v>57.6</v>
      </c>
      <c r="H1736">
        <v>1302</v>
      </c>
      <c r="I1736">
        <v>75026</v>
      </c>
    </row>
    <row r="1737" spans="2:9" customFormat="1" ht="14.4">
      <c r="B1737" s="647">
        <v>42940</v>
      </c>
      <c r="C1737">
        <v>57.1</v>
      </c>
      <c r="D1737">
        <v>57.1</v>
      </c>
      <c r="E1737">
        <v>56.3</v>
      </c>
      <c r="F1737">
        <v>56.6</v>
      </c>
      <c r="G1737" s="196">
        <f t="shared" si="28"/>
        <v>56.6</v>
      </c>
      <c r="H1737">
        <v>7788</v>
      </c>
      <c r="I1737">
        <v>444128.4</v>
      </c>
    </row>
    <row r="1738" spans="2:9" customFormat="1" ht="14.4">
      <c r="B1738" s="647">
        <v>42941</v>
      </c>
      <c r="C1738">
        <v>57.1</v>
      </c>
      <c r="D1738">
        <v>57.1</v>
      </c>
      <c r="E1738">
        <v>56.9</v>
      </c>
      <c r="F1738">
        <v>56.9</v>
      </c>
      <c r="G1738" s="196">
        <f t="shared" si="28"/>
        <v>56.9</v>
      </c>
      <c r="H1738">
        <v>9730</v>
      </c>
      <c r="I1738">
        <v>553689</v>
      </c>
    </row>
    <row r="1739" spans="2:9" customFormat="1" ht="14.4">
      <c r="B1739" s="647">
        <v>42942</v>
      </c>
      <c r="C1739">
        <v>57.1</v>
      </c>
      <c r="D1739">
        <v>57.1</v>
      </c>
      <c r="E1739">
        <v>56.5</v>
      </c>
      <c r="F1739">
        <v>57</v>
      </c>
      <c r="G1739" s="196">
        <f t="shared" si="28"/>
        <v>57</v>
      </c>
      <c r="H1739">
        <v>32539</v>
      </c>
      <c r="I1739">
        <v>1854207.1</v>
      </c>
    </row>
    <row r="1740" spans="2:9" customFormat="1" ht="14.4">
      <c r="B1740" s="647">
        <v>42943</v>
      </c>
      <c r="C1740">
        <v>57.1</v>
      </c>
      <c r="D1740">
        <v>57.2</v>
      </c>
      <c r="E1740">
        <v>57.1</v>
      </c>
      <c r="F1740">
        <v>57.1</v>
      </c>
      <c r="G1740" s="196">
        <f t="shared" si="28"/>
        <v>57.1</v>
      </c>
      <c r="H1740">
        <v>15400</v>
      </c>
      <c r="I1740">
        <v>879840</v>
      </c>
    </row>
    <row r="1741" spans="2:9" customFormat="1" ht="14.4">
      <c r="B1741" s="647">
        <v>42944</v>
      </c>
      <c r="C1741">
        <v>57</v>
      </c>
      <c r="D1741">
        <v>57</v>
      </c>
      <c r="E1741">
        <v>57</v>
      </c>
      <c r="F1741">
        <v>57</v>
      </c>
      <c r="G1741" s="196">
        <f t="shared" si="28"/>
        <v>57</v>
      </c>
      <c r="H1741">
        <v>100</v>
      </c>
      <c r="I1741">
        <v>5700</v>
      </c>
    </row>
    <row r="1742" spans="2:9" customFormat="1" ht="14.4">
      <c r="B1742" s="647">
        <v>42947</v>
      </c>
      <c r="C1742">
        <v>57</v>
      </c>
      <c r="D1742">
        <v>58.5</v>
      </c>
      <c r="E1742">
        <v>57</v>
      </c>
      <c r="F1742">
        <v>57.2</v>
      </c>
      <c r="G1742" s="196">
        <f t="shared" si="28"/>
        <v>57.2</v>
      </c>
      <c r="H1742">
        <v>10205</v>
      </c>
      <c r="I1742">
        <v>589145.19999999995</v>
      </c>
    </row>
    <row r="1743" spans="2:9" customFormat="1" ht="14.4">
      <c r="B1743" s="647">
        <v>42948</v>
      </c>
      <c r="C1743">
        <v>57.1</v>
      </c>
      <c r="D1743">
        <v>57.3</v>
      </c>
      <c r="E1743">
        <v>57</v>
      </c>
      <c r="F1743">
        <v>57</v>
      </c>
      <c r="G1743" s="196">
        <f t="shared" si="28"/>
        <v>57</v>
      </c>
      <c r="H1743">
        <v>820</v>
      </c>
      <c r="I1743">
        <v>46776</v>
      </c>
    </row>
    <row r="1744" spans="2:9" customFormat="1" ht="14.4">
      <c r="B1744" s="647">
        <v>42949</v>
      </c>
      <c r="C1744">
        <v>57</v>
      </c>
      <c r="D1744">
        <v>57</v>
      </c>
      <c r="E1744">
        <v>56.6</v>
      </c>
      <c r="F1744">
        <v>56.6</v>
      </c>
      <c r="G1744" s="196">
        <f t="shared" si="28"/>
        <v>56.6</v>
      </c>
      <c r="H1744">
        <v>12059</v>
      </c>
      <c r="I1744">
        <v>682672.6</v>
      </c>
    </row>
    <row r="1745" spans="2:9" customFormat="1" ht="14.4">
      <c r="B1745" s="647">
        <v>42950</v>
      </c>
      <c r="C1745">
        <v>57</v>
      </c>
      <c r="D1745">
        <v>57</v>
      </c>
      <c r="E1745">
        <v>57</v>
      </c>
      <c r="F1745">
        <v>56.6</v>
      </c>
      <c r="G1745" s="196">
        <f t="shared" si="28"/>
        <v>56.6</v>
      </c>
      <c r="H1745">
        <v>2</v>
      </c>
      <c r="I1745">
        <v>114</v>
      </c>
    </row>
    <row r="1746" spans="2:9" customFormat="1" ht="14.4">
      <c r="B1746" s="647">
        <v>42951</v>
      </c>
      <c r="C1746">
        <v>57</v>
      </c>
      <c r="D1746">
        <v>57</v>
      </c>
      <c r="E1746">
        <v>56.4</v>
      </c>
      <c r="F1746">
        <v>56.4</v>
      </c>
      <c r="G1746" s="196">
        <f t="shared" si="28"/>
        <v>56.4</v>
      </c>
      <c r="H1746">
        <v>11086</v>
      </c>
      <c r="I1746">
        <v>626214.69999999995</v>
      </c>
    </row>
    <row r="1747" spans="2:9" customFormat="1" ht="14.4">
      <c r="B1747" s="647">
        <v>42955</v>
      </c>
      <c r="C1747">
        <v>56.4</v>
      </c>
      <c r="D1747">
        <v>58.9</v>
      </c>
      <c r="E1747">
        <v>56.3</v>
      </c>
      <c r="F1747">
        <v>56.4</v>
      </c>
      <c r="G1747" s="196">
        <f t="shared" si="28"/>
        <v>56.4</v>
      </c>
      <c r="H1747">
        <v>6377</v>
      </c>
      <c r="I1747">
        <v>359661.7</v>
      </c>
    </row>
    <row r="1748" spans="2:9" customFormat="1" ht="14.4">
      <c r="B1748" s="647">
        <v>42956</v>
      </c>
      <c r="C1748">
        <v>56.3</v>
      </c>
      <c r="D1748">
        <v>56.3</v>
      </c>
      <c r="E1748">
        <v>56</v>
      </c>
      <c r="F1748">
        <v>56.1</v>
      </c>
      <c r="G1748" s="196">
        <f t="shared" si="28"/>
        <v>56.1</v>
      </c>
      <c r="H1748">
        <v>7743</v>
      </c>
      <c r="I1748">
        <v>434732.9</v>
      </c>
    </row>
    <row r="1749" spans="2:9" customFormat="1" ht="14.4">
      <c r="B1749" s="647">
        <v>42957</v>
      </c>
      <c r="C1749">
        <v>56</v>
      </c>
      <c r="D1749">
        <v>56</v>
      </c>
      <c r="E1749">
        <v>56</v>
      </c>
      <c r="F1749">
        <v>56.1</v>
      </c>
      <c r="G1749" s="196">
        <f t="shared" si="28"/>
        <v>56.1</v>
      </c>
      <c r="H1749">
        <v>52</v>
      </c>
      <c r="I1749">
        <v>2912</v>
      </c>
    </row>
    <row r="1750" spans="2:9" customFormat="1" ht="14.4">
      <c r="B1750" s="647">
        <v>42958</v>
      </c>
      <c r="C1750">
        <v>55.9</v>
      </c>
      <c r="D1750">
        <v>56</v>
      </c>
      <c r="E1750">
        <v>53.6</v>
      </c>
      <c r="F1750">
        <v>54</v>
      </c>
      <c r="G1750" s="196">
        <f t="shared" si="28"/>
        <v>54</v>
      </c>
      <c r="H1750">
        <v>8630</v>
      </c>
      <c r="I1750">
        <v>466273</v>
      </c>
    </row>
    <row r="1751" spans="2:9" customFormat="1" ht="14.4">
      <c r="B1751" s="647">
        <v>42961</v>
      </c>
      <c r="C1751">
        <v>54.1</v>
      </c>
      <c r="D1751">
        <v>55.5</v>
      </c>
      <c r="E1751">
        <v>54</v>
      </c>
      <c r="F1751">
        <v>54.1</v>
      </c>
      <c r="G1751" s="196">
        <f t="shared" si="28"/>
        <v>54.1</v>
      </c>
      <c r="H1751">
        <v>4311</v>
      </c>
      <c r="I1751">
        <v>233197.9</v>
      </c>
    </row>
    <row r="1752" spans="2:9" customFormat="1" ht="14.4">
      <c r="B1752" s="647">
        <v>42962</v>
      </c>
      <c r="C1752">
        <v>53.8</v>
      </c>
      <c r="D1752">
        <v>53.8</v>
      </c>
      <c r="E1752">
        <v>52</v>
      </c>
      <c r="F1752">
        <v>52.1</v>
      </c>
      <c r="G1752" s="196">
        <f t="shared" si="28"/>
        <v>52.1</v>
      </c>
      <c r="H1752">
        <v>14325</v>
      </c>
      <c r="I1752">
        <v>758684.7</v>
      </c>
    </row>
    <row r="1753" spans="2:9" customFormat="1" ht="14.4">
      <c r="B1753" s="647">
        <v>42963</v>
      </c>
      <c r="C1753">
        <v>50.5</v>
      </c>
      <c r="D1753">
        <v>50.5</v>
      </c>
      <c r="E1753">
        <v>49</v>
      </c>
      <c r="F1753">
        <v>50</v>
      </c>
      <c r="G1753" s="196">
        <f t="shared" si="28"/>
        <v>50</v>
      </c>
      <c r="H1753">
        <v>41662</v>
      </c>
      <c r="I1753">
        <v>2079492.3</v>
      </c>
    </row>
    <row r="1754" spans="2:9" customFormat="1" ht="14.4">
      <c r="B1754" s="647">
        <v>42964</v>
      </c>
      <c r="C1754">
        <v>49.9</v>
      </c>
      <c r="D1754">
        <v>50</v>
      </c>
      <c r="E1754">
        <v>49</v>
      </c>
      <c r="F1754">
        <v>49.5</v>
      </c>
      <c r="G1754" s="196">
        <f t="shared" si="28"/>
        <v>49.5</v>
      </c>
      <c r="H1754">
        <v>8588</v>
      </c>
      <c r="I1754">
        <v>428391.2</v>
      </c>
    </row>
    <row r="1755" spans="2:9" customFormat="1" ht="14.4">
      <c r="B1755" s="647">
        <v>42965</v>
      </c>
      <c r="C1755">
        <v>49.9</v>
      </c>
      <c r="D1755">
        <v>49.9</v>
      </c>
      <c r="E1755">
        <v>48.1</v>
      </c>
      <c r="F1755">
        <v>49.6</v>
      </c>
      <c r="G1755" s="196">
        <f t="shared" ref="G1755:G1818" si="29">F1755</f>
        <v>49.6</v>
      </c>
      <c r="H1755">
        <v>3989</v>
      </c>
      <c r="I1755">
        <v>197474.2</v>
      </c>
    </row>
    <row r="1756" spans="2:9" customFormat="1" ht="14.4">
      <c r="B1756" s="647">
        <v>42968</v>
      </c>
      <c r="C1756">
        <v>49.8</v>
      </c>
      <c r="D1756">
        <v>49.8</v>
      </c>
      <c r="E1756">
        <v>49</v>
      </c>
      <c r="F1756">
        <v>49</v>
      </c>
      <c r="G1756" s="196">
        <f t="shared" si="29"/>
        <v>49</v>
      </c>
      <c r="H1756">
        <v>40026</v>
      </c>
      <c r="I1756">
        <v>1968533.4</v>
      </c>
    </row>
    <row r="1757" spans="2:9" customFormat="1" ht="14.4">
      <c r="B1757" s="647">
        <v>42969</v>
      </c>
      <c r="C1757">
        <v>49.1</v>
      </c>
      <c r="D1757">
        <v>49.8</v>
      </c>
      <c r="E1757">
        <v>48.6</v>
      </c>
      <c r="F1757">
        <v>49</v>
      </c>
      <c r="G1757" s="196">
        <f t="shared" si="29"/>
        <v>49</v>
      </c>
      <c r="H1757">
        <v>419006</v>
      </c>
      <c r="I1757">
        <v>20532664.800000001</v>
      </c>
    </row>
    <row r="1758" spans="2:9" customFormat="1" ht="14.4">
      <c r="B1758" s="647">
        <v>42970</v>
      </c>
      <c r="C1758">
        <v>49</v>
      </c>
      <c r="D1758">
        <v>49.8</v>
      </c>
      <c r="E1758">
        <v>49</v>
      </c>
      <c r="F1758">
        <v>49.8</v>
      </c>
      <c r="G1758" s="196">
        <f t="shared" si="29"/>
        <v>49.8</v>
      </c>
      <c r="H1758">
        <v>4947</v>
      </c>
      <c r="I1758">
        <v>243319.2</v>
      </c>
    </row>
    <row r="1759" spans="2:9" customFormat="1" ht="14.4">
      <c r="B1759" s="647">
        <v>42971</v>
      </c>
      <c r="C1759">
        <v>49.4</v>
      </c>
      <c r="D1759">
        <v>50</v>
      </c>
      <c r="E1759">
        <v>49.1</v>
      </c>
      <c r="F1759">
        <v>50</v>
      </c>
      <c r="G1759" s="196">
        <f t="shared" si="29"/>
        <v>50</v>
      </c>
      <c r="H1759">
        <v>26781</v>
      </c>
      <c r="I1759">
        <v>1336728.8999999999</v>
      </c>
    </row>
    <row r="1760" spans="2:9" customFormat="1" ht="14.4">
      <c r="B1760" s="647">
        <v>42971</v>
      </c>
      <c r="C1760" t="e">
        <v>#VALUE!</v>
      </c>
      <c r="D1760">
        <v>50</v>
      </c>
      <c r="E1760">
        <v>50</v>
      </c>
      <c r="F1760">
        <f>F1759</f>
        <v>50</v>
      </c>
      <c r="G1760" s="196">
        <f t="shared" si="29"/>
        <v>50</v>
      </c>
      <c r="H1760">
        <v>709500</v>
      </c>
      <c r="I1760">
        <v>35475000</v>
      </c>
    </row>
    <row r="1761" spans="2:9" customFormat="1" ht="14.4">
      <c r="B1761" s="647">
        <v>42972</v>
      </c>
      <c r="C1761">
        <v>50</v>
      </c>
      <c r="D1761">
        <v>50.2</v>
      </c>
      <c r="E1761">
        <v>50</v>
      </c>
      <c r="F1761">
        <v>50.1</v>
      </c>
      <c r="G1761" s="196">
        <f t="shared" si="29"/>
        <v>50.1</v>
      </c>
      <c r="H1761">
        <v>1087</v>
      </c>
      <c r="I1761">
        <v>54385</v>
      </c>
    </row>
    <row r="1762" spans="2:9" customFormat="1" ht="14.4">
      <c r="B1762" s="647">
        <v>42975</v>
      </c>
      <c r="C1762">
        <v>50.1</v>
      </c>
      <c r="D1762">
        <v>51.2</v>
      </c>
      <c r="E1762">
        <v>50</v>
      </c>
      <c r="F1762">
        <v>50</v>
      </c>
      <c r="G1762" s="196">
        <f t="shared" si="29"/>
        <v>50</v>
      </c>
      <c r="H1762">
        <v>1255</v>
      </c>
      <c r="I1762">
        <v>62865</v>
      </c>
    </row>
    <row r="1763" spans="2:9" customFormat="1" ht="14.4">
      <c r="B1763" s="647">
        <v>42976</v>
      </c>
      <c r="C1763">
        <v>49.6</v>
      </c>
      <c r="D1763">
        <v>49.6</v>
      </c>
      <c r="E1763">
        <v>49</v>
      </c>
      <c r="F1763">
        <v>49.1</v>
      </c>
      <c r="G1763" s="196">
        <f t="shared" si="29"/>
        <v>49.1</v>
      </c>
      <c r="H1763">
        <v>7100</v>
      </c>
      <c r="I1763">
        <v>348923.4</v>
      </c>
    </row>
    <row r="1764" spans="2:9" customFormat="1" ht="14.4">
      <c r="B1764" s="647">
        <v>42977</v>
      </c>
      <c r="C1764">
        <v>50</v>
      </c>
      <c r="D1764">
        <v>50</v>
      </c>
      <c r="E1764">
        <v>49</v>
      </c>
      <c r="F1764">
        <v>50</v>
      </c>
      <c r="G1764" s="196">
        <f t="shared" si="29"/>
        <v>50</v>
      </c>
      <c r="H1764">
        <v>20925</v>
      </c>
      <c r="I1764">
        <v>1025782.3</v>
      </c>
    </row>
    <row r="1765" spans="2:9" customFormat="1" ht="14.4">
      <c r="B1765" s="647">
        <v>42978</v>
      </c>
      <c r="C1765">
        <v>50</v>
      </c>
      <c r="D1765">
        <v>50</v>
      </c>
      <c r="E1765">
        <v>49.5</v>
      </c>
      <c r="F1765">
        <v>50</v>
      </c>
      <c r="G1765" s="196">
        <f t="shared" si="29"/>
        <v>50</v>
      </c>
      <c r="H1765">
        <v>21</v>
      </c>
      <c r="I1765">
        <v>1045</v>
      </c>
    </row>
    <row r="1766" spans="2:9" customFormat="1" ht="14.4">
      <c r="B1766" s="647">
        <v>42982</v>
      </c>
      <c r="C1766">
        <v>50</v>
      </c>
      <c r="D1766">
        <v>50</v>
      </c>
      <c r="E1766">
        <v>49</v>
      </c>
      <c r="F1766">
        <v>49</v>
      </c>
      <c r="G1766" s="196">
        <f t="shared" si="29"/>
        <v>49</v>
      </c>
      <c r="H1766">
        <v>1494</v>
      </c>
      <c r="I1766">
        <v>73271</v>
      </c>
    </row>
    <row r="1767" spans="2:9" customFormat="1" ht="14.4">
      <c r="B1767" s="647">
        <v>42984</v>
      </c>
      <c r="C1767">
        <v>50</v>
      </c>
      <c r="D1767">
        <v>50</v>
      </c>
      <c r="E1767">
        <v>47.7</v>
      </c>
      <c r="F1767">
        <v>48.1</v>
      </c>
      <c r="G1767" s="196">
        <f t="shared" si="29"/>
        <v>48.1</v>
      </c>
      <c r="H1767">
        <v>5526</v>
      </c>
      <c r="I1767">
        <v>265963.5</v>
      </c>
    </row>
    <row r="1768" spans="2:9" customFormat="1" ht="14.4">
      <c r="B1768" s="647">
        <v>42985</v>
      </c>
      <c r="C1768">
        <v>48</v>
      </c>
      <c r="D1768">
        <v>48</v>
      </c>
      <c r="E1768">
        <v>47.8</v>
      </c>
      <c r="F1768">
        <v>48</v>
      </c>
      <c r="G1768" s="196">
        <f t="shared" si="29"/>
        <v>48</v>
      </c>
      <c r="H1768">
        <v>3466</v>
      </c>
      <c r="I1768">
        <v>166307.79999999999</v>
      </c>
    </row>
    <row r="1769" spans="2:9" customFormat="1" ht="14.4">
      <c r="B1769" s="647">
        <v>42986</v>
      </c>
      <c r="C1769">
        <v>48</v>
      </c>
      <c r="D1769">
        <v>48.5</v>
      </c>
      <c r="E1769">
        <v>47.9</v>
      </c>
      <c r="F1769">
        <v>47.9</v>
      </c>
      <c r="G1769" s="196">
        <f t="shared" si="29"/>
        <v>47.9</v>
      </c>
      <c r="H1769">
        <v>4173</v>
      </c>
      <c r="I1769">
        <v>200747.9</v>
      </c>
    </row>
    <row r="1770" spans="2:9" customFormat="1" ht="14.4">
      <c r="B1770" s="647">
        <v>42989</v>
      </c>
      <c r="C1770">
        <v>47.9</v>
      </c>
      <c r="D1770">
        <v>47.9</v>
      </c>
      <c r="E1770">
        <v>47.5</v>
      </c>
      <c r="F1770">
        <v>47.5</v>
      </c>
      <c r="G1770" s="196">
        <f t="shared" si="29"/>
        <v>47.5</v>
      </c>
      <c r="H1770">
        <v>81995</v>
      </c>
      <c r="I1770">
        <v>3903969</v>
      </c>
    </row>
    <row r="1771" spans="2:9" customFormat="1" ht="14.4">
      <c r="B1771" s="647">
        <v>42990</v>
      </c>
      <c r="C1771">
        <v>48</v>
      </c>
      <c r="D1771">
        <v>48</v>
      </c>
      <c r="E1771">
        <v>46</v>
      </c>
      <c r="F1771">
        <v>46.1</v>
      </c>
      <c r="G1771" s="196">
        <f t="shared" si="29"/>
        <v>46.1</v>
      </c>
      <c r="H1771">
        <v>18332</v>
      </c>
      <c r="I1771">
        <v>851965.4</v>
      </c>
    </row>
    <row r="1772" spans="2:9" customFormat="1" ht="14.4">
      <c r="B1772" s="647">
        <v>42991</v>
      </c>
      <c r="C1772">
        <v>46.3</v>
      </c>
      <c r="D1772">
        <v>46.3</v>
      </c>
      <c r="E1772">
        <v>46</v>
      </c>
      <c r="F1772">
        <v>46.1</v>
      </c>
      <c r="G1772" s="196">
        <f t="shared" si="29"/>
        <v>46.1</v>
      </c>
      <c r="H1772">
        <v>3529</v>
      </c>
      <c r="I1772">
        <v>162592.79999999999</v>
      </c>
    </row>
    <row r="1773" spans="2:9" customFormat="1" ht="14.4">
      <c r="B1773" s="647">
        <v>42992</v>
      </c>
      <c r="C1773">
        <v>46.9</v>
      </c>
      <c r="D1773">
        <v>46.9</v>
      </c>
      <c r="E1773">
        <v>46.7</v>
      </c>
      <c r="F1773">
        <v>46.7</v>
      </c>
      <c r="G1773" s="196">
        <f t="shared" si="29"/>
        <v>46.7</v>
      </c>
      <c r="H1773">
        <v>111</v>
      </c>
      <c r="I1773">
        <v>5185.8999999999996</v>
      </c>
    </row>
    <row r="1774" spans="2:9" customFormat="1" ht="14.4">
      <c r="B1774" s="647">
        <v>42993</v>
      </c>
      <c r="C1774">
        <v>47.4</v>
      </c>
      <c r="D1774">
        <v>47.4</v>
      </c>
      <c r="E1774">
        <v>46.2</v>
      </c>
      <c r="F1774">
        <v>46.2</v>
      </c>
      <c r="G1774" s="196">
        <f t="shared" si="29"/>
        <v>46.2</v>
      </c>
      <c r="H1774">
        <v>3032</v>
      </c>
      <c r="I1774">
        <v>140464.70000000001</v>
      </c>
    </row>
    <row r="1775" spans="2:9" customFormat="1" ht="14.4">
      <c r="B1775" s="647">
        <v>42996</v>
      </c>
      <c r="C1775">
        <v>46.3</v>
      </c>
      <c r="D1775">
        <v>47</v>
      </c>
      <c r="E1775">
        <v>46</v>
      </c>
      <c r="F1775">
        <v>47</v>
      </c>
      <c r="G1775" s="196">
        <f t="shared" si="29"/>
        <v>47</v>
      </c>
      <c r="H1775">
        <v>3162</v>
      </c>
      <c r="I1775">
        <v>146035.20000000001</v>
      </c>
    </row>
    <row r="1776" spans="2:9" customFormat="1" ht="14.4">
      <c r="B1776" s="647">
        <v>42997</v>
      </c>
      <c r="C1776">
        <v>46.9</v>
      </c>
      <c r="D1776">
        <v>47</v>
      </c>
      <c r="E1776">
        <v>45.8</v>
      </c>
      <c r="F1776">
        <v>46.9</v>
      </c>
      <c r="G1776" s="196">
        <f t="shared" si="29"/>
        <v>46.9</v>
      </c>
      <c r="H1776">
        <v>927</v>
      </c>
      <c r="I1776">
        <v>43426.7</v>
      </c>
    </row>
    <row r="1777" spans="2:9" customFormat="1" ht="14.4">
      <c r="B1777" s="647">
        <v>42998</v>
      </c>
      <c r="C1777">
        <v>46.9</v>
      </c>
      <c r="D1777">
        <v>47</v>
      </c>
      <c r="E1777">
        <v>46.9</v>
      </c>
      <c r="F1777">
        <v>47</v>
      </c>
      <c r="G1777" s="196">
        <f t="shared" si="29"/>
        <v>47</v>
      </c>
      <c r="H1777">
        <v>630</v>
      </c>
      <c r="I1777">
        <v>29590</v>
      </c>
    </row>
    <row r="1778" spans="2:9" customFormat="1" ht="14.4">
      <c r="B1778" s="647">
        <v>42999</v>
      </c>
      <c r="C1778">
        <v>47</v>
      </c>
      <c r="D1778">
        <v>47</v>
      </c>
      <c r="E1778">
        <v>46.2</v>
      </c>
      <c r="F1778">
        <v>46.2</v>
      </c>
      <c r="G1778" s="196">
        <f t="shared" si="29"/>
        <v>46.2</v>
      </c>
      <c r="H1778">
        <v>17076</v>
      </c>
      <c r="I1778">
        <v>794809</v>
      </c>
    </row>
    <row r="1779" spans="2:9" customFormat="1" ht="14.4">
      <c r="B1779" s="647">
        <v>43000</v>
      </c>
      <c r="C1779">
        <v>46.7</v>
      </c>
      <c r="D1779">
        <v>46.7</v>
      </c>
      <c r="E1779">
        <v>45.7</v>
      </c>
      <c r="F1779">
        <v>46</v>
      </c>
      <c r="G1779" s="196">
        <f t="shared" si="29"/>
        <v>46</v>
      </c>
      <c r="H1779">
        <v>34883</v>
      </c>
      <c r="I1779">
        <v>1604260</v>
      </c>
    </row>
    <row r="1780" spans="2:9" customFormat="1" ht="14.4">
      <c r="B1780" s="647">
        <v>43003</v>
      </c>
      <c r="C1780">
        <v>46</v>
      </c>
      <c r="D1780">
        <v>46</v>
      </c>
      <c r="E1780">
        <v>45.4</v>
      </c>
      <c r="F1780">
        <v>45.5</v>
      </c>
      <c r="G1780" s="196">
        <f t="shared" si="29"/>
        <v>45.5</v>
      </c>
      <c r="H1780">
        <v>70756</v>
      </c>
      <c r="I1780">
        <v>3243726.4</v>
      </c>
    </row>
    <row r="1781" spans="2:9" customFormat="1" ht="14.4">
      <c r="B1781" s="647">
        <v>43004</v>
      </c>
      <c r="C1781">
        <v>45.3</v>
      </c>
      <c r="D1781">
        <v>45.8</v>
      </c>
      <c r="E1781">
        <v>45.3</v>
      </c>
      <c r="F1781">
        <v>45.3</v>
      </c>
      <c r="G1781" s="196">
        <f t="shared" si="29"/>
        <v>45.3</v>
      </c>
      <c r="H1781">
        <v>465</v>
      </c>
      <c r="I1781">
        <v>21070.799999999999</v>
      </c>
    </row>
    <row r="1782" spans="2:9" customFormat="1" ht="14.4">
      <c r="B1782" s="647">
        <v>43005</v>
      </c>
      <c r="C1782">
        <v>45.4</v>
      </c>
      <c r="D1782">
        <v>45.4</v>
      </c>
      <c r="E1782">
        <v>45</v>
      </c>
      <c r="F1782">
        <v>45.1</v>
      </c>
      <c r="G1782" s="196">
        <f t="shared" si="29"/>
        <v>45.1</v>
      </c>
      <c r="H1782">
        <v>13660</v>
      </c>
      <c r="I1782">
        <v>615414</v>
      </c>
    </row>
    <row r="1783" spans="2:9" customFormat="1" ht="14.4">
      <c r="B1783" s="647">
        <v>43006</v>
      </c>
      <c r="C1783">
        <v>45.1</v>
      </c>
      <c r="D1783">
        <v>45.7</v>
      </c>
      <c r="E1783">
        <v>45</v>
      </c>
      <c r="F1783">
        <v>45</v>
      </c>
      <c r="G1783" s="196">
        <f t="shared" si="29"/>
        <v>45</v>
      </c>
      <c r="H1783">
        <v>6105</v>
      </c>
      <c r="I1783">
        <v>274786.8</v>
      </c>
    </row>
    <row r="1784" spans="2:9" customFormat="1" ht="14.4">
      <c r="B1784" s="647">
        <v>43007</v>
      </c>
      <c r="C1784">
        <v>45.7</v>
      </c>
      <c r="D1784">
        <v>45.7</v>
      </c>
      <c r="E1784">
        <v>45</v>
      </c>
      <c r="F1784">
        <v>45.1</v>
      </c>
      <c r="G1784" s="196">
        <f t="shared" si="29"/>
        <v>45.1</v>
      </c>
      <c r="H1784">
        <v>13856</v>
      </c>
      <c r="I1784">
        <v>624393.80000000005</v>
      </c>
    </row>
    <row r="1785" spans="2:9" customFormat="1" ht="14.4">
      <c r="B1785" s="647">
        <v>43010</v>
      </c>
      <c r="C1785">
        <v>45.5</v>
      </c>
      <c r="D1785">
        <v>45.5</v>
      </c>
      <c r="E1785">
        <v>44.4</v>
      </c>
      <c r="F1785">
        <v>44.5</v>
      </c>
      <c r="G1785" s="196">
        <f t="shared" si="29"/>
        <v>44.5</v>
      </c>
      <c r="H1785">
        <v>2842</v>
      </c>
      <c r="I1785">
        <v>127316.5</v>
      </c>
    </row>
    <row r="1786" spans="2:9" customFormat="1" ht="14.4">
      <c r="B1786" s="647">
        <v>43011</v>
      </c>
      <c r="C1786">
        <v>44.5</v>
      </c>
      <c r="D1786">
        <v>44.5</v>
      </c>
      <c r="E1786">
        <v>42</v>
      </c>
      <c r="F1786">
        <v>42.9</v>
      </c>
      <c r="G1786" s="196">
        <f t="shared" si="29"/>
        <v>42.9</v>
      </c>
      <c r="H1786">
        <v>828229</v>
      </c>
      <c r="I1786">
        <v>34833342.899999999</v>
      </c>
    </row>
    <row r="1787" spans="2:9" customFormat="1" ht="14.4">
      <c r="B1787" s="647">
        <v>43012</v>
      </c>
      <c r="C1787">
        <v>43.5</v>
      </c>
      <c r="D1787">
        <v>43.5</v>
      </c>
      <c r="E1787">
        <v>43</v>
      </c>
      <c r="F1787">
        <v>43</v>
      </c>
      <c r="G1787" s="196">
        <f t="shared" si="29"/>
        <v>43</v>
      </c>
      <c r="H1787">
        <v>114282</v>
      </c>
      <c r="I1787">
        <v>4923097</v>
      </c>
    </row>
    <row r="1788" spans="2:9" customFormat="1" ht="14.4">
      <c r="B1788" s="647">
        <v>43014</v>
      </c>
      <c r="C1788">
        <v>43.5</v>
      </c>
      <c r="D1788">
        <v>43.5</v>
      </c>
      <c r="E1788">
        <v>43</v>
      </c>
      <c r="F1788">
        <v>43</v>
      </c>
      <c r="G1788" s="196">
        <f t="shared" si="29"/>
        <v>43</v>
      </c>
      <c r="H1788">
        <v>21947</v>
      </c>
      <c r="I1788">
        <v>946944.6</v>
      </c>
    </row>
    <row r="1789" spans="2:9" customFormat="1" ht="14.4">
      <c r="B1789" s="647">
        <v>43017</v>
      </c>
      <c r="C1789">
        <v>43.5</v>
      </c>
      <c r="D1789">
        <v>43.5</v>
      </c>
      <c r="E1789">
        <v>42.7</v>
      </c>
      <c r="F1789">
        <v>42.7</v>
      </c>
      <c r="G1789" s="196">
        <f t="shared" si="29"/>
        <v>42.7</v>
      </c>
      <c r="H1789">
        <v>11015</v>
      </c>
      <c r="I1789">
        <v>474516.3</v>
      </c>
    </row>
    <row r="1790" spans="2:9" customFormat="1" ht="14.4">
      <c r="B1790" s="647">
        <v>43018</v>
      </c>
      <c r="C1790">
        <v>42.7</v>
      </c>
      <c r="D1790">
        <v>43</v>
      </c>
      <c r="E1790">
        <v>42.2</v>
      </c>
      <c r="F1790">
        <v>42.5</v>
      </c>
      <c r="G1790" s="196">
        <f t="shared" si="29"/>
        <v>42.5</v>
      </c>
      <c r="H1790">
        <v>14660</v>
      </c>
      <c r="I1790">
        <v>622520.1</v>
      </c>
    </row>
    <row r="1791" spans="2:9" customFormat="1" ht="14.4">
      <c r="B1791" s="647">
        <v>43019</v>
      </c>
      <c r="C1791">
        <v>42.5</v>
      </c>
      <c r="D1791">
        <v>42.5</v>
      </c>
      <c r="E1791">
        <v>42.1</v>
      </c>
      <c r="F1791">
        <v>42.2</v>
      </c>
      <c r="G1791" s="196">
        <f t="shared" si="29"/>
        <v>42.2</v>
      </c>
      <c r="H1791">
        <v>3951</v>
      </c>
      <c r="I1791">
        <v>167082.1</v>
      </c>
    </row>
    <row r="1792" spans="2:9" customFormat="1" ht="14.4">
      <c r="B1792" s="647">
        <v>43020</v>
      </c>
      <c r="C1792">
        <v>42.1</v>
      </c>
      <c r="D1792">
        <v>42.9</v>
      </c>
      <c r="E1792">
        <v>42</v>
      </c>
      <c r="F1792">
        <v>42.1</v>
      </c>
      <c r="G1792" s="196">
        <f t="shared" si="29"/>
        <v>42.1</v>
      </c>
      <c r="H1792">
        <v>28603</v>
      </c>
      <c r="I1792">
        <v>1202437.3999999999</v>
      </c>
    </row>
    <row r="1793" spans="2:9" customFormat="1" ht="14.4">
      <c r="B1793" s="647">
        <v>43021</v>
      </c>
      <c r="C1793">
        <v>42.1</v>
      </c>
      <c r="D1793">
        <v>42.5</v>
      </c>
      <c r="E1793">
        <v>42</v>
      </c>
      <c r="F1793">
        <v>42.1</v>
      </c>
      <c r="G1793" s="196">
        <f t="shared" si="29"/>
        <v>42.1</v>
      </c>
      <c r="H1793">
        <v>166464</v>
      </c>
      <c r="I1793">
        <v>6993573.5</v>
      </c>
    </row>
    <row r="1794" spans="2:9" customFormat="1" ht="14.4">
      <c r="B1794" s="647">
        <v>43024</v>
      </c>
      <c r="C1794">
        <v>42.1</v>
      </c>
      <c r="D1794">
        <v>42.1</v>
      </c>
      <c r="E1794">
        <v>42</v>
      </c>
      <c r="F1794">
        <v>42</v>
      </c>
      <c r="G1794" s="196">
        <f t="shared" si="29"/>
        <v>42</v>
      </c>
      <c r="H1794">
        <v>7980</v>
      </c>
      <c r="I1794">
        <v>335301.5</v>
      </c>
    </row>
    <row r="1795" spans="2:9" customFormat="1" ht="14.4">
      <c r="B1795" s="647">
        <v>43025</v>
      </c>
      <c r="C1795">
        <v>42</v>
      </c>
      <c r="D1795">
        <v>42</v>
      </c>
      <c r="E1795">
        <v>42</v>
      </c>
      <c r="F1795">
        <v>42</v>
      </c>
      <c r="G1795" s="196">
        <f t="shared" si="29"/>
        <v>42</v>
      </c>
      <c r="H1795">
        <v>1125</v>
      </c>
      <c r="I1795">
        <v>47250</v>
      </c>
    </row>
    <row r="1796" spans="2:9" customFormat="1" ht="14.4">
      <c r="B1796" s="647">
        <v>43027</v>
      </c>
      <c r="C1796">
        <v>41.9</v>
      </c>
      <c r="D1796">
        <v>42.9</v>
      </c>
      <c r="E1796">
        <v>41.8</v>
      </c>
      <c r="F1796">
        <v>42</v>
      </c>
      <c r="G1796" s="196">
        <f t="shared" si="29"/>
        <v>42</v>
      </c>
      <c r="H1796">
        <v>21511</v>
      </c>
      <c r="I1796">
        <v>903727.6</v>
      </c>
    </row>
    <row r="1797" spans="2:9" customFormat="1" ht="14.4">
      <c r="B1797" s="647">
        <v>43028</v>
      </c>
      <c r="C1797">
        <v>42.5</v>
      </c>
      <c r="D1797">
        <v>43.4</v>
      </c>
      <c r="E1797">
        <v>42</v>
      </c>
      <c r="F1797">
        <v>42</v>
      </c>
      <c r="G1797" s="196">
        <f t="shared" si="29"/>
        <v>42</v>
      </c>
      <c r="H1797">
        <v>26319</v>
      </c>
      <c r="I1797">
        <v>1105947.3</v>
      </c>
    </row>
    <row r="1798" spans="2:9" customFormat="1" ht="14.4">
      <c r="B1798" s="647">
        <v>43031</v>
      </c>
      <c r="C1798">
        <v>43.4</v>
      </c>
      <c r="D1798">
        <v>43.9</v>
      </c>
      <c r="E1798">
        <v>42.4</v>
      </c>
      <c r="F1798">
        <v>43.8</v>
      </c>
      <c r="G1798" s="196">
        <f t="shared" si="29"/>
        <v>43.8</v>
      </c>
      <c r="H1798">
        <v>57625</v>
      </c>
      <c r="I1798">
        <v>2482365.5</v>
      </c>
    </row>
    <row r="1799" spans="2:9" customFormat="1" ht="14.4">
      <c r="B1799" s="647">
        <v>43032</v>
      </c>
      <c r="C1799">
        <v>43.8</v>
      </c>
      <c r="D1799">
        <v>43.8</v>
      </c>
      <c r="E1799">
        <v>43.3</v>
      </c>
      <c r="F1799">
        <v>43.7</v>
      </c>
      <c r="G1799" s="196">
        <f t="shared" si="29"/>
        <v>43.7</v>
      </c>
      <c r="H1799">
        <v>45810</v>
      </c>
      <c r="I1799">
        <v>2001117</v>
      </c>
    </row>
    <row r="1800" spans="2:9" customFormat="1" ht="14.4">
      <c r="B1800" s="647">
        <v>43033</v>
      </c>
      <c r="C1800">
        <v>44</v>
      </c>
      <c r="D1800">
        <v>47</v>
      </c>
      <c r="E1800">
        <v>44</v>
      </c>
      <c r="F1800">
        <v>46.7</v>
      </c>
      <c r="G1800" s="196">
        <f t="shared" si="29"/>
        <v>46.7</v>
      </c>
      <c r="H1800">
        <v>487264</v>
      </c>
      <c r="I1800">
        <v>22306956.199999999</v>
      </c>
    </row>
    <row r="1801" spans="2:9" customFormat="1" ht="14.4">
      <c r="B1801" s="647">
        <v>43034</v>
      </c>
      <c r="C1801">
        <v>46.5</v>
      </c>
      <c r="D1801">
        <v>46.9</v>
      </c>
      <c r="E1801">
        <v>46</v>
      </c>
      <c r="F1801">
        <v>46</v>
      </c>
      <c r="G1801" s="196">
        <f t="shared" si="29"/>
        <v>46</v>
      </c>
      <c r="H1801">
        <v>20471</v>
      </c>
      <c r="I1801">
        <v>943206.2</v>
      </c>
    </row>
    <row r="1802" spans="2:9" customFormat="1" ht="14.4">
      <c r="B1802" s="647">
        <v>43035</v>
      </c>
      <c r="C1802">
        <v>45.9</v>
      </c>
      <c r="D1802">
        <v>45.9</v>
      </c>
      <c r="E1802">
        <v>43.3</v>
      </c>
      <c r="F1802">
        <v>44.5</v>
      </c>
      <c r="G1802" s="196">
        <f t="shared" si="29"/>
        <v>44.5</v>
      </c>
      <c r="H1802">
        <v>5705</v>
      </c>
      <c r="I1802">
        <v>256850.4</v>
      </c>
    </row>
    <row r="1803" spans="2:9" customFormat="1" ht="14.4">
      <c r="B1803" s="647">
        <v>43038</v>
      </c>
      <c r="C1803">
        <v>45</v>
      </c>
      <c r="D1803">
        <v>45</v>
      </c>
      <c r="E1803">
        <v>44</v>
      </c>
      <c r="F1803">
        <v>44</v>
      </c>
      <c r="G1803" s="196">
        <f t="shared" si="29"/>
        <v>44</v>
      </c>
      <c r="H1803">
        <v>4961</v>
      </c>
      <c r="I1803">
        <v>219799</v>
      </c>
    </row>
    <row r="1804" spans="2:9" customFormat="1" ht="14.4">
      <c r="B1804" s="647">
        <v>43039</v>
      </c>
      <c r="C1804">
        <v>44.9</v>
      </c>
      <c r="D1804">
        <v>45.3</v>
      </c>
      <c r="E1804">
        <v>44.5</v>
      </c>
      <c r="F1804">
        <v>44.5</v>
      </c>
      <c r="G1804" s="196">
        <f t="shared" si="29"/>
        <v>44.5</v>
      </c>
      <c r="H1804">
        <v>5502</v>
      </c>
      <c r="I1804">
        <v>246449.2</v>
      </c>
    </row>
    <row r="1805" spans="2:9" customFormat="1" ht="14.4">
      <c r="B1805" s="647">
        <v>43040</v>
      </c>
      <c r="C1805">
        <v>44.8</v>
      </c>
      <c r="D1805">
        <v>44.8</v>
      </c>
      <c r="E1805">
        <v>44.3</v>
      </c>
      <c r="F1805">
        <v>44.4</v>
      </c>
      <c r="G1805" s="196">
        <f t="shared" si="29"/>
        <v>44.4</v>
      </c>
      <c r="H1805">
        <v>450</v>
      </c>
      <c r="I1805">
        <v>20019.400000000001</v>
      </c>
    </row>
    <row r="1806" spans="2:9" customFormat="1" ht="14.4">
      <c r="B1806" s="647">
        <v>43041</v>
      </c>
      <c r="C1806">
        <v>44.3</v>
      </c>
      <c r="D1806">
        <v>45</v>
      </c>
      <c r="E1806">
        <v>44.1</v>
      </c>
      <c r="F1806">
        <v>44.7</v>
      </c>
      <c r="G1806" s="196">
        <f t="shared" si="29"/>
        <v>44.7</v>
      </c>
      <c r="H1806">
        <v>9568</v>
      </c>
      <c r="I1806">
        <v>428629.6</v>
      </c>
    </row>
    <row r="1807" spans="2:9" customFormat="1" ht="14.4">
      <c r="B1807" s="647">
        <v>43045</v>
      </c>
      <c r="C1807">
        <v>45.3</v>
      </c>
      <c r="D1807">
        <v>45.3</v>
      </c>
      <c r="E1807">
        <v>44.1</v>
      </c>
      <c r="F1807">
        <v>44.1</v>
      </c>
      <c r="G1807" s="196">
        <f t="shared" si="29"/>
        <v>44.1</v>
      </c>
      <c r="H1807">
        <v>4810</v>
      </c>
      <c r="I1807">
        <v>215823.1</v>
      </c>
    </row>
    <row r="1808" spans="2:9" customFormat="1" ht="14.4">
      <c r="B1808" s="647">
        <v>43046</v>
      </c>
      <c r="C1808">
        <v>44.2</v>
      </c>
      <c r="D1808">
        <v>44.2</v>
      </c>
      <c r="E1808">
        <v>44</v>
      </c>
      <c r="F1808">
        <v>44</v>
      </c>
      <c r="G1808" s="196">
        <f t="shared" si="29"/>
        <v>44</v>
      </c>
      <c r="H1808">
        <v>5210</v>
      </c>
      <c r="I1808">
        <v>229240.2</v>
      </c>
    </row>
    <row r="1809" spans="2:9" customFormat="1" ht="14.4">
      <c r="B1809" s="647">
        <v>43047</v>
      </c>
      <c r="C1809">
        <v>44.9</v>
      </c>
      <c r="D1809">
        <v>45</v>
      </c>
      <c r="E1809">
        <v>43.8</v>
      </c>
      <c r="F1809">
        <v>45</v>
      </c>
      <c r="G1809" s="196">
        <f t="shared" si="29"/>
        <v>45</v>
      </c>
      <c r="H1809">
        <v>14060</v>
      </c>
      <c r="I1809">
        <v>632379</v>
      </c>
    </row>
    <row r="1810" spans="2:9" customFormat="1" ht="14.4">
      <c r="B1810" s="647">
        <v>43048</v>
      </c>
      <c r="C1810">
        <v>44.5</v>
      </c>
      <c r="D1810">
        <v>44.6</v>
      </c>
      <c r="E1810">
        <v>44.1</v>
      </c>
      <c r="F1810">
        <v>44.1</v>
      </c>
      <c r="G1810" s="196">
        <f t="shared" si="29"/>
        <v>44.1</v>
      </c>
      <c r="H1810">
        <v>19608</v>
      </c>
      <c r="I1810">
        <v>871712.8</v>
      </c>
    </row>
    <row r="1811" spans="2:9" customFormat="1" ht="14.4">
      <c r="B1811" s="647">
        <v>43049</v>
      </c>
      <c r="C1811">
        <v>44</v>
      </c>
      <c r="D1811">
        <v>46</v>
      </c>
      <c r="E1811">
        <v>44</v>
      </c>
      <c r="F1811">
        <v>45.5</v>
      </c>
      <c r="G1811" s="196">
        <f t="shared" si="29"/>
        <v>45.5</v>
      </c>
      <c r="H1811">
        <v>54644</v>
      </c>
      <c r="I1811">
        <v>2478589.2000000002</v>
      </c>
    </row>
    <row r="1812" spans="2:9" customFormat="1" ht="14.4">
      <c r="B1812" s="647">
        <v>43052</v>
      </c>
      <c r="C1812">
        <v>45.2</v>
      </c>
      <c r="D1812">
        <v>45.6</v>
      </c>
      <c r="E1812">
        <v>45</v>
      </c>
      <c r="F1812">
        <v>45</v>
      </c>
      <c r="G1812" s="196">
        <f t="shared" si="29"/>
        <v>45</v>
      </c>
      <c r="H1812">
        <v>31985</v>
      </c>
      <c r="I1812">
        <v>1439691.3</v>
      </c>
    </row>
    <row r="1813" spans="2:9" customFormat="1" ht="14.4">
      <c r="B1813" s="647">
        <v>43053</v>
      </c>
      <c r="C1813">
        <v>44.5</v>
      </c>
      <c r="D1813">
        <v>44.5</v>
      </c>
      <c r="E1813">
        <v>44.1</v>
      </c>
      <c r="F1813">
        <v>44.1</v>
      </c>
      <c r="G1813" s="196">
        <f t="shared" si="29"/>
        <v>44.1</v>
      </c>
      <c r="H1813">
        <v>1030</v>
      </c>
      <c r="I1813">
        <v>45529</v>
      </c>
    </row>
    <row r="1814" spans="2:9" customFormat="1" ht="14.4">
      <c r="B1814" s="647">
        <v>43054</v>
      </c>
      <c r="C1814">
        <v>44</v>
      </c>
      <c r="D1814">
        <v>44</v>
      </c>
      <c r="E1814">
        <v>43</v>
      </c>
      <c r="F1814">
        <v>43</v>
      </c>
      <c r="G1814" s="196">
        <f t="shared" si="29"/>
        <v>43</v>
      </c>
      <c r="H1814">
        <v>9600</v>
      </c>
      <c r="I1814">
        <v>418201.3</v>
      </c>
    </row>
    <row r="1815" spans="2:9" customFormat="1" ht="14.4">
      <c r="B1815" s="647">
        <v>43055</v>
      </c>
      <c r="C1815">
        <v>44.5</v>
      </c>
      <c r="D1815">
        <v>46.3</v>
      </c>
      <c r="E1815">
        <v>44</v>
      </c>
      <c r="F1815">
        <v>45.5</v>
      </c>
      <c r="G1815" s="196">
        <f t="shared" si="29"/>
        <v>45.5</v>
      </c>
      <c r="H1815">
        <v>117784</v>
      </c>
      <c r="I1815">
        <v>5302667.9000000004</v>
      </c>
    </row>
    <row r="1816" spans="2:9" customFormat="1" ht="14.4">
      <c r="B1816" s="647">
        <v>43056</v>
      </c>
      <c r="C1816">
        <v>45.6</v>
      </c>
      <c r="D1816">
        <v>45.6</v>
      </c>
      <c r="E1816">
        <v>43.5</v>
      </c>
      <c r="F1816">
        <v>43.8</v>
      </c>
      <c r="G1816" s="196">
        <f t="shared" si="29"/>
        <v>43.8</v>
      </c>
      <c r="H1816">
        <v>12279</v>
      </c>
      <c r="I1816">
        <v>555112.6</v>
      </c>
    </row>
    <row r="1817" spans="2:9" customFormat="1" ht="14.4">
      <c r="B1817" s="647">
        <v>43059</v>
      </c>
      <c r="C1817">
        <v>45.4</v>
      </c>
      <c r="D1817">
        <v>45.4</v>
      </c>
      <c r="E1817">
        <v>44</v>
      </c>
      <c r="F1817">
        <v>44</v>
      </c>
      <c r="G1817" s="196">
        <f t="shared" si="29"/>
        <v>44</v>
      </c>
      <c r="H1817">
        <v>9711</v>
      </c>
      <c r="I1817">
        <v>428105</v>
      </c>
    </row>
    <row r="1818" spans="2:9" customFormat="1" ht="14.4">
      <c r="B1818" s="647">
        <v>43060</v>
      </c>
      <c r="C1818">
        <v>44.5</v>
      </c>
      <c r="D1818">
        <v>44.9</v>
      </c>
      <c r="E1818">
        <v>44.5</v>
      </c>
      <c r="F1818">
        <v>44.6</v>
      </c>
      <c r="G1818" s="196">
        <f t="shared" si="29"/>
        <v>44.6</v>
      </c>
      <c r="H1818">
        <v>370</v>
      </c>
      <c r="I1818">
        <v>16485</v>
      </c>
    </row>
    <row r="1819" spans="2:9" customFormat="1" ht="14.4">
      <c r="B1819" s="647">
        <v>43061</v>
      </c>
      <c r="C1819">
        <v>44.2</v>
      </c>
      <c r="D1819">
        <v>44.2</v>
      </c>
      <c r="E1819">
        <v>44.2</v>
      </c>
      <c r="F1819">
        <v>44.2</v>
      </c>
      <c r="G1819" s="196">
        <f t="shared" ref="G1819:G1828" si="30">F1819</f>
        <v>44.2</v>
      </c>
      <c r="H1819">
        <v>500</v>
      </c>
      <c r="I1819">
        <v>22100</v>
      </c>
    </row>
    <row r="1820" spans="2:9" customFormat="1" ht="14.4">
      <c r="B1820" s="647">
        <v>43062</v>
      </c>
      <c r="C1820">
        <v>44.9</v>
      </c>
      <c r="D1820">
        <v>44.9</v>
      </c>
      <c r="E1820">
        <v>43.5</v>
      </c>
      <c r="F1820">
        <v>43.9</v>
      </c>
      <c r="G1820" s="196">
        <f t="shared" si="30"/>
        <v>43.9</v>
      </c>
      <c r="H1820">
        <v>1998</v>
      </c>
      <c r="I1820">
        <v>87955.3</v>
      </c>
    </row>
    <row r="1821" spans="2:9" customFormat="1" ht="14.4">
      <c r="B1821" s="647">
        <v>43063</v>
      </c>
      <c r="C1821">
        <v>44.8</v>
      </c>
      <c r="D1821">
        <v>44.8</v>
      </c>
      <c r="E1821">
        <v>43.4</v>
      </c>
      <c r="F1821">
        <v>43.9</v>
      </c>
      <c r="G1821" s="196">
        <f t="shared" si="30"/>
        <v>43.9</v>
      </c>
      <c r="H1821">
        <v>41</v>
      </c>
      <c r="I1821">
        <v>1794.8</v>
      </c>
    </row>
    <row r="1822" spans="2:9" customFormat="1" ht="14.4">
      <c r="B1822" s="647">
        <v>43066</v>
      </c>
      <c r="C1822">
        <v>43.1</v>
      </c>
      <c r="D1822">
        <v>43.1</v>
      </c>
      <c r="E1822">
        <v>43</v>
      </c>
      <c r="F1822">
        <v>43</v>
      </c>
      <c r="G1822" s="196">
        <f t="shared" si="30"/>
        <v>43</v>
      </c>
      <c r="H1822">
        <v>536</v>
      </c>
      <c r="I1822">
        <v>23070.5</v>
      </c>
    </row>
    <row r="1823" spans="2:9" customFormat="1" ht="14.4">
      <c r="B1823" s="647">
        <v>43067</v>
      </c>
      <c r="C1823">
        <v>42.5</v>
      </c>
      <c r="D1823">
        <v>43</v>
      </c>
      <c r="E1823">
        <v>42.2</v>
      </c>
      <c r="F1823">
        <v>42.2</v>
      </c>
      <c r="G1823" s="196">
        <f t="shared" si="30"/>
        <v>42.2</v>
      </c>
      <c r="H1823">
        <v>1722</v>
      </c>
      <c r="I1823">
        <v>72711.399999999994</v>
      </c>
    </row>
    <row r="1824" spans="2:9" customFormat="1" ht="14.4">
      <c r="B1824" s="647">
        <v>43068</v>
      </c>
      <c r="C1824">
        <v>42.5</v>
      </c>
      <c r="D1824">
        <v>43.7</v>
      </c>
      <c r="E1824">
        <v>42.5</v>
      </c>
      <c r="F1824">
        <v>42.5</v>
      </c>
      <c r="G1824" s="196">
        <f t="shared" si="30"/>
        <v>42.5</v>
      </c>
      <c r="H1824">
        <v>14206</v>
      </c>
      <c r="I1824">
        <v>603856.19999999995</v>
      </c>
    </row>
    <row r="1825" spans="2:13" customFormat="1" ht="14.4">
      <c r="B1825" s="647">
        <v>43069</v>
      </c>
      <c r="C1825" t="e">
        <v>#VALUE!</v>
      </c>
      <c r="D1825" t="e">
        <v>#VALUE!</v>
      </c>
      <c r="E1825" t="e">
        <v>#VALUE!</v>
      </c>
      <c r="F1825">
        <v>42.5</v>
      </c>
      <c r="G1825" s="196">
        <f t="shared" si="30"/>
        <v>42.5</v>
      </c>
      <c r="H1825">
        <v>0</v>
      </c>
      <c r="I1825">
        <v>0</v>
      </c>
    </row>
    <row r="1826" spans="2:13" customFormat="1" ht="14.4">
      <c r="B1826" s="647">
        <v>43073</v>
      </c>
      <c r="C1826">
        <v>43.5</v>
      </c>
      <c r="D1826">
        <v>43.5</v>
      </c>
      <c r="E1826">
        <v>43.5</v>
      </c>
      <c r="F1826">
        <v>42.5</v>
      </c>
      <c r="G1826" s="196">
        <f t="shared" si="30"/>
        <v>42.5</v>
      </c>
      <c r="H1826">
        <v>29</v>
      </c>
      <c r="I1826">
        <v>1261.5</v>
      </c>
    </row>
    <row r="1827" spans="2:13" customFormat="1" ht="14.4">
      <c r="B1827" s="647">
        <v>43074</v>
      </c>
      <c r="C1827">
        <v>43</v>
      </c>
      <c r="D1827">
        <v>43.8</v>
      </c>
      <c r="E1827">
        <v>42.6</v>
      </c>
      <c r="F1827">
        <v>42.7</v>
      </c>
      <c r="G1827" s="196">
        <f t="shared" si="30"/>
        <v>42.7</v>
      </c>
      <c r="H1827">
        <v>1550</v>
      </c>
      <c r="I1827">
        <v>66670</v>
      </c>
    </row>
    <row r="1828" spans="2:13" customFormat="1" ht="14.4">
      <c r="B1828" s="647">
        <v>43075</v>
      </c>
      <c r="C1828">
        <v>42.7</v>
      </c>
      <c r="D1828">
        <v>42.7</v>
      </c>
      <c r="E1828">
        <v>42.5</v>
      </c>
      <c r="F1828">
        <v>42.5</v>
      </c>
      <c r="G1828" s="196">
        <f t="shared" si="30"/>
        <v>42.5</v>
      </c>
      <c r="H1828">
        <v>625</v>
      </c>
      <c r="I1828">
        <v>26581.7</v>
      </c>
    </row>
    <row r="1829" spans="2:13" ht="15" customHeight="1">
      <c r="M1829" s="257"/>
    </row>
    <row r="1830" spans="2:13" ht="15" customHeight="1">
      <c r="M1830" s="257"/>
    </row>
    <row r="1831" spans="2:13" ht="15" customHeight="1">
      <c r="M1831" s="257"/>
    </row>
    <row r="1832" spans="2:13" ht="15" customHeight="1">
      <c r="M1832" s="257"/>
    </row>
    <row r="1833" spans="2:13" ht="15" customHeight="1">
      <c r="M1833" s="257"/>
    </row>
    <row r="1834" spans="2:13" ht="15" customHeight="1">
      <c r="M1834" s="257"/>
    </row>
    <row r="1835" spans="2:13" ht="15" customHeight="1">
      <c r="M1835" s="257"/>
    </row>
  </sheetData>
  <sortState xmlns:xlrd2="http://schemas.microsoft.com/office/spreadsheetml/2017/richdata2" ref="M1514:N1646">
    <sortCondition descending="1" ref="M1513"/>
  </sortState>
  <mergeCells count="1">
    <mergeCell ref="A1:I1"/>
  </mergeCells>
  <pageMargins left="0.75" right="0.75" top="1" bottom="1" header="0.5" footer="0.5"/>
  <pageSetup orientation="portrait" horizontalDpi="300" verticalDpi="300" copies="0"/>
  <headerFooter alignWithMargins="0"/>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FFC000"/>
  </sheetPr>
  <dimension ref="A1:BO208"/>
  <sheetViews>
    <sheetView showGridLines="0" topLeftCell="AQ112" zoomScaleNormal="100" workbookViewId="0">
      <selection activeCell="AX124" sqref="AX1:BO1048576"/>
    </sheetView>
  </sheetViews>
  <sheetFormatPr defaultColWidth="9.109375" defaultRowHeight="14.4"/>
  <cols>
    <col min="1" max="1" width="9.109375" style="307"/>
    <col min="2" max="2" width="21.6640625" style="307" customWidth="1"/>
    <col min="3" max="5" width="6.44140625" style="307" customWidth="1"/>
    <col min="6" max="7" width="9.109375" style="307"/>
    <col min="8" max="8" width="18.33203125" style="307" customWidth="1"/>
    <col min="9" max="9" width="17.6640625" style="307" customWidth="1"/>
    <col min="10" max="11" width="9.109375" style="307"/>
    <col min="12" max="12" width="20.109375" style="307" customWidth="1"/>
    <col min="13" max="13" width="7.5546875" style="307" hidden="1" customWidth="1"/>
    <col min="14" max="18" width="7.5546875" style="307" customWidth="1"/>
    <col min="19" max="19" width="9.109375" style="307"/>
    <col min="20" max="20" width="13.6640625" style="307" customWidth="1"/>
    <col min="21" max="22" width="7.33203125" style="307" customWidth="1"/>
    <col min="23" max="23" width="6.33203125" style="307" customWidth="1"/>
    <col min="24" max="25" width="7.5546875" style="307" customWidth="1"/>
    <col min="26" max="26" width="6.88671875" style="307" customWidth="1"/>
    <col min="27" max="27" width="9.109375" style="307"/>
    <col min="28" max="28" width="17.109375" style="307" customWidth="1"/>
    <col min="29" max="33" width="7.44140625" style="307" customWidth="1"/>
    <col min="34" max="34" width="9.109375" style="307"/>
    <col min="35" max="35" width="21.6640625" style="190" customWidth="1"/>
    <col min="36" max="40" width="10.6640625" style="190" customWidth="1"/>
    <col min="41" max="41" width="9.109375" style="190"/>
    <col min="42" max="42" width="28.88671875" style="190" customWidth="1"/>
    <col min="43" max="47" width="10.33203125" style="190" customWidth="1"/>
    <col min="48" max="49" width="9.109375" style="190"/>
    <col min="50" max="67" width="8.88671875" customWidth="1"/>
    <col min="68" max="16384" width="9.109375" style="190"/>
  </cols>
  <sheetData>
    <row r="1" spans="2:49" s="307" customFormat="1" ht="15.6">
      <c r="AI1" s="556"/>
      <c r="AJ1" s="556"/>
      <c r="AK1" s="556"/>
      <c r="AL1" s="556"/>
      <c r="AM1" s="556"/>
      <c r="AN1" s="556"/>
      <c r="AO1" s="556"/>
      <c r="AP1" s="556"/>
      <c r="AQ1" s="556"/>
      <c r="AR1" s="556"/>
      <c r="AS1" s="556"/>
      <c r="AT1" s="556"/>
      <c r="AU1" s="556"/>
      <c r="AV1" s="556"/>
      <c r="AW1" s="556"/>
    </row>
    <row r="2" spans="2:49" s="307" customFormat="1" ht="15.6">
      <c r="B2" s="302"/>
      <c r="C2" s="303"/>
      <c r="D2" s="304"/>
      <c r="E2" s="305"/>
      <c r="F2" s="306"/>
      <c r="G2" s="306"/>
      <c r="H2" s="306"/>
      <c r="I2" s="306"/>
      <c r="L2" s="307" t="s">
        <v>2384</v>
      </c>
      <c r="AI2" s="556"/>
      <c r="AJ2" s="556"/>
      <c r="AK2" s="556"/>
      <c r="AL2" s="556"/>
      <c r="AM2" s="556"/>
      <c r="AN2" s="556"/>
      <c r="AO2" s="556"/>
      <c r="AP2" s="556"/>
      <c r="AQ2" s="556"/>
      <c r="AR2" s="556"/>
      <c r="AS2" s="556"/>
      <c r="AT2" s="556"/>
      <c r="AU2" s="556"/>
      <c r="AV2" s="556"/>
      <c r="AW2" s="556"/>
    </row>
    <row r="3" spans="2:49" s="307" customFormat="1" ht="15.6">
      <c r="B3" s="302" t="s">
        <v>2381</v>
      </c>
      <c r="C3" s="307">
        <v>255</v>
      </c>
      <c r="D3" s="307">
        <v>255</v>
      </c>
      <c r="E3" s="307">
        <v>255</v>
      </c>
      <c r="F3" s="307">
        <v>0</v>
      </c>
      <c r="L3" s="307" t="s">
        <v>2915</v>
      </c>
      <c r="AI3" s="556"/>
      <c r="AJ3" s="556"/>
      <c r="AK3" s="556"/>
      <c r="AL3" s="556"/>
      <c r="AM3" s="556"/>
      <c r="AN3" s="556"/>
      <c r="AO3" s="556"/>
      <c r="AP3" s="556"/>
      <c r="AQ3" s="556"/>
      <c r="AR3" s="556"/>
      <c r="AS3" s="556"/>
      <c r="AT3" s="556"/>
      <c r="AU3" s="556"/>
      <c r="AV3" s="556"/>
      <c r="AW3" s="556"/>
    </row>
    <row r="4" spans="2:49" s="307" customFormat="1" ht="15.6">
      <c r="B4" s="302" t="s">
        <v>2382</v>
      </c>
      <c r="C4" s="307">
        <v>192</v>
      </c>
      <c r="D4" s="307">
        <v>217</v>
      </c>
      <c r="E4" s="307">
        <v>230</v>
      </c>
      <c r="F4" s="307">
        <v>32</v>
      </c>
      <c r="L4" s="307" t="s">
        <v>2916</v>
      </c>
      <c r="AI4" s="556"/>
      <c r="AJ4" s="556"/>
      <c r="AK4" s="556"/>
      <c r="AL4" s="556"/>
      <c r="AM4" s="556"/>
      <c r="AN4" s="556"/>
      <c r="AO4" s="556"/>
      <c r="AP4" s="556"/>
      <c r="AQ4" s="556"/>
      <c r="AR4" s="556"/>
      <c r="AS4" s="556"/>
      <c r="AT4" s="556"/>
      <c r="AU4" s="556"/>
      <c r="AV4" s="556"/>
      <c r="AW4" s="556"/>
    </row>
    <row r="5" spans="2:49" s="307" customFormat="1" ht="15.6">
      <c r="B5" s="302" t="s">
        <v>2383</v>
      </c>
      <c r="C5" s="307">
        <v>0</v>
      </c>
      <c r="D5" s="307">
        <v>102</v>
      </c>
      <c r="E5" s="307">
        <v>153</v>
      </c>
      <c r="F5" s="307">
        <v>96</v>
      </c>
      <c r="L5" s="307" t="s">
        <v>2385</v>
      </c>
      <c r="AI5" s="556"/>
      <c r="AJ5" s="556"/>
      <c r="AK5" s="556"/>
      <c r="AL5" s="556"/>
      <c r="AM5" s="556"/>
      <c r="AN5" s="556"/>
      <c r="AO5" s="556"/>
      <c r="AP5" s="556"/>
      <c r="AQ5" s="556"/>
      <c r="AR5" s="556"/>
      <c r="AS5" s="556"/>
      <c r="AT5" s="556"/>
      <c r="AU5" s="556"/>
      <c r="AV5" s="556"/>
      <c r="AW5" s="556"/>
    </row>
    <row r="6" spans="2:49" s="307" customFormat="1" ht="15.6">
      <c r="L6" s="307" t="s">
        <v>2917</v>
      </c>
      <c r="AI6" s="556"/>
      <c r="AJ6" s="556"/>
      <c r="AK6" s="556"/>
      <c r="AL6" s="556"/>
      <c r="AM6" s="556"/>
      <c r="AN6" s="556"/>
      <c r="AO6" s="556"/>
      <c r="AP6" s="556"/>
      <c r="AQ6" s="556"/>
      <c r="AR6" s="556"/>
      <c r="AS6" s="556"/>
      <c r="AT6" s="556"/>
      <c r="AU6" s="556"/>
      <c r="AV6" s="556"/>
      <c r="AW6" s="556"/>
    </row>
    <row r="7" spans="2:49" s="307" customFormat="1" ht="15.6">
      <c r="AI7" s="556"/>
      <c r="AJ7" s="556"/>
      <c r="AK7" s="556"/>
      <c r="AL7" s="556"/>
      <c r="AM7" s="556"/>
      <c r="AN7" s="556"/>
      <c r="AO7" s="556"/>
      <c r="AP7" s="556"/>
      <c r="AQ7" s="556"/>
      <c r="AR7" s="556"/>
      <c r="AS7" s="556"/>
      <c r="AT7" s="556"/>
      <c r="AU7" s="556"/>
      <c r="AV7" s="556"/>
      <c r="AW7" s="556"/>
    </row>
    <row r="8" spans="2:49" s="307" customFormat="1" ht="15.6">
      <c r="AI8" s="556"/>
      <c r="AJ8" s="556"/>
      <c r="AK8" s="556"/>
      <c r="AL8" s="556"/>
      <c r="AM8" s="556"/>
      <c r="AN8" s="556"/>
      <c r="AO8" s="556"/>
      <c r="AP8" s="556"/>
      <c r="AQ8" s="556"/>
      <c r="AR8" s="556"/>
      <c r="AS8" s="556"/>
      <c r="AT8" s="556"/>
      <c r="AU8" s="556"/>
      <c r="AV8" s="556"/>
      <c r="AW8" s="556"/>
    </row>
    <row r="9" spans="2:49" s="307" customFormat="1" ht="15.6">
      <c r="B9" s="308" t="s">
        <v>444</v>
      </c>
      <c r="C9" s="691"/>
      <c r="D9" s="691"/>
      <c r="E9" s="691"/>
      <c r="L9" s="309"/>
      <c r="M9" s="309"/>
      <c r="N9" s="309"/>
      <c r="O9" s="309"/>
      <c r="P9" s="309"/>
      <c r="Q9" s="309"/>
      <c r="R9" s="309"/>
      <c r="AI9" s="556"/>
      <c r="AJ9" s="556"/>
      <c r="AK9" s="556"/>
      <c r="AL9" s="556"/>
      <c r="AM9" s="556"/>
      <c r="AN9" s="556"/>
      <c r="AO9" s="556"/>
      <c r="AP9" s="556"/>
      <c r="AQ9" s="556"/>
      <c r="AR9" s="556"/>
      <c r="AS9" s="556"/>
      <c r="AT9" s="556"/>
      <c r="AU9" s="556"/>
      <c r="AV9" s="556"/>
      <c r="AW9" s="556"/>
    </row>
    <row r="10" spans="2:49" s="307" customFormat="1" ht="5.25" customHeight="1">
      <c r="AI10" s="556"/>
      <c r="AJ10" s="556"/>
      <c r="AK10" s="556"/>
      <c r="AL10" s="556"/>
      <c r="AM10" s="556"/>
      <c r="AN10" s="556"/>
      <c r="AO10" s="556"/>
      <c r="AP10" s="556"/>
      <c r="AQ10" s="556"/>
      <c r="AR10" s="556"/>
      <c r="AS10" s="556"/>
      <c r="AT10" s="556"/>
      <c r="AU10" s="556"/>
      <c r="AV10" s="556"/>
      <c r="AW10" s="556"/>
    </row>
    <row r="11" spans="2:49" s="307" customFormat="1" ht="15.6">
      <c r="B11" s="308" t="s">
        <v>445</v>
      </c>
      <c r="C11" s="692">
        <f>DCF!G50</f>
        <v>43</v>
      </c>
      <c r="D11" s="692"/>
      <c r="E11" s="692"/>
      <c r="AI11" s="556"/>
      <c r="AJ11" s="556"/>
      <c r="AK11" s="556"/>
      <c r="AL11" s="556"/>
      <c r="AM11" s="556"/>
      <c r="AN11" s="556"/>
      <c r="AO11" s="556"/>
      <c r="AP11" s="556"/>
      <c r="AQ11" s="556"/>
      <c r="AR11" s="556"/>
      <c r="AS11" s="556"/>
      <c r="AT11" s="556"/>
      <c r="AU11" s="556"/>
      <c r="AV11" s="556"/>
      <c r="AW11" s="556"/>
    </row>
    <row r="12" spans="2:49" s="307" customFormat="1" ht="15.6">
      <c r="B12" s="310" t="s">
        <v>446</v>
      </c>
      <c r="C12" s="311"/>
      <c r="D12" s="693" t="str">
        <f>ROUND('52 W data'!C1853,1)&amp;"/"&amp;'52 W data'!C1854</f>
        <v>64.4/42</v>
      </c>
      <c r="E12" s="693"/>
      <c r="AI12" s="556"/>
      <c r="AJ12" s="556"/>
      <c r="AK12" s="556"/>
      <c r="AL12" s="556"/>
      <c r="AM12" s="556"/>
      <c r="AN12" s="556"/>
      <c r="AO12" s="556"/>
      <c r="AP12" s="556"/>
      <c r="AQ12" s="556"/>
      <c r="AR12" s="556"/>
      <c r="AS12" s="556"/>
      <c r="AT12" s="556"/>
      <c r="AU12" s="556"/>
      <c r="AV12" s="556"/>
      <c r="AW12" s="556"/>
    </row>
    <row r="13" spans="2:49" s="307" customFormat="1" ht="15.6">
      <c r="B13" s="312" t="s">
        <v>447</v>
      </c>
      <c r="C13" s="312"/>
      <c r="D13" s="694">
        <f>AVERAGE('ACL N0000'!$H$1296:$H$1531)</f>
        <v>52048.0593220339</v>
      </c>
      <c r="E13" s="694"/>
      <c r="AI13" s="556"/>
      <c r="AJ13" s="556"/>
      <c r="AK13" s="556"/>
      <c r="AL13" s="556"/>
      <c r="AM13" s="556"/>
      <c r="AN13" s="556"/>
      <c r="AO13" s="556"/>
      <c r="AP13" s="556"/>
      <c r="AQ13" s="556"/>
      <c r="AR13" s="556"/>
      <c r="AS13" s="556"/>
      <c r="AT13" s="556"/>
      <c r="AU13" s="556"/>
      <c r="AV13" s="556"/>
      <c r="AW13" s="556"/>
    </row>
    <row r="14" spans="2:49" s="307" customFormat="1" ht="15.6">
      <c r="B14" s="312" t="s">
        <v>448</v>
      </c>
      <c r="C14" s="312"/>
      <c r="D14" s="694">
        <f>AVERAGE('ACL N0000'!I1296:I1531)</f>
        <v>7074033.9064516146</v>
      </c>
      <c r="E14" s="694"/>
      <c r="AI14" s="556"/>
      <c r="AJ14" s="556"/>
      <c r="AK14" s="556"/>
      <c r="AL14" s="556"/>
      <c r="AM14" s="556"/>
      <c r="AN14" s="556"/>
      <c r="AO14" s="556"/>
      <c r="AP14" s="556"/>
      <c r="AQ14" s="556"/>
      <c r="AR14" s="556"/>
      <c r="AS14" s="556"/>
      <c r="AT14" s="556"/>
      <c r="AU14" s="556"/>
      <c r="AV14" s="556"/>
      <c r="AW14" s="556"/>
    </row>
    <row r="15" spans="2:49" s="307" customFormat="1" ht="15" customHeight="1">
      <c r="B15" s="690" t="s">
        <v>3002</v>
      </c>
      <c r="C15" s="690"/>
      <c r="D15" s="690"/>
      <c r="E15" s="313">
        <f>DCF!G51</f>
        <v>119.78736000000001</v>
      </c>
      <c r="AI15" s="556"/>
      <c r="AJ15" s="556"/>
      <c r="AK15" s="556"/>
      <c r="AL15" s="556"/>
      <c r="AM15" s="556"/>
      <c r="AN15" s="556"/>
      <c r="AO15" s="556"/>
      <c r="AP15" s="556"/>
      <c r="AQ15" s="556"/>
      <c r="AR15" s="556"/>
      <c r="AS15" s="556"/>
      <c r="AT15" s="556"/>
      <c r="AU15" s="556"/>
      <c r="AV15" s="556"/>
      <c r="AW15" s="556"/>
    </row>
    <row r="16" spans="2:49" s="307" customFormat="1" ht="15.6">
      <c r="B16" s="689" t="s">
        <v>449</v>
      </c>
      <c r="C16" s="689"/>
      <c r="D16" s="694">
        <f>DCF!G47</f>
        <v>5150.8564800000004</v>
      </c>
      <c r="E16" s="694"/>
      <c r="AI16" s="556"/>
      <c r="AJ16" s="556"/>
      <c r="AK16" s="556"/>
      <c r="AL16" s="556"/>
      <c r="AM16" s="556"/>
      <c r="AN16" s="556"/>
      <c r="AO16" s="556"/>
      <c r="AP16" s="556"/>
      <c r="AQ16" s="556"/>
      <c r="AR16" s="556"/>
      <c r="AS16" s="556"/>
      <c r="AT16" s="556"/>
      <c r="AU16" s="556"/>
      <c r="AV16" s="556"/>
      <c r="AW16" s="556"/>
    </row>
    <row r="17" spans="2:49" s="307" customFormat="1" ht="15.6">
      <c r="B17" s="308" t="s">
        <v>450</v>
      </c>
      <c r="C17" s="314" t="s">
        <v>451</v>
      </c>
      <c r="D17" s="314" t="s">
        <v>452</v>
      </c>
      <c r="E17" s="314" t="s">
        <v>453</v>
      </c>
      <c r="AI17" s="556"/>
      <c r="AJ17" s="556"/>
      <c r="AK17" s="556"/>
      <c r="AL17" s="556"/>
      <c r="AM17" s="556"/>
      <c r="AN17" s="556"/>
      <c r="AO17" s="556"/>
      <c r="AP17" s="556"/>
      <c r="AQ17" s="556"/>
      <c r="AR17" s="556"/>
      <c r="AS17" s="556"/>
      <c r="AT17" s="556"/>
      <c r="AU17" s="556"/>
      <c r="AV17" s="556"/>
      <c r="AW17" s="556"/>
    </row>
    <row r="18" spans="2:49" s="307" customFormat="1" ht="15.6">
      <c r="B18" s="312" t="s">
        <v>127</v>
      </c>
      <c r="C18" s="315">
        <f>'52 W data'!C1844/'52 W data'!C1845-1</f>
        <v>-3.4090909090909061E-2</v>
      </c>
      <c r="D18" s="315">
        <f>'52 W data'!C1844/'52 W data'!C1846-1</f>
        <v>-0.11458333333333337</v>
      </c>
      <c r="E18" s="315">
        <f>'52 W data'!C1844/'52 W data'!C1847-1</f>
        <v>-0.29166666666666663</v>
      </c>
      <c r="AI18" s="556"/>
      <c r="AJ18" s="556"/>
      <c r="AK18" s="556"/>
      <c r="AL18" s="556"/>
      <c r="AM18" s="556"/>
      <c r="AN18" s="556"/>
      <c r="AO18" s="556"/>
      <c r="AP18" s="556"/>
      <c r="AQ18" s="556"/>
      <c r="AR18" s="556"/>
      <c r="AS18" s="556"/>
      <c r="AT18" s="556"/>
      <c r="AU18" s="556"/>
      <c r="AV18" s="556"/>
      <c r="AW18" s="556"/>
    </row>
    <row r="19" spans="2:49" s="307" customFormat="1" ht="15.6">
      <c r="B19" s="316" t="s">
        <v>454</v>
      </c>
      <c r="C19" s="315">
        <f>'52 W data'!C1838/'52 W data'!C1839-1</f>
        <v>-3.2283740329205113E-2</v>
      </c>
      <c r="D19" s="315">
        <f>'52 W data'!C1838/'52 W data'!C1840-1</f>
        <v>3.2646042708630585E-3</v>
      </c>
      <c r="E19" s="315">
        <f>'52 W data'!C1838/'52 W data'!C1841-1</f>
        <v>8.7952207102555136E-3</v>
      </c>
      <c r="AI19" s="556"/>
      <c r="AJ19" s="556"/>
      <c r="AK19" s="556"/>
      <c r="AL19" s="556"/>
      <c r="AM19" s="556"/>
      <c r="AN19" s="556"/>
      <c r="AO19" s="556"/>
      <c r="AP19" s="556"/>
      <c r="AQ19" s="556"/>
      <c r="AR19" s="556"/>
      <c r="AS19" s="556"/>
      <c r="AT19" s="556"/>
      <c r="AU19" s="556"/>
      <c r="AV19" s="556"/>
      <c r="AW19" s="556"/>
    </row>
    <row r="20" spans="2:49" s="307" customFormat="1" ht="15.6">
      <c r="B20" s="687" t="s">
        <v>455</v>
      </c>
      <c r="C20" s="687"/>
      <c r="D20" s="687"/>
      <c r="E20" s="687"/>
      <c r="AI20" s="556"/>
      <c r="AJ20" s="556"/>
      <c r="AK20" s="556"/>
      <c r="AL20" s="556"/>
      <c r="AM20" s="556"/>
      <c r="AN20" s="556"/>
      <c r="AO20" s="556"/>
      <c r="AP20" s="556"/>
      <c r="AQ20" s="556"/>
      <c r="AR20" s="556"/>
      <c r="AS20" s="556"/>
      <c r="AT20" s="556"/>
      <c r="AU20" s="556"/>
      <c r="AV20" s="556"/>
      <c r="AW20" s="556"/>
    </row>
    <row r="21" spans="2:49" s="307" customFormat="1" ht="15.6">
      <c r="B21" s="689" t="s">
        <v>2827</v>
      </c>
      <c r="C21" s="689"/>
      <c r="D21" s="689"/>
      <c r="E21" s="658">
        <v>0.38150000000000001</v>
      </c>
      <c r="AI21" s="556"/>
      <c r="AJ21" s="556"/>
      <c r="AK21" s="556"/>
      <c r="AL21" s="556"/>
      <c r="AM21" s="556"/>
      <c r="AN21" s="556"/>
      <c r="AO21" s="556"/>
      <c r="AP21" s="556"/>
      <c r="AQ21" s="556"/>
      <c r="AR21" s="556"/>
      <c r="AS21" s="556"/>
      <c r="AT21" s="556"/>
      <c r="AU21" s="556"/>
      <c r="AV21" s="556"/>
      <c r="AW21" s="556"/>
    </row>
    <row r="22" spans="2:49" s="307" customFormat="1" ht="15.6">
      <c r="B22" s="689" t="s">
        <v>2828</v>
      </c>
      <c r="C22" s="689"/>
      <c r="D22" s="689"/>
      <c r="E22" s="658">
        <v>0.22209999999999999</v>
      </c>
      <c r="AI22" s="556"/>
      <c r="AJ22" s="556"/>
      <c r="AK22" s="556"/>
      <c r="AL22" s="556"/>
      <c r="AM22" s="556"/>
      <c r="AN22" s="556"/>
      <c r="AO22" s="556"/>
      <c r="AP22" s="556"/>
      <c r="AQ22" s="556"/>
      <c r="AR22" s="556"/>
      <c r="AS22" s="556"/>
      <c r="AT22" s="556"/>
      <c r="AU22" s="556"/>
      <c r="AV22" s="556"/>
      <c r="AW22" s="556"/>
    </row>
    <row r="23" spans="2:49" s="307" customFormat="1" ht="15.6">
      <c r="B23" s="689" t="s">
        <v>2829</v>
      </c>
      <c r="C23" s="689"/>
      <c r="D23" s="689"/>
      <c r="E23" s="658">
        <v>5.1700000000000003E-2</v>
      </c>
      <c r="AI23" s="556"/>
      <c r="AJ23" s="556"/>
      <c r="AK23" s="556"/>
      <c r="AL23" s="556"/>
      <c r="AM23" s="556"/>
      <c r="AN23" s="556"/>
      <c r="AO23" s="556"/>
      <c r="AP23" s="556"/>
      <c r="AQ23" s="556"/>
      <c r="AR23" s="556"/>
      <c r="AS23" s="556"/>
      <c r="AT23" s="556"/>
      <c r="AU23" s="556"/>
      <c r="AV23" s="556"/>
      <c r="AW23" s="556"/>
    </row>
    <row r="24" spans="2:49" s="307" customFormat="1" ht="15.6">
      <c r="B24" s="689" t="s">
        <v>3935</v>
      </c>
      <c r="C24" s="689"/>
      <c r="D24" s="689"/>
      <c r="E24" s="658">
        <v>3.9300000000000002E-2</v>
      </c>
      <c r="AI24" s="556"/>
      <c r="AJ24" s="556"/>
      <c r="AK24" s="556"/>
      <c r="AL24" s="556"/>
      <c r="AM24" s="556"/>
      <c r="AN24" s="556"/>
      <c r="AO24" s="556"/>
      <c r="AP24" s="556"/>
      <c r="AQ24" s="556"/>
      <c r="AR24" s="556"/>
      <c r="AS24" s="556"/>
      <c r="AT24" s="556"/>
      <c r="AU24" s="556"/>
      <c r="AV24" s="556"/>
      <c r="AW24" s="556"/>
    </row>
    <row r="25" spans="2:49" s="307" customFormat="1" ht="15.6">
      <c r="B25" s="689" t="s">
        <v>2830</v>
      </c>
      <c r="C25" s="689"/>
      <c r="D25" s="689"/>
      <c r="E25" s="658">
        <v>1.89E-2</v>
      </c>
      <c r="O25" s="405"/>
      <c r="AI25" s="556"/>
      <c r="AJ25" s="556"/>
      <c r="AK25" s="556"/>
      <c r="AL25" s="556"/>
      <c r="AM25" s="556"/>
      <c r="AN25" s="556"/>
      <c r="AO25" s="556"/>
      <c r="AP25" s="556"/>
      <c r="AQ25" s="556"/>
      <c r="AR25" s="556"/>
      <c r="AS25" s="556"/>
      <c r="AT25" s="556"/>
      <c r="AU25" s="556"/>
      <c r="AV25" s="556"/>
      <c r="AW25" s="556"/>
    </row>
    <row r="26" spans="2:49" s="307" customFormat="1" ht="15.6">
      <c r="B26" s="687" t="s">
        <v>456</v>
      </c>
      <c r="C26" s="687"/>
      <c r="D26" s="688">
        <v>0.37340000000000001</v>
      </c>
      <c r="E26" s="688"/>
      <c r="AI26" s="556"/>
      <c r="AJ26" s="556"/>
      <c r="AK26" s="556"/>
      <c r="AL26" s="556"/>
      <c r="AM26" s="556"/>
      <c r="AN26" s="556"/>
      <c r="AO26" s="556"/>
      <c r="AP26" s="556"/>
      <c r="AQ26" s="556"/>
      <c r="AR26" s="556"/>
      <c r="AS26" s="556"/>
      <c r="AT26" s="556"/>
      <c r="AU26" s="556"/>
      <c r="AV26" s="556"/>
      <c r="AW26" s="556"/>
    </row>
    <row r="27" spans="2:49" s="307" customFormat="1" ht="15.6">
      <c r="O27" s="442">
        <f>O41/N41-1</f>
        <v>2.2165082314385076E-2</v>
      </c>
      <c r="AI27" s="556"/>
      <c r="AJ27" s="556"/>
      <c r="AK27" s="556"/>
      <c r="AL27" s="556"/>
      <c r="AM27" s="556"/>
      <c r="AN27" s="556"/>
      <c r="AO27" s="556"/>
      <c r="AP27" s="556"/>
      <c r="AQ27" s="556"/>
      <c r="AR27" s="556"/>
      <c r="AS27" s="556"/>
      <c r="AT27" s="556"/>
      <c r="AU27" s="556"/>
      <c r="AV27" s="556"/>
      <c r="AW27" s="556"/>
    </row>
    <row r="28" spans="2:49" s="307" customFormat="1" ht="15.6">
      <c r="G28" s="687" t="s">
        <v>3934</v>
      </c>
      <c r="H28" s="687"/>
      <c r="I28" s="687"/>
      <c r="J28" s="687"/>
      <c r="O28" s="442"/>
      <c r="AI28" s="556"/>
      <c r="AJ28" s="556"/>
      <c r="AK28" s="556"/>
      <c r="AL28" s="556"/>
      <c r="AM28" s="556"/>
      <c r="AN28" s="556"/>
      <c r="AO28" s="556"/>
      <c r="AP28" s="556"/>
      <c r="AQ28" s="556"/>
      <c r="AR28" s="556"/>
      <c r="AS28" s="556"/>
      <c r="AT28" s="556"/>
      <c r="AU28" s="556"/>
      <c r="AV28" s="556"/>
      <c r="AW28" s="556"/>
    </row>
    <row r="29" spans="2:49" s="307" customFormat="1" ht="15.6">
      <c r="G29" s="689" t="s">
        <v>2827</v>
      </c>
      <c r="H29" s="689"/>
      <c r="I29" s="689"/>
      <c r="J29" s="655">
        <v>0.38150000000000001</v>
      </c>
      <c r="O29" s="442"/>
      <c r="AI29" s="556"/>
      <c r="AJ29" s="556"/>
      <c r="AK29" s="556"/>
      <c r="AL29" s="556"/>
      <c r="AM29" s="556"/>
      <c r="AN29" s="556"/>
      <c r="AO29" s="556"/>
      <c r="AP29" s="556"/>
      <c r="AQ29" s="556"/>
      <c r="AR29" s="556"/>
      <c r="AS29" s="556"/>
      <c r="AT29" s="556"/>
      <c r="AU29" s="556"/>
      <c r="AV29" s="556"/>
      <c r="AW29" s="556"/>
    </row>
    <row r="30" spans="2:49" s="307" customFormat="1" ht="15.6">
      <c r="G30" s="689" t="s">
        <v>2828</v>
      </c>
      <c r="H30" s="689"/>
      <c r="I30" s="689"/>
      <c r="J30" s="655">
        <v>0.22209999999999999</v>
      </c>
      <c r="O30" s="442"/>
      <c r="AI30" s="556"/>
      <c r="AJ30" s="556"/>
      <c r="AK30" s="556"/>
      <c r="AL30" s="556"/>
      <c r="AM30" s="556"/>
      <c r="AN30" s="556"/>
      <c r="AO30" s="556"/>
      <c r="AP30" s="556"/>
      <c r="AQ30" s="556"/>
      <c r="AR30" s="556"/>
      <c r="AS30" s="556"/>
      <c r="AT30" s="556"/>
      <c r="AU30" s="556"/>
      <c r="AV30" s="556"/>
      <c r="AW30" s="556"/>
    </row>
    <row r="31" spans="2:49" s="307" customFormat="1" ht="15.6">
      <c r="G31" s="689" t="s">
        <v>2829</v>
      </c>
      <c r="H31" s="689"/>
      <c r="I31" s="689"/>
      <c r="J31" s="655">
        <v>4.9299999999999997E-2</v>
      </c>
      <c r="O31" s="442"/>
      <c r="AI31" s="556"/>
      <c r="AJ31" s="556"/>
      <c r="AK31" s="556"/>
      <c r="AL31" s="556"/>
      <c r="AM31" s="556"/>
      <c r="AN31" s="556"/>
      <c r="AO31" s="556"/>
      <c r="AP31" s="556"/>
      <c r="AQ31" s="556"/>
      <c r="AR31" s="556"/>
      <c r="AS31" s="556"/>
      <c r="AT31" s="556"/>
      <c r="AU31" s="556"/>
      <c r="AV31" s="556"/>
      <c r="AW31" s="556"/>
    </row>
    <row r="32" spans="2:49" s="307" customFormat="1" ht="15.6">
      <c r="G32" s="689" t="s">
        <v>3935</v>
      </c>
      <c r="H32" s="689"/>
      <c r="I32" s="689"/>
      <c r="J32" s="655">
        <v>3.6999999999999998E-2</v>
      </c>
      <c r="O32" s="442"/>
      <c r="AI32" s="556"/>
      <c r="AJ32" s="556"/>
      <c r="AK32" s="556"/>
      <c r="AL32" s="556"/>
      <c r="AM32" s="556"/>
      <c r="AN32" s="556"/>
      <c r="AO32" s="556"/>
      <c r="AP32" s="556"/>
      <c r="AQ32" s="556"/>
      <c r="AR32" s="556"/>
      <c r="AS32" s="556"/>
      <c r="AT32" s="556"/>
      <c r="AU32" s="556"/>
      <c r="AV32" s="556"/>
      <c r="AW32" s="556"/>
    </row>
    <row r="33" spans="7:49" s="307" customFormat="1" ht="15.6">
      <c r="G33" s="689" t="s">
        <v>2830</v>
      </c>
      <c r="H33" s="689"/>
      <c r="I33" s="689"/>
      <c r="J33" s="655">
        <v>1.89E-2</v>
      </c>
      <c r="O33" s="442"/>
      <c r="AI33" s="556"/>
      <c r="AJ33" s="556"/>
      <c r="AK33" s="556"/>
      <c r="AL33" s="556"/>
      <c r="AM33" s="556"/>
      <c r="AN33" s="556"/>
      <c r="AO33" s="556"/>
      <c r="AP33" s="556"/>
      <c r="AQ33" s="556"/>
      <c r="AR33" s="556"/>
      <c r="AS33" s="556"/>
      <c r="AT33" s="556"/>
      <c r="AU33" s="556"/>
      <c r="AV33" s="556"/>
      <c r="AW33" s="556"/>
    </row>
    <row r="34" spans="7:49" s="307" customFormat="1" ht="15.6">
      <c r="G34" s="687" t="s">
        <v>456</v>
      </c>
      <c r="H34" s="687"/>
      <c r="I34" s="688">
        <v>0.37340000000000001</v>
      </c>
      <c r="J34" s="688"/>
      <c r="O34" s="442"/>
      <c r="AI34" s="556"/>
      <c r="AJ34" s="556"/>
      <c r="AK34" s="556"/>
      <c r="AL34" s="556"/>
      <c r="AM34" s="556"/>
      <c r="AN34" s="556"/>
      <c r="AO34" s="556"/>
      <c r="AP34" s="556"/>
      <c r="AQ34" s="556"/>
      <c r="AR34" s="556"/>
      <c r="AS34" s="556"/>
      <c r="AT34" s="556"/>
      <c r="AU34" s="556"/>
      <c r="AV34" s="556"/>
      <c r="AW34" s="556"/>
    </row>
    <row r="35" spans="7:49" s="307" customFormat="1" ht="15.6">
      <c r="O35" s="442"/>
      <c r="AI35" s="556"/>
      <c r="AJ35" s="556"/>
      <c r="AK35" s="556"/>
      <c r="AL35" s="556"/>
      <c r="AM35" s="556"/>
      <c r="AN35" s="556"/>
      <c r="AO35" s="556"/>
      <c r="AP35" s="556"/>
      <c r="AQ35" s="556"/>
      <c r="AR35" s="556"/>
      <c r="AS35" s="556"/>
      <c r="AT35" s="556"/>
      <c r="AU35" s="556"/>
      <c r="AV35" s="556"/>
      <c r="AW35" s="556"/>
    </row>
    <row r="36" spans="7:49" s="307" customFormat="1" ht="15.6">
      <c r="O36" s="659" t="s">
        <v>3943</v>
      </c>
      <c r="P36" s="660"/>
      <c r="Q36" s="660"/>
      <c r="R36" s="660"/>
      <c r="AI36" s="556"/>
      <c r="AJ36" s="556"/>
      <c r="AK36" s="556"/>
      <c r="AL36" s="556"/>
      <c r="AM36" s="556"/>
      <c r="AN36" s="556"/>
      <c r="AO36" s="556"/>
      <c r="AP36" s="556"/>
      <c r="AQ36" s="556"/>
      <c r="AR36" s="556"/>
      <c r="AS36" s="556"/>
      <c r="AT36" s="556"/>
      <c r="AU36" s="556"/>
      <c r="AV36" s="556"/>
      <c r="AW36" s="556"/>
    </row>
    <row r="37" spans="7:49" s="307" customFormat="1" ht="15.6">
      <c r="O37" s="442"/>
      <c r="AI37" s="556"/>
      <c r="AJ37" s="556"/>
      <c r="AK37" s="556"/>
      <c r="AL37" s="556"/>
      <c r="AM37" s="556"/>
      <c r="AN37" s="556"/>
      <c r="AO37" s="556"/>
      <c r="AP37" s="556"/>
      <c r="AQ37" s="556"/>
      <c r="AR37" s="556"/>
      <c r="AS37" s="556"/>
      <c r="AT37" s="556"/>
      <c r="AU37" s="556"/>
      <c r="AV37" s="556"/>
      <c r="AW37" s="556"/>
    </row>
    <row r="38" spans="7:49" s="307" customFormat="1" ht="15.6">
      <c r="L38" s="317" t="s">
        <v>2388</v>
      </c>
      <c r="M38" s="301" t="s">
        <v>105</v>
      </c>
      <c r="N38" s="301" t="s">
        <v>150</v>
      </c>
      <c r="O38" s="301" t="s">
        <v>151</v>
      </c>
      <c r="P38" s="301" t="s">
        <v>152</v>
      </c>
      <c r="Q38" s="301" t="s">
        <v>153</v>
      </c>
      <c r="R38" s="301" t="s">
        <v>309</v>
      </c>
      <c r="AI38" s="556"/>
      <c r="AJ38" s="556"/>
      <c r="AK38" s="556"/>
      <c r="AL38" s="556"/>
      <c r="AM38" s="556"/>
      <c r="AN38" s="556"/>
      <c r="AO38" s="556"/>
      <c r="AP38" s="556"/>
      <c r="AQ38" s="556"/>
      <c r="AR38" s="556"/>
      <c r="AS38" s="556"/>
      <c r="AT38" s="556"/>
      <c r="AU38" s="556"/>
      <c r="AV38" s="556"/>
      <c r="AW38" s="556"/>
    </row>
    <row r="39" spans="7:49" s="307" customFormat="1" ht="15" customHeight="1">
      <c r="L39" s="318" t="s">
        <v>3003</v>
      </c>
      <c r="M39" s="319">
        <f>'IS &amp; BS'!F4</f>
        <v>14427.236000000001</v>
      </c>
      <c r="N39" s="319">
        <f>'IS &amp; BS'!G4</f>
        <v>12811.224</v>
      </c>
      <c r="O39" s="319">
        <v>14672</v>
      </c>
      <c r="P39" s="320">
        <f>'IS &amp; BS'!I4</f>
        <v>20978.830515386398</v>
      </c>
      <c r="Q39" s="320">
        <f>'IS &amp; BS'!J4</f>
        <v>26472.353120886062</v>
      </c>
      <c r="R39" s="320">
        <f>'IS &amp; BS'!K4</f>
        <v>30050.591938632362</v>
      </c>
      <c r="S39" s="307">
        <f>R39/O39</f>
        <v>2.0481592106483344</v>
      </c>
      <c r="T39" s="661">
        <f>((R39/O39)^(1/3))-1</f>
        <v>0.26995374842376041</v>
      </c>
      <c r="AI39" s="556"/>
      <c r="AJ39" s="556"/>
      <c r="AK39" s="556"/>
      <c r="AL39" s="556"/>
      <c r="AM39" s="556"/>
      <c r="AN39" s="556"/>
      <c r="AO39" s="556"/>
      <c r="AP39" s="556"/>
      <c r="AQ39" s="556"/>
      <c r="AR39" s="556"/>
      <c r="AS39" s="556"/>
      <c r="AT39" s="556"/>
      <c r="AU39" s="556"/>
      <c r="AV39" s="556"/>
      <c r="AW39" s="556"/>
    </row>
    <row r="40" spans="7:49" s="307" customFormat="1" ht="15" customHeight="1">
      <c r="L40" s="321" t="s">
        <v>457</v>
      </c>
      <c r="M40" s="322">
        <f>'Ratios watch'!F5</f>
        <v>0.26036602869852032</v>
      </c>
      <c r="N40" s="322">
        <f>'Ratios watch'!G5</f>
        <v>-0.11201119881867883</v>
      </c>
      <c r="O40" s="322">
        <f>O39/N39-1</f>
        <v>0.14524576262190081</v>
      </c>
      <c r="P40" s="323">
        <f t="shared" ref="P40:R40" si="0">P39/O39-1</f>
        <v>0.42985486064520173</v>
      </c>
      <c r="Q40" s="323">
        <f t="shared" si="0"/>
        <v>0.26186028823058449</v>
      </c>
      <c r="R40" s="323">
        <f t="shared" si="0"/>
        <v>0.13516889871505811</v>
      </c>
      <c r="S40" s="307">
        <f>S39^(1/3)</f>
        <v>1.2699537484237604</v>
      </c>
      <c r="AI40" s="556"/>
      <c r="AJ40" s="556"/>
      <c r="AK40" s="556"/>
      <c r="AL40" s="556"/>
      <c r="AM40" s="556"/>
      <c r="AN40" s="556"/>
      <c r="AO40" s="556"/>
      <c r="AP40" s="556"/>
      <c r="AQ40" s="556"/>
      <c r="AR40" s="556"/>
      <c r="AS40" s="556"/>
      <c r="AT40" s="556"/>
      <c r="AU40" s="556"/>
      <c r="AV40" s="556"/>
      <c r="AW40" s="556"/>
    </row>
    <row r="41" spans="7:49" s="307" customFormat="1" ht="15" customHeight="1">
      <c r="L41" s="324" t="s">
        <v>3005</v>
      </c>
      <c r="M41" s="325">
        <f>'IS &amp; BS'!F17</f>
        <v>859.57199999999978</v>
      </c>
      <c r="N41" s="325">
        <f>'IS &amp; BS'!G17</f>
        <v>1093.6119999999992</v>
      </c>
      <c r="O41" s="325">
        <f>'IS &amp; BS'!H17</f>
        <v>1117.8519999999985</v>
      </c>
      <c r="P41" s="326">
        <f>'IS &amp; BS'!I17</f>
        <v>759.44881957026439</v>
      </c>
      <c r="Q41" s="326">
        <f>'IS &amp; BS'!J17</f>
        <v>1301.1641286998915</v>
      </c>
      <c r="R41" s="326">
        <f>'IS &amp; BS'!K17</f>
        <v>1574.2885135867518</v>
      </c>
      <c r="AI41" s="556"/>
      <c r="AJ41" s="556"/>
      <c r="AK41" s="556"/>
      <c r="AL41" s="556"/>
      <c r="AM41" s="556"/>
      <c r="AN41" s="556"/>
      <c r="AO41" s="556"/>
      <c r="AP41" s="556"/>
      <c r="AQ41" s="556"/>
      <c r="AR41" s="556"/>
      <c r="AS41" s="556"/>
      <c r="AT41" s="556"/>
      <c r="AU41" s="556"/>
      <c r="AV41" s="556"/>
      <c r="AW41" s="556"/>
    </row>
    <row r="42" spans="7:49" s="307" customFormat="1" ht="15" customHeight="1">
      <c r="L42" s="327" t="s">
        <v>3006</v>
      </c>
      <c r="M42" s="328">
        <f>'IS &amp; BS'!F20</f>
        <v>7.1758155451459968</v>
      </c>
      <c r="N42" s="328">
        <f>'IS &amp; BS'!G20</f>
        <v>9.1296110040324709</v>
      </c>
      <c r="O42" s="328">
        <f>'IS &amp; BS'!H20</f>
        <v>9.3319695834351677</v>
      </c>
      <c r="P42" s="329">
        <f>'IS &amp; BS'!I20</f>
        <v>6.3399745980733222</v>
      </c>
      <c r="Q42" s="329">
        <f>'IS &amp; BS'!J20</f>
        <v>10.86228237019241</v>
      </c>
      <c r="R42" s="329">
        <f>'IS &amp; BS'!K20</f>
        <v>13.142359207071195</v>
      </c>
      <c r="AI42" s="556"/>
      <c r="AJ42" s="556"/>
      <c r="AK42" s="556"/>
      <c r="AL42" s="556"/>
      <c r="AM42" s="556"/>
      <c r="AN42" s="556"/>
      <c r="AO42" s="556"/>
      <c r="AP42" s="556"/>
      <c r="AQ42" s="556"/>
      <c r="AR42" s="556"/>
      <c r="AS42" s="556"/>
      <c r="AT42" s="556"/>
      <c r="AU42" s="556"/>
      <c r="AV42" s="556"/>
      <c r="AW42" s="556"/>
    </row>
    <row r="43" spans="7:49" s="307" customFormat="1" ht="15" customHeight="1">
      <c r="L43" s="321" t="s">
        <v>457</v>
      </c>
      <c r="M43" s="330">
        <f>'Ratios watch'!F19</f>
        <v>0.94695749668739948</v>
      </c>
      <c r="N43" s="330">
        <f>'Ratios watch'!G19</f>
        <v>0.27227503920555729</v>
      </c>
      <c r="O43" s="330">
        <f>O42/N42-1</f>
        <v>2.2165082314385298E-2</v>
      </c>
      <c r="P43" s="323">
        <f t="shared" ref="P43:R43" si="1">P42/O42-1</f>
        <v>-0.32061773868967858</v>
      </c>
      <c r="Q43" s="323">
        <f t="shared" si="1"/>
        <v>0.71330061377428677</v>
      </c>
      <c r="R43" s="323">
        <f t="shared" si="1"/>
        <v>0.20990771176558876</v>
      </c>
      <c r="AI43" s="556"/>
      <c r="AJ43" s="556"/>
      <c r="AK43" s="556"/>
      <c r="AL43" s="556"/>
      <c r="AM43" s="556"/>
      <c r="AN43" s="556"/>
      <c r="AO43" s="556"/>
      <c r="AP43" s="556"/>
      <c r="AQ43" s="556"/>
      <c r="AR43" s="556"/>
      <c r="AS43" s="556"/>
      <c r="AT43" s="556"/>
      <c r="AU43" s="556"/>
      <c r="AV43" s="556"/>
      <c r="AW43" s="556"/>
    </row>
    <row r="44" spans="7:49" s="307" customFormat="1" ht="15" customHeight="1">
      <c r="L44" s="331" t="s">
        <v>458</v>
      </c>
      <c r="M44" s="330"/>
      <c r="N44" s="330"/>
      <c r="O44" s="330"/>
      <c r="P44" s="332"/>
      <c r="Q44" s="332"/>
      <c r="R44" s="332"/>
      <c r="AI44" s="556"/>
      <c r="AJ44" s="556"/>
      <c r="AK44" s="556"/>
      <c r="AL44" s="556"/>
      <c r="AM44" s="556"/>
      <c r="AN44" s="556"/>
      <c r="AO44" s="556"/>
      <c r="AP44" s="556"/>
      <c r="AQ44" s="556"/>
      <c r="AR44" s="556"/>
      <c r="AS44" s="556"/>
      <c r="AT44" s="556"/>
      <c r="AU44" s="556"/>
      <c r="AV44" s="556"/>
      <c r="AW44" s="556"/>
    </row>
    <row r="45" spans="7:49" s="307" customFormat="1" ht="15" customHeight="1">
      <c r="L45" s="333" t="s">
        <v>459</v>
      </c>
      <c r="M45" s="334">
        <f>DCF!$G$50/'IS &amp; BS'!F20</f>
        <v>5.9923502394214809</v>
      </c>
      <c r="N45" s="334">
        <f>DCF!$G$50/'IS &amp; BS'!G20</f>
        <v>4.7099487569631684</v>
      </c>
      <c r="O45" s="334">
        <f>DCF!$G$50/'IS &amp; BS'!H20</f>
        <v>4.6078161330838139</v>
      </c>
      <c r="P45" s="335">
        <f>DCF!$G$50/'IS &amp; BS'!I20</f>
        <v>6.782361559156314</v>
      </c>
      <c r="Q45" s="335">
        <f>DCF!$G$50/'IS &amp; BS'!J20</f>
        <v>3.9586523839591838</v>
      </c>
      <c r="R45" s="335">
        <f>DCF!$G$50/'IS &amp; BS'!K20</f>
        <v>3.2718630896090573</v>
      </c>
      <c r="AI45" s="556"/>
      <c r="AJ45" s="556"/>
      <c r="AK45" s="556"/>
      <c r="AL45" s="556"/>
      <c r="AM45" s="556"/>
      <c r="AN45" s="556"/>
      <c r="AO45" s="556"/>
      <c r="AP45" s="556"/>
      <c r="AQ45" s="556"/>
      <c r="AR45" s="556"/>
      <c r="AS45" s="556"/>
      <c r="AT45" s="556"/>
      <c r="AU45" s="556"/>
      <c r="AV45" s="556"/>
      <c r="AW45" s="556"/>
    </row>
    <row r="46" spans="7:49" s="307" customFormat="1" ht="15" customHeight="1">
      <c r="L46" s="333" t="s">
        <v>460</v>
      </c>
      <c r="M46" s="334">
        <f>DCF!$G$50/'IS &amp; BS'!F23</f>
        <v>0.69700141393335324</v>
      </c>
      <c r="N46" s="334">
        <f>DCF!$G$50/'IS &amp; BS'!G23</f>
        <v>0.60991123063646624</v>
      </c>
      <c r="O46" s="334">
        <f>DCF!$G$50/'IS &amp; BS'!H23</f>
        <v>0.55200063528459364</v>
      </c>
      <c r="P46" s="335">
        <f>DCF!$G$50/'IS &amp; BS'!I23</f>
        <v>0.51628433131998608</v>
      </c>
      <c r="Q46" s="335">
        <f>DCF!$G$50/'IS &amp; BS'!J23</f>
        <v>0.46476246892001871</v>
      </c>
      <c r="R46" s="335">
        <f>DCF!$G$50/'IS &amp; BS'!K23</f>
        <v>0.41469211809439366</v>
      </c>
      <c r="AI46" s="556"/>
      <c r="AJ46" s="556"/>
      <c r="AK46" s="556"/>
      <c r="AL46" s="556"/>
      <c r="AM46" s="556"/>
      <c r="AN46" s="556"/>
      <c r="AO46" s="556"/>
      <c r="AP46" s="556"/>
      <c r="AQ46" s="556"/>
      <c r="AR46" s="556"/>
      <c r="AS46" s="556"/>
      <c r="AT46" s="556"/>
      <c r="AU46" s="556"/>
      <c r="AV46" s="556"/>
      <c r="AW46" s="556"/>
    </row>
    <row r="47" spans="7:49" s="307" customFormat="1" ht="15" customHeight="1">
      <c r="L47" s="333" t="s">
        <v>3000</v>
      </c>
      <c r="M47" s="336">
        <f>'IS &amp; BS'!F21/DCF!$G$50</f>
        <v>1.1627969102334608E-2</v>
      </c>
      <c r="N47" s="336">
        <f>'IS &amp; BS'!G21/DCF!$G$50</f>
        <v>2.3255813953488372E-2</v>
      </c>
      <c r="O47" s="336">
        <f>'IS &amp; BS'!H21/DCF!$G$50</f>
        <v>3.4883720930232558E-2</v>
      </c>
      <c r="P47" s="337">
        <f>'IS &amp; BS'!I21/DCF!$G$50</f>
        <v>2.2116190458395309E-2</v>
      </c>
      <c r="Q47" s="337">
        <f>'IS &amp; BS'!J21/DCF!$G$50</f>
        <v>3.7891682686717713E-2</v>
      </c>
      <c r="R47" s="337">
        <f>'IS &amp; BS'!K21/DCF!$G$50</f>
        <v>4.58454390944344E-2</v>
      </c>
      <c r="AI47" s="556"/>
      <c r="AJ47" s="556"/>
      <c r="AK47" s="556"/>
      <c r="AL47" s="556"/>
      <c r="AM47" s="556"/>
      <c r="AN47" s="556"/>
      <c r="AO47" s="556"/>
      <c r="AP47" s="556"/>
      <c r="AQ47" s="556"/>
      <c r="AR47" s="556"/>
      <c r="AS47" s="556"/>
      <c r="AT47" s="556"/>
      <c r="AU47" s="556"/>
      <c r="AV47" s="556"/>
      <c r="AW47" s="556"/>
    </row>
    <row r="48" spans="7:49" s="307" customFormat="1" ht="15" customHeight="1">
      <c r="L48" s="338" t="s">
        <v>3007</v>
      </c>
      <c r="M48" s="339">
        <f>'IS &amp; BS'!F23</f>
        <v>61.692844720845329</v>
      </c>
      <c r="N48" s="339">
        <f>'IS &amp; BS'!G23</f>
        <v>70.502062988949746</v>
      </c>
      <c r="O48" s="339">
        <f>'IS &amp; BS'!H23</f>
        <v>77.898461073021394</v>
      </c>
      <c r="P48" s="340">
        <f>'IS &amp; BS'!I23</f>
        <v>83.287439481383714</v>
      </c>
      <c r="Q48" s="340">
        <f>'IS &amp; BS'!J23</f>
        <v>92.520379496047255</v>
      </c>
      <c r="R48" s="340">
        <f>'IS &amp; BS'!K23</f>
        <v>103.69138482205777</v>
      </c>
      <c r="AI48" s="556"/>
      <c r="AJ48" s="556"/>
      <c r="AK48" s="556"/>
      <c r="AL48" s="556"/>
      <c r="AM48" s="556"/>
      <c r="AN48" s="556"/>
      <c r="AO48" s="556"/>
      <c r="AP48" s="556"/>
      <c r="AQ48" s="556"/>
      <c r="AR48" s="556"/>
      <c r="AS48" s="556"/>
      <c r="AT48" s="556"/>
      <c r="AU48" s="556"/>
      <c r="AV48" s="556"/>
      <c r="AW48" s="556"/>
    </row>
    <row r="49" spans="12:49" s="307" customFormat="1" ht="15" customHeight="1">
      <c r="L49" s="341" t="s">
        <v>3008</v>
      </c>
      <c r="M49" s="339">
        <f>'IS &amp; BS'!F21</f>
        <v>0.50000267140038812</v>
      </c>
      <c r="N49" s="339">
        <f>'IS &amp; BS'!G21</f>
        <v>1</v>
      </c>
      <c r="O49" s="339">
        <f>'IS &amp; BS'!H21</f>
        <v>1.5</v>
      </c>
      <c r="P49" s="340">
        <f>'IS &amp; BS'!I21</f>
        <v>0.95099618971099831</v>
      </c>
      <c r="Q49" s="340">
        <f>'IS &amp; BS'!J21</f>
        <v>1.6293423555288615</v>
      </c>
      <c r="R49" s="340">
        <f>'IS &amp; BS'!K21</f>
        <v>1.9713538810606792</v>
      </c>
      <c r="AI49" s="556"/>
      <c r="AJ49" s="556"/>
      <c r="AK49" s="556"/>
      <c r="AL49" s="556"/>
      <c r="AM49" s="556"/>
      <c r="AN49" s="556"/>
      <c r="AO49" s="556"/>
      <c r="AP49" s="556"/>
      <c r="AQ49" s="556"/>
      <c r="AR49" s="556"/>
      <c r="AS49" s="556"/>
      <c r="AT49" s="556"/>
      <c r="AU49" s="556"/>
      <c r="AV49" s="556"/>
      <c r="AW49" s="556"/>
    </row>
    <row r="50" spans="12:49" s="307" customFormat="1" ht="15" customHeight="1">
      <c r="L50" s="342" t="s">
        <v>3001</v>
      </c>
      <c r="M50" s="343">
        <f>DCF!F13</f>
        <v>6.9678863434360375E-2</v>
      </c>
      <c r="N50" s="343">
        <f>DCF!G13</f>
        <v>0.10953369202239926</v>
      </c>
      <c r="O50" s="343">
        <f>DCF!H13</f>
        <v>0.16073777208431908</v>
      </c>
      <c r="P50" s="344">
        <f>DCF!I13</f>
        <v>0.15</v>
      </c>
      <c r="Q50" s="344">
        <f>DCF!J13</f>
        <v>0.15</v>
      </c>
      <c r="R50" s="344">
        <f>DCF!K13</f>
        <v>0.15</v>
      </c>
      <c r="AI50" s="556"/>
      <c r="AJ50" s="556"/>
      <c r="AK50" s="556"/>
      <c r="AL50" s="556"/>
      <c r="AM50" s="556"/>
      <c r="AN50" s="556"/>
      <c r="AO50" s="556"/>
      <c r="AP50" s="556"/>
      <c r="AQ50" s="556"/>
      <c r="AR50" s="556"/>
      <c r="AS50" s="556"/>
      <c r="AT50" s="556"/>
      <c r="AU50" s="556"/>
      <c r="AV50" s="556"/>
      <c r="AW50" s="556"/>
    </row>
    <row r="51" spans="12:49" s="307" customFormat="1" ht="2.25" customHeight="1">
      <c r="L51" s="342"/>
      <c r="M51" s="343"/>
      <c r="N51" s="343"/>
      <c r="O51" s="343"/>
      <c r="P51" s="344"/>
      <c r="Q51" s="344"/>
      <c r="R51" s="344"/>
      <c r="AI51" s="556"/>
      <c r="AJ51" s="556"/>
      <c r="AK51" s="556"/>
      <c r="AL51" s="556"/>
      <c r="AM51" s="556"/>
      <c r="AN51" s="556"/>
      <c r="AO51" s="556"/>
      <c r="AP51" s="556"/>
      <c r="AQ51" s="556"/>
      <c r="AR51" s="556"/>
      <c r="AS51" s="556"/>
      <c r="AT51" s="556"/>
      <c r="AU51" s="556"/>
      <c r="AV51" s="556"/>
      <c r="AW51" s="556"/>
    </row>
    <row r="52" spans="12:49" s="307" customFormat="1" ht="12" customHeight="1">
      <c r="L52" s="407" t="s">
        <v>3004</v>
      </c>
      <c r="M52" s="406"/>
      <c r="O52" s="307" t="s">
        <v>3012</v>
      </c>
      <c r="P52" s="406"/>
      <c r="Q52" s="406"/>
      <c r="R52" s="406"/>
      <c r="AI52" s="556"/>
      <c r="AJ52" s="556"/>
      <c r="AK52" s="556"/>
      <c r="AL52" s="556"/>
      <c r="AM52" s="556"/>
      <c r="AN52" s="556"/>
      <c r="AO52" s="556"/>
      <c r="AP52" s="556"/>
      <c r="AQ52" s="556"/>
      <c r="AR52" s="556"/>
      <c r="AS52" s="556"/>
      <c r="AT52" s="556"/>
      <c r="AU52" s="556"/>
      <c r="AV52" s="556"/>
      <c r="AW52" s="556"/>
    </row>
    <row r="53" spans="12:49" s="307" customFormat="1" ht="12" customHeight="1">
      <c r="M53" s="406"/>
      <c r="N53" s="406"/>
      <c r="O53" s="406"/>
      <c r="P53" s="406"/>
      <c r="Q53" s="406"/>
      <c r="R53" s="406"/>
      <c r="AI53" s="556"/>
      <c r="AJ53" s="556"/>
      <c r="AK53" s="556"/>
      <c r="AL53" s="556"/>
      <c r="AM53" s="556"/>
      <c r="AN53" s="556"/>
      <c r="AO53" s="556"/>
      <c r="AP53" s="556"/>
      <c r="AQ53" s="556"/>
      <c r="AR53" s="556"/>
      <c r="AS53" s="556"/>
      <c r="AT53" s="556"/>
      <c r="AU53" s="556"/>
      <c r="AV53" s="556"/>
      <c r="AW53" s="556"/>
    </row>
    <row r="54" spans="12:49" s="307" customFormat="1" ht="15.6">
      <c r="AI54" s="556"/>
      <c r="AJ54" s="556"/>
      <c r="AK54" s="556"/>
      <c r="AL54" s="556"/>
      <c r="AM54" s="556"/>
      <c r="AN54" s="556"/>
      <c r="AO54" s="556"/>
      <c r="AP54" s="556"/>
      <c r="AQ54" s="556"/>
      <c r="AR54" s="556"/>
      <c r="AS54" s="556"/>
      <c r="AT54" s="556"/>
      <c r="AU54" s="556"/>
      <c r="AV54" s="556"/>
      <c r="AW54" s="556"/>
    </row>
    <row r="55" spans="12:49" s="307" customFormat="1" ht="15.6">
      <c r="AI55" s="556"/>
      <c r="AJ55" s="556"/>
      <c r="AK55" s="556"/>
      <c r="AL55" s="556"/>
      <c r="AM55" s="556"/>
      <c r="AN55" s="556"/>
      <c r="AO55" s="556"/>
      <c r="AP55" s="556"/>
      <c r="AQ55" s="556"/>
      <c r="AR55" s="556"/>
      <c r="AS55" s="556"/>
      <c r="AT55" s="556"/>
      <c r="AU55" s="556"/>
      <c r="AV55" s="556"/>
      <c r="AW55" s="556"/>
    </row>
    <row r="56" spans="12:49" s="307" customFormat="1" ht="15.6">
      <c r="T56" s="317" t="s">
        <v>2890</v>
      </c>
      <c r="U56" s="301" t="s">
        <v>2888</v>
      </c>
      <c r="V56" s="301" t="s">
        <v>2889</v>
      </c>
      <c r="W56" s="301" t="s">
        <v>2893</v>
      </c>
      <c r="X56" s="301" t="s">
        <v>150</v>
      </c>
      <c r="Y56" s="301" t="s">
        <v>105</v>
      </c>
      <c r="Z56" s="301" t="s">
        <v>2893</v>
      </c>
      <c r="AI56" s="556"/>
      <c r="AJ56" s="556"/>
      <c r="AK56" s="556"/>
      <c r="AL56" s="556"/>
      <c r="AM56" s="556"/>
      <c r="AN56" s="556"/>
      <c r="AO56" s="556"/>
      <c r="AP56" s="556"/>
      <c r="AQ56" s="556"/>
      <c r="AR56" s="556"/>
      <c r="AS56" s="556"/>
      <c r="AT56" s="556"/>
      <c r="AU56" s="556"/>
      <c r="AV56" s="556"/>
      <c r="AW56" s="556"/>
    </row>
    <row r="57" spans="12:49" s="307" customFormat="1" ht="15.6">
      <c r="T57" s="318" t="s">
        <v>1</v>
      </c>
      <c r="U57" s="319">
        <f>Quarterly!C6/1000</f>
        <v>3361.8090000000002</v>
      </c>
      <c r="V57" s="319">
        <f>Quarterly!D6/1000</f>
        <v>3352.7959999999998</v>
      </c>
      <c r="W57" s="346">
        <f>U57/V57-1</f>
        <v>2.6882041138203139E-3</v>
      </c>
      <c r="X57" s="319">
        <f>'IS &amp; BS'!G4</f>
        <v>12811.224</v>
      </c>
      <c r="Y57" s="319">
        <f>'IS &amp; BS'!F4</f>
        <v>14427.236000000001</v>
      </c>
      <c r="Z57" s="346">
        <f>X57/Y57-1</f>
        <v>-0.11201119881867883</v>
      </c>
      <c r="AI57" s="556"/>
      <c r="AJ57" s="556"/>
      <c r="AK57" s="556"/>
      <c r="AL57" s="556"/>
      <c r="AM57" s="556"/>
      <c r="AN57" s="556"/>
      <c r="AO57" s="556"/>
      <c r="AP57" s="556"/>
      <c r="AQ57" s="556"/>
      <c r="AR57" s="556"/>
      <c r="AS57" s="556"/>
      <c r="AT57" s="556"/>
      <c r="AU57" s="556"/>
      <c r="AV57" s="556"/>
      <c r="AW57" s="556"/>
    </row>
    <row r="58" spans="12:49" s="307" customFormat="1" ht="15.6">
      <c r="T58" s="353" t="s">
        <v>383</v>
      </c>
      <c r="U58" s="348">
        <f>Quarterly!C7/1000</f>
        <v>805.90300000000002</v>
      </c>
      <c r="V58" s="348">
        <f>Quarterly!D7/1000</f>
        <v>739.79499999999996</v>
      </c>
      <c r="W58" s="349">
        <f t="shared" ref="W58:W62" si="2">U58/V58-1</f>
        <v>8.9359890239863793E-2</v>
      </c>
      <c r="X58" s="348">
        <f>'IS &amp; BS'!G6</f>
        <v>3057.1139999999996</v>
      </c>
      <c r="Y58" s="348">
        <f>'IS &amp; BS'!F6</f>
        <v>2549.768</v>
      </c>
      <c r="Z58" s="349">
        <f t="shared" ref="Z58:Z62" si="3">X58/Y58-1</f>
        <v>0.19897731872076196</v>
      </c>
      <c r="AI58" s="556"/>
      <c r="AJ58" s="556"/>
      <c r="AK58" s="556"/>
      <c r="AL58" s="556"/>
      <c r="AM58" s="556"/>
      <c r="AN58" s="556"/>
      <c r="AO58" s="556"/>
      <c r="AP58" s="556"/>
      <c r="AQ58" s="556"/>
      <c r="AR58" s="556"/>
      <c r="AS58" s="556"/>
      <c r="AT58" s="556"/>
      <c r="AU58" s="556"/>
      <c r="AV58" s="556"/>
      <c r="AW58" s="556"/>
    </row>
    <row r="59" spans="12:49" s="307" customFormat="1" ht="15.6">
      <c r="T59" s="318" t="s">
        <v>2891</v>
      </c>
      <c r="U59" s="319">
        <f>Quarterly!C12/1000</f>
        <v>534.45799999999997</v>
      </c>
      <c r="V59" s="319">
        <f>Quarterly!D12/1000</f>
        <v>433.98500000000001</v>
      </c>
      <c r="W59" s="346">
        <f t="shared" si="2"/>
        <v>0.23151260988282996</v>
      </c>
      <c r="X59" s="319">
        <f>'IS &amp; BS'!G10</f>
        <v>1892.5889999999993</v>
      </c>
      <c r="Y59" s="319">
        <f>'IS &amp; BS'!F10</f>
        <v>1596.511</v>
      </c>
      <c r="Z59" s="346">
        <f t="shared" si="3"/>
        <v>0.18545315378346872</v>
      </c>
      <c r="AI59" s="556"/>
      <c r="AJ59" s="556"/>
      <c r="AK59" s="556"/>
      <c r="AL59" s="556"/>
      <c r="AM59" s="556"/>
      <c r="AN59" s="556"/>
      <c r="AO59" s="556"/>
      <c r="AP59" s="556"/>
      <c r="AQ59" s="556"/>
      <c r="AR59" s="556"/>
      <c r="AS59" s="556"/>
      <c r="AT59" s="556"/>
      <c r="AU59" s="556"/>
      <c r="AV59" s="556"/>
      <c r="AW59" s="556"/>
    </row>
    <row r="60" spans="12:49" s="307" customFormat="1" ht="15.6">
      <c r="T60" s="353" t="s">
        <v>354</v>
      </c>
      <c r="U60" s="348">
        <f>Quarterly!C14/1000</f>
        <v>481.99200000000002</v>
      </c>
      <c r="V60" s="348">
        <f>Quarterly!D14/1000</f>
        <v>374.916</v>
      </c>
      <c r="W60" s="349">
        <f t="shared" si="2"/>
        <v>0.28559997439426432</v>
      </c>
      <c r="X60" s="348">
        <f>'IS &amp; BS'!G13</f>
        <v>1695.6219999999992</v>
      </c>
      <c r="Y60" s="348">
        <f>'IS &amp; BS'!F13</f>
        <v>1254.7379999999998</v>
      </c>
      <c r="Z60" s="349">
        <f t="shared" si="3"/>
        <v>0.35137534688516592</v>
      </c>
      <c r="AI60" s="556"/>
      <c r="AJ60" s="556"/>
      <c r="AK60" s="556"/>
      <c r="AL60" s="556"/>
      <c r="AM60" s="556"/>
      <c r="AN60" s="556"/>
      <c r="AO60" s="556"/>
      <c r="AP60" s="556"/>
      <c r="AQ60" s="556"/>
      <c r="AR60" s="556"/>
      <c r="AS60" s="556"/>
      <c r="AT60" s="556"/>
      <c r="AU60" s="556"/>
      <c r="AV60" s="556"/>
      <c r="AW60" s="556"/>
    </row>
    <row r="61" spans="12:49" s="307" customFormat="1" ht="15.6">
      <c r="T61" s="318" t="s">
        <v>2892</v>
      </c>
      <c r="U61" s="319">
        <f>Quarterly!C18/1000</f>
        <v>349.10700000000003</v>
      </c>
      <c r="V61" s="319">
        <f>Quarterly!D18/1000</f>
        <v>289.67099999999999</v>
      </c>
      <c r="W61" s="346">
        <f t="shared" si="2"/>
        <v>0.20518450241826081</v>
      </c>
      <c r="X61" s="319">
        <f>'IS &amp; BS'!G15</f>
        <v>1269.2279999999992</v>
      </c>
      <c r="Y61" s="319">
        <f>'IS &amp; BS'!F15</f>
        <v>954.08699999999976</v>
      </c>
      <c r="Z61" s="346">
        <f t="shared" si="3"/>
        <v>0.3303063557096988</v>
      </c>
      <c r="AI61" s="556"/>
      <c r="AJ61" s="556"/>
      <c r="AK61" s="556"/>
      <c r="AL61" s="556"/>
      <c r="AM61" s="556"/>
      <c r="AN61" s="556"/>
      <c r="AO61" s="556"/>
      <c r="AP61" s="556"/>
      <c r="AQ61" s="556"/>
      <c r="AR61" s="556"/>
      <c r="AS61" s="556"/>
      <c r="AT61" s="556"/>
      <c r="AU61" s="556"/>
      <c r="AV61" s="556"/>
      <c r="AW61" s="556"/>
    </row>
    <row r="62" spans="12:49" s="307" customFormat="1" ht="15.6">
      <c r="T62" s="353" t="s">
        <v>362</v>
      </c>
      <c r="U62" s="348">
        <f>Quarterly!C21/1000</f>
        <v>306.17099999999999</v>
      </c>
      <c r="V62" s="348">
        <f>Quarterly!D21/1000</f>
        <v>264.21699999999998</v>
      </c>
      <c r="W62" s="349">
        <f t="shared" si="2"/>
        <v>0.15878614926367352</v>
      </c>
      <c r="X62" s="348">
        <f>'IS &amp; BS'!G17</f>
        <v>1093.6119999999992</v>
      </c>
      <c r="Y62" s="348">
        <f>'IS &amp; BS'!F17</f>
        <v>859.57199999999978</v>
      </c>
      <c r="Z62" s="349">
        <f t="shared" si="3"/>
        <v>0.27227503920555751</v>
      </c>
      <c r="AI62" s="556"/>
      <c r="AJ62" s="556"/>
      <c r="AK62" s="556"/>
      <c r="AL62" s="556"/>
      <c r="AM62" s="556"/>
      <c r="AN62" s="556"/>
      <c r="AO62" s="556"/>
      <c r="AP62" s="556"/>
      <c r="AQ62" s="556"/>
      <c r="AR62" s="556"/>
      <c r="AS62" s="556"/>
      <c r="AT62" s="556"/>
      <c r="AU62" s="556"/>
      <c r="AV62" s="556"/>
      <c r="AW62" s="556"/>
    </row>
    <row r="63" spans="12:49" s="307" customFormat="1" ht="15.6">
      <c r="T63" s="350"/>
      <c r="U63" s="351"/>
      <c r="V63" s="352"/>
      <c r="W63" s="352"/>
      <c r="X63" s="352"/>
      <c r="Y63" s="352"/>
      <c r="Z63" s="352"/>
      <c r="AI63" s="556"/>
      <c r="AJ63" s="556"/>
      <c r="AK63" s="556"/>
      <c r="AL63" s="556"/>
      <c r="AM63" s="556"/>
      <c r="AN63" s="556"/>
      <c r="AO63" s="556"/>
      <c r="AP63" s="556"/>
      <c r="AQ63" s="556"/>
      <c r="AR63" s="556"/>
      <c r="AS63" s="556"/>
      <c r="AT63" s="556"/>
      <c r="AU63" s="556"/>
      <c r="AV63" s="556"/>
      <c r="AW63" s="556"/>
    </row>
    <row r="64" spans="12:49" s="307" customFormat="1" ht="15.6">
      <c r="T64" s="307" t="s">
        <v>2987</v>
      </c>
      <c r="AI64" s="556"/>
      <c r="AJ64" s="556"/>
      <c r="AK64" s="556"/>
      <c r="AL64" s="556"/>
      <c r="AM64" s="556"/>
      <c r="AN64" s="556"/>
      <c r="AO64" s="556"/>
      <c r="AP64" s="556"/>
      <c r="AQ64" s="556"/>
      <c r="AR64" s="556"/>
      <c r="AS64" s="556"/>
      <c r="AT64" s="556"/>
      <c r="AU64" s="556"/>
      <c r="AV64" s="556"/>
      <c r="AW64" s="556"/>
    </row>
    <row r="65" spans="28:49" s="307" customFormat="1" ht="15.6">
      <c r="AB65" s="317" t="s">
        <v>2890</v>
      </c>
      <c r="AC65" s="301" t="s">
        <v>2901</v>
      </c>
      <c r="AD65" s="301" t="s">
        <v>2902</v>
      </c>
      <c r="AE65" s="301" t="s">
        <v>2894</v>
      </c>
      <c r="AF65" s="301" t="s">
        <v>2888</v>
      </c>
      <c r="AG65" s="301" t="s">
        <v>2895</v>
      </c>
      <c r="AI65" s="556"/>
      <c r="AJ65" s="556"/>
      <c r="AK65" s="556"/>
      <c r="AL65" s="556"/>
      <c r="AM65" s="556"/>
      <c r="AN65" s="556"/>
      <c r="AO65" s="556"/>
      <c r="AP65" s="556"/>
      <c r="AQ65" s="556"/>
      <c r="AR65" s="556"/>
      <c r="AS65" s="556"/>
      <c r="AT65" s="556"/>
      <c r="AU65" s="556"/>
      <c r="AV65" s="556"/>
      <c r="AW65" s="556"/>
    </row>
    <row r="66" spans="28:49" s="307" customFormat="1" ht="15.6">
      <c r="AB66" s="318" t="s">
        <v>1</v>
      </c>
      <c r="AC66" s="345">
        <f>Quarterly!H6/1000</f>
        <v>3327.203</v>
      </c>
      <c r="AD66" s="345">
        <f>Quarterly!I6/1000</f>
        <v>3018.9839999999999</v>
      </c>
      <c r="AE66" s="345">
        <f>Quarterly!J6/1000</f>
        <v>3242.2440000000001</v>
      </c>
      <c r="AF66" s="345">
        <f>Quarterly!K6/1000</f>
        <v>3361.8090000000002</v>
      </c>
      <c r="AG66" s="346">
        <f>AF66/AE66-1</f>
        <v>3.6877236876681652E-2</v>
      </c>
      <c r="AI66" s="556"/>
      <c r="AJ66" s="556"/>
      <c r="AK66" s="556"/>
      <c r="AL66" s="556"/>
      <c r="AM66" s="556"/>
      <c r="AN66" s="556"/>
      <c r="AO66" s="556"/>
      <c r="AP66" s="556"/>
      <c r="AQ66" s="556"/>
      <c r="AR66" s="556"/>
      <c r="AS66" s="556"/>
      <c r="AT66" s="556"/>
      <c r="AU66" s="556"/>
      <c r="AV66" s="556"/>
      <c r="AW66" s="556"/>
    </row>
    <row r="67" spans="28:49" s="307" customFormat="1" ht="15.6">
      <c r="AB67" s="353" t="s">
        <v>383</v>
      </c>
      <c r="AC67" s="347">
        <f>Quarterly!H7/1000</f>
        <v>805.82</v>
      </c>
      <c r="AD67" s="347">
        <f>Quarterly!I7/1000</f>
        <v>753.99699999999996</v>
      </c>
      <c r="AE67" s="347">
        <f>Quarterly!J7/1000</f>
        <v>748.45</v>
      </c>
      <c r="AF67" s="347">
        <f>Quarterly!K7/1000</f>
        <v>805.90300000000002</v>
      </c>
      <c r="AG67" s="349">
        <f>AF67/AE67-1</f>
        <v>7.6762642795109803E-2</v>
      </c>
      <c r="AI67" s="556"/>
      <c r="AJ67" s="556"/>
      <c r="AK67" s="556"/>
      <c r="AL67" s="556"/>
      <c r="AM67" s="556"/>
      <c r="AN67" s="556"/>
      <c r="AO67" s="556"/>
      <c r="AP67" s="556"/>
      <c r="AQ67" s="556"/>
      <c r="AR67" s="556"/>
      <c r="AS67" s="556"/>
      <c r="AT67" s="556"/>
      <c r="AU67" s="556"/>
      <c r="AV67" s="556"/>
      <c r="AW67" s="556"/>
    </row>
    <row r="68" spans="28:49" s="307" customFormat="1" ht="15.6">
      <c r="AB68" s="354" t="s">
        <v>387</v>
      </c>
      <c r="AC68" s="355">
        <f>AC67/AC66</f>
        <v>0.24219141422991025</v>
      </c>
      <c r="AD68" s="355">
        <f>AD67/AD66</f>
        <v>0.24975190328931851</v>
      </c>
      <c r="AE68" s="355">
        <f>AE67/AE66</f>
        <v>0.2308432061251405</v>
      </c>
      <c r="AF68" s="355">
        <f>AF67/AF66</f>
        <v>0.23972301817265643</v>
      </c>
      <c r="AG68" s="346">
        <f>AF68-AE68</f>
        <v>8.8798120475159226E-3</v>
      </c>
      <c r="AI68" s="556"/>
      <c r="AJ68" s="556"/>
      <c r="AK68" s="556"/>
      <c r="AL68" s="556"/>
      <c r="AM68" s="556"/>
      <c r="AN68" s="556"/>
      <c r="AO68" s="556"/>
      <c r="AP68" s="556"/>
      <c r="AQ68" s="556"/>
      <c r="AR68" s="556"/>
      <c r="AS68" s="556"/>
      <c r="AT68" s="556"/>
      <c r="AU68" s="556"/>
      <c r="AV68" s="556"/>
      <c r="AW68" s="556"/>
    </row>
    <row r="69" spans="28:49" s="307" customFormat="1" ht="15.6">
      <c r="AB69" s="353" t="s">
        <v>2891</v>
      </c>
      <c r="AC69" s="347">
        <f>Quarterly!H12/1000</f>
        <v>509.05700000000002</v>
      </c>
      <c r="AD69" s="347">
        <f>Quarterly!I12/1000</f>
        <v>414.14499999999998</v>
      </c>
      <c r="AE69" s="347">
        <f>Quarterly!J12/1000</f>
        <v>474.64600000000002</v>
      </c>
      <c r="AF69" s="347">
        <f>Quarterly!K12/1000</f>
        <v>534.45799999999997</v>
      </c>
      <c r="AG69" s="349">
        <f>AF69/AE69-1</f>
        <v>0.12601391352713387</v>
      </c>
      <c r="AI69" s="556"/>
      <c r="AJ69" s="556"/>
      <c r="AK69" s="556"/>
      <c r="AL69" s="556"/>
      <c r="AM69" s="556"/>
      <c r="AN69" s="556"/>
      <c r="AO69" s="556"/>
      <c r="AP69" s="556"/>
      <c r="AQ69" s="556"/>
      <c r="AR69" s="556"/>
      <c r="AS69" s="556"/>
      <c r="AT69" s="556"/>
      <c r="AU69" s="556"/>
      <c r="AV69" s="556"/>
      <c r="AW69" s="556"/>
    </row>
    <row r="70" spans="28:49" s="307" customFormat="1" ht="15.6">
      <c r="AB70" s="356" t="s">
        <v>2905</v>
      </c>
      <c r="AC70" s="357">
        <f>AC69/AC66</f>
        <v>0.15299847950365517</v>
      </c>
      <c r="AD70" s="357">
        <f>AD69/AD66</f>
        <v>0.13718025666913106</v>
      </c>
      <c r="AE70" s="357">
        <f>AE69/AE66</f>
        <v>0.14639428741328536</v>
      </c>
      <c r="AF70" s="357">
        <f>AF69/AF66</f>
        <v>0.15897928763948219</v>
      </c>
      <c r="AG70" s="346">
        <f>AF70-AE70</f>
        <v>1.2585000226196824E-2</v>
      </c>
      <c r="AI70" s="556"/>
      <c r="AJ70" s="556"/>
      <c r="AK70" s="556"/>
      <c r="AL70" s="556"/>
      <c r="AM70" s="556"/>
      <c r="AN70" s="556"/>
      <c r="AO70" s="556"/>
      <c r="AP70" s="556"/>
      <c r="AQ70" s="556"/>
      <c r="AR70" s="556"/>
      <c r="AS70" s="556"/>
      <c r="AT70" s="556"/>
      <c r="AU70" s="556"/>
      <c r="AV70" s="556"/>
      <c r="AW70" s="556"/>
    </row>
    <row r="71" spans="28:49" s="307" customFormat="1" ht="15.6">
      <c r="AB71" s="353" t="s">
        <v>354</v>
      </c>
      <c r="AC71" s="347">
        <f>Quarterly!H14/1000</f>
        <v>447.01</v>
      </c>
      <c r="AD71" s="347">
        <f>Quarterly!I14/1000</f>
        <v>372.875</v>
      </c>
      <c r="AE71" s="347">
        <f>Quarterly!J14/1000</f>
        <v>426.69499999999999</v>
      </c>
      <c r="AF71" s="347">
        <f>Quarterly!K14/1000</f>
        <v>481.99200000000002</v>
      </c>
      <c r="AG71" s="349">
        <f>AF71/AE71-1</f>
        <v>0.12959373791584161</v>
      </c>
      <c r="AI71" s="556"/>
      <c r="AJ71" s="556"/>
      <c r="AK71" s="556"/>
      <c r="AL71" s="556"/>
      <c r="AM71" s="556"/>
      <c r="AN71" s="556"/>
      <c r="AO71" s="556"/>
      <c r="AP71" s="556"/>
      <c r="AQ71" s="556"/>
      <c r="AR71" s="556"/>
      <c r="AS71" s="556"/>
      <c r="AT71" s="556"/>
      <c r="AU71" s="556"/>
      <c r="AV71" s="556"/>
      <c r="AW71" s="556"/>
    </row>
    <row r="72" spans="28:49" s="307" customFormat="1" ht="15.6">
      <c r="AB72" s="318" t="s">
        <v>2892</v>
      </c>
      <c r="AC72" s="345">
        <f>Quarterly!H18/1000</f>
        <v>316.37599999999998</v>
      </c>
      <c r="AD72" s="345">
        <f>Quarterly!I18/1000</f>
        <v>294.00900000000001</v>
      </c>
      <c r="AE72" s="345">
        <f>Quarterly!J18/1000</f>
        <v>333.55200000000002</v>
      </c>
      <c r="AF72" s="345">
        <f>Quarterly!K18/1000</f>
        <v>349.10700000000003</v>
      </c>
      <c r="AG72" s="346">
        <f>AF72/AE72-1</f>
        <v>4.6634407828464619E-2</v>
      </c>
      <c r="AI72" s="556"/>
      <c r="AJ72" s="556"/>
      <c r="AK72" s="556"/>
      <c r="AL72" s="556"/>
      <c r="AM72" s="556"/>
      <c r="AN72" s="556"/>
      <c r="AO72" s="556"/>
      <c r="AP72" s="556"/>
      <c r="AQ72" s="556"/>
      <c r="AR72" s="556"/>
      <c r="AS72" s="556"/>
      <c r="AT72" s="556"/>
      <c r="AU72" s="556"/>
      <c r="AV72" s="556"/>
      <c r="AW72" s="556"/>
    </row>
    <row r="73" spans="28:49" s="307" customFormat="1" ht="15.6">
      <c r="AB73" s="358" t="s">
        <v>372</v>
      </c>
      <c r="AC73" s="359">
        <f>AC72/AC66</f>
        <v>9.5087675744461628E-2</v>
      </c>
      <c r="AD73" s="359">
        <f>AD72/AD66</f>
        <v>9.7386736729972737E-2</v>
      </c>
      <c r="AE73" s="359">
        <f>AE72/AE66</f>
        <v>0.10287689637177215</v>
      </c>
      <c r="AF73" s="359">
        <f>AF72/AF66</f>
        <v>0.10384498345979798</v>
      </c>
      <c r="AG73" s="349">
        <f>AF73-AE73</f>
        <v>9.680870880258291E-4</v>
      </c>
      <c r="AI73" s="556"/>
      <c r="AJ73" s="556"/>
      <c r="AK73" s="556"/>
      <c r="AL73" s="556"/>
      <c r="AM73" s="556"/>
      <c r="AN73" s="556"/>
      <c r="AO73" s="556"/>
      <c r="AP73" s="556"/>
      <c r="AQ73" s="556"/>
      <c r="AR73" s="556"/>
      <c r="AS73" s="556"/>
      <c r="AT73" s="556"/>
      <c r="AU73" s="556"/>
      <c r="AV73" s="556"/>
      <c r="AW73" s="556"/>
    </row>
    <row r="74" spans="28:49" s="307" customFormat="1" ht="15.6">
      <c r="AB74" s="318" t="s">
        <v>362</v>
      </c>
      <c r="AC74" s="345">
        <f>Quarterly!H21/1000</f>
        <v>273.363</v>
      </c>
      <c r="AD74" s="345">
        <f>Quarterly!I21/1000</f>
        <v>257.34399999999999</v>
      </c>
      <c r="AE74" s="345">
        <f>Quarterly!J21/1000</f>
        <v>279.59199999999998</v>
      </c>
      <c r="AF74" s="345">
        <f>Quarterly!K21/1000</f>
        <v>306.17099999999999</v>
      </c>
      <c r="AG74" s="346">
        <f>AF74/AE74-1</f>
        <v>9.506352113079064E-2</v>
      </c>
      <c r="AI74" s="556"/>
      <c r="AJ74" s="556"/>
      <c r="AK74" s="556"/>
      <c r="AL74" s="556"/>
      <c r="AM74" s="556"/>
      <c r="AN74" s="556"/>
      <c r="AO74" s="556"/>
      <c r="AP74" s="556"/>
      <c r="AQ74" s="556"/>
      <c r="AR74" s="556"/>
      <c r="AS74" s="556"/>
      <c r="AT74" s="556"/>
      <c r="AU74" s="556"/>
      <c r="AV74" s="556"/>
      <c r="AW74" s="556"/>
    </row>
    <row r="75" spans="28:49" s="307" customFormat="1" ht="15.6">
      <c r="AB75" s="358"/>
      <c r="AC75" s="359"/>
      <c r="AD75" s="359"/>
      <c r="AE75" s="359"/>
      <c r="AF75" s="359"/>
      <c r="AG75" s="349"/>
      <c r="AI75" s="556"/>
      <c r="AJ75" s="556"/>
      <c r="AK75" s="556"/>
      <c r="AL75" s="556"/>
      <c r="AM75" s="556"/>
      <c r="AN75" s="556"/>
      <c r="AO75" s="556"/>
      <c r="AP75" s="556"/>
      <c r="AQ75" s="556"/>
      <c r="AR75" s="556"/>
      <c r="AS75" s="556"/>
      <c r="AT75" s="556"/>
      <c r="AU75" s="556"/>
      <c r="AV75" s="556"/>
      <c r="AW75" s="556"/>
    </row>
    <row r="76" spans="28:49" s="307" customFormat="1" ht="15.6">
      <c r="AI76" s="556"/>
      <c r="AJ76" s="556"/>
      <c r="AK76" s="556"/>
      <c r="AL76" s="556"/>
      <c r="AM76" s="556"/>
      <c r="AN76" s="556"/>
      <c r="AO76" s="556"/>
      <c r="AP76" s="556"/>
      <c r="AQ76" s="556"/>
      <c r="AR76" s="556"/>
      <c r="AS76" s="556"/>
      <c r="AT76" s="556"/>
      <c r="AU76" s="556"/>
      <c r="AV76" s="556"/>
      <c r="AW76" s="556"/>
    </row>
    <row r="77" spans="28:49">
      <c r="AB77" s="307" t="s">
        <v>2987</v>
      </c>
      <c r="AI77" s="206" t="s">
        <v>2890</v>
      </c>
      <c r="AJ77" s="207" t="s">
        <v>105</v>
      </c>
      <c r="AK77" s="207" t="s">
        <v>150</v>
      </c>
      <c r="AL77" s="207" t="s">
        <v>151</v>
      </c>
      <c r="AM77" s="207" t="s">
        <v>152</v>
      </c>
      <c r="AN77" s="207" t="s">
        <v>153</v>
      </c>
    </row>
    <row r="78" spans="28:49">
      <c r="AI78" s="266" t="s">
        <v>1</v>
      </c>
      <c r="AJ78" s="267">
        <f>'IS &amp; BS'!F4</f>
        <v>14427.236000000001</v>
      </c>
      <c r="AK78" s="267">
        <f>'IS &amp; BS'!G4</f>
        <v>12811.224</v>
      </c>
      <c r="AL78" s="208">
        <f>'IS &amp; BS'!H4</f>
        <v>14669.734999999999</v>
      </c>
      <c r="AM78" s="208">
        <f>'IS &amp; BS'!I4</f>
        <v>20978.830515386398</v>
      </c>
      <c r="AN78" s="208">
        <f>'IS &amp; BS'!J4</f>
        <v>26472.353120886062</v>
      </c>
    </row>
    <row r="79" spans="28:49">
      <c r="AI79" s="266" t="s">
        <v>2908</v>
      </c>
      <c r="AJ79" s="267">
        <f>'IS &amp; BS'!F5</f>
        <v>-11877.468000000001</v>
      </c>
      <c r="AK79" s="267">
        <f>'IS &amp; BS'!G5</f>
        <v>-9754.11</v>
      </c>
      <c r="AL79" s="208">
        <f>'IS &amp; BS'!H5</f>
        <v>-11427.115</v>
      </c>
      <c r="AM79" s="208">
        <f>'IS &amp; BS'!I5</f>
        <v>-17687.278463276467</v>
      </c>
      <c r="AN79" s="208">
        <f>'IS &amp; BS'!J5</f>
        <v>-21928.223074880007</v>
      </c>
    </row>
    <row r="80" spans="28:49">
      <c r="AI80" s="266" t="s">
        <v>383</v>
      </c>
      <c r="AJ80" s="380">
        <f>'IS &amp; BS'!F6</f>
        <v>2549.768</v>
      </c>
      <c r="AK80" s="380">
        <f>'IS &amp; BS'!G6</f>
        <v>3057.1139999999996</v>
      </c>
      <c r="AL80" s="381">
        <f>'IS &amp; BS'!H6</f>
        <v>3242.619999999999</v>
      </c>
      <c r="AM80" s="381">
        <f>'IS &amp; BS'!I6</f>
        <v>3291.5520521099315</v>
      </c>
      <c r="AN80" s="381">
        <f>'IS &amp; BS'!J6</f>
        <v>4544.1300460060556</v>
      </c>
    </row>
    <row r="81" spans="35:47">
      <c r="AI81" s="266" t="s">
        <v>190</v>
      </c>
      <c r="AJ81" s="267">
        <f>'IS &amp; BS'!F7</f>
        <v>192.60400000000001</v>
      </c>
      <c r="AK81" s="267">
        <f>'IS &amp; BS'!G7</f>
        <v>45.017000000000003</v>
      </c>
      <c r="AL81" s="208">
        <f>'IS &amp; BS'!H7</f>
        <v>52.432000000000002</v>
      </c>
      <c r="AM81" s="208">
        <f>'IS &amp; BS'!I7</f>
        <v>46.10602810077517</v>
      </c>
      <c r="AN81" s="208">
        <f>'IS &amp; BS'!J7</f>
        <v>47.153278855218268</v>
      </c>
    </row>
    <row r="82" spans="35:47">
      <c r="AI82" s="266" t="s">
        <v>384</v>
      </c>
      <c r="AJ82" s="267">
        <f>'IS &amp; BS'!F8+'IS &amp; BS'!F9</f>
        <v>-1145.8609999999999</v>
      </c>
      <c r="AK82" s="267">
        <f>'IS &amp; BS'!G8+'IS &amp; BS'!G9</f>
        <v>-1209.5419999999999</v>
      </c>
      <c r="AL82" s="208">
        <f>'IS &amp; BS'!H8+'IS &amp; BS'!H9</f>
        <v>-1286.182</v>
      </c>
      <c r="AM82" s="208">
        <f>'IS &amp; BS'!I8+'IS &amp; BS'!I9</f>
        <v>-1671.8236630119275</v>
      </c>
      <c r="AN82" s="208">
        <f>'IS &amp; BS'!J8+'IS &amp; BS'!J9</f>
        <v>-2019.152346322941</v>
      </c>
    </row>
    <row r="83" spans="35:47">
      <c r="AI83" s="266" t="s">
        <v>2891</v>
      </c>
      <c r="AJ83" s="380">
        <f>'IS &amp; BS'!F10</f>
        <v>1596.511</v>
      </c>
      <c r="AK83" s="380">
        <f>'IS &amp; BS'!G10</f>
        <v>1892.5889999999993</v>
      </c>
      <c r="AL83" s="381">
        <f>'IS &amp; BS'!H10</f>
        <v>2008.8699999999985</v>
      </c>
      <c r="AM83" s="381">
        <f>'IS &amp; BS'!I10</f>
        <v>1665.8344171987794</v>
      </c>
      <c r="AN83" s="381">
        <f>'IS &amp; BS'!J10</f>
        <v>2572.1309785383332</v>
      </c>
    </row>
    <row r="84" spans="35:47">
      <c r="AI84" s="266" t="s">
        <v>2879</v>
      </c>
      <c r="AJ84" s="267">
        <f>'IS &amp; BS'!F11</f>
        <v>-387.72</v>
      </c>
      <c r="AK84" s="267">
        <f>'IS &amp; BS'!G11</f>
        <v>-251.702</v>
      </c>
      <c r="AL84" s="208">
        <f>'IS &amp; BS'!H11</f>
        <v>-219.02500000000001</v>
      </c>
      <c r="AM84" s="208">
        <f>'IS &amp; BS'!I11</f>
        <v>-474.72971411030346</v>
      </c>
      <c r="AN84" s="208">
        <f>'IS &amp; BS'!J11</f>
        <v>-525.76746688450362</v>
      </c>
    </row>
    <row r="85" spans="35:47">
      <c r="AI85" s="266" t="s">
        <v>2909</v>
      </c>
      <c r="AJ85" s="267">
        <f>'IS &amp; BS'!F13</f>
        <v>1254.7379999999998</v>
      </c>
      <c r="AK85" s="267">
        <f>'IS &amp; BS'!G13</f>
        <v>1695.6219999999992</v>
      </c>
      <c r="AL85" s="208">
        <f>'IS &amp; BS'!H13</f>
        <v>1764.5629999999985</v>
      </c>
      <c r="AM85" s="208">
        <f>'IS &amp; BS'!I13</f>
        <v>1199.363283088476</v>
      </c>
      <c r="AN85" s="208">
        <f>'IS &amp; BS'!J13</f>
        <v>2054.8698490538295</v>
      </c>
    </row>
    <row r="86" spans="35:47">
      <c r="AI86" s="266" t="s">
        <v>2910</v>
      </c>
      <c r="AJ86" s="267">
        <f>'IS &amp; BS'!F14</f>
        <v>-300.65100000000001</v>
      </c>
      <c r="AK86" s="267">
        <f>'IS &amp; BS'!G14</f>
        <v>-426.39400000000001</v>
      </c>
      <c r="AL86" s="208">
        <f>'IS &amp; BS'!H14</f>
        <v>-509.12599999999998</v>
      </c>
      <c r="AM86" s="208">
        <f>'IS &amp; BS'!I14</f>
        <v>-346.05000267244861</v>
      </c>
      <c r="AN86" s="208">
        <f>'IS &amp; BS'!J14</f>
        <v>-592.88768197529976</v>
      </c>
    </row>
    <row r="87" spans="35:47">
      <c r="AI87" s="266" t="s">
        <v>2892</v>
      </c>
      <c r="AJ87" s="588">
        <f>'IS &amp; BS'!F15</f>
        <v>954.08699999999976</v>
      </c>
      <c r="AK87" s="588">
        <f>'IS &amp; BS'!G15</f>
        <v>1269.2279999999992</v>
      </c>
      <c r="AL87" s="589">
        <f>'IS &amp; BS'!H15</f>
        <v>1255.4369999999985</v>
      </c>
      <c r="AM87" s="589">
        <f>'IS &amp; BS'!I15</f>
        <v>853.3132804160274</v>
      </c>
      <c r="AN87" s="589">
        <f>'IS &amp; BS'!J15</f>
        <v>1461.9821670785298</v>
      </c>
    </row>
    <row r="88" spans="35:47">
      <c r="AI88" s="266" t="s">
        <v>3010</v>
      </c>
      <c r="AJ88" s="267">
        <f>-'IS &amp; BS'!F16</f>
        <v>94.515000000000001</v>
      </c>
      <c r="AK88" s="267">
        <f>-'IS &amp; BS'!G16</f>
        <v>175.61600000000001</v>
      </c>
      <c r="AL88" s="208">
        <f>-'IS &amp; BS'!H16</f>
        <v>137.58500000000001</v>
      </c>
      <c r="AM88" s="208">
        <f>-'IS &amp; BS'!I16</f>
        <v>93.86446084576302</v>
      </c>
      <c r="AN88" s="208">
        <f>-'IS &amp; BS'!J16</f>
        <v>160.81803837863828</v>
      </c>
    </row>
    <row r="89" spans="35:47">
      <c r="AI89" s="266" t="s">
        <v>3009</v>
      </c>
      <c r="AJ89" s="267">
        <f>'IS &amp; BS'!F17</f>
        <v>859.57199999999978</v>
      </c>
      <c r="AK89" s="267">
        <f>'IS &amp; BS'!G17</f>
        <v>1093.6119999999992</v>
      </c>
      <c r="AL89" s="208">
        <f>'IS &amp; BS'!H17</f>
        <v>1117.8519999999985</v>
      </c>
      <c r="AM89" s="208">
        <f>'IS &amp; BS'!I17</f>
        <v>759.44881957026439</v>
      </c>
      <c r="AN89" s="208">
        <f>'IS &amp; BS'!J17</f>
        <v>1301.1641286998915</v>
      </c>
    </row>
    <row r="90" spans="35:47" ht="7.5" customHeight="1">
      <c r="AI90" s="266"/>
      <c r="AJ90" s="267"/>
      <c r="AK90" s="267"/>
      <c r="AL90" s="208"/>
      <c r="AM90" s="208"/>
      <c r="AN90" s="208"/>
    </row>
    <row r="91" spans="35:47">
      <c r="AI91" s="266" t="s">
        <v>393</v>
      </c>
      <c r="AJ91" s="590">
        <f>'IS &amp; BS'!F20</f>
        <v>7.1758155451459968</v>
      </c>
      <c r="AK91" s="590">
        <f>'IS &amp; BS'!G20</f>
        <v>9.1296110040324709</v>
      </c>
      <c r="AL91" s="591">
        <f>'IS &amp; BS'!H20</f>
        <v>9.3319695834351677</v>
      </c>
      <c r="AM91" s="591">
        <f>'IS &amp; BS'!I20</f>
        <v>6.3399745980733222</v>
      </c>
      <c r="AN91" s="591">
        <f>'IS &amp; BS'!J20</f>
        <v>10.86228237019241</v>
      </c>
    </row>
    <row r="92" spans="35:47">
      <c r="AI92" s="266" t="s">
        <v>394</v>
      </c>
      <c r="AJ92" s="590">
        <f>'IS &amp; BS'!F21</f>
        <v>0.50000267140038812</v>
      </c>
      <c r="AK92" s="590">
        <f>'IS &amp; BS'!G21</f>
        <v>1</v>
      </c>
      <c r="AL92" s="591">
        <f>'IS &amp; BS'!H21</f>
        <v>1.5</v>
      </c>
      <c r="AM92" s="591">
        <f>'IS &amp; BS'!I21</f>
        <v>0.95099618971099831</v>
      </c>
      <c r="AN92" s="591">
        <f>'IS &amp; BS'!J21</f>
        <v>1.6293423555288615</v>
      </c>
    </row>
    <row r="95" spans="35:47">
      <c r="AP95" s="206" t="s">
        <v>2890</v>
      </c>
      <c r="AQ95" s="207" t="s">
        <v>105</v>
      </c>
      <c r="AR95" s="207" t="s">
        <v>150</v>
      </c>
      <c r="AS95" s="207" t="s">
        <v>151</v>
      </c>
      <c r="AT95" s="207" t="s">
        <v>152</v>
      </c>
      <c r="AU95" s="207" t="s">
        <v>153</v>
      </c>
    </row>
    <row r="96" spans="35:47">
      <c r="AP96" s="379" t="s">
        <v>20</v>
      </c>
      <c r="AQ96" s="267"/>
      <c r="AR96" s="267"/>
      <c r="AS96" s="208"/>
      <c r="AT96" s="208"/>
      <c r="AU96" s="208"/>
    </row>
    <row r="97" spans="42:47">
      <c r="AP97" s="379" t="s">
        <v>2911</v>
      </c>
      <c r="AQ97" s="267"/>
      <c r="AR97" s="267"/>
      <c r="AS97" s="208"/>
      <c r="AT97" s="208"/>
      <c r="AU97" s="208"/>
    </row>
    <row r="98" spans="42:47">
      <c r="AP98" s="266" t="s">
        <v>73</v>
      </c>
      <c r="AQ98" s="267">
        <f>'IS &amp; BS'!F31</f>
        <v>3535.21</v>
      </c>
      <c r="AR98" s="267">
        <f>'IS &amp; BS'!G31</f>
        <v>3466.4969999999998</v>
      </c>
      <c r="AS98" s="208">
        <f>'IS &amp; BS'!H31</f>
        <v>3347.7089999999998</v>
      </c>
      <c r="AT98" s="208">
        <f>'IS &amp; BS'!I31</f>
        <v>3263.4209033956149</v>
      </c>
      <c r="AU98" s="208">
        <f>'IS &amp; BS'!J31</f>
        <v>3182.0739591277807</v>
      </c>
    </row>
    <row r="99" spans="42:47">
      <c r="AP99" s="266" t="s">
        <v>388</v>
      </c>
      <c r="AQ99" s="267">
        <f>SUM('IS &amp; BS'!F32:F38)</f>
        <v>1426.42</v>
      </c>
      <c r="AR99" s="267">
        <f>SUM('IS &amp; BS'!G32:G38)</f>
        <v>895.16</v>
      </c>
      <c r="AS99" s="208">
        <f>SUM('IS &amp; BS'!H32:H38)</f>
        <v>892.50300000000016</v>
      </c>
      <c r="AT99" s="208">
        <f>SUM('IS &amp; BS'!I32:I38)</f>
        <v>924.72027206873895</v>
      </c>
      <c r="AU99" s="208">
        <f>SUM('IS &amp; BS'!J32:J38)</f>
        <v>965.24344298644007</v>
      </c>
    </row>
    <row r="100" spans="42:47">
      <c r="AP100" s="266"/>
      <c r="AQ100" s="380">
        <f>'IS &amp; BS'!F39</f>
        <v>4961.63</v>
      </c>
      <c r="AR100" s="380">
        <f>'IS &amp; BS'!G39</f>
        <v>4361.6570000000002</v>
      </c>
      <c r="AS100" s="381">
        <f>'IS &amp; BS'!H39</f>
        <v>4240.2119999999995</v>
      </c>
      <c r="AT100" s="381">
        <f>'IS &amp; BS'!I39</f>
        <v>4188.1411754643541</v>
      </c>
      <c r="AU100" s="381">
        <f>'IS &amp; BS'!J39</f>
        <v>4147.3174021142204</v>
      </c>
    </row>
    <row r="101" spans="42:47" ht="6" customHeight="1">
      <c r="AP101" s="266"/>
      <c r="AQ101" s="267"/>
      <c r="AR101" s="267"/>
      <c r="AS101" s="208"/>
      <c r="AT101" s="208"/>
      <c r="AU101" s="208"/>
    </row>
    <row r="102" spans="42:47">
      <c r="AP102" s="379" t="s">
        <v>51</v>
      </c>
      <c r="AQ102" s="267"/>
      <c r="AR102" s="267"/>
      <c r="AS102" s="208"/>
      <c r="AT102" s="208"/>
      <c r="AU102" s="208"/>
    </row>
    <row r="103" spans="42:47">
      <c r="AP103" s="266" t="s">
        <v>52</v>
      </c>
      <c r="AQ103" s="267">
        <f>'IS &amp; BS'!F41</f>
        <v>5099.2759999999998</v>
      </c>
      <c r="AR103" s="267">
        <f>'IS &amp; BS'!G41</f>
        <v>3986.77</v>
      </c>
      <c r="AS103" s="208">
        <f>'IS &amp; BS'!H41</f>
        <v>4363.3370000000004</v>
      </c>
      <c r="AT103" s="208">
        <f>'IS &amp; BS'!I41</f>
        <v>6250.7943159185807</v>
      </c>
      <c r="AU103" s="208">
        <f>'IS &amp; BS'!J41</f>
        <v>7792.9628726709334</v>
      </c>
    </row>
    <row r="104" spans="42:47">
      <c r="AP104" s="266" t="s">
        <v>2912</v>
      </c>
      <c r="AQ104" s="267">
        <f>'IS &amp; BS'!F42</f>
        <v>4968.3869999999997</v>
      </c>
      <c r="AR104" s="267">
        <f>'IS &amp; BS'!G42</f>
        <v>4250.7269999999999</v>
      </c>
      <c r="AS104" s="208">
        <f>'IS &amp; BS'!H42</f>
        <v>5334.17</v>
      </c>
      <c r="AT104" s="208">
        <f>'IS &amp; BS'!I42</f>
        <v>6470.5623251898223</v>
      </c>
      <c r="AU104" s="208">
        <f>'IS &amp; BS'!J42</f>
        <v>8164.94564067799</v>
      </c>
    </row>
    <row r="105" spans="42:47">
      <c r="AP105" s="266" t="s">
        <v>2913</v>
      </c>
      <c r="AQ105" s="267">
        <f>'IS &amp; BS'!F43+'IS &amp; BS'!F44</f>
        <v>2.1999999999999999E-2</v>
      </c>
      <c r="AR105" s="267">
        <f>'IS &amp; BS'!G43+'IS &amp; BS'!G44</f>
        <v>1067.337</v>
      </c>
      <c r="AS105" s="208">
        <f>'IS &amp; BS'!H43+'IS &amp; BS'!H44</f>
        <v>402.774</v>
      </c>
      <c r="AT105" s="208">
        <f>'IS &amp; BS'!I43+'IS &amp; BS'!I44</f>
        <v>502.774</v>
      </c>
      <c r="AU105" s="208">
        <f>'IS &amp; BS'!J43+'IS &amp; BS'!J44</f>
        <v>602.774</v>
      </c>
    </row>
    <row r="106" spans="42:47">
      <c r="AP106" s="266" t="s">
        <v>26</v>
      </c>
      <c r="AQ106" s="267">
        <f>'IS &amp; BS'!F45</f>
        <v>1038.758</v>
      </c>
      <c r="AR106" s="267">
        <f>'IS &amp; BS'!G45</f>
        <v>1707.3049999999998</v>
      </c>
      <c r="AS106" s="208">
        <f>'IS &amp; BS'!H45</f>
        <v>2224.971</v>
      </c>
      <c r="AT106" s="208">
        <f>'IS &amp; BS'!I45</f>
        <v>2137.4095513979237</v>
      </c>
      <c r="AU106" s="208">
        <f>'IS &amp; BS'!J45</f>
        <v>1477.4146566073698</v>
      </c>
    </row>
    <row r="107" spans="42:47">
      <c r="AP107" s="266"/>
      <c r="AQ107" s="380">
        <f>'IS &amp; BS'!F46</f>
        <v>11106.443000000001</v>
      </c>
      <c r="AR107" s="380">
        <f>'IS &amp; BS'!G46</f>
        <v>11012.139000000001</v>
      </c>
      <c r="AS107" s="381">
        <f>'IS &amp; BS'!H46</f>
        <v>12325.252000000002</v>
      </c>
      <c r="AT107" s="381">
        <f>'IS &amp; BS'!I46</f>
        <v>15361.540192506327</v>
      </c>
      <c r="AU107" s="381">
        <f>'IS &amp; BS'!J46</f>
        <v>18038.097169956294</v>
      </c>
    </row>
    <row r="108" spans="42:47" ht="6" customHeight="1">
      <c r="AP108" s="266"/>
      <c r="AQ108" s="267"/>
      <c r="AR108" s="267"/>
      <c r="AS108" s="208"/>
      <c r="AT108" s="208"/>
      <c r="AU108" s="208"/>
    </row>
    <row r="109" spans="42:47" ht="15" thickBot="1">
      <c r="AP109" s="379" t="s">
        <v>361</v>
      </c>
      <c r="AQ109" s="382">
        <f>'IS &amp; BS'!F47</f>
        <v>16068.073</v>
      </c>
      <c r="AR109" s="382">
        <f>'IS &amp; BS'!G47</f>
        <v>15373.796000000002</v>
      </c>
      <c r="AS109" s="383">
        <f>'IS &amp; BS'!H47</f>
        <v>16565.464</v>
      </c>
      <c r="AT109" s="383">
        <f>'IS &amp; BS'!I47</f>
        <v>19549.681367970683</v>
      </c>
      <c r="AU109" s="383">
        <f>'IS &amp; BS'!J47</f>
        <v>22185.414572070513</v>
      </c>
    </row>
    <row r="110" spans="42:47" ht="6" customHeight="1" thickTop="1">
      <c r="AP110" s="266"/>
      <c r="AQ110" s="267"/>
      <c r="AR110" s="267"/>
      <c r="AS110" s="208"/>
      <c r="AT110" s="208"/>
      <c r="AU110" s="208"/>
    </row>
    <row r="111" spans="42:47">
      <c r="AP111" s="379" t="s">
        <v>2914</v>
      </c>
      <c r="AQ111" s="267"/>
      <c r="AR111" s="267"/>
      <c r="AS111" s="208"/>
      <c r="AT111" s="208"/>
      <c r="AU111" s="208"/>
    </row>
    <row r="112" spans="42:47">
      <c r="AP112" s="379" t="s">
        <v>2918</v>
      </c>
      <c r="AQ112" s="267"/>
      <c r="AR112" s="267"/>
      <c r="AS112" s="208"/>
      <c r="AT112" s="208"/>
      <c r="AU112" s="208"/>
    </row>
    <row r="113" spans="42:47">
      <c r="AP113" s="266" t="s">
        <v>2919</v>
      </c>
      <c r="AQ113" s="267">
        <f>'IS &amp; BS'!F51</f>
        <v>299.488</v>
      </c>
      <c r="AR113" s="267">
        <f>'IS &amp; BS'!G51</f>
        <v>299.488</v>
      </c>
      <c r="AS113" s="208">
        <f>'IS &amp; BS'!H51</f>
        <v>299.488</v>
      </c>
      <c r="AT113" s="208">
        <f>'IS &amp; BS'!I51</f>
        <v>299.488</v>
      </c>
      <c r="AU113" s="208">
        <f>'IS &amp; BS'!J51</f>
        <v>299.488</v>
      </c>
    </row>
    <row r="114" spans="42:47">
      <c r="AP114" s="266" t="s">
        <v>34</v>
      </c>
      <c r="AQ114" s="267">
        <f>'IS &amp; BS'!F55</f>
        <v>4138.1629999999996</v>
      </c>
      <c r="AR114" s="267">
        <f>'IS &amp; BS'!G55</f>
        <v>5141.7420000000002</v>
      </c>
      <c r="AS114" s="208">
        <f>'IS &amp; BS'!H55</f>
        <v>6110.5969999999998</v>
      </c>
      <c r="AT114" s="208">
        <f>'IS &amp; BS'!I55</f>
        <v>6756.1284966347248</v>
      </c>
      <c r="AU114" s="208">
        <f>'IS &amp; BS'!J55</f>
        <v>7862.1180060296319</v>
      </c>
    </row>
    <row r="115" spans="42:47">
      <c r="AP115" s="266" t="s">
        <v>2920</v>
      </c>
      <c r="AQ115" s="267">
        <f>'IS &amp; BS'!F52+'IS &amp; BS'!F53+'IS &amp; BS'!F54</f>
        <v>2952.3719999999998</v>
      </c>
      <c r="AR115" s="267">
        <f>'IS &amp; BS'!G52+'IS &amp; BS'!G53+'IS &amp; BS'!G54</f>
        <v>3004.0259999999998</v>
      </c>
      <c r="AS115" s="208">
        <f>'IS &amp; BS'!H52+'IS &amp; BS'!H53+'IS &amp; BS'!H54</f>
        <v>2921.1659999999997</v>
      </c>
      <c r="AT115" s="208">
        <f>'IS &amp; BS'!I52+'IS &amp; BS'!I53+'IS &amp; BS'!I54</f>
        <v>2921.1659999999997</v>
      </c>
      <c r="AU115" s="208">
        <f>'IS &amp; BS'!J52+'IS &amp; BS'!J53+'IS &amp; BS'!J54</f>
        <v>2921.1659999999997</v>
      </c>
    </row>
    <row r="116" spans="42:47">
      <c r="AP116" s="266" t="s">
        <v>2923</v>
      </c>
      <c r="AQ116" s="267">
        <f>'IS &amp; BS'!F56</f>
        <v>7390.0229999999992</v>
      </c>
      <c r="AR116" s="267">
        <f>'IS &amp; BS'!G56</f>
        <v>8445.2559999999994</v>
      </c>
      <c r="AS116" s="208">
        <f>'IS &amp; BS'!H56</f>
        <v>9331.2510000000002</v>
      </c>
      <c r="AT116" s="208">
        <f>'IS &amp; BS'!I56</f>
        <v>9976.7824966347252</v>
      </c>
      <c r="AU116" s="208">
        <f>'IS &amp; BS'!J56</f>
        <v>11082.772006029632</v>
      </c>
    </row>
    <row r="117" spans="42:47">
      <c r="AP117" s="266" t="s">
        <v>36</v>
      </c>
      <c r="AQ117" s="267">
        <f>'IS &amp; BS'!F57</f>
        <v>870.37300000000005</v>
      </c>
      <c r="AR117" s="267">
        <f>'IS &amp; BS'!G57</f>
        <v>1026.3030000000001</v>
      </c>
      <c r="AS117" s="208">
        <f>'IS &amp; BS'!H57</f>
        <v>1135.318</v>
      </c>
      <c r="AT117" s="208">
        <f>'IS &amp; BS'!I57</f>
        <v>1229.182460845763</v>
      </c>
      <c r="AU117" s="208">
        <f>'IS &amp; BS'!J57</f>
        <v>1390.0004992244012</v>
      </c>
    </row>
    <row r="118" spans="42:47">
      <c r="AP118" s="266"/>
      <c r="AQ118" s="380">
        <f>'IS &amp; BS'!F58</f>
        <v>8260.3959999999988</v>
      </c>
      <c r="AR118" s="380">
        <f>'IS &amp; BS'!G58</f>
        <v>9471.5589999999993</v>
      </c>
      <c r="AS118" s="381">
        <f>'IS &amp; BS'!H58</f>
        <v>10466.569</v>
      </c>
      <c r="AT118" s="381">
        <f>'IS &amp; BS'!I58</f>
        <v>11205.964957480488</v>
      </c>
      <c r="AU118" s="381">
        <f>'IS &amp; BS'!J58</f>
        <v>12472.772505254034</v>
      </c>
    </row>
    <row r="119" spans="42:47" ht="6" customHeight="1">
      <c r="AP119" s="266"/>
      <c r="AQ119" s="267"/>
      <c r="AR119" s="267"/>
      <c r="AS119" s="208"/>
      <c r="AT119" s="208"/>
      <c r="AU119" s="208"/>
    </row>
    <row r="120" spans="42:47">
      <c r="AP120" s="384" t="s">
        <v>2921</v>
      </c>
      <c r="AS120" s="208"/>
      <c r="AT120" s="208"/>
      <c r="AU120" s="208"/>
    </row>
    <row r="121" spans="42:47">
      <c r="AP121" s="266" t="s">
        <v>42</v>
      </c>
      <c r="AQ121" s="267">
        <f>'IS &amp; BS'!F64</f>
        <v>1232.8409999999999</v>
      </c>
      <c r="AR121" s="267">
        <f>'IS &amp; BS'!G64</f>
        <v>914.59100000000001</v>
      </c>
      <c r="AS121" s="208">
        <f>'IS &amp; BS'!H64</f>
        <v>207.84100000000001</v>
      </c>
      <c r="AT121" s="208">
        <f>'IS &amp; BS'!I64</f>
        <v>407.84100000000001</v>
      </c>
      <c r="AU121" s="208">
        <f>'IS &amp; BS'!J64</f>
        <v>407.84100000000001</v>
      </c>
    </row>
    <row r="122" spans="42:47">
      <c r="AP122" s="266" t="s">
        <v>388</v>
      </c>
      <c r="AQ122" s="267">
        <f>'IS &amp; BS'!F61+'IS &amp; BS'!F62+'IS &amp; BS'!F63+'IS &amp; BS'!F65</f>
        <v>553.16899999999998</v>
      </c>
      <c r="AR122" s="267">
        <f>'IS &amp; BS'!G61+'IS &amp; BS'!G62+'IS &amp; BS'!G63+'IS &amp; BS'!G65</f>
        <v>462.83199999999999</v>
      </c>
      <c r="AS122" s="208">
        <f>'IS &amp; BS'!H61+'IS &amp; BS'!H62+'IS &amp; BS'!H63+'IS &amp; BS'!H65</f>
        <v>510.49300000000005</v>
      </c>
      <c r="AT122" s="208">
        <f>'IS &amp; BS'!I61+'IS &amp; BS'!I62+'IS &amp; BS'!I63+'IS &amp; BS'!I65</f>
        <v>510.49300000000005</v>
      </c>
      <c r="AU122" s="208">
        <f>'IS &amp; BS'!J61+'IS &amp; BS'!J62+'IS &amp; BS'!J63+'IS &amp; BS'!J65</f>
        <v>510.49300000000005</v>
      </c>
    </row>
    <row r="123" spans="42:47">
      <c r="AP123" s="266"/>
      <c r="AQ123" s="380">
        <f>'IS &amp; BS'!F66</f>
        <v>1786.0099999999998</v>
      </c>
      <c r="AR123" s="380">
        <f>'IS &amp; BS'!G66</f>
        <v>1377.423</v>
      </c>
      <c r="AS123" s="381">
        <f>'IS &amp; BS'!H66</f>
        <v>718.33400000000006</v>
      </c>
      <c r="AT123" s="381">
        <f>'IS &amp; BS'!I66</f>
        <v>918.33400000000006</v>
      </c>
      <c r="AU123" s="381">
        <f>'IS &amp; BS'!J66</f>
        <v>918.33400000000006</v>
      </c>
    </row>
    <row r="124" spans="42:47" ht="6" customHeight="1">
      <c r="AP124" s="266"/>
      <c r="AQ124" s="267"/>
      <c r="AR124" s="267"/>
      <c r="AS124" s="208"/>
      <c r="AT124" s="208"/>
      <c r="AU124" s="208"/>
    </row>
    <row r="125" spans="42:47">
      <c r="AP125" s="379" t="s">
        <v>392</v>
      </c>
      <c r="AQ125" s="267"/>
      <c r="AR125" s="267"/>
      <c r="AS125" s="208"/>
      <c r="AT125" s="208"/>
      <c r="AU125" s="208"/>
    </row>
    <row r="126" spans="42:47">
      <c r="AP126" s="266" t="s">
        <v>44</v>
      </c>
      <c r="AQ126" s="267">
        <f>'IS &amp; BS'!F68</f>
        <v>3288.8139999999999</v>
      </c>
      <c r="AR126" s="267">
        <f>'IS &amp; BS'!G68</f>
        <v>2010.09</v>
      </c>
      <c r="AS126" s="208">
        <f>'IS &amp; BS'!H68</f>
        <v>1950.2169999999999</v>
      </c>
      <c r="AT126" s="208">
        <f>'IS &amp; BS'!I68</f>
        <v>3997.3708737548386</v>
      </c>
      <c r="AU126" s="208">
        <f>'IS &amp; BS'!J68</f>
        <v>5060.2448449197909</v>
      </c>
    </row>
    <row r="127" spans="42:47">
      <c r="AP127" s="266" t="s">
        <v>2922</v>
      </c>
      <c r="AQ127" s="267">
        <f>SUM('IS &amp; BS'!F69:F73)</f>
        <v>2732.8529999999996</v>
      </c>
      <c r="AR127" s="267">
        <f>SUM('IS &amp; BS'!G69:G73)</f>
        <v>2514.7240000000002</v>
      </c>
      <c r="AS127" s="208">
        <f>SUM('IS &amp; BS'!H69:H73)</f>
        <v>3430.3440000000001</v>
      </c>
      <c r="AT127" s="208">
        <f>SUM('IS &amp; BS'!I69:I73)</f>
        <v>3428.0135767353563</v>
      </c>
      <c r="AU127" s="208">
        <f>SUM('IS &amp; BS'!J69:J73)</f>
        <v>3734.0652618966915</v>
      </c>
    </row>
    <row r="128" spans="42:47">
      <c r="AP128" s="266"/>
      <c r="AQ128" s="380">
        <f>'IS &amp; BS'!F74</f>
        <v>6021.6670000000004</v>
      </c>
      <c r="AR128" s="380">
        <f>'IS &amp; BS'!G74</f>
        <v>4524.8140000000003</v>
      </c>
      <c r="AS128" s="381">
        <f>'IS &amp; BS'!H74</f>
        <v>5380.5609999999997</v>
      </c>
      <c r="AT128" s="381">
        <f>'IS &amp; BS'!I74</f>
        <v>7425.3844504901954</v>
      </c>
      <c r="AU128" s="381">
        <f>'IS &amp; BS'!J74</f>
        <v>8794.3101068164833</v>
      </c>
    </row>
    <row r="129" spans="42:47" ht="6" customHeight="1">
      <c r="AP129" s="266"/>
      <c r="AQ129" s="267"/>
      <c r="AR129" s="267"/>
      <c r="AS129" s="208"/>
      <c r="AT129" s="208"/>
      <c r="AU129" s="208"/>
    </row>
    <row r="130" spans="42:47" ht="15" thickBot="1">
      <c r="AP130" s="266" t="s">
        <v>395</v>
      </c>
      <c r="AQ130" s="382">
        <f>'IS &amp; BS'!F76</f>
        <v>16068.072999999999</v>
      </c>
      <c r="AR130" s="382">
        <f>'IS &amp; BS'!G76</f>
        <v>15373.795999999998</v>
      </c>
      <c r="AS130" s="383">
        <f>'IS &amp; BS'!H76</f>
        <v>16565.464</v>
      </c>
      <c r="AT130" s="383">
        <f>'IS &amp; BS'!I76</f>
        <v>19549.683407970682</v>
      </c>
      <c r="AU130" s="383">
        <f>'IS &amp; BS'!J76</f>
        <v>22185.416612070519</v>
      </c>
    </row>
    <row r="131" spans="42:47" ht="6" customHeight="1" thickTop="1">
      <c r="AP131" s="266"/>
      <c r="AQ131" s="267"/>
      <c r="AR131" s="267"/>
      <c r="AS131" s="208"/>
      <c r="AT131" s="208"/>
      <c r="AU131" s="208"/>
    </row>
    <row r="132" spans="42:47">
      <c r="AP132" s="266" t="s">
        <v>3011</v>
      </c>
      <c r="AQ132" s="267">
        <f>'IS &amp; BS'!F78</f>
        <v>61.692844720845329</v>
      </c>
      <c r="AR132" s="267">
        <f>'IS &amp; BS'!G78</f>
        <v>70.502062988949746</v>
      </c>
      <c r="AS132" s="208">
        <f>'IS &amp; BS'!H78</f>
        <v>77.898461073021394</v>
      </c>
      <c r="AT132" s="208">
        <f>'IS &amp; BS'!I78</f>
        <v>83.287439481383714</v>
      </c>
      <c r="AU132" s="208">
        <f>'IS &amp; BS'!J78</f>
        <v>92.520379496047255</v>
      </c>
    </row>
    <row r="135" spans="42:47" ht="12.9" customHeight="1"/>
    <row r="136" spans="42:47" ht="12.9" customHeight="1"/>
    <row r="137" spans="42:47" ht="12.9" customHeight="1"/>
    <row r="138" spans="42:47" ht="12.9" customHeight="1"/>
    <row r="139" spans="42:47" ht="12.9" customHeight="1"/>
    <row r="140" spans="42:47" ht="12.9" customHeight="1"/>
    <row r="141" spans="42:47" ht="12.9" customHeight="1"/>
    <row r="142" spans="42:47" ht="12.9" customHeight="1"/>
    <row r="143" spans="42:47" ht="12.9" customHeight="1"/>
    <row r="144" spans="42:47" ht="12.9" customHeight="1"/>
    <row r="145" ht="12.9" customHeight="1"/>
    <row r="146" ht="12.9" customHeight="1"/>
    <row r="147" ht="12.9" customHeight="1"/>
    <row r="148" ht="12.9" customHeight="1"/>
    <row r="149" ht="12.9" customHeight="1"/>
    <row r="150" ht="12.9" customHeight="1"/>
    <row r="151" ht="12.9" customHeight="1"/>
    <row r="152" ht="12.9" customHeight="1"/>
    <row r="153" ht="12.9" customHeight="1"/>
    <row r="154" ht="12.9" customHeight="1"/>
    <row r="155" ht="12.9" customHeight="1"/>
    <row r="156" ht="12.9" customHeight="1"/>
    <row r="157" ht="12.9" customHeight="1"/>
    <row r="158" ht="12.9" customHeight="1"/>
    <row r="159" ht="12.9" customHeight="1"/>
    <row r="160" ht="12.9" customHeight="1"/>
    <row r="161" ht="12.9" customHeight="1"/>
    <row r="162" ht="12.9" customHeight="1"/>
    <row r="163" ht="12.9" customHeight="1"/>
    <row r="164" ht="12.9" customHeight="1"/>
    <row r="165" ht="12.9" customHeight="1"/>
    <row r="166" ht="12.9" customHeight="1"/>
    <row r="167" ht="12.9" customHeight="1"/>
    <row r="168" ht="12.9" customHeight="1"/>
    <row r="169" ht="12.9" customHeight="1"/>
    <row r="170" ht="12.9" customHeight="1"/>
    <row r="171" ht="12.9" customHeight="1"/>
    <row r="172" ht="12.9" customHeight="1"/>
    <row r="173" ht="12.9" customHeight="1"/>
    <row r="174" ht="12.9" customHeight="1"/>
    <row r="175" ht="12.9" customHeight="1"/>
    <row r="176" ht="12.9" customHeight="1"/>
    <row r="177" ht="12.9" customHeight="1"/>
    <row r="178" ht="12.9" customHeight="1"/>
    <row r="179" ht="12.9" customHeight="1"/>
    <row r="180" ht="12.9" customHeight="1"/>
    <row r="181" ht="12.9" customHeight="1"/>
    <row r="182" ht="12.9" customHeight="1"/>
    <row r="183" ht="12.9" customHeight="1"/>
    <row r="184" ht="12.9" customHeight="1"/>
    <row r="185" ht="12.9" customHeight="1"/>
    <row r="186" ht="12.9" customHeight="1"/>
    <row r="187" ht="12.9" customHeight="1"/>
    <row r="188" ht="12.9" customHeight="1"/>
    <row r="189" ht="12.9" customHeight="1"/>
    <row r="190" ht="12.9" customHeight="1"/>
    <row r="191" ht="12.9" customHeight="1"/>
    <row r="192" ht="12.9" customHeight="1"/>
    <row r="208" ht="15" customHeight="1"/>
  </sheetData>
  <mergeCells count="24">
    <mergeCell ref="G31:I31"/>
    <mergeCell ref="G32:I32"/>
    <mergeCell ref="G33:I33"/>
    <mergeCell ref="B24:D24"/>
    <mergeCell ref="B25:D25"/>
    <mergeCell ref="B26:C26"/>
    <mergeCell ref="D26:E26"/>
    <mergeCell ref="G28:J28"/>
    <mergeCell ref="G34:H34"/>
    <mergeCell ref="I34:J34"/>
    <mergeCell ref="B23:D23"/>
    <mergeCell ref="B15:D15"/>
    <mergeCell ref="C9:E9"/>
    <mergeCell ref="C11:E11"/>
    <mergeCell ref="D12:E12"/>
    <mergeCell ref="D13:E13"/>
    <mergeCell ref="D14:E14"/>
    <mergeCell ref="B16:C16"/>
    <mergeCell ref="D16:E16"/>
    <mergeCell ref="B20:E20"/>
    <mergeCell ref="B21:D21"/>
    <mergeCell ref="B22:D22"/>
    <mergeCell ref="G29:I29"/>
    <mergeCell ref="G30:I30"/>
  </mergeCells>
  <conditionalFormatting sqref="AG66">
    <cfRule type="iconSet" priority="18">
      <iconSet iconSet="3Arrows">
        <cfvo type="percent" val="0"/>
        <cfvo type="percent" val="33"/>
        <cfvo type="percent" val="67"/>
      </iconSet>
    </cfRule>
  </conditionalFormatting>
  <conditionalFormatting sqref="AG67">
    <cfRule type="iconSet" priority="17">
      <iconSet iconSet="3Arrows">
        <cfvo type="percent" val="0"/>
        <cfvo type="percent" val="33"/>
        <cfvo type="percent" val="67"/>
      </iconSet>
    </cfRule>
  </conditionalFormatting>
  <conditionalFormatting sqref="AG71">
    <cfRule type="iconSet" priority="16">
      <iconSet iconSet="3Arrows">
        <cfvo type="percent" val="0"/>
        <cfvo type="percent" val="33"/>
        <cfvo type="percent" val="67"/>
      </iconSet>
    </cfRule>
  </conditionalFormatting>
  <conditionalFormatting sqref="AG72">
    <cfRule type="iconSet" priority="15">
      <iconSet iconSet="3Arrows">
        <cfvo type="percent" val="0"/>
        <cfvo type="percent" val="33"/>
        <cfvo type="percent" val="67"/>
      </iconSet>
    </cfRule>
  </conditionalFormatting>
  <conditionalFormatting sqref="Z57:Z58 Z60:Z61">
    <cfRule type="iconSet" priority="14">
      <iconSet iconSet="3Arrows">
        <cfvo type="percent" val="0"/>
        <cfvo type="percent" val="33"/>
        <cfvo type="percent" val="67"/>
      </iconSet>
    </cfRule>
  </conditionalFormatting>
  <conditionalFormatting sqref="Z59">
    <cfRule type="iconSet" priority="13">
      <iconSet iconSet="3Arrows">
        <cfvo type="percent" val="0"/>
        <cfvo type="percent" val="33"/>
        <cfvo type="percent" val="67"/>
      </iconSet>
    </cfRule>
  </conditionalFormatting>
  <conditionalFormatting sqref="W57">
    <cfRule type="iconSet" priority="12">
      <iconSet iconSet="3Arrows">
        <cfvo type="percent" val="0"/>
        <cfvo type="percent" val="33"/>
        <cfvo type="percent" val="67"/>
      </iconSet>
    </cfRule>
  </conditionalFormatting>
  <conditionalFormatting sqref="W58">
    <cfRule type="iconSet" priority="11">
      <iconSet iconSet="3Arrows">
        <cfvo type="percent" val="0"/>
        <cfvo type="percent" val="33"/>
        <cfvo type="percent" val="67"/>
      </iconSet>
    </cfRule>
  </conditionalFormatting>
  <conditionalFormatting sqref="W59">
    <cfRule type="iconSet" priority="10">
      <iconSet iconSet="3Arrows">
        <cfvo type="percent" val="0"/>
        <cfvo type="percent" val="33"/>
        <cfvo type="percent" val="67"/>
      </iconSet>
    </cfRule>
  </conditionalFormatting>
  <conditionalFormatting sqref="W60">
    <cfRule type="iconSet" priority="9">
      <iconSet iconSet="3Arrows">
        <cfvo type="percent" val="0"/>
        <cfvo type="percent" val="33"/>
        <cfvo type="percent" val="67"/>
      </iconSet>
    </cfRule>
  </conditionalFormatting>
  <conditionalFormatting sqref="W61">
    <cfRule type="iconSet" priority="8">
      <iconSet iconSet="3Arrows">
        <cfvo type="percent" val="0"/>
        <cfvo type="percent" val="33"/>
        <cfvo type="percent" val="67"/>
      </iconSet>
    </cfRule>
  </conditionalFormatting>
  <conditionalFormatting sqref="AG68">
    <cfRule type="iconSet" priority="7">
      <iconSet iconSet="3Arrows">
        <cfvo type="percent" val="0"/>
        <cfvo type="percent" val="33"/>
        <cfvo type="percent" val="67"/>
      </iconSet>
    </cfRule>
  </conditionalFormatting>
  <conditionalFormatting sqref="AG75">
    <cfRule type="iconSet" priority="6">
      <iconSet iconSet="3Arrows">
        <cfvo type="percent" val="0"/>
        <cfvo type="percent" val="33"/>
        <cfvo type="percent" val="67"/>
      </iconSet>
    </cfRule>
  </conditionalFormatting>
  <conditionalFormatting sqref="W62">
    <cfRule type="iconSet" priority="5">
      <iconSet iconSet="3Arrows">
        <cfvo type="percent" val="0"/>
        <cfvo type="percent" val="33"/>
        <cfvo type="percent" val="67"/>
      </iconSet>
    </cfRule>
  </conditionalFormatting>
  <conditionalFormatting sqref="Z62">
    <cfRule type="iconSet" priority="4">
      <iconSet iconSet="3Arrows">
        <cfvo type="percent" val="0"/>
        <cfvo type="percent" val="33"/>
        <cfvo type="percent" val="67"/>
      </iconSet>
    </cfRule>
  </conditionalFormatting>
  <conditionalFormatting sqref="AG70">
    <cfRule type="iconSet" priority="3">
      <iconSet iconSet="3Arrows">
        <cfvo type="percent" val="0"/>
        <cfvo type="percent" val="33"/>
        <cfvo type="percent" val="67"/>
      </iconSet>
    </cfRule>
  </conditionalFormatting>
  <conditionalFormatting sqref="AG74">
    <cfRule type="iconSet" priority="2">
      <iconSet iconSet="3Arrows">
        <cfvo type="percent" val="0"/>
        <cfvo type="percent" val="33"/>
        <cfvo type="percent" val="67"/>
      </iconSet>
    </cfRule>
  </conditionalFormatting>
  <conditionalFormatting sqref="AG69">
    <cfRule type="iconSet" priority="1">
      <iconSet iconSet="3Arrows">
        <cfvo type="percent" val="0"/>
        <cfvo type="percent" val="33"/>
        <cfvo type="percent" val="67"/>
      </iconSet>
    </cfRule>
  </conditionalFormatting>
  <pageMargins left="0.7" right="0.7" top="0.75" bottom="0.75" header="0.3" footer="0.3"/>
  <ignoredErrors>
    <ignoredError sqref="AQ99" formulaRange="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C000"/>
  </sheetPr>
  <dimension ref="A1:J1854"/>
  <sheetViews>
    <sheetView zoomScale="106" zoomScaleNormal="106" workbookViewId="0">
      <pane xSplit="2" ySplit="3" topLeftCell="C1837" activePane="bottomRight" state="frozen"/>
      <selection activeCell="N24" sqref="N24"/>
      <selection pane="topRight" activeCell="N24" sqref="N24"/>
      <selection pane="bottomLeft" activeCell="N24" sqref="N24"/>
      <selection pane="bottomRight" activeCell="C1849" sqref="C1849"/>
    </sheetView>
  </sheetViews>
  <sheetFormatPr defaultRowHeight="13.2" outlineLevelRow="1"/>
  <cols>
    <col min="1" max="2" width="16.44140625" style="191" customWidth="1"/>
    <col min="3" max="5" width="16.5546875" style="191" customWidth="1"/>
    <col min="6" max="7" width="16.88671875" style="191" customWidth="1"/>
    <col min="8" max="8" width="13.44140625" style="191" bestFit="1" customWidth="1"/>
    <col min="9" max="9" width="14" style="191" bestFit="1" customWidth="1"/>
    <col min="10" max="256" width="9.109375" style="191"/>
    <col min="257" max="258" width="16.44140625" style="191" customWidth="1"/>
    <col min="259" max="261" width="16.5546875" style="191" customWidth="1"/>
    <col min="262" max="265" width="16.88671875" style="191" customWidth="1"/>
    <col min="266" max="512" width="9.109375" style="191"/>
    <col min="513" max="514" width="16.44140625" style="191" customWidth="1"/>
    <col min="515" max="517" width="16.5546875" style="191" customWidth="1"/>
    <col min="518" max="521" width="16.88671875" style="191" customWidth="1"/>
    <col min="522" max="768" width="9.109375" style="191"/>
    <col min="769" max="770" width="16.44140625" style="191" customWidth="1"/>
    <col min="771" max="773" width="16.5546875" style="191" customWidth="1"/>
    <col min="774" max="777" width="16.88671875" style="191" customWidth="1"/>
    <col min="778" max="1024" width="9.109375" style="191"/>
    <col min="1025" max="1026" width="16.44140625" style="191" customWidth="1"/>
    <col min="1027" max="1029" width="16.5546875" style="191" customWidth="1"/>
    <col min="1030" max="1033" width="16.88671875" style="191" customWidth="1"/>
    <col min="1034" max="1280" width="9.109375" style="191"/>
    <col min="1281" max="1282" width="16.44140625" style="191" customWidth="1"/>
    <col min="1283" max="1285" width="16.5546875" style="191" customWidth="1"/>
    <col min="1286" max="1289" width="16.88671875" style="191" customWidth="1"/>
    <col min="1290" max="1536" width="9.109375" style="191"/>
    <col min="1537" max="1538" width="16.44140625" style="191" customWidth="1"/>
    <col min="1539" max="1541" width="16.5546875" style="191" customWidth="1"/>
    <col min="1542" max="1545" width="16.88671875" style="191" customWidth="1"/>
    <col min="1546" max="1792" width="9.109375" style="191"/>
    <col min="1793" max="1794" width="16.44140625" style="191" customWidth="1"/>
    <col min="1795" max="1797" width="16.5546875" style="191" customWidth="1"/>
    <col min="1798" max="1801" width="16.88671875" style="191" customWidth="1"/>
    <col min="1802" max="2048" width="9.109375" style="191"/>
    <col min="2049" max="2050" width="16.44140625" style="191" customWidth="1"/>
    <col min="2051" max="2053" width="16.5546875" style="191" customWidth="1"/>
    <col min="2054" max="2057" width="16.88671875" style="191" customWidth="1"/>
    <col min="2058" max="2304" width="9.109375" style="191"/>
    <col min="2305" max="2306" width="16.44140625" style="191" customWidth="1"/>
    <col min="2307" max="2309" width="16.5546875" style="191" customWidth="1"/>
    <col min="2310" max="2313" width="16.88671875" style="191" customWidth="1"/>
    <col min="2314" max="2560" width="9.109375" style="191"/>
    <col min="2561" max="2562" width="16.44140625" style="191" customWidth="1"/>
    <col min="2563" max="2565" width="16.5546875" style="191" customWidth="1"/>
    <col min="2566" max="2569" width="16.88671875" style="191" customWidth="1"/>
    <col min="2570" max="2816" width="9.109375" style="191"/>
    <col min="2817" max="2818" width="16.44140625" style="191" customWidth="1"/>
    <col min="2819" max="2821" width="16.5546875" style="191" customWidth="1"/>
    <col min="2822" max="2825" width="16.88671875" style="191" customWidth="1"/>
    <col min="2826" max="3072" width="9.109375" style="191"/>
    <col min="3073" max="3074" width="16.44140625" style="191" customWidth="1"/>
    <col min="3075" max="3077" width="16.5546875" style="191" customWidth="1"/>
    <col min="3078" max="3081" width="16.88671875" style="191" customWidth="1"/>
    <col min="3082" max="3328" width="9.109375" style="191"/>
    <col min="3329" max="3330" width="16.44140625" style="191" customWidth="1"/>
    <col min="3331" max="3333" width="16.5546875" style="191" customWidth="1"/>
    <col min="3334" max="3337" width="16.88671875" style="191" customWidth="1"/>
    <col min="3338" max="3584" width="9.109375" style="191"/>
    <col min="3585" max="3586" width="16.44140625" style="191" customWidth="1"/>
    <col min="3587" max="3589" width="16.5546875" style="191" customWidth="1"/>
    <col min="3590" max="3593" width="16.88671875" style="191" customWidth="1"/>
    <col min="3594" max="3840" width="9.109375" style="191"/>
    <col min="3841" max="3842" width="16.44140625" style="191" customWidth="1"/>
    <col min="3843" max="3845" width="16.5546875" style="191" customWidth="1"/>
    <col min="3846" max="3849" width="16.88671875" style="191" customWidth="1"/>
    <col min="3850" max="4096" width="9.109375" style="191"/>
    <col min="4097" max="4098" width="16.44140625" style="191" customWidth="1"/>
    <col min="4099" max="4101" width="16.5546875" style="191" customWidth="1"/>
    <col min="4102" max="4105" width="16.88671875" style="191" customWidth="1"/>
    <col min="4106" max="4352" width="9.109375" style="191"/>
    <col min="4353" max="4354" width="16.44140625" style="191" customWidth="1"/>
    <col min="4355" max="4357" width="16.5546875" style="191" customWidth="1"/>
    <col min="4358" max="4361" width="16.88671875" style="191" customWidth="1"/>
    <col min="4362" max="4608" width="9.109375" style="191"/>
    <col min="4609" max="4610" width="16.44140625" style="191" customWidth="1"/>
    <col min="4611" max="4613" width="16.5546875" style="191" customWidth="1"/>
    <col min="4614" max="4617" width="16.88671875" style="191" customWidth="1"/>
    <col min="4618" max="4864" width="9.109375" style="191"/>
    <col min="4865" max="4866" width="16.44140625" style="191" customWidth="1"/>
    <col min="4867" max="4869" width="16.5546875" style="191" customWidth="1"/>
    <col min="4870" max="4873" width="16.88671875" style="191" customWidth="1"/>
    <col min="4874" max="5120" width="9.109375" style="191"/>
    <col min="5121" max="5122" width="16.44140625" style="191" customWidth="1"/>
    <col min="5123" max="5125" width="16.5546875" style="191" customWidth="1"/>
    <col min="5126" max="5129" width="16.88671875" style="191" customWidth="1"/>
    <col min="5130" max="5376" width="9.109375" style="191"/>
    <col min="5377" max="5378" width="16.44140625" style="191" customWidth="1"/>
    <col min="5379" max="5381" width="16.5546875" style="191" customWidth="1"/>
    <col min="5382" max="5385" width="16.88671875" style="191" customWidth="1"/>
    <col min="5386" max="5632" width="9.109375" style="191"/>
    <col min="5633" max="5634" width="16.44140625" style="191" customWidth="1"/>
    <col min="5635" max="5637" width="16.5546875" style="191" customWidth="1"/>
    <col min="5638" max="5641" width="16.88671875" style="191" customWidth="1"/>
    <col min="5642" max="5888" width="9.109375" style="191"/>
    <col min="5889" max="5890" width="16.44140625" style="191" customWidth="1"/>
    <col min="5891" max="5893" width="16.5546875" style="191" customWidth="1"/>
    <col min="5894" max="5897" width="16.88671875" style="191" customWidth="1"/>
    <col min="5898" max="6144" width="9.109375" style="191"/>
    <col min="6145" max="6146" width="16.44140625" style="191" customWidth="1"/>
    <col min="6147" max="6149" width="16.5546875" style="191" customWidth="1"/>
    <col min="6150" max="6153" width="16.88671875" style="191" customWidth="1"/>
    <col min="6154" max="6400" width="9.109375" style="191"/>
    <col min="6401" max="6402" width="16.44140625" style="191" customWidth="1"/>
    <col min="6403" max="6405" width="16.5546875" style="191" customWidth="1"/>
    <col min="6406" max="6409" width="16.88671875" style="191" customWidth="1"/>
    <col min="6410" max="6656" width="9.109375" style="191"/>
    <col min="6657" max="6658" width="16.44140625" style="191" customWidth="1"/>
    <col min="6659" max="6661" width="16.5546875" style="191" customWidth="1"/>
    <col min="6662" max="6665" width="16.88671875" style="191" customWidth="1"/>
    <col min="6666" max="6912" width="9.109375" style="191"/>
    <col min="6913" max="6914" width="16.44140625" style="191" customWidth="1"/>
    <col min="6915" max="6917" width="16.5546875" style="191" customWidth="1"/>
    <col min="6918" max="6921" width="16.88671875" style="191" customWidth="1"/>
    <col min="6922" max="7168" width="9.109375" style="191"/>
    <col min="7169" max="7170" width="16.44140625" style="191" customWidth="1"/>
    <col min="7171" max="7173" width="16.5546875" style="191" customWidth="1"/>
    <col min="7174" max="7177" width="16.88671875" style="191" customWidth="1"/>
    <col min="7178" max="7424" width="9.109375" style="191"/>
    <col min="7425" max="7426" width="16.44140625" style="191" customWidth="1"/>
    <col min="7427" max="7429" width="16.5546875" style="191" customWidth="1"/>
    <col min="7430" max="7433" width="16.88671875" style="191" customWidth="1"/>
    <col min="7434" max="7680" width="9.109375" style="191"/>
    <col min="7681" max="7682" width="16.44140625" style="191" customWidth="1"/>
    <col min="7683" max="7685" width="16.5546875" style="191" customWidth="1"/>
    <col min="7686" max="7689" width="16.88671875" style="191" customWidth="1"/>
    <col min="7690" max="7936" width="9.109375" style="191"/>
    <col min="7937" max="7938" width="16.44140625" style="191" customWidth="1"/>
    <col min="7939" max="7941" width="16.5546875" style="191" customWidth="1"/>
    <col min="7942" max="7945" width="16.88671875" style="191" customWidth="1"/>
    <col min="7946" max="8192" width="9.109375" style="191"/>
    <col min="8193" max="8194" width="16.44140625" style="191" customWidth="1"/>
    <col min="8195" max="8197" width="16.5546875" style="191" customWidth="1"/>
    <col min="8198" max="8201" width="16.88671875" style="191" customWidth="1"/>
    <col min="8202" max="8448" width="9.109375" style="191"/>
    <col min="8449" max="8450" width="16.44140625" style="191" customWidth="1"/>
    <col min="8451" max="8453" width="16.5546875" style="191" customWidth="1"/>
    <col min="8454" max="8457" width="16.88671875" style="191" customWidth="1"/>
    <col min="8458" max="8704" width="9.109375" style="191"/>
    <col min="8705" max="8706" width="16.44140625" style="191" customWidth="1"/>
    <col min="8707" max="8709" width="16.5546875" style="191" customWidth="1"/>
    <col min="8710" max="8713" width="16.88671875" style="191" customWidth="1"/>
    <col min="8714" max="8960" width="9.109375" style="191"/>
    <col min="8961" max="8962" width="16.44140625" style="191" customWidth="1"/>
    <col min="8963" max="8965" width="16.5546875" style="191" customWidth="1"/>
    <col min="8966" max="8969" width="16.88671875" style="191" customWidth="1"/>
    <col min="8970" max="9216" width="9.109375" style="191"/>
    <col min="9217" max="9218" width="16.44140625" style="191" customWidth="1"/>
    <col min="9219" max="9221" width="16.5546875" style="191" customWidth="1"/>
    <col min="9222" max="9225" width="16.88671875" style="191" customWidth="1"/>
    <col min="9226" max="9472" width="9.109375" style="191"/>
    <col min="9473" max="9474" width="16.44140625" style="191" customWidth="1"/>
    <col min="9475" max="9477" width="16.5546875" style="191" customWidth="1"/>
    <col min="9478" max="9481" width="16.88671875" style="191" customWidth="1"/>
    <col min="9482" max="9728" width="9.109375" style="191"/>
    <col min="9729" max="9730" width="16.44140625" style="191" customWidth="1"/>
    <col min="9731" max="9733" width="16.5546875" style="191" customWidth="1"/>
    <col min="9734" max="9737" width="16.88671875" style="191" customWidth="1"/>
    <col min="9738" max="9984" width="9.109375" style="191"/>
    <col min="9985" max="9986" width="16.44140625" style="191" customWidth="1"/>
    <col min="9987" max="9989" width="16.5546875" style="191" customWidth="1"/>
    <col min="9990" max="9993" width="16.88671875" style="191" customWidth="1"/>
    <col min="9994" max="10240" width="9.109375" style="191"/>
    <col min="10241" max="10242" width="16.44140625" style="191" customWidth="1"/>
    <col min="10243" max="10245" width="16.5546875" style="191" customWidth="1"/>
    <col min="10246" max="10249" width="16.88671875" style="191" customWidth="1"/>
    <col min="10250" max="10496" width="9.109375" style="191"/>
    <col min="10497" max="10498" width="16.44140625" style="191" customWidth="1"/>
    <col min="10499" max="10501" width="16.5546875" style="191" customWidth="1"/>
    <col min="10502" max="10505" width="16.88671875" style="191" customWidth="1"/>
    <col min="10506" max="10752" width="9.109375" style="191"/>
    <col min="10753" max="10754" width="16.44140625" style="191" customWidth="1"/>
    <col min="10755" max="10757" width="16.5546875" style="191" customWidth="1"/>
    <col min="10758" max="10761" width="16.88671875" style="191" customWidth="1"/>
    <col min="10762" max="11008" width="9.109375" style="191"/>
    <col min="11009" max="11010" width="16.44140625" style="191" customWidth="1"/>
    <col min="11011" max="11013" width="16.5546875" style="191" customWidth="1"/>
    <col min="11014" max="11017" width="16.88671875" style="191" customWidth="1"/>
    <col min="11018" max="11264" width="9.109375" style="191"/>
    <col min="11265" max="11266" width="16.44140625" style="191" customWidth="1"/>
    <col min="11267" max="11269" width="16.5546875" style="191" customWidth="1"/>
    <col min="11270" max="11273" width="16.88671875" style="191" customWidth="1"/>
    <col min="11274" max="11520" width="9.109375" style="191"/>
    <col min="11521" max="11522" width="16.44140625" style="191" customWidth="1"/>
    <col min="11523" max="11525" width="16.5546875" style="191" customWidth="1"/>
    <col min="11526" max="11529" width="16.88671875" style="191" customWidth="1"/>
    <col min="11530" max="11776" width="9.109375" style="191"/>
    <col min="11777" max="11778" width="16.44140625" style="191" customWidth="1"/>
    <col min="11779" max="11781" width="16.5546875" style="191" customWidth="1"/>
    <col min="11782" max="11785" width="16.88671875" style="191" customWidth="1"/>
    <col min="11786" max="12032" width="9.109375" style="191"/>
    <col min="12033" max="12034" width="16.44140625" style="191" customWidth="1"/>
    <col min="12035" max="12037" width="16.5546875" style="191" customWidth="1"/>
    <col min="12038" max="12041" width="16.88671875" style="191" customWidth="1"/>
    <col min="12042" max="12288" width="9.109375" style="191"/>
    <col min="12289" max="12290" width="16.44140625" style="191" customWidth="1"/>
    <col min="12291" max="12293" width="16.5546875" style="191" customWidth="1"/>
    <col min="12294" max="12297" width="16.88671875" style="191" customWidth="1"/>
    <col min="12298" max="12544" width="9.109375" style="191"/>
    <col min="12545" max="12546" width="16.44140625" style="191" customWidth="1"/>
    <col min="12547" max="12549" width="16.5546875" style="191" customWidth="1"/>
    <col min="12550" max="12553" width="16.88671875" style="191" customWidth="1"/>
    <col min="12554" max="12800" width="9.109375" style="191"/>
    <col min="12801" max="12802" width="16.44140625" style="191" customWidth="1"/>
    <col min="12803" max="12805" width="16.5546875" style="191" customWidth="1"/>
    <col min="12806" max="12809" width="16.88671875" style="191" customWidth="1"/>
    <col min="12810" max="13056" width="9.109375" style="191"/>
    <col min="13057" max="13058" width="16.44140625" style="191" customWidth="1"/>
    <col min="13059" max="13061" width="16.5546875" style="191" customWidth="1"/>
    <col min="13062" max="13065" width="16.88671875" style="191" customWidth="1"/>
    <col min="13066" max="13312" width="9.109375" style="191"/>
    <col min="13313" max="13314" width="16.44140625" style="191" customWidth="1"/>
    <col min="13315" max="13317" width="16.5546875" style="191" customWidth="1"/>
    <col min="13318" max="13321" width="16.88671875" style="191" customWidth="1"/>
    <col min="13322" max="13568" width="9.109375" style="191"/>
    <col min="13569" max="13570" width="16.44140625" style="191" customWidth="1"/>
    <col min="13571" max="13573" width="16.5546875" style="191" customWidth="1"/>
    <col min="13574" max="13577" width="16.88671875" style="191" customWidth="1"/>
    <col min="13578" max="13824" width="9.109375" style="191"/>
    <col min="13825" max="13826" width="16.44140625" style="191" customWidth="1"/>
    <col min="13827" max="13829" width="16.5546875" style="191" customWidth="1"/>
    <col min="13830" max="13833" width="16.88671875" style="191" customWidth="1"/>
    <col min="13834" max="14080" width="9.109375" style="191"/>
    <col min="14081" max="14082" width="16.44140625" style="191" customWidth="1"/>
    <col min="14083" max="14085" width="16.5546875" style="191" customWidth="1"/>
    <col min="14086" max="14089" width="16.88671875" style="191" customWidth="1"/>
    <col min="14090" max="14336" width="9.109375" style="191"/>
    <col min="14337" max="14338" width="16.44140625" style="191" customWidth="1"/>
    <col min="14339" max="14341" width="16.5546875" style="191" customWidth="1"/>
    <col min="14342" max="14345" width="16.88671875" style="191" customWidth="1"/>
    <col min="14346" max="14592" width="9.109375" style="191"/>
    <col min="14593" max="14594" width="16.44140625" style="191" customWidth="1"/>
    <col min="14595" max="14597" width="16.5546875" style="191" customWidth="1"/>
    <col min="14598" max="14601" width="16.88671875" style="191" customWidth="1"/>
    <col min="14602" max="14848" width="9.109375" style="191"/>
    <col min="14849" max="14850" width="16.44140625" style="191" customWidth="1"/>
    <col min="14851" max="14853" width="16.5546875" style="191" customWidth="1"/>
    <col min="14854" max="14857" width="16.88671875" style="191" customWidth="1"/>
    <col min="14858" max="15104" width="9.109375" style="191"/>
    <col min="15105" max="15106" width="16.44140625" style="191" customWidth="1"/>
    <col min="15107" max="15109" width="16.5546875" style="191" customWidth="1"/>
    <col min="15110" max="15113" width="16.88671875" style="191" customWidth="1"/>
    <col min="15114" max="15360" width="9.109375" style="191"/>
    <col min="15361" max="15362" width="16.44140625" style="191" customWidth="1"/>
    <col min="15363" max="15365" width="16.5546875" style="191" customWidth="1"/>
    <col min="15366" max="15369" width="16.88671875" style="191" customWidth="1"/>
    <col min="15370" max="15616" width="9.109375" style="191"/>
    <col min="15617" max="15618" width="16.44140625" style="191" customWidth="1"/>
    <col min="15619" max="15621" width="16.5546875" style="191" customWidth="1"/>
    <col min="15622" max="15625" width="16.88671875" style="191" customWidth="1"/>
    <col min="15626" max="15872" width="9.109375" style="191"/>
    <col min="15873" max="15874" width="16.44140625" style="191" customWidth="1"/>
    <col min="15875" max="15877" width="16.5546875" style="191" customWidth="1"/>
    <col min="15878" max="15881" width="16.88671875" style="191" customWidth="1"/>
    <col min="15882" max="16128" width="9.109375" style="191"/>
    <col min="16129" max="16130" width="16.44140625" style="191" customWidth="1"/>
    <col min="16131" max="16133" width="16.5546875" style="191" customWidth="1"/>
    <col min="16134" max="16137" width="16.88671875" style="191" customWidth="1"/>
    <col min="16138" max="16384" width="9.109375" style="191"/>
  </cols>
  <sheetData>
    <row r="1" spans="1:10" ht="16.8">
      <c r="A1" s="685" t="s">
        <v>461</v>
      </c>
      <c r="B1" s="686"/>
      <c r="C1" s="686"/>
      <c r="D1" s="686"/>
      <c r="E1" s="686"/>
      <c r="F1" s="686"/>
      <c r="G1" s="686"/>
      <c r="H1" s="686"/>
      <c r="I1" s="686"/>
    </row>
    <row r="3" spans="1:10" ht="14.4">
      <c r="A3" s="195" t="s">
        <v>462</v>
      </c>
      <c r="B3" s="195" t="s">
        <v>124</v>
      </c>
      <c r="C3" s="195" t="s">
        <v>463</v>
      </c>
      <c r="D3" s="195" t="s">
        <v>464</v>
      </c>
      <c r="E3" s="195" t="s">
        <v>465</v>
      </c>
      <c r="F3" s="195" t="s">
        <v>466</v>
      </c>
      <c r="G3" s="195" t="s">
        <v>2379</v>
      </c>
      <c r="H3" s="195" t="s">
        <v>2380</v>
      </c>
      <c r="I3" s="195" t="s">
        <v>467</v>
      </c>
      <c r="J3" s="196"/>
    </row>
    <row r="4" spans="1:10" ht="14.4">
      <c r="A4" s="195"/>
      <c r="B4" s="195"/>
      <c r="C4" s="195"/>
      <c r="D4" s="195"/>
      <c r="E4" s="195"/>
      <c r="F4" s="195"/>
      <c r="G4" s="195"/>
      <c r="H4" s="195"/>
      <c r="I4" s="195"/>
      <c r="J4" s="196"/>
    </row>
    <row r="5" spans="1:10" s="200" customFormat="1" ht="14.4" hidden="1" outlineLevel="1">
      <c r="A5" s="198" t="s">
        <v>351</v>
      </c>
      <c r="B5" s="199">
        <v>40269</v>
      </c>
      <c r="C5" s="198" t="s">
        <v>2365</v>
      </c>
      <c r="D5" s="198">
        <v>75.75</v>
      </c>
      <c r="E5" s="198" t="s">
        <v>980</v>
      </c>
      <c r="F5" s="198">
        <v>75</v>
      </c>
      <c r="G5" s="198">
        <f t="shared" ref="G5:G68" si="0">F5/2</f>
        <v>37.5</v>
      </c>
      <c r="H5" s="198">
        <v>62600</v>
      </c>
      <c r="I5" s="198" t="s">
        <v>2366</v>
      </c>
      <c r="J5" s="198">
        <f>AVERAGE(G5:G243)</f>
        <v>44.182635983263609</v>
      </c>
    </row>
    <row r="6" spans="1:10" customFormat="1" ht="14.4" hidden="1" outlineLevel="1">
      <c r="A6" s="196" t="s">
        <v>351</v>
      </c>
      <c r="B6" s="197">
        <v>40273</v>
      </c>
      <c r="C6" s="196" t="s">
        <v>1045</v>
      </c>
      <c r="D6" s="196">
        <v>77.5</v>
      </c>
      <c r="E6" s="196" t="s">
        <v>972</v>
      </c>
      <c r="F6" s="196">
        <v>77.25</v>
      </c>
      <c r="G6" s="196">
        <f t="shared" si="0"/>
        <v>38.625</v>
      </c>
      <c r="H6" s="196">
        <v>900</v>
      </c>
      <c r="I6" s="196" t="s">
        <v>2364</v>
      </c>
      <c r="J6" s="196"/>
    </row>
    <row r="7" spans="1:10" customFormat="1" ht="14.4" hidden="1" outlineLevel="1">
      <c r="A7" s="196" t="s">
        <v>351</v>
      </c>
      <c r="B7" s="197">
        <v>40274</v>
      </c>
      <c r="C7" s="196" t="s">
        <v>974</v>
      </c>
      <c r="D7" s="196">
        <v>81</v>
      </c>
      <c r="E7" s="196" t="s">
        <v>974</v>
      </c>
      <c r="F7" s="196">
        <v>80</v>
      </c>
      <c r="G7" s="196">
        <f t="shared" si="0"/>
        <v>40</v>
      </c>
      <c r="H7" s="196">
        <v>84200</v>
      </c>
      <c r="I7" s="196" t="s">
        <v>2363</v>
      </c>
      <c r="J7" s="196"/>
    </row>
    <row r="8" spans="1:10" customFormat="1" ht="14.4" hidden="1" outlineLevel="1">
      <c r="A8" s="196" t="s">
        <v>351</v>
      </c>
      <c r="B8" s="197">
        <v>40275</v>
      </c>
      <c r="C8" s="196" t="s">
        <v>952</v>
      </c>
      <c r="D8" s="196">
        <v>82</v>
      </c>
      <c r="E8" s="196" t="s">
        <v>1010</v>
      </c>
      <c r="F8" s="196">
        <v>81</v>
      </c>
      <c r="G8" s="196">
        <f t="shared" si="0"/>
        <v>40.5</v>
      </c>
      <c r="H8" s="196">
        <v>71800</v>
      </c>
      <c r="I8" s="196" t="s">
        <v>2362</v>
      </c>
      <c r="J8" s="196"/>
    </row>
    <row r="9" spans="1:10" customFormat="1" ht="14.4" hidden="1" outlineLevel="1">
      <c r="A9" s="196" t="s">
        <v>351</v>
      </c>
      <c r="B9" s="197">
        <v>40276</v>
      </c>
      <c r="C9" s="196" t="s">
        <v>1007</v>
      </c>
      <c r="D9" s="196">
        <v>83.25</v>
      </c>
      <c r="E9" s="196" t="s">
        <v>952</v>
      </c>
      <c r="F9" s="196">
        <v>83</v>
      </c>
      <c r="G9" s="196">
        <f t="shared" si="0"/>
        <v>41.5</v>
      </c>
      <c r="H9" s="196">
        <v>126300</v>
      </c>
      <c r="I9" s="196" t="s">
        <v>2361</v>
      </c>
      <c r="J9" s="196"/>
    </row>
    <row r="10" spans="1:10" customFormat="1" ht="14.4" hidden="1" outlineLevel="1">
      <c r="A10" s="196" t="s">
        <v>351</v>
      </c>
      <c r="B10" s="197">
        <v>40280</v>
      </c>
      <c r="C10" s="196" t="s">
        <v>2164</v>
      </c>
      <c r="D10" s="196">
        <v>84</v>
      </c>
      <c r="E10" s="196" t="s">
        <v>2164</v>
      </c>
      <c r="F10" s="196">
        <v>84</v>
      </c>
      <c r="G10" s="196">
        <f t="shared" si="0"/>
        <v>42</v>
      </c>
      <c r="H10" s="196">
        <v>43600</v>
      </c>
      <c r="I10" s="196" t="s">
        <v>2360</v>
      </c>
      <c r="J10" s="196"/>
    </row>
    <row r="11" spans="1:10" customFormat="1" ht="14.4" hidden="1" outlineLevel="1">
      <c r="A11" s="196" t="s">
        <v>351</v>
      </c>
      <c r="B11" s="197">
        <v>40283</v>
      </c>
      <c r="C11" s="196" t="s">
        <v>2358</v>
      </c>
      <c r="D11" s="196">
        <v>84.25</v>
      </c>
      <c r="E11" s="196" t="s">
        <v>2358</v>
      </c>
      <c r="F11" s="196">
        <v>84</v>
      </c>
      <c r="G11" s="196">
        <f t="shared" si="0"/>
        <v>42</v>
      </c>
      <c r="H11" s="196">
        <v>55700</v>
      </c>
      <c r="I11" s="196" t="s">
        <v>2359</v>
      </c>
      <c r="J11" s="196"/>
    </row>
    <row r="12" spans="1:10" customFormat="1" ht="14.4" hidden="1" outlineLevel="1">
      <c r="A12" s="196" t="s">
        <v>351</v>
      </c>
      <c r="B12" s="197">
        <v>40284</v>
      </c>
      <c r="C12" s="196" t="s">
        <v>947</v>
      </c>
      <c r="D12" s="196">
        <v>84</v>
      </c>
      <c r="E12" s="196" t="s">
        <v>1019</v>
      </c>
      <c r="F12" s="196">
        <v>82.5</v>
      </c>
      <c r="G12" s="196">
        <f t="shared" si="0"/>
        <v>41.25</v>
      </c>
      <c r="H12" s="196">
        <v>4100</v>
      </c>
      <c r="I12" s="196" t="s">
        <v>2357</v>
      </c>
      <c r="J12" s="196"/>
    </row>
    <row r="13" spans="1:10" customFormat="1" ht="14.4" hidden="1" outlineLevel="1">
      <c r="A13" s="196" t="s">
        <v>351</v>
      </c>
      <c r="B13" s="197">
        <v>40287</v>
      </c>
      <c r="C13" s="196" t="s">
        <v>1019</v>
      </c>
      <c r="D13" s="196">
        <v>84</v>
      </c>
      <c r="E13" s="196" t="s">
        <v>2355</v>
      </c>
      <c r="F13" s="196">
        <v>83.75</v>
      </c>
      <c r="G13" s="196">
        <f t="shared" si="0"/>
        <v>41.875</v>
      </c>
      <c r="H13" s="196">
        <v>105900</v>
      </c>
      <c r="I13" s="196" t="s">
        <v>2356</v>
      </c>
      <c r="J13" s="196"/>
    </row>
    <row r="14" spans="1:10" customFormat="1" ht="14.4" hidden="1" outlineLevel="1">
      <c r="A14" s="196" t="s">
        <v>351</v>
      </c>
      <c r="B14" s="197">
        <v>40288</v>
      </c>
      <c r="C14" s="196" t="s">
        <v>1019</v>
      </c>
      <c r="D14" s="196">
        <v>83</v>
      </c>
      <c r="E14" s="196" t="s">
        <v>1007</v>
      </c>
      <c r="F14" s="196">
        <v>82.5</v>
      </c>
      <c r="G14" s="196">
        <f t="shared" si="0"/>
        <v>41.25</v>
      </c>
      <c r="H14" s="196">
        <v>10200</v>
      </c>
      <c r="I14" s="196" t="s">
        <v>2354</v>
      </c>
      <c r="J14" s="196"/>
    </row>
    <row r="15" spans="1:10" ht="14.4" hidden="1" outlineLevel="1">
      <c r="A15" s="196" t="s">
        <v>351</v>
      </c>
      <c r="B15" s="197">
        <v>40289</v>
      </c>
      <c r="C15" s="196" t="s">
        <v>2177</v>
      </c>
      <c r="D15" s="196">
        <v>82.25</v>
      </c>
      <c r="E15" s="196" t="s">
        <v>2177</v>
      </c>
      <c r="F15" s="196">
        <v>82</v>
      </c>
      <c r="G15" s="196">
        <f t="shared" si="0"/>
        <v>41</v>
      </c>
      <c r="H15" s="196">
        <v>27500</v>
      </c>
      <c r="I15" s="196" t="s">
        <v>2353</v>
      </c>
      <c r="J15" s="196"/>
    </row>
    <row r="16" spans="1:10" ht="14.4" hidden="1" outlineLevel="1">
      <c r="A16" s="196" t="s">
        <v>351</v>
      </c>
      <c r="B16" s="197">
        <v>40290</v>
      </c>
      <c r="C16" s="196" t="s">
        <v>1019</v>
      </c>
      <c r="D16" s="196">
        <v>82.5</v>
      </c>
      <c r="E16" s="196" t="s">
        <v>950</v>
      </c>
      <c r="F16" s="196">
        <v>80</v>
      </c>
      <c r="G16" s="196">
        <f t="shared" si="0"/>
        <v>40</v>
      </c>
      <c r="H16" s="196">
        <v>40200</v>
      </c>
      <c r="I16" s="196" t="s">
        <v>2352</v>
      </c>
      <c r="J16" s="196"/>
    </row>
    <row r="17" spans="1:10" ht="14.4" hidden="1" outlineLevel="1">
      <c r="A17" s="196" t="s">
        <v>351</v>
      </c>
      <c r="B17" s="197">
        <v>40291</v>
      </c>
      <c r="C17" s="196" t="s">
        <v>950</v>
      </c>
      <c r="D17" s="196">
        <v>84</v>
      </c>
      <c r="E17" s="196" t="s">
        <v>950</v>
      </c>
      <c r="F17" s="196">
        <v>83.5</v>
      </c>
      <c r="G17" s="196">
        <f t="shared" si="0"/>
        <v>41.75</v>
      </c>
      <c r="H17" s="196">
        <v>133600</v>
      </c>
      <c r="I17" s="196" t="s">
        <v>2351</v>
      </c>
      <c r="J17" s="196"/>
    </row>
    <row r="18" spans="1:10" ht="14.4" hidden="1" outlineLevel="1">
      <c r="A18" s="196" t="s">
        <v>351</v>
      </c>
      <c r="B18" s="197">
        <v>40294</v>
      </c>
      <c r="C18" s="196" t="s">
        <v>1013</v>
      </c>
      <c r="D18" s="196">
        <v>83</v>
      </c>
      <c r="E18" s="196" t="s">
        <v>2341</v>
      </c>
      <c r="F18" s="196">
        <v>80.75</v>
      </c>
      <c r="G18" s="196">
        <f t="shared" si="0"/>
        <v>40.375</v>
      </c>
      <c r="H18" s="196">
        <v>23100</v>
      </c>
      <c r="I18" s="196" t="s">
        <v>2350</v>
      </c>
      <c r="J18" s="196"/>
    </row>
    <row r="19" spans="1:10" ht="14.4" hidden="1" outlineLevel="1">
      <c r="A19" s="196" t="s">
        <v>351</v>
      </c>
      <c r="B19" s="197">
        <v>40295</v>
      </c>
      <c r="C19" s="196" t="s">
        <v>952</v>
      </c>
      <c r="D19" s="196">
        <v>81.5</v>
      </c>
      <c r="E19" s="196" t="s">
        <v>1010</v>
      </c>
      <c r="F19" s="196">
        <v>81</v>
      </c>
      <c r="G19" s="196">
        <f t="shared" si="0"/>
        <v>40.5</v>
      </c>
      <c r="H19" s="196">
        <v>10500</v>
      </c>
      <c r="I19" s="196" t="s">
        <v>2349</v>
      </c>
      <c r="J19" s="196"/>
    </row>
    <row r="20" spans="1:10" ht="14.4" hidden="1" outlineLevel="1">
      <c r="A20" s="196" t="s">
        <v>351</v>
      </c>
      <c r="B20" s="197">
        <v>40297</v>
      </c>
      <c r="C20" s="196" t="s">
        <v>2345</v>
      </c>
      <c r="D20" s="196">
        <v>81.25</v>
      </c>
      <c r="E20" s="196" t="s">
        <v>952</v>
      </c>
      <c r="F20" s="196">
        <v>81</v>
      </c>
      <c r="G20" s="196">
        <f t="shared" si="0"/>
        <v>40.5</v>
      </c>
      <c r="H20" s="196">
        <v>15700</v>
      </c>
      <c r="I20" s="196" t="s">
        <v>2348</v>
      </c>
      <c r="J20" s="196"/>
    </row>
    <row r="21" spans="1:10" ht="14.4" hidden="1" outlineLevel="1">
      <c r="A21" s="196" t="s">
        <v>351</v>
      </c>
      <c r="B21" s="197">
        <v>40298</v>
      </c>
      <c r="C21" s="196" t="s">
        <v>952</v>
      </c>
      <c r="D21" s="196">
        <v>82.25</v>
      </c>
      <c r="E21" s="196" t="s">
        <v>952</v>
      </c>
      <c r="F21" s="196">
        <v>81</v>
      </c>
      <c r="G21" s="196">
        <f t="shared" si="0"/>
        <v>40.5</v>
      </c>
      <c r="H21" s="196">
        <v>35100</v>
      </c>
      <c r="I21" s="196" t="s">
        <v>2347</v>
      </c>
      <c r="J21" s="196"/>
    </row>
    <row r="22" spans="1:10" ht="14.4" hidden="1" outlineLevel="1">
      <c r="A22" s="196" t="s">
        <v>351</v>
      </c>
      <c r="B22" s="197">
        <v>40301</v>
      </c>
      <c r="C22" s="196" t="s">
        <v>1007</v>
      </c>
      <c r="D22" s="196">
        <v>82.25</v>
      </c>
      <c r="E22" s="196" t="s">
        <v>2345</v>
      </c>
      <c r="F22" s="196">
        <v>82</v>
      </c>
      <c r="G22" s="196">
        <f t="shared" si="0"/>
        <v>41</v>
      </c>
      <c r="H22" s="196">
        <v>8300</v>
      </c>
      <c r="I22" s="196" t="s">
        <v>2346</v>
      </c>
      <c r="J22" s="196"/>
    </row>
    <row r="23" spans="1:10" ht="14.4" hidden="1" outlineLevel="1">
      <c r="A23" s="196" t="s">
        <v>351</v>
      </c>
      <c r="B23" s="197">
        <v>40302</v>
      </c>
      <c r="C23" s="196" t="s">
        <v>952</v>
      </c>
      <c r="D23" s="196">
        <v>81</v>
      </c>
      <c r="E23" s="196" t="s">
        <v>952</v>
      </c>
      <c r="F23" s="196">
        <v>81</v>
      </c>
      <c r="G23" s="196">
        <f t="shared" si="0"/>
        <v>40.5</v>
      </c>
      <c r="H23" s="196">
        <v>2600</v>
      </c>
      <c r="I23" s="196" t="s">
        <v>2344</v>
      </c>
      <c r="J23" s="196"/>
    </row>
    <row r="24" spans="1:10" ht="14.4" hidden="1" outlineLevel="1">
      <c r="A24" s="196" t="s">
        <v>351</v>
      </c>
      <c r="B24" s="197">
        <v>40303</v>
      </c>
      <c r="C24" s="196" t="s">
        <v>1010</v>
      </c>
      <c r="D24" s="196">
        <v>81</v>
      </c>
      <c r="E24" s="196" t="s">
        <v>950</v>
      </c>
      <c r="F24" s="196">
        <v>80.25</v>
      </c>
      <c r="G24" s="196">
        <f t="shared" si="0"/>
        <v>40.125</v>
      </c>
      <c r="H24" s="196">
        <v>20700</v>
      </c>
      <c r="I24" s="196" t="s">
        <v>2343</v>
      </c>
      <c r="J24" s="196"/>
    </row>
    <row r="25" spans="1:10" ht="14.4" hidden="1" outlineLevel="1">
      <c r="A25" s="196" t="s">
        <v>351</v>
      </c>
      <c r="B25" s="197">
        <v>40304</v>
      </c>
      <c r="C25" s="196" t="s">
        <v>2341</v>
      </c>
      <c r="D25" s="196">
        <v>81</v>
      </c>
      <c r="E25" s="196" t="s">
        <v>1001</v>
      </c>
      <c r="F25" s="196">
        <v>81</v>
      </c>
      <c r="G25" s="196">
        <f t="shared" si="0"/>
        <v>40.5</v>
      </c>
      <c r="H25" s="196">
        <v>19400</v>
      </c>
      <c r="I25" s="196" t="s">
        <v>2342</v>
      </c>
      <c r="J25" s="196"/>
    </row>
    <row r="26" spans="1:10" ht="14.4" hidden="1" outlineLevel="1">
      <c r="A26" s="196" t="s">
        <v>351</v>
      </c>
      <c r="B26" s="197">
        <v>40305</v>
      </c>
      <c r="C26" s="196" t="s">
        <v>2339</v>
      </c>
      <c r="D26" s="196">
        <v>80.75</v>
      </c>
      <c r="E26" s="196" t="s">
        <v>950</v>
      </c>
      <c r="F26" s="196">
        <v>80</v>
      </c>
      <c r="G26" s="196">
        <f t="shared" si="0"/>
        <v>40</v>
      </c>
      <c r="H26" s="196">
        <v>24000</v>
      </c>
      <c r="I26" s="196" t="s">
        <v>2340</v>
      </c>
      <c r="J26" s="196"/>
    </row>
    <row r="27" spans="1:10" ht="14.4" hidden="1" outlineLevel="1">
      <c r="A27" s="196" t="s">
        <v>351</v>
      </c>
      <c r="B27" s="197">
        <v>40308</v>
      </c>
      <c r="C27" s="196" t="s">
        <v>950</v>
      </c>
      <c r="D27" s="196">
        <v>80.75</v>
      </c>
      <c r="E27" s="196" t="s">
        <v>2337</v>
      </c>
      <c r="F27" s="196">
        <v>80</v>
      </c>
      <c r="G27" s="196">
        <f t="shared" si="0"/>
        <v>40</v>
      </c>
      <c r="H27" s="196">
        <v>73600</v>
      </c>
      <c r="I27" s="196" t="s">
        <v>2338</v>
      </c>
      <c r="J27" s="196"/>
    </row>
    <row r="28" spans="1:10" ht="14.4" hidden="1" outlineLevel="1">
      <c r="A28" s="196" t="s">
        <v>351</v>
      </c>
      <c r="B28" s="197">
        <v>40309</v>
      </c>
      <c r="C28" s="196" t="s">
        <v>1001</v>
      </c>
      <c r="D28" s="196">
        <v>80</v>
      </c>
      <c r="E28" s="196" t="s">
        <v>1001</v>
      </c>
      <c r="F28" s="196">
        <v>80</v>
      </c>
      <c r="G28" s="196">
        <f t="shared" si="0"/>
        <v>40</v>
      </c>
      <c r="H28" s="196">
        <v>35800</v>
      </c>
      <c r="I28" s="196" t="s">
        <v>2336</v>
      </c>
      <c r="J28" s="196"/>
    </row>
    <row r="29" spans="1:10" ht="14.4" hidden="1" outlineLevel="1">
      <c r="A29" s="196" t="s">
        <v>351</v>
      </c>
      <c r="B29" s="197">
        <v>40310</v>
      </c>
      <c r="C29" s="196" t="s">
        <v>1001</v>
      </c>
      <c r="D29" s="196">
        <v>80</v>
      </c>
      <c r="E29" s="196" t="s">
        <v>1001</v>
      </c>
      <c r="F29" s="196">
        <v>80</v>
      </c>
      <c r="G29" s="196">
        <f t="shared" si="0"/>
        <v>40</v>
      </c>
      <c r="H29" s="196">
        <v>12000</v>
      </c>
      <c r="I29" s="196" t="s">
        <v>2335</v>
      </c>
      <c r="J29" s="196"/>
    </row>
    <row r="30" spans="1:10" ht="14.4" hidden="1" outlineLevel="1">
      <c r="A30" s="196" t="s">
        <v>351</v>
      </c>
      <c r="B30" s="197">
        <v>40311</v>
      </c>
      <c r="C30" s="196" t="s">
        <v>950</v>
      </c>
      <c r="D30" s="196">
        <v>80</v>
      </c>
      <c r="E30" s="196" t="s">
        <v>950</v>
      </c>
      <c r="F30" s="196">
        <v>80</v>
      </c>
      <c r="G30" s="196">
        <f t="shared" si="0"/>
        <v>40</v>
      </c>
      <c r="H30" s="196">
        <v>18100</v>
      </c>
      <c r="I30" s="196" t="s">
        <v>2334</v>
      </c>
      <c r="J30" s="196"/>
    </row>
    <row r="31" spans="1:10" ht="14.4" hidden="1" outlineLevel="1">
      <c r="A31" s="196" t="s">
        <v>351</v>
      </c>
      <c r="B31" s="197">
        <v>40312</v>
      </c>
      <c r="C31" s="196" t="s">
        <v>950</v>
      </c>
      <c r="D31" s="196">
        <v>80.25</v>
      </c>
      <c r="E31" s="196" t="s">
        <v>950</v>
      </c>
      <c r="F31" s="196">
        <v>80</v>
      </c>
      <c r="G31" s="196">
        <f t="shared" si="0"/>
        <v>40</v>
      </c>
      <c r="H31" s="196">
        <v>19100</v>
      </c>
      <c r="I31" s="196" t="s">
        <v>2333</v>
      </c>
      <c r="J31" s="196"/>
    </row>
    <row r="32" spans="1:10" ht="14.4" hidden="1" outlineLevel="1">
      <c r="A32" s="196" t="s">
        <v>351</v>
      </c>
      <c r="B32" s="197">
        <v>40315</v>
      </c>
      <c r="C32" s="196" t="s">
        <v>1001</v>
      </c>
      <c r="D32" s="196">
        <v>80.5</v>
      </c>
      <c r="E32" s="196" t="s">
        <v>962</v>
      </c>
      <c r="F32" s="196">
        <v>80</v>
      </c>
      <c r="G32" s="196">
        <f t="shared" si="0"/>
        <v>40</v>
      </c>
      <c r="H32" s="196">
        <v>11300</v>
      </c>
      <c r="I32" s="196" t="s">
        <v>2332</v>
      </c>
      <c r="J32" s="196"/>
    </row>
    <row r="33" spans="1:10" ht="14.4" hidden="1" outlineLevel="1">
      <c r="A33" s="196" t="s">
        <v>351</v>
      </c>
      <c r="B33" s="197">
        <v>40316</v>
      </c>
      <c r="C33" s="196" t="s">
        <v>950</v>
      </c>
      <c r="D33" s="196">
        <v>82</v>
      </c>
      <c r="E33" s="196" t="s">
        <v>950</v>
      </c>
      <c r="F33" s="196">
        <v>80</v>
      </c>
      <c r="G33" s="196">
        <f t="shared" si="0"/>
        <v>40</v>
      </c>
      <c r="H33" s="196">
        <v>253700</v>
      </c>
      <c r="I33" s="196" t="s">
        <v>2331</v>
      </c>
      <c r="J33" s="196"/>
    </row>
    <row r="34" spans="1:10" ht="14.4" hidden="1" outlineLevel="1">
      <c r="A34" s="196" t="s">
        <v>351</v>
      </c>
      <c r="B34" s="197">
        <v>40317</v>
      </c>
      <c r="C34" s="196" t="s">
        <v>950</v>
      </c>
      <c r="D34" s="196">
        <v>82</v>
      </c>
      <c r="E34" s="196" t="s">
        <v>950</v>
      </c>
      <c r="F34" s="196">
        <v>80</v>
      </c>
      <c r="G34" s="196">
        <f t="shared" si="0"/>
        <v>40</v>
      </c>
      <c r="H34" s="196">
        <v>28600</v>
      </c>
      <c r="I34" s="196" t="s">
        <v>2330</v>
      </c>
      <c r="J34" s="196"/>
    </row>
    <row r="35" spans="1:10" ht="14.4" hidden="1" outlineLevel="1">
      <c r="A35" s="196" t="s">
        <v>351</v>
      </c>
      <c r="B35" s="197">
        <v>40318</v>
      </c>
      <c r="C35" s="196" t="s">
        <v>950</v>
      </c>
      <c r="D35" s="196">
        <v>80</v>
      </c>
      <c r="E35" s="196" t="s">
        <v>1001</v>
      </c>
      <c r="F35" s="196">
        <v>79.5</v>
      </c>
      <c r="G35" s="196">
        <f t="shared" si="0"/>
        <v>39.75</v>
      </c>
      <c r="H35" s="196">
        <v>3700</v>
      </c>
      <c r="I35" s="196" t="s">
        <v>2329</v>
      </c>
      <c r="J35" s="196"/>
    </row>
    <row r="36" spans="1:10" ht="14.4" hidden="1" outlineLevel="1">
      <c r="A36" s="196" t="s">
        <v>351</v>
      </c>
      <c r="B36" s="197">
        <v>40319</v>
      </c>
      <c r="C36" s="196" t="s">
        <v>1001</v>
      </c>
      <c r="D36" s="196">
        <v>80</v>
      </c>
      <c r="E36" s="196" t="s">
        <v>1001</v>
      </c>
      <c r="F36" s="196">
        <v>79.75</v>
      </c>
      <c r="G36" s="196">
        <f t="shared" si="0"/>
        <v>39.875</v>
      </c>
      <c r="H36" s="196">
        <v>4800</v>
      </c>
      <c r="I36" s="196" t="s">
        <v>2328</v>
      </c>
      <c r="J36" s="196"/>
    </row>
    <row r="37" spans="1:10" ht="14.4" hidden="1" outlineLevel="1">
      <c r="A37" s="196" t="s">
        <v>351</v>
      </c>
      <c r="B37" s="197">
        <v>40322</v>
      </c>
      <c r="C37" s="196" t="s">
        <v>1001</v>
      </c>
      <c r="D37" s="196">
        <v>80</v>
      </c>
      <c r="E37" s="196" t="s">
        <v>2326</v>
      </c>
      <c r="F37" s="196">
        <v>78.5</v>
      </c>
      <c r="G37" s="196">
        <f t="shared" si="0"/>
        <v>39.25</v>
      </c>
      <c r="H37" s="196">
        <v>21900</v>
      </c>
      <c r="I37" s="196" t="s">
        <v>2327</v>
      </c>
      <c r="J37" s="196"/>
    </row>
    <row r="38" spans="1:10" ht="14.4" hidden="1" outlineLevel="1">
      <c r="A38" s="196" t="s">
        <v>351</v>
      </c>
      <c r="B38" s="197">
        <v>40323</v>
      </c>
      <c r="C38" s="196" t="s">
        <v>992</v>
      </c>
      <c r="D38" s="196">
        <v>78.5</v>
      </c>
      <c r="E38" s="196" t="s">
        <v>962</v>
      </c>
      <c r="F38" s="196">
        <v>78</v>
      </c>
      <c r="G38" s="196">
        <f t="shared" si="0"/>
        <v>39</v>
      </c>
      <c r="H38" s="196">
        <v>4900</v>
      </c>
      <c r="I38" s="196" t="s">
        <v>2325</v>
      </c>
      <c r="J38" s="196"/>
    </row>
    <row r="39" spans="1:10" ht="14.4" hidden="1" outlineLevel="1">
      <c r="A39" s="196" t="s">
        <v>351</v>
      </c>
      <c r="B39" s="197">
        <v>40324</v>
      </c>
      <c r="C39" s="196" t="s">
        <v>962</v>
      </c>
      <c r="D39" s="196">
        <v>78</v>
      </c>
      <c r="E39" s="196" t="s">
        <v>2320</v>
      </c>
      <c r="F39" s="196">
        <v>77.75</v>
      </c>
      <c r="G39" s="196">
        <f t="shared" si="0"/>
        <v>38.875</v>
      </c>
      <c r="H39" s="196">
        <v>2300</v>
      </c>
      <c r="I39" s="196" t="s">
        <v>2324</v>
      </c>
      <c r="J39" s="196"/>
    </row>
    <row r="40" spans="1:10" ht="14.4" hidden="1" outlineLevel="1">
      <c r="A40" s="196" t="s">
        <v>351</v>
      </c>
      <c r="B40" s="197">
        <v>40329</v>
      </c>
      <c r="C40" s="196" t="s">
        <v>2320</v>
      </c>
      <c r="D40" s="196">
        <v>79.75</v>
      </c>
      <c r="E40" s="196" t="s">
        <v>1045</v>
      </c>
      <c r="F40" s="196">
        <v>78.75</v>
      </c>
      <c r="G40" s="196">
        <f t="shared" si="0"/>
        <v>39.375</v>
      </c>
      <c r="H40" s="196">
        <v>9300</v>
      </c>
      <c r="I40" s="196" t="s">
        <v>2323</v>
      </c>
      <c r="J40" s="196"/>
    </row>
    <row r="41" spans="1:10" ht="14.4" hidden="1" outlineLevel="1">
      <c r="A41" s="196" t="s">
        <v>351</v>
      </c>
      <c r="B41" s="197">
        <v>40330</v>
      </c>
      <c r="C41" s="196" t="s">
        <v>962</v>
      </c>
      <c r="D41" s="196">
        <v>78.25</v>
      </c>
      <c r="E41" s="196" t="s">
        <v>962</v>
      </c>
      <c r="F41" s="196">
        <v>78</v>
      </c>
      <c r="G41" s="196">
        <f t="shared" si="0"/>
        <v>39</v>
      </c>
      <c r="H41" s="196">
        <v>48400</v>
      </c>
      <c r="I41" s="196" t="s">
        <v>2322</v>
      </c>
      <c r="J41" s="196"/>
    </row>
    <row r="42" spans="1:10" ht="14.4" hidden="1" outlineLevel="1">
      <c r="A42" s="196" t="s">
        <v>351</v>
      </c>
      <c r="B42" s="197">
        <v>40331</v>
      </c>
      <c r="C42" s="196" t="s">
        <v>997</v>
      </c>
      <c r="D42" s="196">
        <v>79</v>
      </c>
      <c r="E42" s="196" t="s">
        <v>2320</v>
      </c>
      <c r="F42" s="196">
        <v>78</v>
      </c>
      <c r="G42" s="196">
        <f t="shared" si="0"/>
        <v>39</v>
      </c>
      <c r="H42" s="196">
        <v>254400</v>
      </c>
      <c r="I42" s="196" t="s">
        <v>2321</v>
      </c>
      <c r="J42" s="196"/>
    </row>
    <row r="43" spans="1:10" ht="14.4" hidden="1" outlineLevel="1">
      <c r="A43" s="196" t="s">
        <v>351</v>
      </c>
      <c r="B43" s="197">
        <v>40332</v>
      </c>
      <c r="C43" s="196" t="s">
        <v>962</v>
      </c>
      <c r="D43" s="196">
        <v>78</v>
      </c>
      <c r="E43" s="196" t="s">
        <v>1045</v>
      </c>
      <c r="F43" s="196">
        <v>77.5</v>
      </c>
      <c r="G43" s="196">
        <f t="shared" si="0"/>
        <v>38.75</v>
      </c>
      <c r="H43" s="196">
        <v>14100</v>
      </c>
      <c r="I43" s="196" t="s">
        <v>2319</v>
      </c>
      <c r="J43" s="196"/>
    </row>
    <row r="44" spans="1:10" ht="14.4" hidden="1" outlineLevel="1">
      <c r="A44" s="196" t="s">
        <v>351</v>
      </c>
      <c r="B44" s="197">
        <v>40333</v>
      </c>
      <c r="C44" s="196" t="s">
        <v>1045</v>
      </c>
      <c r="D44" s="196">
        <v>78</v>
      </c>
      <c r="E44" s="196" t="s">
        <v>2313</v>
      </c>
      <c r="F44" s="196">
        <v>77.5</v>
      </c>
      <c r="G44" s="196">
        <f t="shared" si="0"/>
        <v>38.75</v>
      </c>
      <c r="H44" s="196">
        <v>20000</v>
      </c>
      <c r="I44" s="196" t="s">
        <v>2318</v>
      </c>
      <c r="J44" s="196"/>
    </row>
    <row r="45" spans="1:10" ht="14.4" hidden="1" outlineLevel="1">
      <c r="A45" s="196" t="s">
        <v>351</v>
      </c>
      <c r="B45" s="197">
        <v>40336</v>
      </c>
      <c r="C45" s="196" t="s">
        <v>1045</v>
      </c>
      <c r="D45" s="196">
        <v>78</v>
      </c>
      <c r="E45" s="196" t="s">
        <v>2316</v>
      </c>
      <c r="F45" s="196">
        <v>77.25</v>
      </c>
      <c r="G45" s="196">
        <f t="shared" si="0"/>
        <v>38.625</v>
      </c>
      <c r="H45" s="196">
        <v>32400</v>
      </c>
      <c r="I45" s="196" t="s">
        <v>2317</v>
      </c>
      <c r="J45" s="196"/>
    </row>
    <row r="46" spans="1:10" ht="14.4" hidden="1" outlineLevel="1">
      <c r="A46" s="196" t="s">
        <v>351</v>
      </c>
      <c r="B46" s="197">
        <v>40337</v>
      </c>
      <c r="C46" s="196" t="s">
        <v>974</v>
      </c>
      <c r="D46" s="196">
        <v>78</v>
      </c>
      <c r="E46" s="196" t="s">
        <v>974</v>
      </c>
      <c r="F46" s="196">
        <v>77.5</v>
      </c>
      <c r="G46" s="196">
        <f t="shared" si="0"/>
        <v>38.75</v>
      </c>
      <c r="H46" s="196">
        <v>20700</v>
      </c>
      <c r="I46" s="196" t="s">
        <v>2315</v>
      </c>
      <c r="J46" s="196"/>
    </row>
    <row r="47" spans="1:10" ht="14.4" hidden="1" outlineLevel="1">
      <c r="A47" s="196" t="s">
        <v>351</v>
      </c>
      <c r="B47" s="197">
        <v>40338</v>
      </c>
      <c r="C47" s="196" t="s">
        <v>1045</v>
      </c>
      <c r="D47" s="196">
        <v>78.5</v>
      </c>
      <c r="E47" s="196" t="s">
        <v>2313</v>
      </c>
      <c r="F47" s="196">
        <v>77.5</v>
      </c>
      <c r="G47" s="196">
        <f t="shared" si="0"/>
        <v>38.75</v>
      </c>
      <c r="H47" s="196">
        <v>100400</v>
      </c>
      <c r="I47" s="196" t="s">
        <v>2314</v>
      </c>
      <c r="J47" s="196"/>
    </row>
    <row r="48" spans="1:10" ht="14.4" hidden="1" outlineLevel="1">
      <c r="A48" s="196" t="s">
        <v>351</v>
      </c>
      <c r="B48" s="197">
        <v>40339</v>
      </c>
      <c r="C48" s="196" t="s">
        <v>1045</v>
      </c>
      <c r="D48" s="196">
        <v>81</v>
      </c>
      <c r="E48" s="196" t="s">
        <v>1045</v>
      </c>
      <c r="F48" s="196">
        <v>80</v>
      </c>
      <c r="G48" s="196">
        <f t="shared" si="0"/>
        <v>40</v>
      </c>
      <c r="H48" s="196">
        <v>84700</v>
      </c>
      <c r="I48" s="196" t="s">
        <v>2312</v>
      </c>
      <c r="J48" s="196"/>
    </row>
    <row r="49" spans="1:10" ht="14.4" hidden="1" outlineLevel="1">
      <c r="A49" s="196" t="s">
        <v>351</v>
      </c>
      <c r="B49" s="197">
        <v>40340</v>
      </c>
      <c r="C49" s="196" t="s">
        <v>1010</v>
      </c>
      <c r="D49" s="196">
        <v>82.75</v>
      </c>
      <c r="E49" s="196" t="s">
        <v>1010</v>
      </c>
      <c r="F49" s="196">
        <v>81.5</v>
      </c>
      <c r="G49" s="196">
        <f t="shared" si="0"/>
        <v>40.75</v>
      </c>
      <c r="H49" s="196">
        <v>162000</v>
      </c>
      <c r="I49" s="196" t="s">
        <v>2311</v>
      </c>
      <c r="J49" s="196"/>
    </row>
    <row r="50" spans="1:10" ht="14.4" hidden="1" outlineLevel="1">
      <c r="A50" s="196" t="s">
        <v>351</v>
      </c>
      <c r="B50" s="197">
        <v>40343</v>
      </c>
      <c r="C50" s="196" t="s">
        <v>1007</v>
      </c>
      <c r="D50" s="196">
        <v>90.5</v>
      </c>
      <c r="E50" s="196" t="s">
        <v>1007</v>
      </c>
      <c r="F50" s="196">
        <v>89.5</v>
      </c>
      <c r="G50" s="196">
        <f t="shared" si="0"/>
        <v>44.75</v>
      </c>
      <c r="H50" s="196">
        <v>562300</v>
      </c>
      <c r="I50" s="196" t="s">
        <v>2310</v>
      </c>
      <c r="J50" s="196"/>
    </row>
    <row r="51" spans="1:10" ht="14.4" hidden="1" outlineLevel="1">
      <c r="A51" s="196" t="s">
        <v>351</v>
      </c>
      <c r="B51" s="197">
        <v>40344</v>
      </c>
      <c r="C51" s="196" t="s">
        <v>870</v>
      </c>
      <c r="D51" s="196">
        <v>92.25</v>
      </c>
      <c r="E51" s="196" t="s">
        <v>932</v>
      </c>
      <c r="F51" s="196">
        <v>90</v>
      </c>
      <c r="G51" s="196">
        <f t="shared" si="0"/>
        <v>45</v>
      </c>
      <c r="H51" s="196">
        <v>315800</v>
      </c>
      <c r="I51" s="196" t="s">
        <v>2309</v>
      </c>
      <c r="J51" s="196"/>
    </row>
    <row r="52" spans="1:10" ht="14.4" hidden="1" outlineLevel="1">
      <c r="A52" s="196" t="s">
        <v>351</v>
      </c>
      <c r="B52" s="197">
        <v>40345</v>
      </c>
      <c r="C52" s="196" t="s">
        <v>941</v>
      </c>
      <c r="D52" s="196">
        <v>90.75</v>
      </c>
      <c r="E52" s="196" t="s">
        <v>941</v>
      </c>
      <c r="F52" s="196">
        <v>90.25</v>
      </c>
      <c r="G52" s="196">
        <f t="shared" si="0"/>
        <v>45.125</v>
      </c>
      <c r="H52" s="196">
        <v>293700</v>
      </c>
      <c r="I52" s="196" t="s">
        <v>2308</v>
      </c>
      <c r="J52" s="196"/>
    </row>
    <row r="53" spans="1:10" ht="14.4" hidden="1" outlineLevel="1">
      <c r="A53" s="196" t="s">
        <v>351</v>
      </c>
      <c r="B53" s="197">
        <v>40346</v>
      </c>
      <c r="C53" s="196" t="s">
        <v>2281</v>
      </c>
      <c r="D53" s="196">
        <v>90.75</v>
      </c>
      <c r="E53" s="196" t="s">
        <v>941</v>
      </c>
      <c r="F53" s="196">
        <v>89.75</v>
      </c>
      <c r="G53" s="196">
        <f t="shared" si="0"/>
        <v>44.875</v>
      </c>
      <c r="H53" s="196">
        <v>50000</v>
      </c>
      <c r="I53" s="196" t="s">
        <v>2307</v>
      </c>
      <c r="J53" s="196"/>
    </row>
    <row r="54" spans="1:10" ht="14.4" hidden="1" outlineLevel="1">
      <c r="A54" s="196" t="s">
        <v>351</v>
      </c>
      <c r="B54" s="197">
        <v>40350</v>
      </c>
      <c r="C54" s="196" t="s">
        <v>870</v>
      </c>
      <c r="D54" s="196">
        <v>96</v>
      </c>
      <c r="E54" s="196" t="s">
        <v>941</v>
      </c>
      <c r="F54" s="196">
        <v>94.25</v>
      </c>
      <c r="G54" s="196">
        <f t="shared" si="0"/>
        <v>47.125</v>
      </c>
      <c r="H54" s="196">
        <v>1000100</v>
      </c>
      <c r="I54" s="196" t="s">
        <v>2306</v>
      </c>
      <c r="J54" s="196"/>
    </row>
    <row r="55" spans="1:10" ht="14.4" hidden="1" outlineLevel="1">
      <c r="A55" s="196" t="s">
        <v>351</v>
      </c>
      <c r="B55" s="197">
        <v>40351</v>
      </c>
      <c r="C55" s="196" t="s">
        <v>2240</v>
      </c>
      <c r="D55" s="196">
        <v>96</v>
      </c>
      <c r="E55" s="196" t="s">
        <v>847</v>
      </c>
      <c r="F55" s="196">
        <v>94.5</v>
      </c>
      <c r="G55" s="196">
        <f t="shared" si="0"/>
        <v>47.25</v>
      </c>
      <c r="H55" s="196">
        <v>228600</v>
      </c>
      <c r="I55" s="196" t="s">
        <v>2305</v>
      </c>
      <c r="J55" s="196"/>
    </row>
    <row r="56" spans="1:10" ht="14.4" hidden="1" outlineLevel="1">
      <c r="A56" s="196" t="s">
        <v>351</v>
      </c>
      <c r="B56" s="197">
        <v>40352</v>
      </c>
      <c r="C56" s="196" t="s">
        <v>908</v>
      </c>
      <c r="D56" s="196">
        <v>95</v>
      </c>
      <c r="E56" s="196" t="s">
        <v>859</v>
      </c>
      <c r="F56" s="196">
        <v>92.75</v>
      </c>
      <c r="G56" s="196">
        <f t="shared" si="0"/>
        <v>46.375</v>
      </c>
      <c r="H56" s="196">
        <v>71100</v>
      </c>
      <c r="I56" s="196" t="s">
        <v>2304</v>
      </c>
      <c r="J56" s="196"/>
    </row>
    <row r="57" spans="1:10" ht="14.4" hidden="1" outlineLevel="1">
      <c r="A57" s="196" t="s">
        <v>351</v>
      </c>
      <c r="B57" s="197">
        <v>40353</v>
      </c>
      <c r="C57" s="196" t="s">
        <v>2301</v>
      </c>
      <c r="D57" s="196">
        <v>91.75</v>
      </c>
      <c r="E57" s="196" t="s">
        <v>2302</v>
      </c>
      <c r="F57" s="196">
        <v>91.5</v>
      </c>
      <c r="G57" s="196">
        <f t="shared" si="0"/>
        <v>45.75</v>
      </c>
      <c r="H57" s="196">
        <v>29400</v>
      </c>
      <c r="I57" s="196" t="s">
        <v>2303</v>
      </c>
      <c r="J57" s="196"/>
    </row>
    <row r="58" spans="1:10" ht="14.4" hidden="1" outlineLevel="1">
      <c r="A58" s="196" t="s">
        <v>351</v>
      </c>
      <c r="B58" s="197">
        <v>40357</v>
      </c>
      <c r="C58" s="196" t="s">
        <v>867</v>
      </c>
      <c r="D58" s="196">
        <v>92</v>
      </c>
      <c r="E58" s="196" t="s">
        <v>870</v>
      </c>
      <c r="F58" s="196">
        <v>90.25</v>
      </c>
      <c r="G58" s="196">
        <f t="shared" si="0"/>
        <v>45.125</v>
      </c>
      <c r="H58" s="196">
        <v>20400</v>
      </c>
      <c r="I58" s="196" t="s">
        <v>2300</v>
      </c>
      <c r="J58" s="196"/>
    </row>
    <row r="59" spans="1:10" ht="14.4" hidden="1" outlineLevel="1">
      <c r="A59" s="196" t="s">
        <v>351</v>
      </c>
      <c r="B59" s="197">
        <v>40358</v>
      </c>
      <c r="C59" s="196" t="s">
        <v>870</v>
      </c>
      <c r="D59" s="196">
        <v>94.5</v>
      </c>
      <c r="E59" s="196" t="s">
        <v>2032</v>
      </c>
      <c r="F59" s="196">
        <v>93.75</v>
      </c>
      <c r="G59" s="196">
        <f t="shared" si="0"/>
        <v>46.875</v>
      </c>
      <c r="H59" s="196">
        <v>243900</v>
      </c>
      <c r="I59" s="196" t="s">
        <v>2299</v>
      </c>
      <c r="J59" s="196"/>
    </row>
    <row r="60" spans="1:10" ht="14.4" hidden="1" outlineLevel="1">
      <c r="A60" s="196" t="s">
        <v>351</v>
      </c>
      <c r="B60" s="197">
        <v>40359</v>
      </c>
      <c r="C60" s="196" t="s">
        <v>621</v>
      </c>
      <c r="D60" s="196">
        <v>95</v>
      </c>
      <c r="E60" s="196" t="s">
        <v>2275</v>
      </c>
      <c r="F60" s="196">
        <v>94</v>
      </c>
      <c r="G60" s="196">
        <f t="shared" si="0"/>
        <v>47</v>
      </c>
      <c r="H60" s="196">
        <v>160000</v>
      </c>
      <c r="I60" s="196" t="s">
        <v>2298</v>
      </c>
      <c r="J60" s="196"/>
    </row>
    <row r="61" spans="1:10" ht="14.4" hidden="1" outlineLevel="1">
      <c r="A61" s="196" t="s">
        <v>351</v>
      </c>
      <c r="B61" s="197">
        <v>40360</v>
      </c>
      <c r="C61" s="196" t="s">
        <v>863</v>
      </c>
      <c r="D61" s="196">
        <v>95</v>
      </c>
      <c r="E61" s="196" t="s">
        <v>863</v>
      </c>
      <c r="F61" s="196">
        <v>95</v>
      </c>
      <c r="G61" s="196">
        <f t="shared" si="0"/>
        <v>47.5</v>
      </c>
      <c r="H61" s="196">
        <v>334200</v>
      </c>
      <c r="I61" s="196" t="s">
        <v>2297</v>
      </c>
      <c r="J61" s="196"/>
    </row>
    <row r="62" spans="1:10" ht="14.4" hidden="1" outlineLevel="1">
      <c r="A62" s="196" t="s">
        <v>351</v>
      </c>
      <c r="B62" s="197">
        <v>40361</v>
      </c>
      <c r="C62" s="196" t="s">
        <v>621</v>
      </c>
      <c r="D62" s="196">
        <v>95</v>
      </c>
      <c r="E62" s="196" t="s">
        <v>863</v>
      </c>
      <c r="F62" s="196">
        <v>94</v>
      </c>
      <c r="G62" s="196">
        <f t="shared" si="0"/>
        <v>47</v>
      </c>
      <c r="H62" s="196">
        <v>391500</v>
      </c>
      <c r="I62" s="196" t="s">
        <v>2296</v>
      </c>
      <c r="J62" s="196"/>
    </row>
    <row r="63" spans="1:10" ht="14.4" hidden="1" outlineLevel="1">
      <c r="A63" s="196" t="s">
        <v>351</v>
      </c>
      <c r="B63" s="197">
        <v>40364</v>
      </c>
      <c r="C63" s="196" t="s">
        <v>908</v>
      </c>
      <c r="D63" s="196">
        <v>94</v>
      </c>
      <c r="E63" s="196" t="s">
        <v>863</v>
      </c>
      <c r="F63" s="196">
        <v>92.25</v>
      </c>
      <c r="G63" s="196">
        <f t="shared" si="0"/>
        <v>46.125</v>
      </c>
      <c r="H63" s="196">
        <v>17700</v>
      </c>
      <c r="I63" s="196" t="s">
        <v>2295</v>
      </c>
      <c r="J63" s="196"/>
    </row>
    <row r="64" spans="1:10" ht="14.4" hidden="1" outlineLevel="1">
      <c r="A64" s="196" t="s">
        <v>351</v>
      </c>
      <c r="B64" s="197">
        <v>40365</v>
      </c>
      <c r="C64" s="196" t="s">
        <v>872</v>
      </c>
      <c r="D64" s="196">
        <v>93</v>
      </c>
      <c r="E64" s="196" t="s">
        <v>941</v>
      </c>
      <c r="F64" s="196">
        <v>92</v>
      </c>
      <c r="G64" s="196">
        <f t="shared" si="0"/>
        <v>46</v>
      </c>
      <c r="H64" s="196">
        <v>21000</v>
      </c>
      <c r="I64" s="196" t="s">
        <v>2294</v>
      </c>
      <c r="J64" s="196"/>
    </row>
    <row r="65" spans="1:10" ht="14.4" hidden="1" outlineLevel="1">
      <c r="A65" s="196" t="s">
        <v>351</v>
      </c>
      <c r="B65" s="197">
        <v>40366</v>
      </c>
      <c r="C65" s="196" t="s">
        <v>872</v>
      </c>
      <c r="D65" s="196">
        <v>91</v>
      </c>
      <c r="E65" s="196" t="s">
        <v>941</v>
      </c>
      <c r="F65" s="196">
        <v>89.5</v>
      </c>
      <c r="G65" s="196">
        <f t="shared" si="0"/>
        <v>44.75</v>
      </c>
      <c r="H65" s="196">
        <v>36300</v>
      </c>
      <c r="I65" s="196" t="s">
        <v>2293</v>
      </c>
      <c r="J65" s="196"/>
    </row>
    <row r="66" spans="1:10" ht="14.4" hidden="1" outlineLevel="1">
      <c r="A66" s="196" t="s">
        <v>351</v>
      </c>
      <c r="B66" s="197">
        <v>40367</v>
      </c>
      <c r="C66" s="196" t="s">
        <v>2291</v>
      </c>
      <c r="D66" s="196">
        <v>90</v>
      </c>
      <c r="E66" s="196" t="s">
        <v>915</v>
      </c>
      <c r="F66" s="196">
        <v>90</v>
      </c>
      <c r="G66" s="196">
        <f t="shared" si="0"/>
        <v>45</v>
      </c>
      <c r="H66" s="196">
        <v>17700</v>
      </c>
      <c r="I66" s="196" t="s">
        <v>2292</v>
      </c>
      <c r="J66" s="196"/>
    </row>
    <row r="67" spans="1:10" ht="14.4" hidden="1" outlineLevel="1">
      <c r="A67" s="196" t="s">
        <v>351</v>
      </c>
      <c r="B67" s="197">
        <v>40368</v>
      </c>
      <c r="C67" s="196" t="s">
        <v>870</v>
      </c>
      <c r="D67" s="196">
        <v>90</v>
      </c>
      <c r="E67" s="196" t="s">
        <v>912</v>
      </c>
      <c r="F67" s="196">
        <v>87.5</v>
      </c>
      <c r="G67" s="196">
        <f t="shared" si="0"/>
        <v>43.75</v>
      </c>
      <c r="H67" s="196">
        <v>5100</v>
      </c>
      <c r="I67" s="196" t="s">
        <v>2290</v>
      </c>
      <c r="J67" s="196"/>
    </row>
    <row r="68" spans="1:10" ht="14.4" hidden="1" outlineLevel="1">
      <c r="A68" s="196" t="s">
        <v>351</v>
      </c>
      <c r="B68" s="197">
        <v>40371</v>
      </c>
      <c r="C68" s="196" t="s">
        <v>2032</v>
      </c>
      <c r="D68" s="196">
        <v>90</v>
      </c>
      <c r="E68" s="196" t="s">
        <v>2032</v>
      </c>
      <c r="F68" s="196">
        <v>89.75</v>
      </c>
      <c r="G68" s="196">
        <f t="shared" si="0"/>
        <v>44.875</v>
      </c>
      <c r="H68" s="196">
        <v>17000</v>
      </c>
      <c r="I68" s="196" t="s">
        <v>2289</v>
      </c>
      <c r="J68" s="196"/>
    </row>
    <row r="69" spans="1:10" ht="14.4" hidden="1" outlineLevel="1">
      <c r="A69" s="196" t="s">
        <v>351</v>
      </c>
      <c r="B69" s="197">
        <v>40372</v>
      </c>
      <c r="C69" s="196" t="s">
        <v>2286</v>
      </c>
      <c r="D69" s="196">
        <v>90</v>
      </c>
      <c r="E69" s="196" t="s">
        <v>2286</v>
      </c>
      <c r="F69" s="196">
        <v>90</v>
      </c>
      <c r="G69" s="196">
        <f t="shared" ref="G69:G132" si="1">F69/2</f>
        <v>45</v>
      </c>
      <c r="H69" s="196">
        <v>15000</v>
      </c>
      <c r="I69" s="196" t="s">
        <v>2288</v>
      </c>
      <c r="J69" s="196"/>
    </row>
    <row r="70" spans="1:10" ht="14.4" hidden="1" outlineLevel="1">
      <c r="A70" s="196" t="s">
        <v>351</v>
      </c>
      <c r="B70" s="197">
        <v>40373</v>
      </c>
      <c r="C70" s="196" t="s">
        <v>2286</v>
      </c>
      <c r="D70" s="196">
        <v>90.5</v>
      </c>
      <c r="E70" s="196" t="s">
        <v>2286</v>
      </c>
      <c r="F70" s="196">
        <v>90</v>
      </c>
      <c r="G70" s="196">
        <f t="shared" si="1"/>
        <v>45</v>
      </c>
      <c r="H70" s="196">
        <v>122800</v>
      </c>
      <c r="I70" s="196" t="s">
        <v>2287</v>
      </c>
      <c r="J70" s="196"/>
    </row>
    <row r="71" spans="1:10" ht="14.4" hidden="1" outlineLevel="1">
      <c r="A71" s="196" t="s">
        <v>351</v>
      </c>
      <c r="B71" s="197">
        <v>40374</v>
      </c>
      <c r="C71" s="196" t="s">
        <v>915</v>
      </c>
      <c r="D71" s="196">
        <v>91</v>
      </c>
      <c r="E71" s="196" t="s">
        <v>915</v>
      </c>
      <c r="F71" s="196">
        <v>90</v>
      </c>
      <c r="G71" s="196">
        <f t="shared" si="1"/>
        <v>45</v>
      </c>
      <c r="H71" s="196">
        <v>119500</v>
      </c>
      <c r="I71" s="196" t="s">
        <v>2285</v>
      </c>
      <c r="J71" s="196"/>
    </row>
    <row r="72" spans="1:10" ht="14.4" hidden="1" outlineLevel="1">
      <c r="A72" s="196" t="s">
        <v>351</v>
      </c>
      <c r="B72" s="197">
        <v>40375</v>
      </c>
      <c r="C72" s="196" t="s">
        <v>872</v>
      </c>
      <c r="D72" s="196">
        <v>95</v>
      </c>
      <c r="E72" s="196" t="s">
        <v>867</v>
      </c>
      <c r="F72" s="196">
        <v>94.75</v>
      </c>
      <c r="G72" s="196">
        <f t="shared" si="1"/>
        <v>47.375</v>
      </c>
      <c r="H72" s="196">
        <v>64100</v>
      </c>
      <c r="I72" s="196" t="s">
        <v>2284</v>
      </c>
      <c r="J72" s="196"/>
    </row>
    <row r="73" spans="1:10" ht="14.4" hidden="1" outlineLevel="1">
      <c r="A73" s="196" t="s">
        <v>351</v>
      </c>
      <c r="B73" s="197">
        <v>40378</v>
      </c>
      <c r="C73" s="196" t="s">
        <v>863</v>
      </c>
      <c r="D73" s="196">
        <v>92</v>
      </c>
      <c r="E73" s="196" t="s">
        <v>870</v>
      </c>
      <c r="F73" s="196">
        <v>91</v>
      </c>
      <c r="G73" s="196">
        <f t="shared" si="1"/>
        <v>45.5</v>
      </c>
      <c r="H73" s="196">
        <v>371400</v>
      </c>
      <c r="I73" s="196" t="s">
        <v>2283</v>
      </c>
      <c r="J73" s="196"/>
    </row>
    <row r="74" spans="1:10" ht="14.4" hidden="1" outlineLevel="1">
      <c r="A74" s="196" t="s">
        <v>351</v>
      </c>
      <c r="B74" s="197">
        <v>40379</v>
      </c>
      <c r="C74" s="196" t="s">
        <v>863</v>
      </c>
      <c r="D74" s="196">
        <v>92</v>
      </c>
      <c r="E74" s="196" t="s">
        <v>2281</v>
      </c>
      <c r="F74" s="196">
        <v>92</v>
      </c>
      <c r="G74" s="196">
        <f t="shared" si="1"/>
        <v>46</v>
      </c>
      <c r="H74" s="196">
        <v>52400</v>
      </c>
      <c r="I74" s="196" t="s">
        <v>2282</v>
      </c>
      <c r="J74" s="196"/>
    </row>
    <row r="75" spans="1:10" ht="14.4" hidden="1" outlineLevel="1">
      <c r="A75" s="196" t="s">
        <v>351</v>
      </c>
      <c r="B75" s="197">
        <v>40380</v>
      </c>
      <c r="C75" s="196" t="s">
        <v>863</v>
      </c>
      <c r="D75" s="196">
        <v>93.25</v>
      </c>
      <c r="E75" s="196" t="s">
        <v>867</v>
      </c>
      <c r="F75" s="196">
        <v>93</v>
      </c>
      <c r="G75" s="196">
        <f t="shared" si="1"/>
        <v>46.5</v>
      </c>
      <c r="H75" s="196">
        <v>42600</v>
      </c>
      <c r="I75" s="196" t="s">
        <v>2280</v>
      </c>
      <c r="J75" s="196"/>
    </row>
    <row r="76" spans="1:10" ht="14.4" hidden="1" outlineLevel="1">
      <c r="A76" s="196" t="s">
        <v>351</v>
      </c>
      <c r="B76" s="197">
        <v>40381</v>
      </c>
      <c r="C76" s="196" t="s">
        <v>863</v>
      </c>
      <c r="D76" s="196">
        <v>92</v>
      </c>
      <c r="E76" s="196" t="s">
        <v>870</v>
      </c>
      <c r="F76" s="196">
        <v>90.25</v>
      </c>
      <c r="G76" s="196">
        <f t="shared" si="1"/>
        <v>45.125</v>
      </c>
      <c r="H76" s="196">
        <v>47200</v>
      </c>
      <c r="I76" s="196" t="s">
        <v>2279</v>
      </c>
      <c r="J76" s="196"/>
    </row>
    <row r="77" spans="1:10" ht="14.4" hidden="1" outlineLevel="1">
      <c r="A77" s="196" t="s">
        <v>351</v>
      </c>
      <c r="B77" s="197">
        <v>40382</v>
      </c>
      <c r="C77" s="196" t="s">
        <v>872</v>
      </c>
      <c r="D77" s="196">
        <v>91</v>
      </c>
      <c r="E77" s="196" t="s">
        <v>867</v>
      </c>
      <c r="F77" s="196">
        <v>91</v>
      </c>
      <c r="G77" s="196">
        <f t="shared" si="1"/>
        <v>45.5</v>
      </c>
      <c r="H77" s="196">
        <v>19300</v>
      </c>
      <c r="I77" s="196" t="s">
        <v>2278</v>
      </c>
      <c r="J77" s="196"/>
    </row>
    <row r="78" spans="1:10" ht="14.4" hidden="1" outlineLevel="1">
      <c r="A78" s="196" t="s">
        <v>351</v>
      </c>
      <c r="B78" s="197">
        <v>40385</v>
      </c>
      <c r="C78" s="196" t="s">
        <v>872</v>
      </c>
      <c r="D78" s="196">
        <v>92.5</v>
      </c>
      <c r="E78" s="196" t="s">
        <v>872</v>
      </c>
      <c r="F78" s="196">
        <v>92.5</v>
      </c>
      <c r="G78" s="196">
        <f t="shared" si="1"/>
        <v>46.25</v>
      </c>
      <c r="H78" s="196">
        <v>36900</v>
      </c>
      <c r="I78" s="196" t="s">
        <v>2277</v>
      </c>
      <c r="J78" s="196"/>
    </row>
    <row r="79" spans="1:10" ht="14.4" hidden="1" outlineLevel="1">
      <c r="A79" s="196" t="s">
        <v>351</v>
      </c>
      <c r="B79" s="197">
        <v>40386</v>
      </c>
      <c r="C79" s="196" t="s">
        <v>2275</v>
      </c>
      <c r="D79" s="196">
        <v>95</v>
      </c>
      <c r="E79" s="196" t="s">
        <v>2275</v>
      </c>
      <c r="F79" s="196">
        <v>94</v>
      </c>
      <c r="G79" s="196">
        <f t="shared" si="1"/>
        <v>47</v>
      </c>
      <c r="H79" s="196">
        <v>384800</v>
      </c>
      <c r="I79" s="196" t="s">
        <v>2276</v>
      </c>
      <c r="J79" s="196"/>
    </row>
    <row r="80" spans="1:10" ht="14.4" hidden="1" outlineLevel="1">
      <c r="A80" s="196" t="s">
        <v>351</v>
      </c>
      <c r="B80" s="197">
        <v>40387</v>
      </c>
      <c r="C80" s="196" t="s">
        <v>908</v>
      </c>
      <c r="D80" s="196">
        <v>95.5</v>
      </c>
      <c r="E80" s="196" t="s">
        <v>908</v>
      </c>
      <c r="F80" s="196">
        <v>95</v>
      </c>
      <c r="G80" s="196">
        <f t="shared" si="1"/>
        <v>47.5</v>
      </c>
      <c r="H80" s="196">
        <v>254900</v>
      </c>
      <c r="I80" s="196" t="s">
        <v>2274</v>
      </c>
      <c r="J80" s="196"/>
    </row>
    <row r="81" spans="1:10" ht="14.4" hidden="1" outlineLevel="1">
      <c r="A81" s="196" t="s">
        <v>351</v>
      </c>
      <c r="B81" s="197">
        <v>40388</v>
      </c>
      <c r="C81" s="196" t="s">
        <v>621</v>
      </c>
      <c r="D81" s="196">
        <v>95</v>
      </c>
      <c r="E81" s="196" t="s">
        <v>847</v>
      </c>
      <c r="F81" s="196">
        <v>93.5</v>
      </c>
      <c r="G81" s="196">
        <f t="shared" si="1"/>
        <v>46.75</v>
      </c>
      <c r="H81" s="196">
        <v>41600</v>
      </c>
      <c r="I81" s="196" t="s">
        <v>2273</v>
      </c>
      <c r="J81" s="196"/>
    </row>
    <row r="82" spans="1:10" ht="14.4" hidden="1" outlineLevel="1">
      <c r="A82" s="196" t="s">
        <v>351</v>
      </c>
      <c r="B82" s="197">
        <v>40389</v>
      </c>
      <c r="C82" s="196" t="s">
        <v>863</v>
      </c>
      <c r="D82" s="196">
        <v>95</v>
      </c>
      <c r="E82" s="196" t="s">
        <v>863</v>
      </c>
      <c r="F82" s="196">
        <v>94</v>
      </c>
      <c r="G82" s="196">
        <f t="shared" si="1"/>
        <v>47</v>
      </c>
      <c r="H82" s="196">
        <v>41700</v>
      </c>
      <c r="I82" s="196" t="s">
        <v>2272</v>
      </c>
      <c r="J82" s="196"/>
    </row>
    <row r="83" spans="1:10" ht="14.4" hidden="1" outlineLevel="1">
      <c r="A83" s="196" t="s">
        <v>351</v>
      </c>
      <c r="B83" s="197">
        <v>40392</v>
      </c>
      <c r="C83" s="196" t="s">
        <v>908</v>
      </c>
      <c r="D83" s="196">
        <v>94.3</v>
      </c>
      <c r="E83" s="196" t="s">
        <v>847</v>
      </c>
      <c r="F83" s="196">
        <v>94.2</v>
      </c>
      <c r="G83" s="196">
        <f t="shared" si="1"/>
        <v>47.1</v>
      </c>
      <c r="H83" s="196">
        <v>318800</v>
      </c>
      <c r="I83" s="196" t="s">
        <v>2271</v>
      </c>
      <c r="J83" s="196"/>
    </row>
    <row r="84" spans="1:10" ht="14.4" hidden="1" outlineLevel="1">
      <c r="A84" s="196" t="s">
        <v>351</v>
      </c>
      <c r="B84" s="197">
        <v>40393</v>
      </c>
      <c r="C84" s="196" t="s">
        <v>847</v>
      </c>
      <c r="D84" s="196">
        <v>94</v>
      </c>
      <c r="E84" s="196" t="s">
        <v>863</v>
      </c>
      <c r="F84" s="196">
        <v>93.4</v>
      </c>
      <c r="G84" s="196">
        <f t="shared" si="1"/>
        <v>46.7</v>
      </c>
      <c r="H84" s="196">
        <v>446000</v>
      </c>
      <c r="I84" s="196" t="s">
        <v>2270</v>
      </c>
      <c r="J84" s="196"/>
    </row>
    <row r="85" spans="1:10" ht="14.4" hidden="1" outlineLevel="1">
      <c r="A85" s="196" t="s">
        <v>351</v>
      </c>
      <c r="B85" s="197">
        <v>40394</v>
      </c>
      <c r="C85" s="196" t="s">
        <v>854</v>
      </c>
      <c r="D85" s="196">
        <v>93.5</v>
      </c>
      <c r="E85" s="196" t="s">
        <v>863</v>
      </c>
      <c r="F85" s="196">
        <v>92.2</v>
      </c>
      <c r="G85" s="196">
        <f t="shared" si="1"/>
        <v>46.1</v>
      </c>
      <c r="H85" s="196">
        <v>42200</v>
      </c>
      <c r="I85" s="196" t="s">
        <v>2269</v>
      </c>
      <c r="J85" s="196"/>
    </row>
    <row r="86" spans="1:10" ht="14.4" hidden="1" outlineLevel="1">
      <c r="A86" s="196" t="s">
        <v>351</v>
      </c>
      <c r="B86" s="197">
        <v>40395</v>
      </c>
      <c r="C86" s="196" t="s">
        <v>847</v>
      </c>
      <c r="D86" s="196">
        <v>93</v>
      </c>
      <c r="E86" s="196" t="s">
        <v>627</v>
      </c>
      <c r="F86" s="196">
        <v>90.6</v>
      </c>
      <c r="G86" s="196">
        <f t="shared" si="1"/>
        <v>45.3</v>
      </c>
      <c r="H86" s="196">
        <v>109200</v>
      </c>
      <c r="I86" s="196" t="s">
        <v>2268</v>
      </c>
      <c r="J86" s="196"/>
    </row>
    <row r="87" spans="1:10" ht="14.4" hidden="1" outlineLevel="1">
      <c r="A87" s="196" t="s">
        <v>351</v>
      </c>
      <c r="B87" s="197">
        <v>40396</v>
      </c>
      <c r="C87" s="196" t="s">
        <v>2157</v>
      </c>
      <c r="D87" s="196">
        <v>90.5</v>
      </c>
      <c r="E87" s="196" t="s">
        <v>2157</v>
      </c>
      <c r="F87" s="196">
        <v>90.1</v>
      </c>
      <c r="G87" s="196">
        <f t="shared" si="1"/>
        <v>45.05</v>
      </c>
      <c r="H87" s="196">
        <v>101000</v>
      </c>
      <c r="I87" s="196" t="s">
        <v>2267</v>
      </c>
      <c r="J87" s="196"/>
    </row>
    <row r="88" spans="1:10" ht="14.4" hidden="1" outlineLevel="1">
      <c r="A88" s="196" t="s">
        <v>351</v>
      </c>
      <c r="B88" s="197">
        <v>40399</v>
      </c>
      <c r="C88" s="196" t="s">
        <v>919</v>
      </c>
      <c r="D88" s="196">
        <v>91.5</v>
      </c>
      <c r="E88" s="196" t="s">
        <v>919</v>
      </c>
      <c r="F88" s="196">
        <v>88.1</v>
      </c>
      <c r="G88" s="196">
        <f t="shared" si="1"/>
        <v>44.05</v>
      </c>
      <c r="H88" s="196">
        <v>15800</v>
      </c>
      <c r="I88" s="196" t="s">
        <v>2266</v>
      </c>
      <c r="J88" s="196"/>
    </row>
    <row r="89" spans="1:10" ht="14.4" hidden="1" outlineLevel="1">
      <c r="A89" s="196" t="s">
        <v>351</v>
      </c>
      <c r="B89" s="197">
        <v>40400</v>
      </c>
      <c r="C89" s="196" t="s">
        <v>2022</v>
      </c>
      <c r="D89" s="196">
        <v>94</v>
      </c>
      <c r="E89" s="196" t="s">
        <v>2157</v>
      </c>
      <c r="F89" s="196">
        <v>93.1</v>
      </c>
      <c r="G89" s="196">
        <f t="shared" si="1"/>
        <v>46.55</v>
      </c>
      <c r="H89" s="196">
        <v>47400</v>
      </c>
      <c r="I89" s="196" t="s">
        <v>2265</v>
      </c>
      <c r="J89" s="196"/>
    </row>
    <row r="90" spans="1:10" ht="14.4" hidden="1" outlineLevel="1">
      <c r="A90" s="196" t="s">
        <v>351</v>
      </c>
      <c r="B90" s="197">
        <v>40401</v>
      </c>
      <c r="C90" s="196" t="s">
        <v>872</v>
      </c>
      <c r="D90" s="196">
        <v>91</v>
      </c>
      <c r="E90" s="196" t="s">
        <v>867</v>
      </c>
      <c r="F90" s="196">
        <v>90.5</v>
      </c>
      <c r="G90" s="196">
        <f t="shared" si="1"/>
        <v>45.25</v>
      </c>
      <c r="H90" s="196">
        <v>5700</v>
      </c>
      <c r="I90" s="196" t="s">
        <v>2264</v>
      </c>
      <c r="J90" s="196"/>
    </row>
    <row r="91" spans="1:10" ht="14.4" hidden="1" outlineLevel="1">
      <c r="A91" s="196" t="s">
        <v>351</v>
      </c>
      <c r="B91" s="197">
        <v>40402</v>
      </c>
      <c r="C91" s="196" t="s">
        <v>2041</v>
      </c>
      <c r="D91" s="196">
        <v>90.5</v>
      </c>
      <c r="E91" s="196" t="s">
        <v>870</v>
      </c>
      <c r="F91" s="196">
        <v>90</v>
      </c>
      <c r="G91" s="196">
        <f t="shared" si="1"/>
        <v>45</v>
      </c>
      <c r="H91" s="196">
        <v>32300</v>
      </c>
      <c r="I91" s="196" t="s">
        <v>2263</v>
      </c>
      <c r="J91" s="196"/>
    </row>
    <row r="92" spans="1:10" ht="14.4" hidden="1" outlineLevel="1">
      <c r="A92" s="196" t="s">
        <v>351</v>
      </c>
      <c r="B92" s="197">
        <v>40403</v>
      </c>
      <c r="C92" s="196" t="s">
        <v>870</v>
      </c>
      <c r="D92" s="196">
        <v>92.9</v>
      </c>
      <c r="E92" s="196" t="s">
        <v>870</v>
      </c>
      <c r="F92" s="196">
        <v>92.5</v>
      </c>
      <c r="G92" s="196">
        <f t="shared" si="1"/>
        <v>46.25</v>
      </c>
      <c r="H92" s="196">
        <v>3300</v>
      </c>
      <c r="I92" s="196" t="s">
        <v>2262</v>
      </c>
      <c r="J92" s="196"/>
    </row>
    <row r="93" spans="1:10" ht="14.4" hidden="1" outlineLevel="1">
      <c r="A93" s="196" t="s">
        <v>351</v>
      </c>
      <c r="B93" s="197">
        <v>40406</v>
      </c>
      <c r="C93" s="196" t="s">
        <v>895</v>
      </c>
      <c r="D93" s="196">
        <v>91.2</v>
      </c>
      <c r="E93" s="196" t="s">
        <v>872</v>
      </c>
      <c r="F93" s="196">
        <v>91</v>
      </c>
      <c r="G93" s="196">
        <f t="shared" si="1"/>
        <v>45.5</v>
      </c>
      <c r="H93" s="196">
        <v>8000</v>
      </c>
      <c r="I93" s="196" t="s">
        <v>2261</v>
      </c>
      <c r="J93" s="196"/>
    </row>
    <row r="94" spans="1:10" ht="14.4" hidden="1" outlineLevel="1">
      <c r="A94" s="196" t="s">
        <v>351</v>
      </c>
      <c r="B94" s="197">
        <v>40407</v>
      </c>
      <c r="C94" s="196" t="s">
        <v>846</v>
      </c>
      <c r="D94" s="196">
        <v>94.5</v>
      </c>
      <c r="E94" s="196" t="s">
        <v>872</v>
      </c>
      <c r="F94" s="196">
        <v>91</v>
      </c>
      <c r="G94" s="196">
        <f t="shared" si="1"/>
        <v>45.5</v>
      </c>
      <c r="H94" s="196">
        <v>14500</v>
      </c>
      <c r="I94" s="196" t="s">
        <v>2260</v>
      </c>
      <c r="J94" s="196"/>
    </row>
    <row r="95" spans="1:10" ht="14.4" hidden="1" outlineLevel="1">
      <c r="A95" s="196" t="s">
        <v>351</v>
      </c>
      <c r="B95" s="197">
        <v>40408</v>
      </c>
      <c r="C95" s="196" t="s">
        <v>863</v>
      </c>
      <c r="D95" s="196">
        <v>92</v>
      </c>
      <c r="E95" s="196" t="s">
        <v>872</v>
      </c>
      <c r="F95" s="196">
        <v>91.1</v>
      </c>
      <c r="G95" s="196">
        <f t="shared" si="1"/>
        <v>45.55</v>
      </c>
      <c r="H95" s="196">
        <v>11800</v>
      </c>
      <c r="I95" s="196" t="s">
        <v>2259</v>
      </c>
      <c r="J95" s="196"/>
    </row>
    <row r="96" spans="1:10" ht="14.4" hidden="1" outlineLevel="1">
      <c r="A96" s="196" t="s">
        <v>351</v>
      </c>
      <c r="B96" s="197">
        <v>40409</v>
      </c>
      <c r="C96" s="196" t="s">
        <v>872</v>
      </c>
      <c r="D96" s="196">
        <v>93</v>
      </c>
      <c r="E96" s="196" t="s">
        <v>872</v>
      </c>
      <c r="F96" s="196">
        <v>92.6</v>
      </c>
      <c r="G96" s="196">
        <f t="shared" si="1"/>
        <v>46.3</v>
      </c>
      <c r="H96" s="196">
        <v>9900</v>
      </c>
      <c r="I96" s="196" t="s">
        <v>2258</v>
      </c>
      <c r="J96" s="196"/>
    </row>
    <row r="97" spans="1:10" ht="14.4" hidden="1" outlineLevel="1">
      <c r="A97" s="196" t="s">
        <v>351</v>
      </c>
      <c r="B97" s="197">
        <v>40410</v>
      </c>
      <c r="C97" s="196" t="s">
        <v>867</v>
      </c>
      <c r="D97" s="196">
        <v>91.5</v>
      </c>
      <c r="E97" s="196" t="s">
        <v>867</v>
      </c>
      <c r="F97" s="196">
        <v>91.2</v>
      </c>
      <c r="G97" s="196">
        <f t="shared" si="1"/>
        <v>45.6</v>
      </c>
      <c r="H97" s="196">
        <v>6000</v>
      </c>
      <c r="I97" s="196" t="s">
        <v>2257</v>
      </c>
      <c r="J97" s="196"/>
    </row>
    <row r="98" spans="1:10" ht="14.4" hidden="1" outlineLevel="1">
      <c r="A98" s="196" t="s">
        <v>351</v>
      </c>
      <c r="B98" s="197">
        <v>40413</v>
      </c>
      <c r="C98" s="196" t="s">
        <v>863</v>
      </c>
      <c r="D98" s="196">
        <v>93</v>
      </c>
      <c r="E98" s="196" t="s">
        <v>2041</v>
      </c>
      <c r="F98" s="196">
        <v>91.7</v>
      </c>
      <c r="G98" s="196">
        <f t="shared" si="1"/>
        <v>45.85</v>
      </c>
      <c r="H98" s="196">
        <v>41400</v>
      </c>
      <c r="I98" s="196" t="s">
        <v>2256</v>
      </c>
      <c r="J98" s="196"/>
    </row>
    <row r="99" spans="1:10" ht="14.4" hidden="1" outlineLevel="1">
      <c r="A99" s="196" t="s">
        <v>351</v>
      </c>
      <c r="B99" s="197">
        <v>40415</v>
      </c>
      <c r="C99" s="196" t="s">
        <v>863</v>
      </c>
      <c r="D99" s="196">
        <v>92.5</v>
      </c>
      <c r="E99" s="196" t="s">
        <v>872</v>
      </c>
      <c r="F99" s="196">
        <v>91.2</v>
      </c>
      <c r="G99" s="196">
        <f t="shared" si="1"/>
        <v>45.6</v>
      </c>
      <c r="H99" s="196">
        <v>119900</v>
      </c>
      <c r="I99" s="196" t="s">
        <v>2255</v>
      </c>
      <c r="J99" s="196"/>
    </row>
    <row r="100" spans="1:10" ht="14.4" hidden="1" outlineLevel="1">
      <c r="A100" s="196" t="s">
        <v>351</v>
      </c>
      <c r="B100" s="197">
        <v>40416</v>
      </c>
      <c r="C100" s="196" t="s">
        <v>872</v>
      </c>
      <c r="D100" s="196">
        <v>91</v>
      </c>
      <c r="E100" s="196" t="s">
        <v>870</v>
      </c>
      <c r="F100" s="196">
        <v>90.8</v>
      </c>
      <c r="G100" s="196">
        <f t="shared" si="1"/>
        <v>45.4</v>
      </c>
      <c r="H100" s="196">
        <v>56100</v>
      </c>
      <c r="I100" s="196" t="s">
        <v>2254</v>
      </c>
      <c r="J100" s="196"/>
    </row>
    <row r="101" spans="1:10" ht="14.4" hidden="1" outlineLevel="1">
      <c r="A101" s="196" t="s">
        <v>351</v>
      </c>
      <c r="B101" s="197">
        <v>40417</v>
      </c>
      <c r="C101" s="196" t="s">
        <v>863</v>
      </c>
      <c r="D101" s="196">
        <v>92</v>
      </c>
      <c r="E101" s="196" t="s">
        <v>870</v>
      </c>
      <c r="F101" s="196">
        <v>90.6</v>
      </c>
      <c r="G101" s="196">
        <f t="shared" si="1"/>
        <v>45.3</v>
      </c>
      <c r="H101" s="196">
        <v>7100</v>
      </c>
      <c r="I101" s="196" t="s">
        <v>2253</v>
      </c>
      <c r="J101" s="196"/>
    </row>
    <row r="102" spans="1:10" ht="14.4" hidden="1" outlineLevel="1">
      <c r="A102" s="196" t="s">
        <v>351</v>
      </c>
      <c r="B102" s="197">
        <v>40420</v>
      </c>
      <c r="C102" s="196" t="s">
        <v>2094</v>
      </c>
      <c r="D102" s="196">
        <v>91.9</v>
      </c>
      <c r="E102" s="196" t="s">
        <v>2251</v>
      </c>
      <c r="F102" s="196">
        <v>90.9</v>
      </c>
      <c r="G102" s="196">
        <f t="shared" si="1"/>
        <v>45.45</v>
      </c>
      <c r="H102" s="196">
        <v>20700</v>
      </c>
      <c r="I102" s="196" t="s">
        <v>2252</v>
      </c>
      <c r="J102" s="196"/>
    </row>
    <row r="103" spans="1:10" ht="14.4" hidden="1" outlineLevel="1">
      <c r="A103" s="196" t="s">
        <v>351</v>
      </c>
      <c r="B103" s="197">
        <v>40421</v>
      </c>
      <c r="C103" s="196" t="s">
        <v>2041</v>
      </c>
      <c r="D103" s="196">
        <v>91.5</v>
      </c>
      <c r="E103" s="196" t="s">
        <v>870</v>
      </c>
      <c r="F103" s="196">
        <v>90.7</v>
      </c>
      <c r="G103" s="196">
        <f t="shared" si="1"/>
        <v>45.35</v>
      </c>
      <c r="H103" s="196">
        <v>10700</v>
      </c>
      <c r="I103" s="196" t="s">
        <v>2250</v>
      </c>
      <c r="J103" s="196"/>
    </row>
    <row r="104" spans="1:10" ht="14.4" hidden="1" outlineLevel="1">
      <c r="A104" s="196" t="s">
        <v>351</v>
      </c>
      <c r="B104" s="197">
        <v>40422</v>
      </c>
      <c r="C104" s="196" t="s">
        <v>2249</v>
      </c>
      <c r="D104" s="196">
        <v>91.1</v>
      </c>
      <c r="E104" s="196" t="s">
        <v>870</v>
      </c>
      <c r="F104" s="196">
        <v>90.3</v>
      </c>
      <c r="G104" s="196">
        <f t="shared" si="1"/>
        <v>45.15</v>
      </c>
      <c r="H104" s="196">
        <v>52800</v>
      </c>
      <c r="I104" s="196" t="s">
        <v>2141</v>
      </c>
      <c r="J104" s="196"/>
    </row>
    <row r="105" spans="1:10" ht="14.4" hidden="1" outlineLevel="1">
      <c r="A105" s="196" t="s">
        <v>351</v>
      </c>
      <c r="B105" s="197">
        <v>40423</v>
      </c>
      <c r="C105" s="196" t="s">
        <v>872</v>
      </c>
      <c r="D105" s="196">
        <v>93</v>
      </c>
      <c r="E105" s="196" t="s">
        <v>2041</v>
      </c>
      <c r="F105" s="196">
        <v>90.9</v>
      </c>
      <c r="G105" s="196">
        <f t="shared" si="1"/>
        <v>45.45</v>
      </c>
      <c r="H105" s="196">
        <v>47300</v>
      </c>
      <c r="I105" s="196" t="s">
        <v>2248</v>
      </c>
      <c r="J105" s="196"/>
    </row>
    <row r="106" spans="1:10" ht="14.4" hidden="1" outlineLevel="1">
      <c r="A106" s="196" t="s">
        <v>351</v>
      </c>
      <c r="B106" s="197">
        <v>40424</v>
      </c>
      <c r="C106" s="196" t="s">
        <v>872</v>
      </c>
      <c r="D106" s="196">
        <v>93.5</v>
      </c>
      <c r="E106" s="196" t="s">
        <v>870</v>
      </c>
      <c r="F106" s="196">
        <v>92.3</v>
      </c>
      <c r="G106" s="196">
        <f t="shared" si="1"/>
        <v>46.15</v>
      </c>
      <c r="H106" s="196">
        <v>285400</v>
      </c>
      <c r="I106" s="196" t="s">
        <v>2247</v>
      </c>
      <c r="J106" s="196"/>
    </row>
    <row r="107" spans="1:10" ht="14.4" hidden="1" outlineLevel="1">
      <c r="A107" s="196" t="s">
        <v>351</v>
      </c>
      <c r="B107" s="197">
        <v>40427</v>
      </c>
      <c r="C107" s="196" t="s">
        <v>847</v>
      </c>
      <c r="D107" s="196">
        <v>95</v>
      </c>
      <c r="E107" s="196" t="s">
        <v>866</v>
      </c>
      <c r="F107" s="196">
        <v>93</v>
      </c>
      <c r="G107" s="196">
        <f t="shared" si="1"/>
        <v>46.5</v>
      </c>
      <c r="H107" s="196">
        <v>108200</v>
      </c>
      <c r="I107" s="196" t="s">
        <v>2246</v>
      </c>
      <c r="J107" s="196"/>
    </row>
    <row r="108" spans="1:10" ht="14.4" hidden="1" outlineLevel="1">
      <c r="A108" s="196" t="s">
        <v>351</v>
      </c>
      <c r="B108" s="197">
        <v>40428</v>
      </c>
      <c r="C108" s="196" t="s">
        <v>866</v>
      </c>
      <c r="D108" s="196">
        <v>93.8</v>
      </c>
      <c r="E108" s="196" t="s">
        <v>2244</v>
      </c>
      <c r="F108" s="196">
        <v>93.3</v>
      </c>
      <c r="G108" s="196">
        <f t="shared" si="1"/>
        <v>46.65</v>
      </c>
      <c r="H108" s="196">
        <v>32900</v>
      </c>
      <c r="I108" s="196" t="s">
        <v>2245</v>
      </c>
      <c r="J108" s="196"/>
    </row>
    <row r="109" spans="1:10" ht="14.4" hidden="1" outlineLevel="1">
      <c r="A109" s="196" t="s">
        <v>351</v>
      </c>
      <c r="B109" s="197">
        <v>40429</v>
      </c>
      <c r="C109" s="196" t="s">
        <v>847</v>
      </c>
      <c r="D109" s="196">
        <v>95</v>
      </c>
      <c r="E109" s="196" t="s">
        <v>863</v>
      </c>
      <c r="F109" s="196">
        <v>93.3</v>
      </c>
      <c r="G109" s="196">
        <f t="shared" si="1"/>
        <v>46.65</v>
      </c>
      <c r="H109" s="196">
        <v>48900</v>
      </c>
      <c r="I109" s="196" t="s">
        <v>2243</v>
      </c>
      <c r="J109" s="196"/>
    </row>
    <row r="110" spans="1:10" ht="14.4" hidden="1" outlineLevel="1">
      <c r="A110" s="196" t="s">
        <v>351</v>
      </c>
      <c r="B110" s="197">
        <v>40430</v>
      </c>
      <c r="C110" s="196" t="s">
        <v>908</v>
      </c>
      <c r="D110" s="196">
        <v>96</v>
      </c>
      <c r="E110" s="196" t="s">
        <v>908</v>
      </c>
      <c r="F110" s="196">
        <v>95.9</v>
      </c>
      <c r="G110" s="196">
        <f t="shared" si="1"/>
        <v>47.95</v>
      </c>
      <c r="H110" s="196">
        <v>118700</v>
      </c>
      <c r="I110" s="196" t="s">
        <v>2242</v>
      </c>
      <c r="J110" s="196"/>
    </row>
    <row r="111" spans="1:10" ht="14.4" hidden="1" outlineLevel="1">
      <c r="A111" s="196" t="s">
        <v>351</v>
      </c>
      <c r="B111" s="197">
        <v>40434</v>
      </c>
      <c r="C111" s="196" t="s">
        <v>2240</v>
      </c>
      <c r="D111" s="196">
        <v>95.9</v>
      </c>
      <c r="E111" s="196" t="s">
        <v>621</v>
      </c>
      <c r="F111" s="196">
        <v>95</v>
      </c>
      <c r="G111" s="196">
        <f t="shared" si="1"/>
        <v>47.5</v>
      </c>
      <c r="H111" s="196">
        <v>142500</v>
      </c>
      <c r="I111" s="196" t="s">
        <v>2241</v>
      </c>
      <c r="J111" s="196"/>
    </row>
    <row r="112" spans="1:10" ht="14.4" hidden="1" outlineLevel="1">
      <c r="A112" s="196" t="s">
        <v>351</v>
      </c>
      <c r="B112" s="197">
        <v>40435</v>
      </c>
      <c r="C112" s="196" t="s">
        <v>621</v>
      </c>
      <c r="D112" s="196">
        <v>97</v>
      </c>
      <c r="E112" s="196" t="s">
        <v>854</v>
      </c>
      <c r="F112" s="196">
        <v>93.6</v>
      </c>
      <c r="G112" s="196">
        <f t="shared" si="1"/>
        <v>46.8</v>
      </c>
      <c r="H112" s="196">
        <v>89200</v>
      </c>
      <c r="I112" s="196" t="s">
        <v>2239</v>
      </c>
      <c r="J112" s="196"/>
    </row>
    <row r="113" spans="1:10" ht="14.4" hidden="1" outlineLevel="1">
      <c r="A113" s="196" t="s">
        <v>351</v>
      </c>
      <c r="B113" s="197">
        <v>40436</v>
      </c>
      <c r="C113" s="196" t="s">
        <v>621</v>
      </c>
      <c r="D113" s="196">
        <v>98.9</v>
      </c>
      <c r="E113" s="196" t="s">
        <v>870</v>
      </c>
      <c r="F113" s="196">
        <v>95.8</v>
      </c>
      <c r="G113" s="196">
        <f t="shared" si="1"/>
        <v>47.9</v>
      </c>
      <c r="H113" s="196">
        <v>180000</v>
      </c>
      <c r="I113" s="196" t="s">
        <v>2238</v>
      </c>
      <c r="J113" s="196"/>
    </row>
    <row r="114" spans="1:10" ht="14.4" hidden="1" outlineLevel="1">
      <c r="A114" s="196" t="s">
        <v>351</v>
      </c>
      <c r="B114" s="197">
        <v>40437</v>
      </c>
      <c r="C114" s="196" t="s">
        <v>626</v>
      </c>
      <c r="D114" s="196">
        <v>103</v>
      </c>
      <c r="E114" s="196" t="s">
        <v>626</v>
      </c>
      <c r="F114" s="196">
        <v>101.5</v>
      </c>
      <c r="G114" s="196">
        <f t="shared" si="1"/>
        <v>50.75</v>
      </c>
      <c r="H114" s="196">
        <v>221000</v>
      </c>
      <c r="I114" s="196" t="s">
        <v>2237</v>
      </c>
      <c r="J114" s="196"/>
    </row>
    <row r="115" spans="1:10" ht="14.4" hidden="1" outlineLevel="1">
      <c r="A115" s="196" t="s">
        <v>351</v>
      </c>
      <c r="B115" s="197">
        <v>40438</v>
      </c>
      <c r="C115" s="196" t="s">
        <v>640</v>
      </c>
      <c r="D115" s="196">
        <v>107</v>
      </c>
      <c r="E115" s="196" t="s">
        <v>2235</v>
      </c>
      <c r="F115" s="196">
        <v>102.2</v>
      </c>
      <c r="G115" s="196">
        <f t="shared" si="1"/>
        <v>51.1</v>
      </c>
      <c r="H115" s="196">
        <v>135400</v>
      </c>
      <c r="I115" s="196" t="s">
        <v>2236</v>
      </c>
      <c r="J115" s="196"/>
    </row>
    <row r="116" spans="1:10" ht="14.4" hidden="1" outlineLevel="1">
      <c r="A116" s="196" t="s">
        <v>351</v>
      </c>
      <c r="B116" s="197">
        <v>40441</v>
      </c>
      <c r="C116" s="196" t="s">
        <v>833</v>
      </c>
      <c r="D116" s="196">
        <v>104.5</v>
      </c>
      <c r="E116" s="196" t="s">
        <v>633</v>
      </c>
      <c r="F116" s="196">
        <v>98.8</v>
      </c>
      <c r="G116" s="196">
        <f t="shared" si="1"/>
        <v>49.4</v>
      </c>
      <c r="H116" s="196">
        <v>29800</v>
      </c>
      <c r="I116" s="196" t="s">
        <v>2234</v>
      </c>
      <c r="J116" s="196"/>
    </row>
    <row r="117" spans="1:10" ht="14.4" hidden="1" outlineLevel="1">
      <c r="A117" s="196" t="s">
        <v>351</v>
      </c>
      <c r="B117" s="197">
        <v>40442</v>
      </c>
      <c r="C117" s="196" t="s">
        <v>589</v>
      </c>
      <c r="D117" s="196">
        <v>105</v>
      </c>
      <c r="E117" s="196" t="s">
        <v>616</v>
      </c>
      <c r="F117" s="196">
        <v>104.7</v>
      </c>
      <c r="G117" s="196">
        <f t="shared" si="1"/>
        <v>52.35</v>
      </c>
      <c r="H117" s="196">
        <v>95200</v>
      </c>
      <c r="I117" s="196" t="s">
        <v>2233</v>
      </c>
      <c r="J117" s="196"/>
    </row>
    <row r="118" spans="1:10" ht="14.4" hidden="1" outlineLevel="1">
      <c r="A118" s="196" t="s">
        <v>351</v>
      </c>
      <c r="B118" s="197">
        <v>40444</v>
      </c>
      <c r="C118" s="196" t="s">
        <v>614</v>
      </c>
      <c r="D118" s="196">
        <v>105</v>
      </c>
      <c r="E118" s="196" t="s">
        <v>620</v>
      </c>
      <c r="F118" s="196">
        <v>101.8</v>
      </c>
      <c r="G118" s="196">
        <f t="shared" si="1"/>
        <v>50.9</v>
      </c>
      <c r="H118" s="196">
        <v>187700</v>
      </c>
      <c r="I118" s="196" t="s">
        <v>2232</v>
      </c>
      <c r="J118" s="196"/>
    </row>
    <row r="119" spans="1:10" ht="14.4" hidden="1" outlineLevel="1">
      <c r="A119" s="196" t="s">
        <v>351</v>
      </c>
      <c r="B119" s="197">
        <v>40445</v>
      </c>
      <c r="C119" s="196" t="s">
        <v>600</v>
      </c>
      <c r="D119" s="196">
        <v>102</v>
      </c>
      <c r="E119" s="196" t="s">
        <v>839</v>
      </c>
      <c r="F119" s="196">
        <v>101.2</v>
      </c>
      <c r="G119" s="196">
        <f t="shared" si="1"/>
        <v>50.6</v>
      </c>
      <c r="H119" s="196">
        <v>35000</v>
      </c>
      <c r="I119" s="196" t="s">
        <v>2231</v>
      </c>
      <c r="J119" s="196"/>
    </row>
    <row r="120" spans="1:10" ht="14.4" hidden="1" outlineLevel="1">
      <c r="A120" s="196" t="s">
        <v>351</v>
      </c>
      <c r="B120" s="197">
        <v>40448</v>
      </c>
      <c r="C120" s="196" t="s">
        <v>589</v>
      </c>
      <c r="D120" s="196">
        <v>103</v>
      </c>
      <c r="E120" s="196" t="s">
        <v>616</v>
      </c>
      <c r="F120" s="196">
        <v>99.7</v>
      </c>
      <c r="G120" s="196">
        <f t="shared" si="1"/>
        <v>49.85</v>
      </c>
      <c r="H120" s="196">
        <v>72600</v>
      </c>
      <c r="I120" s="196" t="s">
        <v>2230</v>
      </c>
      <c r="J120" s="196"/>
    </row>
    <row r="121" spans="1:10" ht="14.4" hidden="1" outlineLevel="1">
      <c r="A121" s="196" t="s">
        <v>351</v>
      </c>
      <c r="B121" s="197">
        <v>40449</v>
      </c>
      <c r="C121" s="196" t="s">
        <v>600</v>
      </c>
      <c r="D121" s="196">
        <v>101</v>
      </c>
      <c r="E121" s="196" t="s">
        <v>837</v>
      </c>
      <c r="F121" s="196">
        <v>99.8</v>
      </c>
      <c r="G121" s="196">
        <f t="shared" si="1"/>
        <v>49.9</v>
      </c>
      <c r="H121" s="196">
        <v>67000</v>
      </c>
      <c r="I121" s="196" t="s">
        <v>2229</v>
      </c>
      <c r="J121" s="196"/>
    </row>
    <row r="122" spans="1:10" ht="14.4" hidden="1" outlineLevel="1">
      <c r="A122" s="196" t="s">
        <v>351</v>
      </c>
      <c r="B122" s="197">
        <v>40450</v>
      </c>
      <c r="C122" s="196" t="s">
        <v>616</v>
      </c>
      <c r="D122" s="196">
        <v>100</v>
      </c>
      <c r="E122" s="196" t="s">
        <v>839</v>
      </c>
      <c r="F122" s="196">
        <v>99</v>
      </c>
      <c r="G122" s="196">
        <f t="shared" si="1"/>
        <v>49.5</v>
      </c>
      <c r="H122" s="196">
        <v>72200</v>
      </c>
      <c r="I122" s="196" t="s">
        <v>2228</v>
      </c>
      <c r="J122" s="196"/>
    </row>
    <row r="123" spans="1:10" ht="14.4" hidden="1" outlineLevel="1">
      <c r="A123" s="196" t="s">
        <v>351</v>
      </c>
      <c r="B123" s="197">
        <v>40451</v>
      </c>
      <c r="C123" s="196" t="s">
        <v>616</v>
      </c>
      <c r="D123" s="196">
        <v>103</v>
      </c>
      <c r="E123" s="196" t="s">
        <v>623</v>
      </c>
      <c r="F123" s="196">
        <v>99.7</v>
      </c>
      <c r="G123" s="196">
        <f t="shared" si="1"/>
        <v>49.85</v>
      </c>
      <c r="H123" s="196">
        <v>76800</v>
      </c>
      <c r="I123" s="196" t="s">
        <v>2227</v>
      </c>
      <c r="J123" s="196"/>
    </row>
    <row r="124" spans="1:10" ht="14.4" hidden="1" outlineLevel="1">
      <c r="A124" s="196" t="s">
        <v>351</v>
      </c>
      <c r="B124" s="197">
        <v>40452</v>
      </c>
      <c r="C124" s="196" t="s">
        <v>2225</v>
      </c>
      <c r="D124" s="196">
        <v>100</v>
      </c>
      <c r="E124" s="196" t="s">
        <v>840</v>
      </c>
      <c r="F124" s="196">
        <v>98</v>
      </c>
      <c r="G124" s="196">
        <f t="shared" si="1"/>
        <v>49</v>
      </c>
      <c r="H124" s="196">
        <v>40100</v>
      </c>
      <c r="I124" s="196" t="s">
        <v>2226</v>
      </c>
      <c r="J124" s="196"/>
    </row>
    <row r="125" spans="1:10" ht="14.4" hidden="1" outlineLevel="1">
      <c r="A125" s="196" t="s">
        <v>351</v>
      </c>
      <c r="B125" s="197">
        <v>40455</v>
      </c>
      <c r="C125" s="196" t="s">
        <v>616</v>
      </c>
      <c r="D125" s="196">
        <v>100</v>
      </c>
      <c r="E125" s="196" t="s">
        <v>842</v>
      </c>
      <c r="F125" s="196">
        <v>98</v>
      </c>
      <c r="G125" s="196">
        <f t="shared" si="1"/>
        <v>49</v>
      </c>
      <c r="H125" s="196">
        <v>73700</v>
      </c>
      <c r="I125" s="196" t="s">
        <v>2224</v>
      </c>
      <c r="J125" s="196"/>
    </row>
    <row r="126" spans="1:10" ht="14.4" hidden="1" outlineLevel="1">
      <c r="A126" s="196" t="s">
        <v>351</v>
      </c>
      <c r="B126" s="197">
        <v>40456</v>
      </c>
      <c r="C126" s="196" t="s">
        <v>621</v>
      </c>
      <c r="D126" s="196">
        <v>97</v>
      </c>
      <c r="E126" s="196" t="s">
        <v>621</v>
      </c>
      <c r="F126" s="196">
        <v>95.6</v>
      </c>
      <c r="G126" s="196">
        <f t="shared" si="1"/>
        <v>47.8</v>
      </c>
      <c r="H126" s="196">
        <v>6600</v>
      </c>
      <c r="I126" s="196" t="s">
        <v>2223</v>
      </c>
      <c r="J126" s="196"/>
    </row>
    <row r="127" spans="1:10" ht="14.4" hidden="1" outlineLevel="1">
      <c r="A127" s="196" t="s">
        <v>351</v>
      </c>
      <c r="B127" s="197">
        <v>40457</v>
      </c>
      <c r="C127" s="196" t="s">
        <v>621</v>
      </c>
      <c r="D127" s="196">
        <v>95</v>
      </c>
      <c r="E127" s="196" t="s">
        <v>856</v>
      </c>
      <c r="F127" s="196">
        <v>94.4</v>
      </c>
      <c r="G127" s="196">
        <f t="shared" si="1"/>
        <v>47.2</v>
      </c>
      <c r="H127" s="196">
        <v>16400</v>
      </c>
      <c r="I127" s="196" t="s">
        <v>2222</v>
      </c>
      <c r="J127" s="196"/>
    </row>
    <row r="128" spans="1:10" ht="14.4" hidden="1" outlineLevel="1">
      <c r="A128" s="196" t="s">
        <v>351</v>
      </c>
      <c r="B128" s="197">
        <v>40458</v>
      </c>
      <c r="C128" s="196" t="s">
        <v>863</v>
      </c>
      <c r="D128" s="196">
        <v>96</v>
      </c>
      <c r="E128" s="196" t="s">
        <v>870</v>
      </c>
      <c r="F128" s="196">
        <v>92.6</v>
      </c>
      <c r="G128" s="196">
        <f t="shared" si="1"/>
        <v>46.3</v>
      </c>
      <c r="H128" s="196">
        <v>26600</v>
      </c>
      <c r="I128" s="196" t="s">
        <v>2221</v>
      </c>
      <c r="J128" s="196"/>
    </row>
    <row r="129" spans="1:10" ht="14.4" hidden="1" outlineLevel="1">
      <c r="A129" s="196" t="s">
        <v>351</v>
      </c>
      <c r="B129" s="197">
        <v>40459</v>
      </c>
      <c r="C129" s="196" t="s">
        <v>863</v>
      </c>
      <c r="D129" s="196">
        <v>94.5</v>
      </c>
      <c r="E129" s="196" t="s">
        <v>2041</v>
      </c>
      <c r="F129" s="196">
        <v>94</v>
      </c>
      <c r="G129" s="196">
        <f t="shared" si="1"/>
        <v>47</v>
      </c>
      <c r="H129" s="196">
        <v>13100</v>
      </c>
      <c r="I129" s="196" t="s">
        <v>2220</v>
      </c>
      <c r="J129" s="196"/>
    </row>
    <row r="130" spans="1:10" ht="14.4" hidden="1" outlineLevel="1">
      <c r="A130" s="196" t="s">
        <v>351</v>
      </c>
      <c r="B130" s="197">
        <v>40462</v>
      </c>
      <c r="C130" s="196" t="s">
        <v>908</v>
      </c>
      <c r="D130" s="196">
        <v>94.9</v>
      </c>
      <c r="E130" s="196" t="s">
        <v>847</v>
      </c>
      <c r="F130" s="196">
        <v>93</v>
      </c>
      <c r="G130" s="196">
        <f t="shared" si="1"/>
        <v>46.5</v>
      </c>
      <c r="H130" s="196">
        <v>77400</v>
      </c>
      <c r="I130" s="196" t="s">
        <v>2219</v>
      </c>
      <c r="J130" s="196"/>
    </row>
    <row r="131" spans="1:10" ht="14.4" hidden="1" outlineLevel="1">
      <c r="A131" s="196" t="s">
        <v>351</v>
      </c>
      <c r="B131" s="197">
        <v>40463</v>
      </c>
      <c r="C131" s="196" t="s">
        <v>859</v>
      </c>
      <c r="D131" s="196">
        <v>93</v>
      </c>
      <c r="E131" s="196" t="s">
        <v>941</v>
      </c>
      <c r="F131" s="196">
        <v>89.3</v>
      </c>
      <c r="G131" s="196">
        <f t="shared" si="1"/>
        <v>44.65</v>
      </c>
      <c r="H131" s="196">
        <v>23400</v>
      </c>
      <c r="I131" s="196" t="s">
        <v>2218</v>
      </c>
      <c r="J131" s="196"/>
    </row>
    <row r="132" spans="1:10" ht="14.4" hidden="1" outlineLevel="1">
      <c r="A132" s="196" t="s">
        <v>351</v>
      </c>
      <c r="B132" s="197">
        <v>40464</v>
      </c>
      <c r="C132" s="196" t="s">
        <v>870</v>
      </c>
      <c r="D132" s="196">
        <v>92</v>
      </c>
      <c r="E132" s="196" t="s">
        <v>2032</v>
      </c>
      <c r="F132" s="196">
        <v>90</v>
      </c>
      <c r="G132" s="196">
        <f t="shared" si="1"/>
        <v>45</v>
      </c>
      <c r="H132" s="196">
        <v>98500</v>
      </c>
      <c r="I132" s="196" t="s">
        <v>2217</v>
      </c>
      <c r="J132" s="196"/>
    </row>
    <row r="133" spans="1:10" ht="14.4" hidden="1" outlineLevel="1">
      <c r="A133" s="196" t="s">
        <v>351</v>
      </c>
      <c r="B133" s="197">
        <v>40465</v>
      </c>
      <c r="C133" s="196" t="s">
        <v>863</v>
      </c>
      <c r="D133" s="196">
        <v>92</v>
      </c>
      <c r="E133" s="196" t="s">
        <v>870</v>
      </c>
      <c r="F133" s="196">
        <v>90</v>
      </c>
      <c r="G133" s="196">
        <f t="shared" ref="G133:G196" si="2">F133/2</f>
        <v>45</v>
      </c>
      <c r="H133" s="196">
        <v>15500</v>
      </c>
      <c r="I133" s="196" t="s">
        <v>2216</v>
      </c>
      <c r="J133" s="196"/>
    </row>
    <row r="134" spans="1:10" ht="14.4" hidden="1" outlineLevel="1">
      <c r="A134" s="196" t="s">
        <v>351</v>
      </c>
      <c r="B134" s="197">
        <v>40466</v>
      </c>
      <c r="C134" s="196" t="s">
        <v>847</v>
      </c>
      <c r="D134" s="196">
        <v>94.9</v>
      </c>
      <c r="E134" s="196" t="s">
        <v>941</v>
      </c>
      <c r="F134" s="196">
        <v>89</v>
      </c>
      <c r="G134" s="196">
        <f t="shared" si="2"/>
        <v>44.5</v>
      </c>
      <c r="H134" s="196">
        <v>31400</v>
      </c>
      <c r="I134" s="196" t="s">
        <v>2215</v>
      </c>
      <c r="J134" s="196"/>
    </row>
    <row r="135" spans="1:10" ht="14.4" hidden="1" outlineLevel="1">
      <c r="A135" s="196" t="s">
        <v>351</v>
      </c>
      <c r="B135" s="197">
        <v>40469</v>
      </c>
      <c r="C135" s="196" t="s">
        <v>870</v>
      </c>
      <c r="D135" s="196">
        <v>91</v>
      </c>
      <c r="E135" s="196" t="s">
        <v>627</v>
      </c>
      <c r="F135" s="196">
        <v>88.7</v>
      </c>
      <c r="G135" s="196">
        <f t="shared" si="2"/>
        <v>44.35</v>
      </c>
      <c r="H135" s="196">
        <v>47000</v>
      </c>
      <c r="I135" s="196" t="s">
        <v>2214</v>
      </c>
      <c r="J135" s="196"/>
    </row>
    <row r="136" spans="1:10" ht="14.4" hidden="1" outlineLevel="1">
      <c r="A136" s="196" t="s">
        <v>351</v>
      </c>
      <c r="B136" s="197">
        <v>40470</v>
      </c>
      <c r="C136" s="196" t="s">
        <v>870</v>
      </c>
      <c r="D136" s="196">
        <v>93.1</v>
      </c>
      <c r="E136" s="196" t="s">
        <v>870</v>
      </c>
      <c r="F136" s="196">
        <v>92</v>
      </c>
      <c r="G136" s="196">
        <f t="shared" si="2"/>
        <v>46</v>
      </c>
      <c r="H136" s="196">
        <v>16700</v>
      </c>
      <c r="I136" s="196" t="s">
        <v>2213</v>
      </c>
      <c r="J136" s="196"/>
    </row>
    <row r="137" spans="1:10" ht="14.4" hidden="1" outlineLevel="1">
      <c r="A137" s="196" t="s">
        <v>351</v>
      </c>
      <c r="B137" s="197">
        <v>40471</v>
      </c>
      <c r="C137" s="196" t="s">
        <v>870</v>
      </c>
      <c r="D137" s="196">
        <v>90</v>
      </c>
      <c r="E137" s="196" t="s">
        <v>932</v>
      </c>
      <c r="F137" s="196">
        <v>89.8</v>
      </c>
      <c r="G137" s="196">
        <f t="shared" si="2"/>
        <v>44.9</v>
      </c>
      <c r="H137" s="196">
        <v>20200</v>
      </c>
      <c r="I137" s="196" t="s">
        <v>2212</v>
      </c>
      <c r="J137" s="196"/>
    </row>
    <row r="138" spans="1:10" ht="14.4" hidden="1" outlineLevel="1">
      <c r="A138" s="196" t="s">
        <v>351</v>
      </c>
      <c r="B138" s="197">
        <v>40472</v>
      </c>
      <c r="C138" s="196" t="s">
        <v>941</v>
      </c>
      <c r="D138" s="196">
        <v>90</v>
      </c>
      <c r="E138" s="196" t="s">
        <v>941</v>
      </c>
      <c r="F138" s="196">
        <v>89.3</v>
      </c>
      <c r="G138" s="196">
        <f t="shared" si="2"/>
        <v>44.65</v>
      </c>
      <c r="H138" s="196">
        <v>5100</v>
      </c>
      <c r="I138" s="196" t="s">
        <v>2211</v>
      </c>
      <c r="J138" s="196"/>
    </row>
    <row r="139" spans="1:10" ht="14.4" hidden="1" outlineLevel="1">
      <c r="A139" s="196" t="s">
        <v>351</v>
      </c>
      <c r="B139" s="197">
        <v>40476</v>
      </c>
      <c r="C139" s="196" t="s">
        <v>2209</v>
      </c>
      <c r="D139" s="196">
        <v>90.4</v>
      </c>
      <c r="E139" s="196" t="s">
        <v>2209</v>
      </c>
      <c r="F139" s="196">
        <v>90.4</v>
      </c>
      <c r="G139" s="196">
        <f t="shared" si="2"/>
        <v>45.2</v>
      </c>
      <c r="H139" s="196">
        <v>4700</v>
      </c>
      <c r="I139" s="196" t="s">
        <v>2210</v>
      </c>
      <c r="J139" s="196"/>
    </row>
    <row r="140" spans="1:10" ht="14.4" hidden="1" outlineLevel="1">
      <c r="A140" s="196" t="s">
        <v>351</v>
      </c>
      <c r="B140" s="197">
        <v>40477</v>
      </c>
      <c r="C140" s="196" t="s">
        <v>627</v>
      </c>
      <c r="D140" s="196">
        <v>88</v>
      </c>
      <c r="E140" s="196" t="s">
        <v>2122</v>
      </c>
      <c r="F140" s="196">
        <v>88</v>
      </c>
      <c r="G140" s="196">
        <f t="shared" si="2"/>
        <v>44</v>
      </c>
      <c r="H140" s="196">
        <v>87500</v>
      </c>
      <c r="I140" s="196" t="s">
        <v>2208</v>
      </c>
      <c r="J140" s="196"/>
    </row>
    <row r="141" spans="1:10" ht="14.4" hidden="1" outlineLevel="1">
      <c r="A141" s="196" t="s">
        <v>351</v>
      </c>
      <c r="B141" s="197">
        <v>40478</v>
      </c>
      <c r="C141" s="196" t="s">
        <v>2032</v>
      </c>
      <c r="D141" s="196">
        <v>87.5</v>
      </c>
      <c r="E141" s="196" t="s">
        <v>2024</v>
      </c>
      <c r="F141" s="196">
        <v>87</v>
      </c>
      <c r="G141" s="196">
        <f t="shared" si="2"/>
        <v>43.5</v>
      </c>
      <c r="H141" s="196">
        <v>35800</v>
      </c>
      <c r="I141" s="196" t="s">
        <v>2207</v>
      </c>
      <c r="J141" s="196"/>
    </row>
    <row r="142" spans="1:10" ht="14.4" hidden="1" outlineLevel="1">
      <c r="A142" s="196" t="s">
        <v>351</v>
      </c>
      <c r="B142" s="197">
        <v>40479</v>
      </c>
      <c r="C142" s="196" t="s">
        <v>912</v>
      </c>
      <c r="D142" s="196">
        <v>87.5</v>
      </c>
      <c r="E142" s="196" t="s">
        <v>912</v>
      </c>
      <c r="F142" s="196">
        <v>87.1</v>
      </c>
      <c r="G142" s="196">
        <f t="shared" si="2"/>
        <v>43.55</v>
      </c>
      <c r="H142" s="196">
        <v>100200</v>
      </c>
      <c r="I142" s="196" t="s">
        <v>2206</v>
      </c>
      <c r="J142" s="196"/>
    </row>
    <row r="143" spans="1:10" ht="14.4" hidden="1" outlineLevel="1">
      <c r="A143" s="196" t="s">
        <v>351</v>
      </c>
      <c r="B143" s="197">
        <v>40480</v>
      </c>
      <c r="C143" s="196" t="s">
        <v>912</v>
      </c>
      <c r="D143" s="196">
        <v>89.2</v>
      </c>
      <c r="E143" s="196" t="s">
        <v>912</v>
      </c>
      <c r="F143" s="196">
        <v>88.6</v>
      </c>
      <c r="G143" s="196">
        <f t="shared" si="2"/>
        <v>44.3</v>
      </c>
      <c r="H143" s="196">
        <v>68100</v>
      </c>
      <c r="I143" s="196" t="s">
        <v>2205</v>
      </c>
      <c r="J143" s="196"/>
    </row>
    <row r="144" spans="1:10" ht="14.4" hidden="1" outlineLevel="1">
      <c r="A144" s="196" t="s">
        <v>351</v>
      </c>
      <c r="B144" s="197">
        <v>40483</v>
      </c>
      <c r="C144" s="196" t="s">
        <v>941</v>
      </c>
      <c r="D144" s="196">
        <v>90</v>
      </c>
      <c r="E144" s="196" t="s">
        <v>941</v>
      </c>
      <c r="F144" s="196">
        <v>89.9</v>
      </c>
      <c r="G144" s="196">
        <f t="shared" si="2"/>
        <v>44.95</v>
      </c>
      <c r="H144" s="196">
        <v>38600</v>
      </c>
      <c r="I144" s="196" t="s">
        <v>2204</v>
      </c>
      <c r="J144" s="196"/>
    </row>
    <row r="145" spans="1:10" ht="14.4" hidden="1" outlineLevel="1">
      <c r="A145" s="196" t="s">
        <v>351</v>
      </c>
      <c r="B145" s="197">
        <v>40484</v>
      </c>
      <c r="C145" s="196" t="s">
        <v>870</v>
      </c>
      <c r="D145" s="196">
        <v>90</v>
      </c>
      <c r="E145" s="196" t="s">
        <v>941</v>
      </c>
      <c r="F145" s="196">
        <v>89.9</v>
      </c>
      <c r="G145" s="196">
        <f t="shared" si="2"/>
        <v>44.95</v>
      </c>
      <c r="H145" s="196">
        <v>23400</v>
      </c>
      <c r="I145" s="196" t="s">
        <v>2203</v>
      </c>
      <c r="J145" s="196"/>
    </row>
    <row r="146" spans="1:10" ht="14.4" hidden="1" outlineLevel="1">
      <c r="A146" s="196" t="s">
        <v>351</v>
      </c>
      <c r="B146" s="197">
        <v>40485</v>
      </c>
      <c r="C146" s="196" t="s">
        <v>2100</v>
      </c>
      <c r="D146" s="196">
        <v>90</v>
      </c>
      <c r="E146" s="196" t="s">
        <v>2032</v>
      </c>
      <c r="F146" s="196">
        <v>90</v>
      </c>
      <c r="G146" s="196">
        <f t="shared" si="2"/>
        <v>45</v>
      </c>
      <c r="H146" s="196">
        <v>40000</v>
      </c>
      <c r="I146" s="196" t="s">
        <v>2202</v>
      </c>
      <c r="J146" s="196"/>
    </row>
    <row r="147" spans="1:10" ht="14.4" hidden="1" outlineLevel="1">
      <c r="A147" s="196" t="s">
        <v>351</v>
      </c>
      <c r="B147" s="197">
        <v>40486</v>
      </c>
      <c r="C147" s="196" t="s">
        <v>2032</v>
      </c>
      <c r="D147" s="196">
        <v>88</v>
      </c>
      <c r="E147" s="196" t="s">
        <v>2032</v>
      </c>
      <c r="F147" s="196">
        <v>88</v>
      </c>
      <c r="G147" s="196">
        <f t="shared" si="2"/>
        <v>44</v>
      </c>
      <c r="H147" s="196">
        <v>12600</v>
      </c>
      <c r="I147" s="196" t="s">
        <v>2201</v>
      </c>
      <c r="J147" s="196"/>
    </row>
    <row r="148" spans="1:10" ht="14.4" hidden="1" outlineLevel="1">
      <c r="A148" s="196" t="s">
        <v>351</v>
      </c>
      <c r="B148" s="197">
        <v>40490</v>
      </c>
      <c r="C148" s="196" t="s">
        <v>627</v>
      </c>
      <c r="D148" s="196">
        <v>92.5</v>
      </c>
      <c r="E148" s="196" t="s">
        <v>627</v>
      </c>
      <c r="F148" s="196">
        <v>88.7</v>
      </c>
      <c r="G148" s="196">
        <f t="shared" si="2"/>
        <v>44.35</v>
      </c>
      <c r="H148" s="196">
        <v>19300</v>
      </c>
      <c r="I148" s="196" t="s">
        <v>2200</v>
      </c>
      <c r="J148" s="196"/>
    </row>
    <row r="149" spans="1:10" ht="14.4" hidden="1" outlineLevel="1">
      <c r="A149" s="196" t="s">
        <v>351</v>
      </c>
      <c r="B149" s="197">
        <v>40491</v>
      </c>
      <c r="C149" s="196" t="s">
        <v>2150</v>
      </c>
      <c r="D149" s="196">
        <v>89.5</v>
      </c>
      <c r="E149" s="196" t="s">
        <v>627</v>
      </c>
      <c r="F149" s="196">
        <v>88</v>
      </c>
      <c r="G149" s="196">
        <f t="shared" si="2"/>
        <v>44</v>
      </c>
      <c r="H149" s="196">
        <v>11800</v>
      </c>
      <c r="I149" s="196" t="s">
        <v>2199</v>
      </c>
      <c r="J149" s="196"/>
    </row>
    <row r="150" spans="1:10" ht="14.4" hidden="1" outlineLevel="1">
      <c r="A150" s="196" t="s">
        <v>351</v>
      </c>
      <c r="B150" s="197">
        <v>40492</v>
      </c>
      <c r="C150" s="196" t="s">
        <v>627</v>
      </c>
      <c r="D150" s="196">
        <v>88</v>
      </c>
      <c r="E150" s="196" t="s">
        <v>2126</v>
      </c>
      <c r="F150" s="196">
        <v>87.8</v>
      </c>
      <c r="G150" s="196">
        <f t="shared" si="2"/>
        <v>43.9</v>
      </c>
      <c r="H150" s="196">
        <v>9000</v>
      </c>
      <c r="I150" s="196" t="s">
        <v>2198</v>
      </c>
      <c r="J150" s="196"/>
    </row>
    <row r="151" spans="1:10" ht="14.4" hidden="1" outlineLevel="1">
      <c r="A151" s="196" t="s">
        <v>351</v>
      </c>
      <c r="B151" s="197">
        <v>40493</v>
      </c>
      <c r="C151" s="196" t="s">
        <v>627</v>
      </c>
      <c r="D151" s="196">
        <v>88</v>
      </c>
      <c r="E151" s="196" t="s">
        <v>2126</v>
      </c>
      <c r="F151" s="196">
        <v>87.8</v>
      </c>
      <c r="G151" s="196">
        <f t="shared" si="2"/>
        <v>43.9</v>
      </c>
      <c r="H151" s="196">
        <v>5100</v>
      </c>
      <c r="I151" s="196" t="s">
        <v>2197</v>
      </c>
      <c r="J151" s="196"/>
    </row>
    <row r="152" spans="1:10" ht="14.4" hidden="1" outlineLevel="1">
      <c r="A152" s="196" t="s">
        <v>351</v>
      </c>
      <c r="B152" s="197">
        <v>40494</v>
      </c>
      <c r="C152" s="196" t="s">
        <v>627</v>
      </c>
      <c r="D152" s="196">
        <v>91</v>
      </c>
      <c r="E152" s="196" t="s">
        <v>627</v>
      </c>
      <c r="F152" s="196">
        <v>88</v>
      </c>
      <c r="G152" s="196">
        <f t="shared" si="2"/>
        <v>44</v>
      </c>
      <c r="H152" s="196">
        <v>72900</v>
      </c>
      <c r="I152" s="196" t="s">
        <v>2196</v>
      </c>
      <c r="J152" s="196"/>
    </row>
    <row r="153" spans="1:10" ht="14.4" hidden="1" outlineLevel="1">
      <c r="A153" s="196" t="s">
        <v>351</v>
      </c>
      <c r="B153" s="197">
        <v>40497</v>
      </c>
      <c r="C153" s="196" t="s">
        <v>2032</v>
      </c>
      <c r="D153" s="196">
        <v>88.5</v>
      </c>
      <c r="E153" s="196" t="s">
        <v>923</v>
      </c>
      <c r="F153" s="196">
        <v>86.6</v>
      </c>
      <c r="G153" s="196">
        <f t="shared" si="2"/>
        <v>43.3</v>
      </c>
      <c r="H153" s="196">
        <v>22300</v>
      </c>
      <c r="I153" s="196" t="s">
        <v>2195</v>
      </c>
      <c r="J153" s="196"/>
    </row>
    <row r="154" spans="1:10" ht="14.4" hidden="1" outlineLevel="1">
      <c r="A154" s="196" t="s">
        <v>351</v>
      </c>
      <c r="B154" s="197">
        <v>40498</v>
      </c>
      <c r="C154" s="196" t="s">
        <v>927</v>
      </c>
      <c r="D154" s="196">
        <v>87.5</v>
      </c>
      <c r="E154" s="196" t="s">
        <v>2157</v>
      </c>
      <c r="F154" s="196">
        <v>85.2</v>
      </c>
      <c r="G154" s="196">
        <f t="shared" si="2"/>
        <v>42.6</v>
      </c>
      <c r="H154" s="196">
        <v>30600</v>
      </c>
      <c r="I154" s="196" t="s">
        <v>2194</v>
      </c>
      <c r="J154" s="196"/>
    </row>
    <row r="155" spans="1:10" ht="14.4" hidden="1" outlineLevel="1">
      <c r="A155" s="196" t="s">
        <v>351</v>
      </c>
      <c r="B155" s="197">
        <v>40500</v>
      </c>
      <c r="C155" s="196" t="s">
        <v>2157</v>
      </c>
      <c r="D155" s="196">
        <v>88</v>
      </c>
      <c r="E155" s="196" t="s">
        <v>2157</v>
      </c>
      <c r="F155" s="196">
        <v>88</v>
      </c>
      <c r="G155" s="196">
        <f t="shared" si="2"/>
        <v>44</v>
      </c>
      <c r="H155" s="196">
        <v>8300</v>
      </c>
      <c r="I155" s="196" t="s">
        <v>2193</v>
      </c>
      <c r="J155" s="196"/>
    </row>
    <row r="156" spans="1:10" ht="14.4" hidden="1" outlineLevel="1">
      <c r="A156" s="196" t="s">
        <v>351</v>
      </c>
      <c r="B156" s="197">
        <v>40504</v>
      </c>
      <c r="C156" s="196" t="s">
        <v>912</v>
      </c>
      <c r="D156" s="196">
        <v>87</v>
      </c>
      <c r="E156" s="196" t="s">
        <v>919</v>
      </c>
      <c r="F156" s="196">
        <v>86</v>
      </c>
      <c r="G156" s="196">
        <f t="shared" si="2"/>
        <v>43</v>
      </c>
      <c r="H156" s="196">
        <v>28200</v>
      </c>
      <c r="I156" s="196" t="s">
        <v>2192</v>
      </c>
      <c r="J156" s="196"/>
    </row>
    <row r="157" spans="1:10" ht="14.4" hidden="1" outlineLevel="1">
      <c r="A157" s="196" t="s">
        <v>351</v>
      </c>
      <c r="B157" s="197">
        <v>40505</v>
      </c>
      <c r="C157" s="196" t="s">
        <v>941</v>
      </c>
      <c r="D157" s="196">
        <v>89</v>
      </c>
      <c r="E157" s="196" t="s">
        <v>2157</v>
      </c>
      <c r="F157" s="196">
        <v>85</v>
      </c>
      <c r="G157" s="196">
        <f t="shared" si="2"/>
        <v>42.5</v>
      </c>
      <c r="H157" s="196">
        <v>11500</v>
      </c>
      <c r="I157" s="196" t="s">
        <v>2191</v>
      </c>
      <c r="J157" s="196"/>
    </row>
    <row r="158" spans="1:10" ht="14.4" hidden="1" outlineLevel="1">
      <c r="A158" s="196" t="s">
        <v>351</v>
      </c>
      <c r="B158" s="197">
        <v>40506</v>
      </c>
      <c r="C158" s="196" t="s">
        <v>2157</v>
      </c>
      <c r="D158" s="196">
        <v>85.9</v>
      </c>
      <c r="E158" s="196" t="s">
        <v>2157</v>
      </c>
      <c r="F158" s="196">
        <v>85</v>
      </c>
      <c r="G158" s="196">
        <f t="shared" si="2"/>
        <v>42.5</v>
      </c>
      <c r="H158" s="196">
        <v>14400</v>
      </c>
      <c r="I158" s="196" t="s">
        <v>2190</v>
      </c>
      <c r="J158" s="196"/>
    </row>
    <row r="159" spans="1:10" ht="14.4" hidden="1" outlineLevel="1">
      <c r="A159" s="196" t="s">
        <v>351</v>
      </c>
      <c r="B159" s="197">
        <v>40507</v>
      </c>
      <c r="C159" s="196" t="s">
        <v>2157</v>
      </c>
      <c r="D159" s="196">
        <v>85</v>
      </c>
      <c r="E159" s="196" t="s">
        <v>2188</v>
      </c>
      <c r="F159" s="196">
        <v>84.5</v>
      </c>
      <c r="G159" s="196">
        <f t="shared" si="2"/>
        <v>42.25</v>
      </c>
      <c r="H159" s="196">
        <v>32800</v>
      </c>
      <c r="I159" s="196" t="s">
        <v>2189</v>
      </c>
      <c r="J159" s="196"/>
    </row>
    <row r="160" spans="1:10" ht="14.4" hidden="1" outlineLevel="1">
      <c r="A160" s="196" t="s">
        <v>351</v>
      </c>
      <c r="B160" s="197">
        <v>40508</v>
      </c>
      <c r="C160" s="196" t="s">
        <v>2157</v>
      </c>
      <c r="D160" s="196">
        <v>85</v>
      </c>
      <c r="E160" s="196" t="s">
        <v>947</v>
      </c>
      <c r="F160" s="196">
        <v>84</v>
      </c>
      <c r="G160" s="196">
        <f t="shared" si="2"/>
        <v>42</v>
      </c>
      <c r="H160" s="196">
        <v>11000</v>
      </c>
      <c r="I160" s="196" t="s">
        <v>2187</v>
      </c>
      <c r="J160" s="196"/>
    </row>
    <row r="161" spans="1:10" ht="14.4" hidden="1" outlineLevel="1">
      <c r="A161" s="196" t="s">
        <v>351</v>
      </c>
      <c r="B161" s="197">
        <v>40511</v>
      </c>
      <c r="C161" s="196" t="s">
        <v>948</v>
      </c>
      <c r="D161" s="196">
        <v>83.1</v>
      </c>
      <c r="E161" s="196" t="s">
        <v>950</v>
      </c>
      <c r="F161" s="196">
        <v>80.599999999999994</v>
      </c>
      <c r="G161" s="196">
        <f t="shared" si="2"/>
        <v>40.299999999999997</v>
      </c>
      <c r="H161" s="196">
        <v>2600</v>
      </c>
      <c r="I161" s="196" t="s">
        <v>2186</v>
      </c>
      <c r="J161" s="196"/>
    </row>
    <row r="162" spans="1:10" ht="14.4" hidden="1" outlineLevel="1">
      <c r="A162" s="196" t="s">
        <v>351</v>
      </c>
      <c r="B162" s="197">
        <v>40512</v>
      </c>
      <c r="C162" s="196" t="s">
        <v>927</v>
      </c>
      <c r="D162" s="196">
        <v>86.5</v>
      </c>
      <c r="E162" s="196" t="s">
        <v>1013</v>
      </c>
      <c r="F162" s="196">
        <v>83</v>
      </c>
      <c r="G162" s="196">
        <f t="shared" si="2"/>
        <v>41.5</v>
      </c>
      <c r="H162" s="196">
        <v>9600</v>
      </c>
      <c r="I162" s="196" t="s">
        <v>2185</v>
      </c>
      <c r="J162" s="196"/>
    </row>
    <row r="163" spans="1:10" ht="14.4" hidden="1" outlineLevel="1">
      <c r="A163" s="196" t="s">
        <v>351</v>
      </c>
      <c r="B163" s="197">
        <v>40513</v>
      </c>
      <c r="C163" s="196" t="s">
        <v>2157</v>
      </c>
      <c r="D163" s="196">
        <v>86.5</v>
      </c>
      <c r="E163" s="196" t="s">
        <v>2157</v>
      </c>
      <c r="F163" s="196">
        <v>86</v>
      </c>
      <c r="G163" s="196">
        <f t="shared" si="2"/>
        <v>43</v>
      </c>
      <c r="H163" s="196">
        <v>37800</v>
      </c>
      <c r="I163" s="196" t="s">
        <v>2184</v>
      </c>
      <c r="J163" s="196"/>
    </row>
    <row r="164" spans="1:10" ht="14.4" hidden="1" outlineLevel="1">
      <c r="A164" s="196" t="s">
        <v>351</v>
      </c>
      <c r="B164" s="197">
        <v>40514</v>
      </c>
      <c r="C164" s="196" t="s">
        <v>2164</v>
      </c>
      <c r="D164" s="196">
        <v>85</v>
      </c>
      <c r="E164" s="196" t="s">
        <v>2164</v>
      </c>
      <c r="F164" s="196">
        <v>85</v>
      </c>
      <c r="G164" s="196">
        <f t="shared" si="2"/>
        <v>42.5</v>
      </c>
      <c r="H164" s="196">
        <v>7000</v>
      </c>
      <c r="I164" s="196" t="s">
        <v>2183</v>
      </c>
      <c r="J164" s="196"/>
    </row>
    <row r="165" spans="1:10" ht="14.4" hidden="1" outlineLevel="1">
      <c r="A165" s="196" t="s">
        <v>351</v>
      </c>
      <c r="B165" s="197">
        <v>40515</v>
      </c>
      <c r="C165" s="196" t="s">
        <v>2157</v>
      </c>
      <c r="D165" s="196">
        <v>85</v>
      </c>
      <c r="E165" s="196" t="s">
        <v>2157</v>
      </c>
      <c r="F165" s="196">
        <v>85</v>
      </c>
      <c r="G165" s="196">
        <f t="shared" si="2"/>
        <v>42.5</v>
      </c>
      <c r="H165" s="196">
        <v>1000</v>
      </c>
      <c r="I165" s="196" t="s">
        <v>2182</v>
      </c>
      <c r="J165" s="196"/>
    </row>
    <row r="166" spans="1:10" ht="14.4" hidden="1" outlineLevel="1">
      <c r="A166" s="196" t="s">
        <v>351</v>
      </c>
      <c r="B166" s="197">
        <v>40518</v>
      </c>
      <c r="C166" s="196" t="s">
        <v>2179</v>
      </c>
      <c r="D166" s="196">
        <v>83.2</v>
      </c>
      <c r="E166" s="196" t="s">
        <v>2179</v>
      </c>
      <c r="F166" s="196">
        <v>83.2</v>
      </c>
      <c r="G166" s="196">
        <f t="shared" si="2"/>
        <v>41.6</v>
      </c>
      <c r="H166" s="196">
        <v>1000</v>
      </c>
      <c r="I166" s="196" t="s">
        <v>2181</v>
      </c>
      <c r="J166" s="196"/>
    </row>
    <row r="167" spans="1:10" ht="14.4" hidden="1" outlineLevel="1">
      <c r="A167" s="196" t="s">
        <v>351</v>
      </c>
      <c r="B167" s="197">
        <v>40519</v>
      </c>
      <c r="C167" s="196" t="s">
        <v>2179</v>
      </c>
      <c r="D167" s="196">
        <v>83.2</v>
      </c>
      <c r="E167" s="196" t="s">
        <v>952</v>
      </c>
      <c r="F167" s="196">
        <v>81.099999999999994</v>
      </c>
      <c r="G167" s="196">
        <f t="shared" si="2"/>
        <v>40.549999999999997</v>
      </c>
      <c r="H167" s="196">
        <v>28400</v>
      </c>
      <c r="I167" s="196" t="s">
        <v>2180</v>
      </c>
      <c r="J167" s="196"/>
    </row>
    <row r="168" spans="1:10" ht="14.4" hidden="1" outlineLevel="1">
      <c r="A168" s="196" t="s">
        <v>351</v>
      </c>
      <c r="B168" s="197">
        <v>40520</v>
      </c>
      <c r="C168" s="196" t="s">
        <v>2176</v>
      </c>
      <c r="D168" s="196">
        <v>83.2</v>
      </c>
      <c r="E168" s="196" t="s">
        <v>2177</v>
      </c>
      <c r="F168" s="196">
        <v>81.5</v>
      </c>
      <c r="G168" s="196">
        <f t="shared" si="2"/>
        <v>40.75</v>
      </c>
      <c r="H168" s="196">
        <v>14500</v>
      </c>
      <c r="I168" s="196" t="s">
        <v>2178</v>
      </c>
      <c r="J168" s="196"/>
    </row>
    <row r="169" spans="1:10" ht="14.4" hidden="1" outlineLevel="1">
      <c r="A169" s="196" t="s">
        <v>351</v>
      </c>
      <c r="B169" s="197">
        <v>40521</v>
      </c>
      <c r="C169" s="196" t="s">
        <v>1037</v>
      </c>
      <c r="D169" s="196">
        <v>81</v>
      </c>
      <c r="E169" s="196" t="s">
        <v>1037</v>
      </c>
      <c r="F169" s="196">
        <v>81</v>
      </c>
      <c r="G169" s="196">
        <f t="shared" si="2"/>
        <v>40.5</v>
      </c>
      <c r="H169" s="196">
        <v>8600</v>
      </c>
      <c r="I169" s="196" t="s">
        <v>2175</v>
      </c>
      <c r="J169" s="196"/>
    </row>
    <row r="170" spans="1:10" ht="14.4" hidden="1" outlineLevel="1">
      <c r="A170" s="196" t="s">
        <v>351</v>
      </c>
      <c r="B170" s="197">
        <v>40522</v>
      </c>
      <c r="C170" s="196" t="s">
        <v>952</v>
      </c>
      <c r="D170" s="196">
        <v>83.2</v>
      </c>
      <c r="E170" s="196" t="s">
        <v>952</v>
      </c>
      <c r="F170" s="196">
        <v>83.2</v>
      </c>
      <c r="G170" s="196">
        <f t="shared" si="2"/>
        <v>41.6</v>
      </c>
      <c r="H170" s="196">
        <v>19900</v>
      </c>
      <c r="I170" s="196" t="s">
        <v>2174</v>
      </c>
      <c r="J170" s="196"/>
    </row>
    <row r="171" spans="1:10" ht="14.4" hidden="1" outlineLevel="1">
      <c r="A171" s="196" t="s">
        <v>351</v>
      </c>
      <c r="B171" s="197">
        <v>40525</v>
      </c>
      <c r="C171" s="196" t="s">
        <v>1019</v>
      </c>
      <c r="D171" s="196">
        <v>82.5</v>
      </c>
      <c r="E171" s="196" t="s">
        <v>1019</v>
      </c>
      <c r="F171" s="196">
        <v>82.5</v>
      </c>
      <c r="G171" s="196">
        <f t="shared" si="2"/>
        <v>41.25</v>
      </c>
      <c r="H171" s="196">
        <v>100</v>
      </c>
      <c r="I171" s="196" t="s">
        <v>2173</v>
      </c>
      <c r="J171" s="196"/>
    </row>
    <row r="172" spans="1:10" ht="14.4" hidden="1" outlineLevel="1">
      <c r="A172" s="196" t="s">
        <v>351</v>
      </c>
      <c r="B172" s="197">
        <v>40526</v>
      </c>
      <c r="C172" s="196" t="s">
        <v>2171</v>
      </c>
      <c r="D172" s="196">
        <v>81.099999999999994</v>
      </c>
      <c r="E172" s="196" t="s">
        <v>950</v>
      </c>
      <c r="F172" s="196">
        <v>80.599999999999994</v>
      </c>
      <c r="G172" s="196">
        <f t="shared" si="2"/>
        <v>40.299999999999997</v>
      </c>
      <c r="H172" s="196">
        <v>46100</v>
      </c>
      <c r="I172" s="196" t="s">
        <v>2172</v>
      </c>
      <c r="J172" s="196"/>
    </row>
    <row r="173" spans="1:10" ht="14.4" hidden="1" outlineLevel="1">
      <c r="A173" s="196" t="s">
        <v>351</v>
      </c>
      <c r="B173" s="197">
        <v>40527</v>
      </c>
      <c r="C173" s="196" t="s">
        <v>950</v>
      </c>
      <c r="D173" s="196">
        <v>82</v>
      </c>
      <c r="E173" s="196" t="s">
        <v>950</v>
      </c>
      <c r="F173" s="196">
        <v>82</v>
      </c>
      <c r="G173" s="196">
        <f t="shared" si="2"/>
        <v>41</v>
      </c>
      <c r="H173" s="196">
        <v>5800</v>
      </c>
      <c r="I173" s="196" t="s">
        <v>2170</v>
      </c>
      <c r="J173" s="196"/>
    </row>
    <row r="174" spans="1:10" ht="14.4" hidden="1" outlineLevel="1">
      <c r="A174" s="196" t="s">
        <v>351</v>
      </c>
      <c r="B174" s="197">
        <v>40528</v>
      </c>
      <c r="C174" s="196" t="s">
        <v>950</v>
      </c>
      <c r="D174" s="196">
        <v>82</v>
      </c>
      <c r="E174" s="196" t="s">
        <v>950</v>
      </c>
      <c r="F174" s="196">
        <v>80.2</v>
      </c>
      <c r="G174" s="196">
        <f t="shared" si="2"/>
        <v>40.1</v>
      </c>
      <c r="H174" s="196">
        <v>2400</v>
      </c>
      <c r="I174" s="196" t="s">
        <v>2169</v>
      </c>
      <c r="J174" s="196"/>
    </row>
    <row r="175" spans="1:10" ht="14.4" hidden="1" outlineLevel="1">
      <c r="A175" s="196" t="s">
        <v>351</v>
      </c>
      <c r="B175" s="197">
        <v>40529</v>
      </c>
      <c r="C175" s="196" t="s">
        <v>1054</v>
      </c>
      <c r="D175" s="196">
        <v>80.5</v>
      </c>
      <c r="E175" s="196" t="s">
        <v>1054</v>
      </c>
      <c r="F175" s="196">
        <v>80.5</v>
      </c>
      <c r="G175" s="196">
        <f t="shared" si="2"/>
        <v>40.25</v>
      </c>
      <c r="H175" s="196">
        <v>12100</v>
      </c>
      <c r="I175" s="196" t="s">
        <v>2168</v>
      </c>
      <c r="J175" s="196"/>
    </row>
    <row r="176" spans="1:10" ht="14.4" hidden="1" outlineLevel="1">
      <c r="A176" s="196" t="s">
        <v>351</v>
      </c>
      <c r="B176" s="197">
        <v>40533</v>
      </c>
      <c r="C176" s="196" t="s">
        <v>1010</v>
      </c>
      <c r="D176" s="196">
        <v>80.5</v>
      </c>
      <c r="E176" s="196" t="s">
        <v>2013</v>
      </c>
      <c r="F176" s="196">
        <v>80.3</v>
      </c>
      <c r="G176" s="196">
        <f t="shared" si="2"/>
        <v>40.15</v>
      </c>
      <c r="H176" s="196">
        <v>1200</v>
      </c>
      <c r="I176" s="196" t="s">
        <v>2167</v>
      </c>
      <c r="J176" s="196"/>
    </row>
    <row r="177" spans="1:10" ht="14.4" hidden="1" outlineLevel="1">
      <c r="A177" s="196" t="s">
        <v>351</v>
      </c>
      <c r="B177" s="197">
        <v>40534</v>
      </c>
      <c r="C177" s="196" t="s">
        <v>1007</v>
      </c>
      <c r="D177" s="196">
        <v>84</v>
      </c>
      <c r="E177" s="196" t="s">
        <v>1007</v>
      </c>
      <c r="F177" s="196">
        <v>82.8</v>
      </c>
      <c r="G177" s="196">
        <f t="shared" si="2"/>
        <v>41.4</v>
      </c>
      <c r="H177" s="196">
        <v>500</v>
      </c>
      <c r="I177" s="196" t="s">
        <v>2166</v>
      </c>
      <c r="J177" s="196"/>
    </row>
    <row r="178" spans="1:10" ht="14.4" hidden="1" outlineLevel="1">
      <c r="A178" s="196" t="s">
        <v>351</v>
      </c>
      <c r="B178" s="197">
        <v>40535</v>
      </c>
      <c r="C178" s="196" t="s">
        <v>947</v>
      </c>
      <c r="D178" s="196">
        <v>85</v>
      </c>
      <c r="E178" s="196" t="s">
        <v>2164</v>
      </c>
      <c r="F178" s="196">
        <v>83.5</v>
      </c>
      <c r="G178" s="196">
        <f t="shared" si="2"/>
        <v>41.75</v>
      </c>
      <c r="H178" s="196">
        <v>19000</v>
      </c>
      <c r="I178" s="196" t="s">
        <v>2165</v>
      </c>
      <c r="J178" s="196"/>
    </row>
    <row r="179" spans="1:10" ht="14.4" hidden="1" outlineLevel="1">
      <c r="A179" s="196" t="s">
        <v>351</v>
      </c>
      <c r="B179" s="197">
        <v>40536</v>
      </c>
      <c r="C179" s="196" t="s">
        <v>947</v>
      </c>
      <c r="D179" s="196">
        <v>86.9</v>
      </c>
      <c r="E179" s="196" t="s">
        <v>947</v>
      </c>
      <c r="F179" s="196">
        <v>86.4</v>
      </c>
      <c r="G179" s="196">
        <f t="shared" si="2"/>
        <v>43.2</v>
      </c>
      <c r="H179" s="196">
        <v>79000</v>
      </c>
      <c r="I179" s="196" t="s">
        <v>2163</v>
      </c>
      <c r="J179" s="196"/>
    </row>
    <row r="180" spans="1:10" ht="14.4" hidden="1" outlineLevel="1">
      <c r="A180" s="196" t="s">
        <v>351</v>
      </c>
      <c r="B180" s="197">
        <v>40539</v>
      </c>
      <c r="C180" s="196" t="s">
        <v>2157</v>
      </c>
      <c r="D180" s="196">
        <v>85</v>
      </c>
      <c r="E180" s="196" t="s">
        <v>2157</v>
      </c>
      <c r="F180" s="196">
        <v>85</v>
      </c>
      <c r="G180" s="196">
        <f t="shared" si="2"/>
        <v>42.5</v>
      </c>
      <c r="H180" s="196">
        <v>6100</v>
      </c>
      <c r="I180" s="196" t="s">
        <v>2162</v>
      </c>
      <c r="J180" s="196"/>
    </row>
    <row r="181" spans="1:10" ht="14.4" hidden="1" outlineLevel="1">
      <c r="A181" s="196" t="s">
        <v>351</v>
      </c>
      <c r="B181" s="197">
        <v>40540</v>
      </c>
      <c r="C181" s="196" t="s">
        <v>2022</v>
      </c>
      <c r="D181" s="196">
        <v>86</v>
      </c>
      <c r="E181" s="196" t="s">
        <v>2157</v>
      </c>
      <c r="F181" s="196">
        <v>85</v>
      </c>
      <c r="G181" s="196">
        <f t="shared" si="2"/>
        <v>42.5</v>
      </c>
      <c r="H181" s="196">
        <v>18000</v>
      </c>
      <c r="I181" s="196" t="s">
        <v>2161</v>
      </c>
      <c r="J181" s="196"/>
    </row>
    <row r="182" spans="1:10" ht="14.4" hidden="1" outlineLevel="1">
      <c r="A182" s="196" t="s">
        <v>351</v>
      </c>
      <c r="B182" s="197">
        <v>40541</v>
      </c>
      <c r="C182" s="196" t="s">
        <v>2157</v>
      </c>
      <c r="D182" s="196">
        <v>85.1</v>
      </c>
      <c r="E182" s="196" t="s">
        <v>2157</v>
      </c>
      <c r="F182" s="196">
        <v>85</v>
      </c>
      <c r="G182" s="196">
        <f t="shared" si="2"/>
        <v>42.5</v>
      </c>
      <c r="H182" s="196">
        <v>10500</v>
      </c>
      <c r="I182" s="196" t="s">
        <v>2160</v>
      </c>
      <c r="J182" s="196"/>
    </row>
    <row r="183" spans="1:10" ht="14.4" hidden="1" outlineLevel="1">
      <c r="A183" s="196" t="s">
        <v>351</v>
      </c>
      <c r="B183" s="197">
        <v>40542</v>
      </c>
      <c r="C183" s="196" t="s">
        <v>2022</v>
      </c>
      <c r="D183" s="196">
        <v>85.2</v>
      </c>
      <c r="E183" s="196" t="s">
        <v>2157</v>
      </c>
      <c r="F183" s="196">
        <v>85.1</v>
      </c>
      <c r="G183" s="196">
        <f t="shared" si="2"/>
        <v>42.55</v>
      </c>
      <c r="H183" s="196">
        <v>9600</v>
      </c>
      <c r="I183" s="196" t="s">
        <v>2159</v>
      </c>
      <c r="J183" s="196"/>
    </row>
    <row r="184" spans="1:10" ht="14.4" hidden="1" outlineLevel="1">
      <c r="A184" s="196" t="s">
        <v>351</v>
      </c>
      <c r="B184" s="197">
        <v>40543</v>
      </c>
      <c r="C184" s="196" t="s">
        <v>2157</v>
      </c>
      <c r="D184" s="196">
        <v>86</v>
      </c>
      <c r="E184" s="196" t="s">
        <v>2157</v>
      </c>
      <c r="F184" s="196">
        <v>85.1</v>
      </c>
      <c r="G184" s="196">
        <f t="shared" si="2"/>
        <v>42.55</v>
      </c>
      <c r="H184" s="196">
        <v>10200</v>
      </c>
      <c r="I184" s="196" t="s">
        <v>2158</v>
      </c>
      <c r="J184" s="196"/>
    </row>
    <row r="185" spans="1:10" ht="14.4" hidden="1" outlineLevel="1">
      <c r="A185" s="196" t="s">
        <v>351</v>
      </c>
      <c r="B185" s="197">
        <v>40546</v>
      </c>
      <c r="C185" s="196" t="s">
        <v>912</v>
      </c>
      <c r="D185" s="196">
        <v>89.5</v>
      </c>
      <c r="E185" s="196" t="s">
        <v>919</v>
      </c>
      <c r="F185" s="196">
        <v>86</v>
      </c>
      <c r="G185" s="196">
        <f t="shared" si="2"/>
        <v>43</v>
      </c>
      <c r="H185" s="196">
        <v>5600</v>
      </c>
      <c r="I185" s="196" t="s">
        <v>2156</v>
      </c>
      <c r="J185" s="196"/>
    </row>
    <row r="186" spans="1:10" ht="14.4" hidden="1" outlineLevel="1">
      <c r="A186" s="196" t="s">
        <v>351</v>
      </c>
      <c r="B186" s="197">
        <v>40547</v>
      </c>
      <c r="C186" s="196" t="s">
        <v>919</v>
      </c>
      <c r="D186" s="196">
        <v>94.9</v>
      </c>
      <c r="E186" s="196" t="s">
        <v>919</v>
      </c>
      <c r="F186" s="196">
        <v>90.6</v>
      </c>
      <c r="G186" s="196">
        <f t="shared" si="2"/>
        <v>45.3</v>
      </c>
      <c r="H186" s="196">
        <v>26400</v>
      </c>
      <c r="I186" s="196" t="s">
        <v>2155</v>
      </c>
      <c r="J186" s="196"/>
    </row>
    <row r="187" spans="1:10" ht="14.4" hidden="1" outlineLevel="1">
      <c r="A187" s="196" t="s">
        <v>351</v>
      </c>
      <c r="B187" s="197">
        <v>40548</v>
      </c>
      <c r="C187" s="196" t="s">
        <v>863</v>
      </c>
      <c r="D187" s="196">
        <v>92</v>
      </c>
      <c r="E187" s="196" t="s">
        <v>941</v>
      </c>
      <c r="F187" s="196">
        <v>90</v>
      </c>
      <c r="G187" s="196">
        <f t="shared" si="2"/>
        <v>45</v>
      </c>
      <c r="H187" s="196">
        <v>27500</v>
      </c>
      <c r="I187" s="196" t="s">
        <v>2154</v>
      </c>
      <c r="J187" s="196"/>
    </row>
    <row r="188" spans="1:10" ht="14.4" hidden="1" outlineLevel="1">
      <c r="A188" s="196" t="s">
        <v>351</v>
      </c>
      <c r="B188" s="197">
        <v>40549</v>
      </c>
      <c r="C188" s="196" t="s">
        <v>870</v>
      </c>
      <c r="D188" s="196">
        <v>90</v>
      </c>
      <c r="E188" s="196" t="s">
        <v>941</v>
      </c>
      <c r="F188" s="196">
        <v>90</v>
      </c>
      <c r="G188" s="196">
        <f t="shared" si="2"/>
        <v>45</v>
      </c>
      <c r="H188" s="196">
        <v>51900</v>
      </c>
      <c r="I188" s="196" t="s">
        <v>2153</v>
      </c>
      <c r="J188" s="196"/>
    </row>
    <row r="189" spans="1:10" ht="14.4" hidden="1" outlineLevel="1">
      <c r="A189" s="196" t="s">
        <v>351</v>
      </c>
      <c r="B189" s="197">
        <v>40550</v>
      </c>
      <c r="C189" s="196" t="s">
        <v>867</v>
      </c>
      <c r="D189" s="196">
        <v>90.5</v>
      </c>
      <c r="E189" s="196" t="s">
        <v>918</v>
      </c>
      <c r="F189" s="196">
        <v>90</v>
      </c>
      <c r="G189" s="196">
        <f t="shared" si="2"/>
        <v>45</v>
      </c>
      <c r="H189" s="196">
        <v>187600</v>
      </c>
      <c r="I189" s="196" t="s">
        <v>2152</v>
      </c>
      <c r="J189" s="196"/>
    </row>
    <row r="190" spans="1:10" ht="14.4" hidden="1" outlineLevel="1">
      <c r="A190" s="196" t="s">
        <v>351</v>
      </c>
      <c r="B190" s="197">
        <v>40553</v>
      </c>
      <c r="C190" s="196" t="s">
        <v>867</v>
      </c>
      <c r="D190" s="196">
        <v>90.5</v>
      </c>
      <c r="E190" s="196" t="s">
        <v>2150</v>
      </c>
      <c r="F190" s="196">
        <v>89.8</v>
      </c>
      <c r="G190" s="196">
        <f t="shared" si="2"/>
        <v>44.9</v>
      </c>
      <c r="H190" s="196">
        <v>11000</v>
      </c>
      <c r="I190" s="196" t="s">
        <v>2151</v>
      </c>
      <c r="J190" s="196"/>
    </row>
    <row r="191" spans="1:10" ht="14.4" hidden="1" outlineLevel="1">
      <c r="A191" s="196" t="s">
        <v>351</v>
      </c>
      <c r="B191" s="197">
        <v>40554</v>
      </c>
      <c r="C191" s="196" t="s">
        <v>2129</v>
      </c>
      <c r="D191" s="196">
        <v>92</v>
      </c>
      <c r="E191" s="196" t="s">
        <v>932</v>
      </c>
      <c r="F191" s="196">
        <v>89.9</v>
      </c>
      <c r="G191" s="196">
        <f t="shared" si="2"/>
        <v>44.95</v>
      </c>
      <c r="H191" s="196">
        <v>112600</v>
      </c>
      <c r="I191" s="196" t="s">
        <v>2149</v>
      </c>
      <c r="J191" s="196"/>
    </row>
    <row r="192" spans="1:10" ht="14.4" hidden="1" outlineLevel="1">
      <c r="A192" s="196" t="s">
        <v>351</v>
      </c>
      <c r="B192" s="197">
        <v>40555</v>
      </c>
      <c r="C192" s="196" t="s">
        <v>2129</v>
      </c>
      <c r="D192" s="196">
        <v>90</v>
      </c>
      <c r="E192" s="196" t="s">
        <v>627</v>
      </c>
      <c r="F192" s="196">
        <v>90</v>
      </c>
      <c r="G192" s="196">
        <f t="shared" si="2"/>
        <v>45</v>
      </c>
      <c r="H192" s="196">
        <v>11500</v>
      </c>
      <c r="I192" s="196" t="s">
        <v>2148</v>
      </c>
      <c r="J192" s="196"/>
    </row>
    <row r="193" spans="1:10" ht="14.4" hidden="1" outlineLevel="1">
      <c r="A193" s="196" t="s">
        <v>351</v>
      </c>
      <c r="B193" s="197">
        <v>40556</v>
      </c>
      <c r="C193" s="196" t="s">
        <v>915</v>
      </c>
      <c r="D193" s="196">
        <v>90</v>
      </c>
      <c r="E193" s="196" t="s">
        <v>627</v>
      </c>
      <c r="F193" s="196">
        <v>90</v>
      </c>
      <c r="G193" s="196">
        <f t="shared" si="2"/>
        <v>45</v>
      </c>
      <c r="H193" s="196">
        <v>30800</v>
      </c>
      <c r="I193" s="196" t="s">
        <v>2147</v>
      </c>
      <c r="J193" s="196"/>
    </row>
    <row r="194" spans="1:10" ht="14.4" hidden="1" outlineLevel="1">
      <c r="A194" s="196" t="s">
        <v>351</v>
      </c>
      <c r="B194" s="197">
        <v>40557</v>
      </c>
      <c r="C194" s="196" t="s">
        <v>870</v>
      </c>
      <c r="D194" s="196">
        <v>90.9</v>
      </c>
      <c r="E194" s="196" t="s">
        <v>870</v>
      </c>
      <c r="F194" s="196">
        <v>90.1</v>
      </c>
      <c r="G194" s="196">
        <f t="shared" si="2"/>
        <v>45.05</v>
      </c>
      <c r="H194" s="196">
        <v>28400</v>
      </c>
      <c r="I194" s="196" t="s">
        <v>2146</v>
      </c>
      <c r="J194" s="196"/>
    </row>
    <row r="195" spans="1:10" ht="14.4" hidden="1" outlineLevel="1">
      <c r="A195" s="196" t="s">
        <v>351</v>
      </c>
      <c r="B195" s="197">
        <v>40560</v>
      </c>
      <c r="C195" s="196" t="s">
        <v>2024</v>
      </c>
      <c r="D195" s="196">
        <v>90</v>
      </c>
      <c r="E195" s="196" t="s">
        <v>2024</v>
      </c>
      <c r="F195" s="196">
        <v>89</v>
      </c>
      <c r="G195" s="196">
        <f t="shared" si="2"/>
        <v>44.5</v>
      </c>
      <c r="H195" s="196">
        <v>3100</v>
      </c>
      <c r="I195" s="196" t="s">
        <v>2145</v>
      </c>
      <c r="J195" s="196"/>
    </row>
    <row r="196" spans="1:10" ht="14.4" hidden="1" outlineLevel="1">
      <c r="A196" s="196" t="s">
        <v>351</v>
      </c>
      <c r="B196" s="197">
        <v>40561</v>
      </c>
      <c r="C196" s="196" t="s">
        <v>870</v>
      </c>
      <c r="D196" s="196">
        <v>90.5</v>
      </c>
      <c r="E196" s="196" t="s">
        <v>2129</v>
      </c>
      <c r="F196" s="196">
        <v>90.2</v>
      </c>
      <c r="G196" s="196">
        <f t="shared" si="2"/>
        <v>45.1</v>
      </c>
      <c r="H196" s="196">
        <v>76300</v>
      </c>
      <c r="I196" s="196" t="s">
        <v>2144</v>
      </c>
      <c r="J196" s="196"/>
    </row>
    <row r="197" spans="1:10" ht="14.4" hidden="1" outlineLevel="1">
      <c r="A197" s="196" t="s">
        <v>351</v>
      </c>
      <c r="B197" s="197">
        <v>40563</v>
      </c>
      <c r="C197" s="196" t="s">
        <v>870</v>
      </c>
      <c r="D197" s="196">
        <v>90</v>
      </c>
      <c r="E197" s="196" t="s">
        <v>627</v>
      </c>
      <c r="F197" s="196">
        <v>88.4</v>
      </c>
      <c r="G197" s="196">
        <f t="shared" ref="G197:G260" si="3">F197/2</f>
        <v>44.2</v>
      </c>
      <c r="H197" s="196">
        <v>37100</v>
      </c>
      <c r="I197" s="196" t="s">
        <v>2143</v>
      </c>
      <c r="J197" s="196"/>
    </row>
    <row r="198" spans="1:10" ht="14.4" hidden="1" outlineLevel="1">
      <c r="A198" s="196" t="s">
        <v>351</v>
      </c>
      <c r="B198" s="197">
        <v>40564</v>
      </c>
      <c r="C198" s="196" t="s">
        <v>870</v>
      </c>
      <c r="D198" s="196">
        <v>92</v>
      </c>
      <c r="E198" s="196" t="s">
        <v>870</v>
      </c>
      <c r="F198" s="196">
        <v>91.4</v>
      </c>
      <c r="G198" s="196">
        <f t="shared" si="3"/>
        <v>45.7</v>
      </c>
      <c r="H198" s="196">
        <v>102800</v>
      </c>
      <c r="I198" s="196" t="s">
        <v>2142</v>
      </c>
      <c r="J198" s="196"/>
    </row>
    <row r="199" spans="1:10" ht="14.4" hidden="1" outlineLevel="1">
      <c r="A199" s="196" t="s">
        <v>351</v>
      </c>
      <c r="B199" s="197">
        <v>40567</v>
      </c>
      <c r="C199" s="196" t="s">
        <v>891</v>
      </c>
      <c r="D199" s="196">
        <v>91.5</v>
      </c>
      <c r="E199" s="196" t="s">
        <v>870</v>
      </c>
      <c r="F199" s="196">
        <v>90.1</v>
      </c>
      <c r="G199" s="196">
        <f t="shared" si="3"/>
        <v>45.05</v>
      </c>
      <c r="H199" s="196">
        <v>52600</v>
      </c>
      <c r="I199" s="196" t="s">
        <v>2141</v>
      </c>
      <c r="J199" s="196"/>
    </row>
    <row r="200" spans="1:10" ht="14.4" hidden="1" outlineLevel="1">
      <c r="A200" s="196" t="s">
        <v>351</v>
      </c>
      <c r="B200" s="197">
        <v>40568</v>
      </c>
      <c r="C200" s="196" t="s">
        <v>870</v>
      </c>
      <c r="D200" s="196">
        <v>91</v>
      </c>
      <c r="E200" s="196" t="s">
        <v>870</v>
      </c>
      <c r="F200" s="196">
        <v>90.1</v>
      </c>
      <c r="G200" s="196">
        <f t="shared" si="3"/>
        <v>45.05</v>
      </c>
      <c r="H200" s="196">
        <v>58500</v>
      </c>
      <c r="I200" s="196" t="s">
        <v>2140</v>
      </c>
      <c r="J200" s="196"/>
    </row>
    <row r="201" spans="1:10" ht="14.4" hidden="1" outlineLevel="1">
      <c r="A201" s="196" t="s">
        <v>351</v>
      </c>
      <c r="B201" s="197">
        <v>40569</v>
      </c>
      <c r="C201" s="196" t="s">
        <v>872</v>
      </c>
      <c r="D201" s="196">
        <v>91</v>
      </c>
      <c r="E201" s="196" t="s">
        <v>915</v>
      </c>
      <c r="F201" s="196">
        <v>90.1</v>
      </c>
      <c r="G201" s="196">
        <f t="shared" si="3"/>
        <v>45.05</v>
      </c>
      <c r="H201" s="196">
        <v>67500</v>
      </c>
      <c r="I201" s="196" t="s">
        <v>2139</v>
      </c>
      <c r="J201" s="196"/>
    </row>
    <row r="202" spans="1:10" ht="14.4" hidden="1" outlineLevel="1">
      <c r="A202" s="196" t="s">
        <v>351</v>
      </c>
      <c r="B202" s="197">
        <v>40570</v>
      </c>
      <c r="C202" s="196" t="s">
        <v>870</v>
      </c>
      <c r="D202" s="196">
        <v>90</v>
      </c>
      <c r="E202" s="196" t="s">
        <v>941</v>
      </c>
      <c r="F202" s="196">
        <v>89.5</v>
      </c>
      <c r="G202" s="196">
        <f t="shared" si="3"/>
        <v>44.75</v>
      </c>
      <c r="H202" s="196">
        <v>102100</v>
      </c>
      <c r="I202" s="196" t="s">
        <v>2138</v>
      </c>
      <c r="J202" s="196"/>
    </row>
    <row r="203" spans="1:10" ht="14.4" hidden="1" outlineLevel="1">
      <c r="A203" s="196" t="s">
        <v>351</v>
      </c>
      <c r="B203" s="197">
        <v>40571</v>
      </c>
      <c r="C203" s="196" t="s">
        <v>2129</v>
      </c>
      <c r="D203" s="196">
        <v>90</v>
      </c>
      <c r="E203" s="196" t="s">
        <v>915</v>
      </c>
      <c r="F203" s="196">
        <v>88.7</v>
      </c>
      <c r="G203" s="196">
        <f t="shared" si="3"/>
        <v>44.35</v>
      </c>
      <c r="H203" s="196">
        <v>8100</v>
      </c>
      <c r="I203" s="196" t="s">
        <v>2137</v>
      </c>
      <c r="J203" s="196"/>
    </row>
    <row r="204" spans="1:10" ht="14.4" hidden="1" outlineLevel="1">
      <c r="A204" s="196" t="s">
        <v>351</v>
      </c>
      <c r="B204" s="197">
        <v>40574</v>
      </c>
      <c r="C204" s="196" t="s">
        <v>941</v>
      </c>
      <c r="D204" s="196">
        <v>89.9</v>
      </c>
      <c r="E204" s="196" t="s">
        <v>941</v>
      </c>
      <c r="F204" s="196">
        <v>89.7</v>
      </c>
      <c r="G204" s="196">
        <f t="shared" si="3"/>
        <v>44.85</v>
      </c>
      <c r="H204" s="196">
        <v>16900</v>
      </c>
      <c r="I204" s="196" t="s">
        <v>2136</v>
      </c>
      <c r="J204" s="196"/>
    </row>
    <row r="205" spans="1:10" ht="14.4" hidden="1" outlineLevel="1">
      <c r="A205" s="196" t="s">
        <v>351</v>
      </c>
      <c r="B205" s="197">
        <v>40575</v>
      </c>
      <c r="C205" s="196" t="s">
        <v>870</v>
      </c>
      <c r="D205" s="196">
        <v>90</v>
      </c>
      <c r="E205" s="196" t="s">
        <v>941</v>
      </c>
      <c r="F205" s="196">
        <v>89.5</v>
      </c>
      <c r="G205" s="196">
        <f t="shared" si="3"/>
        <v>44.75</v>
      </c>
      <c r="H205" s="196">
        <v>9700</v>
      </c>
      <c r="I205" s="196" t="s">
        <v>2135</v>
      </c>
      <c r="J205" s="196"/>
    </row>
    <row r="206" spans="1:10" ht="14.4" hidden="1" outlineLevel="1">
      <c r="A206" s="196" t="s">
        <v>351</v>
      </c>
      <c r="B206" s="197">
        <v>40576</v>
      </c>
      <c r="C206" s="196" t="s">
        <v>2129</v>
      </c>
      <c r="D206" s="196">
        <v>89.9</v>
      </c>
      <c r="E206" s="196" t="s">
        <v>915</v>
      </c>
      <c r="F206" s="196">
        <v>88.5</v>
      </c>
      <c r="G206" s="196">
        <f t="shared" si="3"/>
        <v>44.25</v>
      </c>
      <c r="H206" s="196">
        <v>15800</v>
      </c>
      <c r="I206" s="196" t="s">
        <v>2134</v>
      </c>
      <c r="J206" s="196"/>
    </row>
    <row r="207" spans="1:10" ht="14.4" hidden="1" outlineLevel="1">
      <c r="A207" s="196" t="s">
        <v>351</v>
      </c>
      <c r="B207" s="197">
        <v>40577</v>
      </c>
      <c r="C207" s="196" t="s">
        <v>2129</v>
      </c>
      <c r="D207" s="196">
        <v>89.9</v>
      </c>
      <c r="E207" s="196" t="s">
        <v>627</v>
      </c>
      <c r="F207" s="196">
        <v>88</v>
      </c>
      <c r="G207" s="196">
        <f t="shared" si="3"/>
        <v>44</v>
      </c>
      <c r="H207" s="196">
        <v>12600</v>
      </c>
      <c r="I207" s="196" t="s">
        <v>2133</v>
      </c>
      <c r="J207" s="196"/>
    </row>
    <row r="208" spans="1:10" ht="14.4" hidden="1" outlineLevel="1">
      <c r="A208" s="196" t="s">
        <v>351</v>
      </c>
      <c r="B208" s="197">
        <v>40581</v>
      </c>
      <c r="C208" s="196" t="s">
        <v>872</v>
      </c>
      <c r="D208" s="196">
        <v>91</v>
      </c>
      <c r="E208" s="196" t="s">
        <v>2131</v>
      </c>
      <c r="F208" s="196">
        <v>88.9</v>
      </c>
      <c r="G208" s="196">
        <f t="shared" si="3"/>
        <v>44.45</v>
      </c>
      <c r="H208" s="196">
        <v>17000</v>
      </c>
      <c r="I208" s="196" t="s">
        <v>2132</v>
      </c>
      <c r="J208" s="196"/>
    </row>
    <row r="209" spans="1:10" ht="14.4" hidden="1" outlineLevel="1">
      <c r="A209" s="196" t="s">
        <v>351</v>
      </c>
      <c r="B209" s="197">
        <v>40582</v>
      </c>
      <c r="C209" s="196" t="s">
        <v>2129</v>
      </c>
      <c r="D209" s="196">
        <v>89.9</v>
      </c>
      <c r="E209" s="196" t="s">
        <v>627</v>
      </c>
      <c r="F209" s="196">
        <v>89.5</v>
      </c>
      <c r="G209" s="196">
        <f t="shared" si="3"/>
        <v>44.75</v>
      </c>
      <c r="H209" s="196">
        <v>15900</v>
      </c>
      <c r="I209" s="196" t="s">
        <v>2130</v>
      </c>
      <c r="J209" s="196"/>
    </row>
    <row r="210" spans="1:10" ht="14.4" hidden="1" outlineLevel="1">
      <c r="A210" s="196" t="s">
        <v>351</v>
      </c>
      <c r="B210" s="197">
        <v>40583</v>
      </c>
      <c r="C210" s="196" t="s">
        <v>932</v>
      </c>
      <c r="D210" s="196">
        <v>89.5</v>
      </c>
      <c r="E210" s="196" t="s">
        <v>627</v>
      </c>
      <c r="F210" s="196">
        <v>88.3</v>
      </c>
      <c r="G210" s="196">
        <f t="shared" si="3"/>
        <v>44.15</v>
      </c>
      <c r="H210" s="196">
        <v>8200</v>
      </c>
      <c r="I210" s="196" t="s">
        <v>2128</v>
      </c>
      <c r="J210" s="196"/>
    </row>
    <row r="211" spans="1:10" ht="14.4" hidden="1" outlineLevel="1">
      <c r="A211" s="196" t="s">
        <v>351</v>
      </c>
      <c r="B211" s="197">
        <v>40584</v>
      </c>
      <c r="C211" s="196" t="s">
        <v>2126</v>
      </c>
      <c r="D211" s="196">
        <v>88</v>
      </c>
      <c r="E211" s="196" t="s">
        <v>2126</v>
      </c>
      <c r="F211" s="196">
        <v>87.9</v>
      </c>
      <c r="G211" s="196">
        <f t="shared" si="3"/>
        <v>43.95</v>
      </c>
      <c r="H211" s="196">
        <v>1800</v>
      </c>
      <c r="I211" s="196" t="s">
        <v>2127</v>
      </c>
      <c r="J211" s="196"/>
    </row>
    <row r="212" spans="1:10" ht="14.4" hidden="1" outlineLevel="1">
      <c r="A212" s="196" t="s">
        <v>351</v>
      </c>
      <c r="B212" s="197">
        <v>40585</v>
      </c>
      <c r="C212" s="196" t="s">
        <v>627</v>
      </c>
      <c r="D212" s="196">
        <v>89</v>
      </c>
      <c r="E212" s="196" t="s">
        <v>627</v>
      </c>
      <c r="F212" s="196">
        <v>88</v>
      </c>
      <c r="G212" s="196">
        <f t="shared" si="3"/>
        <v>44</v>
      </c>
      <c r="H212" s="196">
        <v>9000</v>
      </c>
      <c r="I212" s="196" t="s">
        <v>2125</v>
      </c>
      <c r="J212" s="196"/>
    </row>
    <row r="213" spans="1:10" ht="14.4" hidden="1" outlineLevel="1">
      <c r="A213" s="196" t="s">
        <v>351</v>
      </c>
      <c r="B213" s="197">
        <v>40588</v>
      </c>
      <c r="C213" s="196" t="s">
        <v>627</v>
      </c>
      <c r="D213" s="196">
        <v>88.1</v>
      </c>
      <c r="E213" s="196" t="s">
        <v>2122</v>
      </c>
      <c r="F213" s="196">
        <v>88</v>
      </c>
      <c r="G213" s="196">
        <f t="shared" si="3"/>
        <v>44</v>
      </c>
      <c r="H213" s="196">
        <v>67900</v>
      </c>
      <c r="I213" s="196" t="s">
        <v>2124</v>
      </c>
      <c r="J213" s="196"/>
    </row>
    <row r="214" spans="1:10" ht="14.4" hidden="1" outlineLevel="1">
      <c r="A214" s="196" t="s">
        <v>351</v>
      </c>
      <c r="B214" s="197">
        <v>40589</v>
      </c>
      <c r="C214" s="196" t="s">
        <v>627</v>
      </c>
      <c r="D214" s="196">
        <v>89</v>
      </c>
      <c r="E214" s="196" t="s">
        <v>2122</v>
      </c>
      <c r="F214" s="196">
        <v>88.7</v>
      </c>
      <c r="G214" s="196">
        <f t="shared" si="3"/>
        <v>44.35</v>
      </c>
      <c r="H214" s="196">
        <v>10700</v>
      </c>
      <c r="I214" s="196" t="s">
        <v>2123</v>
      </c>
      <c r="J214" s="196"/>
    </row>
    <row r="215" spans="1:10" ht="14.4" hidden="1" outlineLevel="1">
      <c r="A215" s="196" t="s">
        <v>351</v>
      </c>
      <c r="B215" s="197">
        <v>40592</v>
      </c>
      <c r="C215" s="196" t="s">
        <v>932</v>
      </c>
      <c r="D215" s="196">
        <v>92.9</v>
      </c>
      <c r="E215" s="196" t="s">
        <v>627</v>
      </c>
      <c r="F215" s="196">
        <v>91.6</v>
      </c>
      <c r="G215" s="196">
        <f t="shared" si="3"/>
        <v>45.8</v>
      </c>
      <c r="H215" s="196">
        <v>358400</v>
      </c>
      <c r="I215" s="196" t="s">
        <v>2121</v>
      </c>
      <c r="J215" s="196"/>
    </row>
    <row r="216" spans="1:10" ht="14.4" hidden="1" outlineLevel="1">
      <c r="A216" s="196" t="s">
        <v>351</v>
      </c>
      <c r="B216" s="197">
        <v>40595</v>
      </c>
      <c r="C216" s="196" t="s">
        <v>872</v>
      </c>
      <c r="D216" s="196">
        <v>96</v>
      </c>
      <c r="E216" s="196" t="s">
        <v>872</v>
      </c>
      <c r="F216" s="196">
        <v>95.3</v>
      </c>
      <c r="G216" s="196">
        <f t="shared" si="3"/>
        <v>47.65</v>
      </c>
      <c r="H216" s="196">
        <v>348500</v>
      </c>
      <c r="I216" s="196" t="s">
        <v>2120</v>
      </c>
      <c r="J216" s="196"/>
    </row>
    <row r="217" spans="1:10" ht="14.4" hidden="1" outlineLevel="1">
      <c r="A217" s="196" t="s">
        <v>351</v>
      </c>
      <c r="B217" s="197">
        <v>40596</v>
      </c>
      <c r="C217" s="196" t="s">
        <v>626</v>
      </c>
      <c r="D217" s="196">
        <v>97</v>
      </c>
      <c r="E217" s="196" t="s">
        <v>856</v>
      </c>
      <c r="F217" s="196">
        <v>93.5</v>
      </c>
      <c r="G217" s="196">
        <f t="shared" si="3"/>
        <v>46.75</v>
      </c>
      <c r="H217" s="196">
        <v>344200</v>
      </c>
      <c r="I217" s="196" t="s">
        <v>2119</v>
      </c>
      <c r="J217" s="196"/>
    </row>
    <row r="218" spans="1:10" ht="14.4" hidden="1" outlineLevel="1">
      <c r="A218" s="196" t="s">
        <v>351</v>
      </c>
      <c r="B218" s="197">
        <v>40597</v>
      </c>
      <c r="C218" s="196" t="s">
        <v>908</v>
      </c>
      <c r="D218" s="196">
        <v>94.9</v>
      </c>
      <c r="E218" s="196" t="s">
        <v>863</v>
      </c>
      <c r="F218" s="196">
        <v>94</v>
      </c>
      <c r="G218" s="196">
        <f t="shared" si="3"/>
        <v>47</v>
      </c>
      <c r="H218" s="196">
        <v>14900</v>
      </c>
      <c r="I218" s="196" t="s">
        <v>2118</v>
      </c>
      <c r="J218" s="196"/>
    </row>
    <row r="219" spans="1:10" ht="14.4" hidden="1" outlineLevel="1">
      <c r="A219" s="196" t="s">
        <v>351</v>
      </c>
      <c r="B219" s="197">
        <v>40598</v>
      </c>
      <c r="C219" s="196" t="s">
        <v>908</v>
      </c>
      <c r="D219" s="196">
        <v>94.1</v>
      </c>
      <c r="E219" s="196" t="s">
        <v>847</v>
      </c>
      <c r="F219" s="196">
        <v>93</v>
      </c>
      <c r="G219" s="196">
        <f t="shared" si="3"/>
        <v>46.5</v>
      </c>
      <c r="H219" s="196">
        <v>14100</v>
      </c>
      <c r="I219" s="196" t="s">
        <v>2117</v>
      </c>
      <c r="J219" s="196"/>
    </row>
    <row r="220" spans="1:10" ht="14.4" hidden="1" outlineLevel="1">
      <c r="A220" s="196" t="s">
        <v>351</v>
      </c>
      <c r="B220" s="197">
        <v>40599</v>
      </c>
      <c r="C220" s="196" t="s">
        <v>621</v>
      </c>
      <c r="D220" s="196">
        <v>95</v>
      </c>
      <c r="E220" s="196" t="s">
        <v>863</v>
      </c>
      <c r="F220" s="196">
        <v>93.4</v>
      </c>
      <c r="G220" s="196">
        <f t="shared" si="3"/>
        <v>46.7</v>
      </c>
      <c r="H220" s="196">
        <v>36100</v>
      </c>
      <c r="I220" s="196" t="s">
        <v>2116</v>
      </c>
      <c r="J220" s="196"/>
    </row>
    <row r="221" spans="1:10" ht="14.4" hidden="1" outlineLevel="1">
      <c r="A221" s="196" t="s">
        <v>351</v>
      </c>
      <c r="B221" s="197">
        <v>40602</v>
      </c>
      <c r="C221" s="196" t="s">
        <v>858</v>
      </c>
      <c r="D221" s="196">
        <v>94.9</v>
      </c>
      <c r="E221" s="196" t="s">
        <v>856</v>
      </c>
      <c r="F221" s="196">
        <v>93.7</v>
      </c>
      <c r="G221" s="196">
        <f t="shared" si="3"/>
        <v>46.85</v>
      </c>
      <c r="H221" s="196">
        <v>11600</v>
      </c>
      <c r="I221" s="196" t="s">
        <v>2115</v>
      </c>
      <c r="J221" s="196"/>
    </row>
    <row r="222" spans="1:10" ht="14.4" hidden="1" outlineLevel="1">
      <c r="A222" s="196" t="s">
        <v>351</v>
      </c>
      <c r="B222" s="197">
        <v>40603</v>
      </c>
      <c r="C222" s="196" t="s">
        <v>854</v>
      </c>
      <c r="D222" s="196">
        <v>93.5</v>
      </c>
      <c r="E222" s="196" t="s">
        <v>870</v>
      </c>
      <c r="F222" s="196">
        <v>92.2</v>
      </c>
      <c r="G222" s="196">
        <f t="shared" si="3"/>
        <v>46.1</v>
      </c>
      <c r="H222" s="196">
        <v>15300</v>
      </c>
      <c r="I222" s="196" t="s">
        <v>2114</v>
      </c>
      <c r="J222" s="196"/>
    </row>
    <row r="223" spans="1:10" ht="14.4" hidden="1" outlineLevel="1">
      <c r="A223" s="196" t="s">
        <v>351</v>
      </c>
      <c r="B223" s="197">
        <v>40605</v>
      </c>
      <c r="C223" s="196" t="s">
        <v>2041</v>
      </c>
      <c r="D223" s="196">
        <v>90.1</v>
      </c>
      <c r="E223" s="196" t="s">
        <v>919</v>
      </c>
      <c r="F223" s="196">
        <v>87.1</v>
      </c>
      <c r="G223" s="196">
        <f t="shared" si="3"/>
        <v>43.55</v>
      </c>
      <c r="H223" s="196">
        <v>7100</v>
      </c>
      <c r="I223" s="196" t="s">
        <v>2113</v>
      </c>
      <c r="J223" s="196"/>
    </row>
    <row r="224" spans="1:10" ht="14.4" hidden="1" outlineLevel="1">
      <c r="A224" s="196" t="s">
        <v>351</v>
      </c>
      <c r="B224" s="197">
        <v>40606</v>
      </c>
      <c r="C224" s="196" t="s">
        <v>935</v>
      </c>
      <c r="D224" s="196">
        <v>90</v>
      </c>
      <c r="E224" s="196" t="s">
        <v>935</v>
      </c>
      <c r="F224" s="196">
        <v>90</v>
      </c>
      <c r="G224" s="196">
        <f t="shared" si="3"/>
        <v>45</v>
      </c>
      <c r="H224" s="196">
        <v>28200</v>
      </c>
      <c r="I224" s="196" t="s">
        <v>2112</v>
      </c>
      <c r="J224" s="196"/>
    </row>
    <row r="225" spans="1:10" ht="14.4" hidden="1" outlineLevel="1">
      <c r="A225" s="196" t="s">
        <v>351</v>
      </c>
      <c r="B225" s="197">
        <v>40609</v>
      </c>
      <c r="C225" s="196" t="s">
        <v>2100</v>
      </c>
      <c r="D225" s="196">
        <v>89</v>
      </c>
      <c r="E225" s="196" t="s">
        <v>627</v>
      </c>
      <c r="F225" s="196">
        <v>89</v>
      </c>
      <c r="G225" s="196">
        <f t="shared" si="3"/>
        <v>44.5</v>
      </c>
      <c r="H225" s="196">
        <v>14300</v>
      </c>
      <c r="I225" s="196" t="s">
        <v>2111</v>
      </c>
      <c r="J225" s="196"/>
    </row>
    <row r="226" spans="1:10" ht="14.4" hidden="1" outlineLevel="1">
      <c r="A226" s="196" t="s">
        <v>351</v>
      </c>
      <c r="B226" s="197">
        <v>40610</v>
      </c>
      <c r="C226" s="196" t="s">
        <v>941</v>
      </c>
      <c r="D226" s="196">
        <v>90</v>
      </c>
      <c r="E226" s="196" t="s">
        <v>941</v>
      </c>
      <c r="F226" s="196">
        <v>89.5</v>
      </c>
      <c r="G226" s="196">
        <f t="shared" si="3"/>
        <v>44.75</v>
      </c>
      <c r="H226" s="196">
        <v>10600</v>
      </c>
      <c r="I226" s="196" t="s">
        <v>2110</v>
      </c>
      <c r="J226" s="196"/>
    </row>
    <row r="227" spans="1:10" ht="14.4" hidden="1" outlineLevel="1">
      <c r="A227" s="196" t="s">
        <v>351</v>
      </c>
      <c r="B227" s="197">
        <v>40611</v>
      </c>
      <c r="C227" s="196" t="s">
        <v>627</v>
      </c>
      <c r="D227" s="196">
        <v>88.6</v>
      </c>
      <c r="E227" s="196" t="s">
        <v>627</v>
      </c>
      <c r="F227" s="196">
        <v>88.5</v>
      </c>
      <c r="G227" s="196">
        <f t="shared" si="3"/>
        <v>44.25</v>
      </c>
      <c r="H227" s="196">
        <v>15500</v>
      </c>
      <c r="I227" s="196" t="s">
        <v>2109</v>
      </c>
      <c r="J227" s="196"/>
    </row>
    <row r="228" spans="1:10" ht="14.4" hidden="1" outlineLevel="1">
      <c r="A228" s="196" t="s">
        <v>351</v>
      </c>
      <c r="B228" s="197">
        <v>40612</v>
      </c>
      <c r="C228" s="196" t="s">
        <v>932</v>
      </c>
      <c r="D228" s="196">
        <v>91</v>
      </c>
      <c r="E228" s="196" t="s">
        <v>932</v>
      </c>
      <c r="F228" s="196">
        <v>89.9</v>
      </c>
      <c r="G228" s="196">
        <f t="shared" si="3"/>
        <v>44.95</v>
      </c>
      <c r="H228" s="196">
        <v>62900</v>
      </c>
      <c r="I228" s="196" t="s">
        <v>2108</v>
      </c>
      <c r="J228" s="196"/>
    </row>
    <row r="229" spans="1:10" ht="14.4" hidden="1" outlineLevel="1">
      <c r="A229" s="196" t="s">
        <v>351</v>
      </c>
      <c r="B229" s="197">
        <v>40613</v>
      </c>
      <c r="C229" s="196" t="s">
        <v>2100</v>
      </c>
      <c r="D229" s="196">
        <v>92</v>
      </c>
      <c r="E229" s="196" t="s">
        <v>627</v>
      </c>
      <c r="F229" s="196">
        <v>88.1</v>
      </c>
      <c r="G229" s="196">
        <f t="shared" si="3"/>
        <v>44.05</v>
      </c>
      <c r="H229" s="196">
        <v>62100</v>
      </c>
      <c r="I229" s="196" t="s">
        <v>2107</v>
      </c>
      <c r="J229" s="196"/>
    </row>
    <row r="230" spans="1:10" ht="14.4" hidden="1" outlineLevel="1">
      <c r="A230" s="196" t="s">
        <v>351</v>
      </c>
      <c r="B230" s="197">
        <v>40616</v>
      </c>
      <c r="C230" s="196" t="s">
        <v>2100</v>
      </c>
      <c r="D230" s="196">
        <v>88.5</v>
      </c>
      <c r="E230" s="196" t="s">
        <v>627</v>
      </c>
      <c r="F230" s="196">
        <v>88.2</v>
      </c>
      <c r="G230" s="196">
        <f t="shared" si="3"/>
        <v>44.1</v>
      </c>
      <c r="H230" s="196">
        <v>59500</v>
      </c>
      <c r="I230" s="196" t="s">
        <v>2106</v>
      </c>
      <c r="J230" s="196"/>
    </row>
    <row r="231" spans="1:10" ht="14.4" hidden="1" outlineLevel="1">
      <c r="A231" s="196" t="s">
        <v>351</v>
      </c>
      <c r="B231" s="197">
        <v>40617</v>
      </c>
      <c r="C231" s="196" t="s">
        <v>941</v>
      </c>
      <c r="D231" s="196">
        <v>89.5</v>
      </c>
      <c r="E231" s="196" t="s">
        <v>627</v>
      </c>
      <c r="F231" s="196">
        <v>88.2</v>
      </c>
      <c r="G231" s="196">
        <f t="shared" si="3"/>
        <v>44.1</v>
      </c>
      <c r="H231" s="196">
        <v>86500</v>
      </c>
      <c r="I231" s="196" t="s">
        <v>2105</v>
      </c>
      <c r="J231" s="196"/>
    </row>
    <row r="232" spans="1:10" ht="14.4" hidden="1" outlineLevel="1">
      <c r="A232" s="196" t="s">
        <v>351</v>
      </c>
      <c r="B232" s="197">
        <v>40618</v>
      </c>
      <c r="C232" s="196" t="s">
        <v>870</v>
      </c>
      <c r="D232" s="196">
        <v>90</v>
      </c>
      <c r="E232" s="196" t="s">
        <v>938</v>
      </c>
      <c r="F232" s="196">
        <v>89.7</v>
      </c>
      <c r="G232" s="196">
        <f t="shared" si="3"/>
        <v>44.85</v>
      </c>
      <c r="H232" s="196">
        <v>97400</v>
      </c>
      <c r="I232" s="196" t="s">
        <v>2104</v>
      </c>
      <c r="J232" s="196"/>
    </row>
    <row r="233" spans="1:10" ht="14.4" hidden="1" outlineLevel="1">
      <c r="A233" s="196" t="s">
        <v>351</v>
      </c>
      <c r="B233" s="197">
        <v>40619</v>
      </c>
      <c r="C233" s="196" t="s">
        <v>941</v>
      </c>
      <c r="D233" s="196">
        <v>90</v>
      </c>
      <c r="E233" s="196" t="s">
        <v>914</v>
      </c>
      <c r="F233" s="196">
        <v>89.8</v>
      </c>
      <c r="G233" s="196">
        <f t="shared" si="3"/>
        <v>44.9</v>
      </c>
      <c r="H233" s="196">
        <v>8600</v>
      </c>
      <c r="I233" s="196" t="s">
        <v>2103</v>
      </c>
      <c r="J233" s="196"/>
    </row>
    <row r="234" spans="1:10" ht="14.4" hidden="1" outlineLevel="1">
      <c r="A234" s="196" t="s">
        <v>351</v>
      </c>
      <c r="B234" s="197">
        <v>40620</v>
      </c>
      <c r="C234" s="196" t="s">
        <v>921</v>
      </c>
      <c r="D234" s="196">
        <v>89.9</v>
      </c>
      <c r="E234" s="196" t="s">
        <v>912</v>
      </c>
      <c r="F234" s="196">
        <v>88.2</v>
      </c>
      <c r="G234" s="196">
        <f t="shared" si="3"/>
        <v>44.1</v>
      </c>
      <c r="H234" s="196">
        <v>9300</v>
      </c>
      <c r="I234" s="196" t="s">
        <v>2102</v>
      </c>
      <c r="J234" s="196"/>
    </row>
    <row r="235" spans="1:10" ht="14.4" hidden="1" outlineLevel="1">
      <c r="A235" s="196" t="s">
        <v>351</v>
      </c>
      <c r="B235" s="197">
        <v>40623</v>
      </c>
      <c r="C235" s="196" t="s">
        <v>941</v>
      </c>
      <c r="D235" s="196">
        <v>90</v>
      </c>
      <c r="E235" s="196" t="s">
        <v>2100</v>
      </c>
      <c r="F235" s="196">
        <v>89</v>
      </c>
      <c r="G235" s="196">
        <f t="shared" si="3"/>
        <v>44.5</v>
      </c>
      <c r="H235" s="196">
        <v>14600</v>
      </c>
      <c r="I235" s="196" t="s">
        <v>2101</v>
      </c>
      <c r="J235" s="196"/>
    </row>
    <row r="236" spans="1:10" ht="14.4" hidden="1" outlineLevel="1">
      <c r="A236" s="196" t="s">
        <v>351</v>
      </c>
      <c r="B236" s="197">
        <v>40624</v>
      </c>
      <c r="C236" s="196" t="s">
        <v>941</v>
      </c>
      <c r="D236" s="196">
        <v>90.5</v>
      </c>
      <c r="E236" s="196" t="s">
        <v>941</v>
      </c>
      <c r="F236" s="196">
        <v>90</v>
      </c>
      <c r="G236" s="196">
        <f t="shared" si="3"/>
        <v>45</v>
      </c>
      <c r="H236" s="196">
        <v>130900</v>
      </c>
      <c r="I236" s="196" t="s">
        <v>2099</v>
      </c>
      <c r="J236" s="196"/>
    </row>
    <row r="237" spans="1:10" ht="14.4" hidden="1" outlineLevel="1">
      <c r="A237" s="196" t="s">
        <v>351</v>
      </c>
      <c r="B237" s="197">
        <v>40625</v>
      </c>
      <c r="C237" s="196" t="s">
        <v>870</v>
      </c>
      <c r="D237" s="196">
        <v>90</v>
      </c>
      <c r="E237" s="196" t="s">
        <v>2097</v>
      </c>
      <c r="F237" s="196">
        <v>89</v>
      </c>
      <c r="G237" s="196">
        <f t="shared" si="3"/>
        <v>44.5</v>
      </c>
      <c r="H237" s="196">
        <v>7700</v>
      </c>
      <c r="I237" s="196" t="s">
        <v>2098</v>
      </c>
      <c r="J237" s="196"/>
    </row>
    <row r="238" spans="1:10" ht="14.4" hidden="1" outlineLevel="1">
      <c r="A238" s="196" t="s">
        <v>351</v>
      </c>
      <c r="B238" s="197">
        <v>40626</v>
      </c>
      <c r="C238" s="196" t="s">
        <v>870</v>
      </c>
      <c r="D238" s="196">
        <v>95</v>
      </c>
      <c r="E238" s="196" t="s">
        <v>870</v>
      </c>
      <c r="F238" s="196">
        <v>92.4</v>
      </c>
      <c r="G238" s="196">
        <f t="shared" si="3"/>
        <v>46.2</v>
      </c>
      <c r="H238" s="196">
        <v>369000</v>
      </c>
      <c r="I238" s="196" t="s">
        <v>2096</v>
      </c>
      <c r="J238" s="196"/>
    </row>
    <row r="239" spans="1:10" ht="14.4" hidden="1" outlineLevel="1">
      <c r="A239" s="196" t="s">
        <v>351</v>
      </c>
      <c r="B239" s="197">
        <v>40627</v>
      </c>
      <c r="C239" s="196" t="s">
        <v>863</v>
      </c>
      <c r="D239" s="196">
        <v>95.6</v>
      </c>
      <c r="E239" s="196" t="s">
        <v>2094</v>
      </c>
      <c r="F239" s="196">
        <v>94.8</v>
      </c>
      <c r="G239" s="196">
        <f t="shared" si="3"/>
        <v>47.4</v>
      </c>
      <c r="H239" s="196">
        <v>89300</v>
      </c>
      <c r="I239" s="196" t="s">
        <v>2095</v>
      </c>
      <c r="J239" s="196"/>
    </row>
    <row r="240" spans="1:10" ht="14.4" hidden="1" outlineLevel="1">
      <c r="A240" s="196" t="s">
        <v>351</v>
      </c>
      <c r="B240" s="197">
        <v>40630</v>
      </c>
      <c r="C240" s="196" t="s">
        <v>858</v>
      </c>
      <c r="D240" s="196">
        <v>95</v>
      </c>
      <c r="E240" s="196" t="s">
        <v>847</v>
      </c>
      <c r="F240" s="196">
        <v>94.2</v>
      </c>
      <c r="G240" s="196">
        <f t="shared" si="3"/>
        <v>47.1</v>
      </c>
      <c r="H240" s="196">
        <v>18700</v>
      </c>
      <c r="I240" s="196" t="s">
        <v>2093</v>
      </c>
      <c r="J240" s="196"/>
    </row>
    <row r="241" spans="1:10" ht="14.4" hidden="1" outlineLevel="1">
      <c r="A241" s="196" t="s">
        <v>351</v>
      </c>
      <c r="B241" s="197">
        <v>40631</v>
      </c>
      <c r="C241" s="196" t="s">
        <v>621</v>
      </c>
      <c r="D241" s="196">
        <v>95</v>
      </c>
      <c r="E241" s="196" t="s">
        <v>908</v>
      </c>
      <c r="F241" s="196">
        <v>94.5</v>
      </c>
      <c r="G241" s="196">
        <f t="shared" si="3"/>
        <v>47.25</v>
      </c>
      <c r="H241" s="196">
        <v>26000</v>
      </c>
      <c r="I241" s="196" t="s">
        <v>2092</v>
      </c>
      <c r="J241" s="196"/>
    </row>
    <row r="242" spans="1:10" ht="14.4" hidden="1" outlineLevel="1">
      <c r="A242" s="196" t="s">
        <v>351</v>
      </c>
      <c r="B242" s="197">
        <v>40632</v>
      </c>
      <c r="C242" s="196" t="s">
        <v>2043</v>
      </c>
      <c r="D242" s="196">
        <v>94.5</v>
      </c>
      <c r="E242" s="196" t="s">
        <v>903</v>
      </c>
      <c r="F242" s="196">
        <v>94.5</v>
      </c>
      <c r="G242" s="196">
        <f t="shared" si="3"/>
        <v>47.25</v>
      </c>
      <c r="H242" s="196">
        <v>26300</v>
      </c>
      <c r="I242" s="196" t="s">
        <v>2091</v>
      </c>
      <c r="J242" s="196"/>
    </row>
    <row r="243" spans="1:10" ht="14.4" hidden="1" outlineLevel="1">
      <c r="A243" s="196" t="s">
        <v>351</v>
      </c>
      <c r="B243" s="197">
        <v>40633</v>
      </c>
      <c r="C243" s="196" t="s">
        <v>863</v>
      </c>
      <c r="D243" s="196">
        <v>94</v>
      </c>
      <c r="E243" s="196" t="s">
        <v>863</v>
      </c>
      <c r="F243" s="196">
        <v>94</v>
      </c>
      <c r="G243" s="196">
        <f t="shared" si="3"/>
        <v>47</v>
      </c>
      <c r="H243" s="196">
        <v>9600</v>
      </c>
      <c r="I243" s="196" t="s">
        <v>2090</v>
      </c>
    </row>
    <row r="244" spans="1:10" s="192" customFormat="1" ht="14.4" hidden="1" outlineLevel="1">
      <c r="A244" s="198" t="s">
        <v>351</v>
      </c>
      <c r="B244" s="199">
        <v>40634</v>
      </c>
      <c r="C244" s="198" t="s">
        <v>908</v>
      </c>
      <c r="D244" s="198">
        <v>94.8</v>
      </c>
      <c r="E244" s="198" t="s">
        <v>908</v>
      </c>
      <c r="F244" s="198">
        <v>94.6</v>
      </c>
      <c r="G244" s="198">
        <f t="shared" si="3"/>
        <v>47.3</v>
      </c>
      <c r="H244" s="198">
        <v>64100</v>
      </c>
      <c r="I244" s="198" t="s">
        <v>2089</v>
      </c>
      <c r="J244" s="198">
        <f>AVERAGE(G244:G468)</f>
        <v>38.886888888888883</v>
      </c>
    </row>
    <row r="245" spans="1:10" ht="14.4" hidden="1" outlineLevel="1">
      <c r="A245" s="196" t="s">
        <v>351</v>
      </c>
      <c r="B245" s="197">
        <v>40637</v>
      </c>
      <c r="C245" s="196" t="s">
        <v>846</v>
      </c>
      <c r="D245" s="196">
        <v>97</v>
      </c>
      <c r="E245" s="196" t="s">
        <v>846</v>
      </c>
      <c r="F245" s="196">
        <v>96</v>
      </c>
      <c r="G245" s="196">
        <f t="shared" si="3"/>
        <v>48</v>
      </c>
      <c r="H245" s="196">
        <v>106400</v>
      </c>
      <c r="I245" s="196" t="s">
        <v>2088</v>
      </c>
      <c r="J245" s="196"/>
    </row>
    <row r="246" spans="1:10" ht="14.4" hidden="1" outlineLevel="1">
      <c r="A246" s="196" t="s">
        <v>351</v>
      </c>
      <c r="B246" s="197">
        <v>40638</v>
      </c>
      <c r="C246" s="196" t="s">
        <v>626</v>
      </c>
      <c r="D246" s="196">
        <v>98.5</v>
      </c>
      <c r="E246" s="196" t="s">
        <v>621</v>
      </c>
      <c r="F246" s="196">
        <v>97.3</v>
      </c>
      <c r="G246" s="196">
        <f t="shared" si="3"/>
        <v>48.65</v>
      </c>
      <c r="H246" s="196">
        <v>285100</v>
      </c>
      <c r="I246" s="196" t="s">
        <v>2087</v>
      </c>
      <c r="J246" s="196"/>
    </row>
    <row r="247" spans="1:10" ht="14.4" hidden="1" outlineLevel="1">
      <c r="A247" s="196" t="s">
        <v>351</v>
      </c>
      <c r="B247" s="197">
        <v>40639</v>
      </c>
      <c r="C247" s="196" t="s">
        <v>839</v>
      </c>
      <c r="D247" s="196">
        <v>98.5</v>
      </c>
      <c r="E247" s="196" t="s">
        <v>621</v>
      </c>
      <c r="F247" s="196">
        <v>95.5</v>
      </c>
      <c r="G247" s="196">
        <f t="shared" si="3"/>
        <v>47.75</v>
      </c>
      <c r="H247" s="196">
        <v>20200</v>
      </c>
      <c r="I247" s="196" t="s">
        <v>2086</v>
      </c>
      <c r="J247" s="196"/>
    </row>
    <row r="248" spans="1:10" ht="14.4" hidden="1" outlineLevel="1">
      <c r="A248" s="196" t="s">
        <v>351</v>
      </c>
      <c r="B248" s="197">
        <v>40640</v>
      </c>
      <c r="C248" s="196" t="s">
        <v>607</v>
      </c>
      <c r="D248" s="196">
        <v>97.4</v>
      </c>
      <c r="E248" s="196" t="s">
        <v>607</v>
      </c>
      <c r="F248" s="196">
        <v>97</v>
      </c>
      <c r="G248" s="196">
        <f t="shared" si="3"/>
        <v>48.5</v>
      </c>
      <c r="H248" s="196">
        <v>2100</v>
      </c>
      <c r="I248" s="196" t="s">
        <v>2085</v>
      </c>
      <c r="J248" s="196"/>
    </row>
    <row r="249" spans="1:10" ht="14.4" hidden="1" outlineLevel="1">
      <c r="A249" s="196" t="s">
        <v>351</v>
      </c>
      <c r="B249" s="197">
        <v>40641</v>
      </c>
      <c r="C249" s="196" t="s">
        <v>2065</v>
      </c>
      <c r="D249" s="196">
        <v>97</v>
      </c>
      <c r="E249" s="196" t="s">
        <v>621</v>
      </c>
      <c r="F249" s="196">
        <v>96.1</v>
      </c>
      <c r="G249" s="196">
        <f t="shared" si="3"/>
        <v>48.05</v>
      </c>
      <c r="H249" s="196">
        <v>20200</v>
      </c>
      <c r="I249" s="196" t="s">
        <v>2084</v>
      </c>
      <c r="J249" s="196"/>
    </row>
    <row r="250" spans="1:10" ht="14.4" hidden="1" outlineLevel="1">
      <c r="A250" s="196" t="s">
        <v>351</v>
      </c>
      <c r="B250" s="197">
        <v>40644</v>
      </c>
      <c r="C250" s="196" t="s">
        <v>842</v>
      </c>
      <c r="D250" s="196">
        <v>97.3</v>
      </c>
      <c r="E250" s="196" t="s">
        <v>2082</v>
      </c>
      <c r="F250" s="196">
        <v>96.6</v>
      </c>
      <c r="G250" s="196">
        <f t="shared" si="3"/>
        <v>48.3</v>
      </c>
      <c r="H250" s="196">
        <v>21800</v>
      </c>
      <c r="I250" s="196" t="s">
        <v>2083</v>
      </c>
      <c r="J250" s="196"/>
    </row>
    <row r="251" spans="1:10" ht="14.4" hidden="1" outlineLevel="1">
      <c r="A251" s="196" t="s">
        <v>351</v>
      </c>
      <c r="B251" s="197">
        <v>40645</v>
      </c>
      <c r="C251" s="196" t="s">
        <v>842</v>
      </c>
      <c r="D251" s="196">
        <v>103</v>
      </c>
      <c r="E251" s="196" t="s">
        <v>842</v>
      </c>
      <c r="F251" s="196">
        <v>100.2</v>
      </c>
      <c r="G251" s="196">
        <f t="shared" si="3"/>
        <v>50.1</v>
      </c>
      <c r="H251" s="196">
        <v>297200</v>
      </c>
      <c r="I251" s="196" t="s">
        <v>2081</v>
      </c>
      <c r="J251" s="196"/>
    </row>
    <row r="252" spans="1:10" ht="14.4" hidden="1" outlineLevel="1">
      <c r="A252" s="196" t="s">
        <v>351</v>
      </c>
      <c r="B252" s="197">
        <v>40651</v>
      </c>
      <c r="C252" s="196" t="s">
        <v>2079</v>
      </c>
      <c r="D252" s="196">
        <v>102</v>
      </c>
      <c r="E252" s="196" t="s">
        <v>600</v>
      </c>
      <c r="F252" s="196">
        <v>101.1</v>
      </c>
      <c r="G252" s="196">
        <f t="shared" si="3"/>
        <v>50.55</v>
      </c>
      <c r="H252" s="196">
        <v>59000</v>
      </c>
      <c r="I252" s="196" t="s">
        <v>2080</v>
      </c>
      <c r="J252" s="196"/>
    </row>
    <row r="253" spans="1:10" ht="14.4" hidden="1" outlineLevel="1">
      <c r="A253" s="196" t="s">
        <v>351</v>
      </c>
      <c r="B253" s="197">
        <v>40652</v>
      </c>
      <c r="C253" s="196" t="s">
        <v>589</v>
      </c>
      <c r="D253" s="196">
        <v>102</v>
      </c>
      <c r="E253" s="196" t="s">
        <v>633</v>
      </c>
      <c r="F253" s="196">
        <v>98.9</v>
      </c>
      <c r="G253" s="196">
        <f t="shared" si="3"/>
        <v>49.45</v>
      </c>
      <c r="H253" s="196">
        <v>43200</v>
      </c>
      <c r="I253" s="196" t="s">
        <v>2078</v>
      </c>
      <c r="J253" s="196"/>
    </row>
    <row r="254" spans="1:10" ht="14.4" hidden="1" outlineLevel="1">
      <c r="A254" s="196" t="s">
        <v>351</v>
      </c>
      <c r="B254" s="197">
        <v>40653</v>
      </c>
      <c r="C254" s="196" t="s">
        <v>2076</v>
      </c>
      <c r="D254" s="196">
        <v>100</v>
      </c>
      <c r="E254" s="196" t="s">
        <v>2076</v>
      </c>
      <c r="F254" s="196">
        <v>98.8</v>
      </c>
      <c r="G254" s="196">
        <f t="shared" si="3"/>
        <v>49.4</v>
      </c>
      <c r="H254" s="196">
        <v>16300</v>
      </c>
      <c r="I254" s="196" t="s">
        <v>2077</v>
      </c>
      <c r="J254" s="196"/>
    </row>
    <row r="255" spans="1:10" ht="14.4" hidden="1" outlineLevel="1">
      <c r="A255" s="196" t="s">
        <v>351</v>
      </c>
      <c r="B255" s="197">
        <v>40654</v>
      </c>
      <c r="C255" s="196" t="s">
        <v>839</v>
      </c>
      <c r="D255" s="196">
        <v>100</v>
      </c>
      <c r="E255" s="196" t="s">
        <v>842</v>
      </c>
      <c r="F255" s="196">
        <v>98</v>
      </c>
      <c r="G255" s="196">
        <f t="shared" si="3"/>
        <v>49</v>
      </c>
      <c r="H255" s="196">
        <v>15400</v>
      </c>
      <c r="I255" s="196" t="s">
        <v>2075</v>
      </c>
      <c r="J255" s="196"/>
    </row>
    <row r="256" spans="1:10" ht="14.4" hidden="1" outlineLevel="1">
      <c r="A256" s="196" t="s">
        <v>351</v>
      </c>
      <c r="B256" s="197">
        <v>40658</v>
      </c>
      <c r="C256" s="196" t="s">
        <v>633</v>
      </c>
      <c r="D256" s="196">
        <v>98</v>
      </c>
      <c r="E256" s="196" t="s">
        <v>842</v>
      </c>
      <c r="F256" s="196">
        <v>97</v>
      </c>
      <c r="G256" s="196">
        <f t="shared" si="3"/>
        <v>48.5</v>
      </c>
      <c r="H256" s="196">
        <v>69500</v>
      </c>
      <c r="I256" s="196" t="s">
        <v>2074</v>
      </c>
      <c r="J256" s="196"/>
    </row>
    <row r="257" spans="1:10" ht="14.4" hidden="1" outlineLevel="1">
      <c r="A257" s="196" t="s">
        <v>351</v>
      </c>
      <c r="B257" s="197">
        <v>40659</v>
      </c>
      <c r="C257" s="196" t="s">
        <v>2072</v>
      </c>
      <c r="D257" s="196">
        <v>97</v>
      </c>
      <c r="E257" s="196" t="s">
        <v>626</v>
      </c>
      <c r="F257" s="196">
        <v>96.1</v>
      </c>
      <c r="G257" s="196">
        <f t="shared" si="3"/>
        <v>48.05</v>
      </c>
      <c r="H257" s="196">
        <v>14600</v>
      </c>
      <c r="I257" s="196" t="s">
        <v>2073</v>
      </c>
      <c r="J257" s="196"/>
    </row>
    <row r="258" spans="1:10" ht="14.4" hidden="1" outlineLevel="1">
      <c r="A258" s="196" t="s">
        <v>351</v>
      </c>
      <c r="B258" s="197">
        <v>40660</v>
      </c>
      <c r="C258" s="196" t="s">
        <v>2065</v>
      </c>
      <c r="D258" s="196">
        <v>98</v>
      </c>
      <c r="E258" s="196" t="s">
        <v>626</v>
      </c>
      <c r="F258" s="196">
        <v>96.1</v>
      </c>
      <c r="G258" s="196">
        <f t="shared" si="3"/>
        <v>48.05</v>
      </c>
      <c r="H258" s="196">
        <v>54700</v>
      </c>
      <c r="I258" s="196" t="s">
        <v>2071</v>
      </c>
      <c r="J258" s="196"/>
    </row>
    <row r="259" spans="1:10" ht="14.4" hidden="1" outlineLevel="1">
      <c r="A259" s="196" t="s">
        <v>351</v>
      </c>
      <c r="B259" s="197">
        <v>40661</v>
      </c>
      <c r="C259" s="196" t="s">
        <v>2065</v>
      </c>
      <c r="D259" s="196">
        <v>99</v>
      </c>
      <c r="E259" s="196" t="s">
        <v>2065</v>
      </c>
      <c r="F259" s="196">
        <v>96.2</v>
      </c>
      <c r="G259" s="196">
        <f t="shared" si="3"/>
        <v>48.1</v>
      </c>
      <c r="H259" s="196">
        <v>30200</v>
      </c>
      <c r="I259" s="196" t="s">
        <v>2070</v>
      </c>
      <c r="J259" s="196"/>
    </row>
    <row r="260" spans="1:10" ht="14.4" hidden="1" outlineLevel="1">
      <c r="A260" s="196" t="s">
        <v>351</v>
      </c>
      <c r="B260" s="197">
        <v>40662</v>
      </c>
      <c r="C260" s="196" t="s">
        <v>2067</v>
      </c>
      <c r="D260" s="196">
        <v>97</v>
      </c>
      <c r="E260" s="196" t="s">
        <v>2068</v>
      </c>
      <c r="F260" s="196">
        <v>96.3</v>
      </c>
      <c r="G260" s="196">
        <f t="shared" si="3"/>
        <v>48.15</v>
      </c>
      <c r="H260" s="196">
        <v>13600</v>
      </c>
      <c r="I260" s="196" t="s">
        <v>2069</v>
      </c>
      <c r="J260" s="196"/>
    </row>
    <row r="261" spans="1:10" ht="14.4" hidden="1" outlineLevel="1">
      <c r="A261" s="196" t="s">
        <v>351</v>
      </c>
      <c r="B261" s="197">
        <v>40666</v>
      </c>
      <c r="C261" s="196" t="s">
        <v>2065</v>
      </c>
      <c r="D261" s="196">
        <v>96.5</v>
      </c>
      <c r="E261" s="196" t="s">
        <v>621</v>
      </c>
      <c r="F261" s="196">
        <v>95</v>
      </c>
      <c r="G261" s="196">
        <f t="shared" ref="G261:G324" si="4">F261/2</f>
        <v>47.5</v>
      </c>
      <c r="H261" s="196">
        <v>19800</v>
      </c>
      <c r="I261" s="196" t="s">
        <v>2066</v>
      </c>
      <c r="J261" s="196"/>
    </row>
    <row r="262" spans="1:10" ht="14.4" hidden="1" outlineLevel="1">
      <c r="A262" s="196" t="s">
        <v>351</v>
      </c>
      <c r="B262" s="197">
        <v>40667</v>
      </c>
      <c r="C262" s="196" t="s">
        <v>607</v>
      </c>
      <c r="D262" s="196">
        <v>95.1</v>
      </c>
      <c r="E262" s="196" t="s">
        <v>621</v>
      </c>
      <c r="F262" s="196">
        <v>95</v>
      </c>
      <c r="G262" s="196">
        <f t="shared" si="4"/>
        <v>47.5</v>
      </c>
      <c r="H262" s="196">
        <v>19200</v>
      </c>
      <c r="I262" s="196" t="s">
        <v>2064</v>
      </c>
      <c r="J262" s="196"/>
    </row>
    <row r="263" spans="1:10" ht="14.4" hidden="1" outlineLevel="1">
      <c r="A263" s="196" t="s">
        <v>351</v>
      </c>
      <c r="B263" s="197">
        <v>40668</v>
      </c>
      <c r="C263" s="196" t="s">
        <v>846</v>
      </c>
      <c r="D263" s="196">
        <v>94.5</v>
      </c>
      <c r="E263" s="196" t="s">
        <v>2062</v>
      </c>
      <c r="F263" s="196">
        <v>94.2</v>
      </c>
      <c r="G263" s="196">
        <f t="shared" si="4"/>
        <v>47.1</v>
      </c>
      <c r="H263" s="196">
        <v>1100</v>
      </c>
      <c r="I263" s="196" t="s">
        <v>2063</v>
      </c>
      <c r="J263" s="196"/>
    </row>
    <row r="264" spans="1:10" ht="14.4" hidden="1" outlineLevel="1">
      <c r="A264" s="196" t="s">
        <v>351</v>
      </c>
      <c r="B264" s="197">
        <v>40669</v>
      </c>
      <c r="C264" s="196" t="s">
        <v>621</v>
      </c>
      <c r="D264" s="196">
        <v>95</v>
      </c>
      <c r="E264" s="196" t="s">
        <v>621</v>
      </c>
      <c r="F264" s="196">
        <v>95</v>
      </c>
      <c r="G264" s="196">
        <f t="shared" si="4"/>
        <v>47.5</v>
      </c>
      <c r="H264" s="196">
        <v>13800</v>
      </c>
      <c r="I264" s="196" t="s">
        <v>2061</v>
      </c>
      <c r="J264" s="196"/>
    </row>
    <row r="265" spans="1:10" ht="14.4" hidden="1" outlineLevel="1">
      <c r="A265" s="196" t="s">
        <v>351</v>
      </c>
      <c r="B265" s="197">
        <v>40672</v>
      </c>
      <c r="C265" s="196" t="s">
        <v>846</v>
      </c>
      <c r="D265" s="196">
        <v>96.9</v>
      </c>
      <c r="E265" s="196" t="s">
        <v>908</v>
      </c>
      <c r="F265" s="196">
        <v>96.8</v>
      </c>
      <c r="G265" s="196">
        <f t="shared" si="4"/>
        <v>48.4</v>
      </c>
      <c r="H265" s="196">
        <v>6100</v>
      </c>
      <c r="I265" s="196" t="s">
        <v>2060</v>
      </c>
      <c r="J265" s="196"/>
    </row>
    <row r="266" spans="1:10" ht="14.4" hidden="1" outlineLevel="1">
      <c r="A266" s="196" t="s">
        <v>351</v>
      </c>
      <c r="B266" s="197">
        <v>40673</v>
      </c>
      <c r="C266" s="196" t="s">
        <v>908</v>
      </c>
      <c r="D266" s="196">
        <v>95.5</v>
      </c>
      <c r="E266" s="196" t="s">
        <v>908</v>
      </c>
      <c r="F266" s="196">
        <v>95</v>
      </c>
      <c r="G266" s="196">
        <f t="shared" si="4"/>
        <v>47.5</v>
      </c>
      <c r="H266" s="196">
        <v>55000</v>
      </c>
      <c r="I266" s="196" t="s">
        <v>2059</v>
      </c>
      <c r="J266" s="196"/>
    </row>
    <row r="267" spans="1:10" ht="14.4" hidden="1" outlineLevel="1">
      <c r="A267" s="196" t="s">
        <v>351</v>
      </c>
      <c r="B267" s="197">
        <v>40674</v>
      </c>
      <c r="C267" s="196" t="s">
        <v>847</v>
      </c>
      <c r="D267" s="196">
        <v>95.5</v>
      </c>
      <c r="E267" s="196" t="s">
        <v>847</v>
      </c>
      <c r="F267" s="196">
        <v>94.9</v>
      </c>
      <c r="G267" s="196">
        <f t="shared" si="4"/>
        <v>47.45</v>
      </c>
      <c r="H267" s="196">
        <v>14900</v>
      </c>
      <c r="I267" s="196" t="s">
        <v>2058</v>
      </c>
      <c r="J267" s="196"/>
    </row>
    <row r="268" spans="1:10" ht="14.4" hidden="1" outlineLevel="1">
      <c r="A268" s="196" t="s">
        <v>351</v>
      </c>
      <c r="B268" s="197">
        <v>40675</v>
      </c>
      <c r="C268" s="196" t="s">
        <v>621</v>
      </c>
      <c r="D268" s="196">
        <v>95.5</v>
      </c>
      <c r="E268" s="196" t="s">
        <v>621</v>
      </c>
      <c r="F268" s="196">
        <v>95.5</v>
      </c>
      <c r="G268" s="196">
        <f t="shared" si="4"/>
        <v>47.75</v>
      </c>
      <c r="H268" s="196">
        <v>63400</v>
      </c>
      <c r="I268" s="196" t="s">
        <v>2057</v>
      </c>
      <c r="J268" s="196"/>
    </row>
    <row r="269" spans="1:10" ht="14.4" hidden="1" outlineLevel="1">
      <c r="A269" s="196" t="s">
        <v>351</v>
      </c>
      <c r="B269" s="197">
        <v>40676</v>
      </c>
      <c r="C269" s="196" t="s">
        <v>908</v>
      </c>
      <c r="D269" s="196">
        <v>94</v>
      </c>
      <c r="E269" s="196" t="s">
        <v>847</v>
      </c>
      <c r="F269" s="196">
        <v>93</v>
      </c>
      <c r="G269" s="196">
        <f t="shared" si="4"/>
        <v>46.5</v>
      </c>
      <c r="H269" s="196">
        <v>15600</v>
      </c>
      <c r="I269" s="196" t="s">
        <v>2056</v>
      </c>
      <c r="J269" s="196"/>
    </row>
    <row r="270" spans="1:10" ht="14.4" hidden="1" outlineLevel="1">
      <c r="A270" s="196" t="s">
        <v>351</v>
      </c>
      <c r="B270" s="197">
        <v>40679</v>
      </c>
      <c r="C270" s="196" t="s">
        <v>908</v>
      </c>
      <c r="D270" s="196">
        <v>95</v>
      </c>
      <c r="E270" s="196" t="s">
        <v>847</v>
      </c>
      <c r="F270" s="196">
        <v>94.7</v>
      </c>
      <c r="G270" s="196">
        <f t="shared" si="4"/>
        <v>47.35</v>
      </c>
      <c r="H270" s="196">
        <v>3500</v>
      </c>
      <c r="I270" s="196" t="s">
        <v>2055</v>
      </c>
      <c r="J270" s="196"/>
    </row>
    <row r="271" spans="1:10" ht="14.4" hidden="1" outlineLevel="1">
      <c r="A271" s="196" t="s">
        <v>351</v>
      </c>
      <c r="B271" s="197">
        <v>40682</v>
      </c>
      <c r="C271" s="196" t="s">
        <v>621</v>
      </c>
      <c r="D271" s="196">
        <v>96.8</v>
      </c>
      <c r="E271" s="196" t="s">
        <v>621</v>
      </c>
      <c r="F271" s="196">
        <v>95.3</v>
      </c>
      <c r="G271" s="196">
        <f t="shared" si="4"/>
        <v>47.65</v>
      </c>
      <c r="H271" s="196">
        <v>49700</v>
      </c>
      <c r="I271" s="196" t="s">
        <v>2054</v>
      </c>
      <c r="J271" s="196"/>
    </row>
    <row r="272" spans="1:10" ht="14.4" hidden="1" outlineLevel="1">
      <c r="A272" s="196" t="s">
        <v>351</v>
      </c>
      <c r="B272" s="197">
        <v>40683</v>
      </c>
      <c r="C272" s="196" t="s">
        <v>621</v>
      </c>
      <c r="D272" s="196">
        <v>95</v>
      </c>
      <c r="E272" s="196" t="s">
        <v>621</v>
      </c>
      <c r="F272" s="196">
        <v>95</v>
      </c>
      <c r="G272" s="196">
        <f t="shared" si="4"/>
        <v>47.5</v>
      </c>
      <c r="H272" s="196">
        <v>18100</v>
      </c>
      <c r="I272" s="196" t="s">
        <v>2053</v>
      </c>
      <c r="J272" s="196"/>
    </row>
    <row r="273" spans="1:10" ht="14.4" hidden="1" outlineLevel="1">
      <c r="A273" s="196" t="s">
        <v>351</v>
      </c>
      <c r="B273" s="197">
        <v>40686</v>
      </c>
      <c r="C273" s="196" t="s">
        <v>854</v>
      </c>
      <c r="D273" s="196">
        <v>95</v>
      </c>
      <c r="E273" s="196" t="s">
        <v>847</v>
      </c>
      <c r="F273" s="196">
        <v>93.2</v>
      </c>
      <c r="G273" s="196">
        <f t="shared" si="4"/>
        <v>46.6</v>
      </c>
      <c r="H273" s="196">
        <v>9100</v>
      </c>
      <c r="I273" s="196" t="s">
        <v>2052</v>
      </c>
      <c r="J273" s="196"/>
    </row>
    <row r="274" spans="1:10" ht="14.4" hidden="1" outlineLevel="1">
      <c r="A274" s="196" t="s">
        <v>351</v>
      </c>
      <c r="B274" s="197">
        <v>40687</v>
      </c>
      <c r="C274" s="196" t="s">
        <v>856</v>
      </c>
      <c r="D274" s="196">
        <v>94</v>
      </c>
      <c r="E274" s="196" t="s">
        <v>847</v>
      </c>
      <c r="F274" s="196">
        <v>93</v>
      </c>
      <c r="G274" s="196">
        <f t="shared" si="4"/>
        <v>46.5</v>
      </c>
      <c r="H274" s="196">
        <v>26600</v>
      </c>
      <c r="I274" s="196" t="s">
        <v>2051</v>
      </c>
      <c r="J274" s="196"/>
    </row>
    <row r="275" spans="1:10" ht="14.4" hidden="1" outlineLevel="1">
      <c r="A275" s="196" t="s">
        <v>351</v>
      </c>
      <c r="B275" s="197">
        <v>40688</v>
      </c>
      <c r="C275" s="196" t="s">
        <v>891</v>
      </c>
      <c r="D275" s="196">
        <v>94</v>
      </c>
      <c r="E275" s="196" t="s">
        <v>891</v>
      </c>
      <c r="F275" s="196">
        <v>94</v>
      </c>
      <c r="G275" s="196">
        <f t="shared" si="4"/>
        <v>47</v>
      </c>
      <c r="H275" s="196">
        <v>27000</v>
      </c>
      <c r="I275" s="196" t="s">
        <v>2050</v>
      </c>
      <c r="J275" s="196"/>
    </row>
    <row r="276" spans="1:10" ht="14.4" hidden="1" outlineLevel="1">
      <c r="A276" s="196" t="s">
        <v>351</v>
      </c>
      <c r="B276" s="197">
        <v>40689</v>
      </c>
      <c r="C276" s="196" t="s">
        <v>856</v>
      </c>
      <c r="D276" s="196">
        <v>93.1</v>
      </c>
      <c r="E276" s="196" t="s">
        <v>847</v>
      </c>
      <c r="F276" s="196">
        <v>93.1</v>
      </c>
      <c r="G276" s="196">
        <f t="shared" si="4"/>
        <v>46.55</v>
      </c>
      <c r="H276" s="196">
        <v>22000</v>
      </c>
      <c r="I276" s="196" t="s">
        <v>2049</v>
      </c>
      <c r="J276" s="196"/>
    </row>
    <row r="277" spans="1:10" ht="14.4" hidden="1" outlineLevel="1">
      <c r="A277" s="196" t="s">
        <v>351</v>
      </c>
      <c r="B277" s="197">
        <v>40690</v>
      </c>
      <c r="C277" s="196" t="s">
        <v>847</v>
      </c>
      <c r="D277" s="196">
        <v>93</v>
      </c>
      <c r="E277" s="196" t="s">
        <v>847</v>
      </c>
      <c r="F277" s="196">
        <v>93</v>
      </c>
      <c r="G277" s="196">
        <f t="shared" si="4"/>
        <v>46.5</v>
      </c>
      <c r="H277" s="196">
        <v>11900</v>
      </c>
      <c r="I277" s="196" t="s">
        <v>2048</v>
      </c>
      <c r="J277" s="196"/>
    </row>
    <row r="278" spans="1:10" ht="14.4" hidden="1" outlineLevel="1">
      <c r="A278" s="196" t="s">
        <v>351</v>
      </c>
      <c r="B278" s="197">
        <v>40693</v>
      </c>
      <c r="C278" s="196" t="s">
        <v>621</v>
      </c>
      <c r="D278" s="196">
        <v>95</v>
      </c>
      <c r="E278" s="196" t="s">
        <v>872</v>
      </c>
      <c r="F278" s="196">
        <v>92</v>
      </c>
      <c r="G278" s="196">
        <f t="shared" si="4"/>
        <v>46</v>
      </c>
      <c r="H278" s="196">
        <v>14700</v>
      </c>
      <c r="I278" s="196" t="s">
        <v>2047</v>
      </c>
      <c r="J278" s="196"/>
    </row>
    <row r="279" spans="1:10" ht="14.4" hidden="1" outlineLevel="1">
      <c r="A279" s="196" t="s">
        <v>351</v>
      </c>
      <c r="B279" s="197">
        <v>40694</v>
      </c>
      <c r="C279" s="196" t="s">
        <v>891</v>
      </c>
      <c r="D279" s="196">
        <v>91.5</v>
      </c>
      <c r="E279" s="196" t="s">
        <v>891</v>
      </c>
      <c r="F279" s="196">
        <v>91.5</v>
      </c>
      <c r="G279" s="196">
        <f t="shared" si="4"/>
        <v>45.75</v>
      </c>
      <c r="H279" s="196">
        <v>1000</v>
      </c>
      <c r="I279" s="196" t="s">
        <v>2046</v>
      </c>
      <c r="J279" s="196"/>
    </row>
    <row r="280" spans="1:10" ht="14.4" hidden="1" outlineLevel="1">
      <c r="A280" s="196" t="s">
        <v>351</v>
      </c>
      <c r="B280" s="197">
        <v>40695</v>
      </c>
      <c r="C280" s="196" t="s">
        <v>863</v>
      </c>
      <c r="D280" s="196">
        <v>92.2</v>
      </c>
      <c r="E280" s="196" t="s">
        <v>863</v>
      </c>
      <c r="F280" s="196">
        <v>92</v>
      </c>
      <c r="G280" s="196">
        <f t="shared" si="4"/>
        <v>46</v>
      </c>
      <c r="H280" s="196">
        <v>10400</v>
      </c>
      <c r="I280" s="196" t="s">
        <v>2045</v>
      </c>
      <c r="J280" s="196"/>
    </row>
    <row r="281" spans="1:10" ht="14.4" hidden="1" outlineLevel="1">
      <c r="A281" s="196" t="s">
        <v>351</v>
      </c>
      <c r="B281" s="197">
        <v>40696</v>
      </c>
      <c r="C281" s="196" t="s">
        <v>2043</v>
      </c>
      <c r="D281" s="196">
        <v>93</v>
      </c>
      <c r="E281" s="196" t="s">
        <v>870</v>
      </c>
      <c r="F281" s="196">
        <v>90</v>
      </c>
      <c r="G281" s="196">
        <f t="shared" si="4"/>
        <v>45</v>
      </c>
      <c r="H281" s="196">
        <v>70200</v>
      </c>
      <c r="I281" s="196" t="s">
        <v>2044</v>
      </c>
      <c r="J281" s="196"/>
    </row>
    <row r="282" spans="1:10" ht="14.4" hidden="1" outlineLevel="1">
      <c r="A282" s="196" t="s">
        <v>351</v>
      </c>
      <c r="B282" s="197">
        <v>40697</v>
      </c>
      <c r="C282" s="196" t="s">
        <v>2041</v>
      </c>
      <c r="D282" s="196">
        <v>90.7</v>
      </c>
      <c r="E282" s="196" t="s">
        <v>938</v>
      </c>
      <c r="F282" s="196">
        <v>90</v>
      </c>
      <c r="G282" s="196">
        <f t="shared" si="4"/>
        <v>45</v>
      </c>
      <c r="H282" s="196">
        <v>42200</v>
      </c>
      <c r="I282" s="196" t="s">
        <v>2042</v>
      </c>
      <c r="J282" s="196"/>
    </row>
    <row r="283" spans="1:10" ht="14.4" hidden="1" outlineLevel="1">
      <c r="A283" s="196" t="s">
        <v>351</v>
      </c>
      <c r="B283" s="197">
        <v>40700</v>
      </c>
      <c r="C283" s="196" t="s">
        <v>870</v>
      </c>
      <c r="D283" s="196">
        <v>90.8</v>
      </c>
      <c r="E283" s="196" t="s">
        <v>870</v>
      </c>
      <c r="F283" s="196">
        <v>90.1</v>
      </c>
      <c r="G283" s="196">
        <f t="shared" si="4"/>
        <v>45.05</v>
      </c>
      <c r="H283" s="196">
        <v>22900</v>
      </c>
      <c r="I283" s="196" t="s">
        <v>2040</v>
      </c>
      <c r="J283" s="196"/>
    </row>
    <row r="284" spans="1:10" ht="14.4" hidden="1" outlineLevel="1">
      <c r="A284" s="196" t="s">
        <v>351</v>
      </c>
      <c r="B284" s="197">
        <v>40701</v>
      </c>
      <c r="C284" s="196" t="s">
        <v>870</v>
      </c>
      <c r="D284" s="196">
        <v>90</v>
      </c>
      <c r="E284" s="196" t="s">
        <v>870</v>
      </c>
      <c r="F284" s="196">
        <v>90</v>
      </c>
      <c r="G284" s="196">
        <f t="shared" si="4"/>
        <v>45</v>
      </c>
      <c r="H284" s="196">
        <v>1000</v>
      </c>
      <c r="I284" s="196" t="s">
        <v>2039</v>
      </c>
      <c r="J284" s="196"/>
    </row>
    <row r="285" spans="1:10" ht="14.4" hidden="1" outlineLevel="1">
      <c r="A285" s="196" t="s">
        <v>351</v>
      </c>
      <c r="B285" s="197">
        <v>40702</v>
      </c>
      <c r="C285" s="196" t="s">
        <v>870</v>
      </c>
      <c r="D285" s="196">
        <v>90.1</v>
      </c>
      <c r="E285" s="196" t="s">
        <v>870</v>
      </c>
      <c r="F285" s="196">
        <v>90.1</v>
      </c>
      <c r="G285" s="196">
        <f t="shared" si="4"/>
        <v>45.05</v>
      </c>
      <c r="H285" s="196">
        <v>1600</v>
      </c>
      <c r="I285" s="196" t="s">
        <v>2038</v>
      </c>
      <c r="J285" s="196"/>
    </row>
    <row r="286" spans="1:10" ht="14.4" hidden="1" outlineLevel="1">
      <c r="A286" s="196" t="s">
        <v>351</v>
      </c>
      <c r="B286" s="197">
        <v>40703</v>
      </c>
      <c r="C286" s="196" t="s">
        <v>870</v>
      </c>
      <c r="D286" s="196">
        <v>90</v>
      </c>
      <c r="E286" s="196" t="s">
        <v>911</v>
      </c>
      <c r="F286" s="196">
        <v>89.7</v>
      </c>
      <c r="G286" s="196">
        <f t="shared" si="4"/>
        <v>44.85</v>
      </c>
      <c r="H286" s="196">
        <v>11900</v>
      </c>
      <c r="I286" s="196" t="s">
        <v>2037</v>
      </c>
      <c r="J286" s="196"/>
    </row>
    <row r="287" spans="1:10" ht="14.4" hidden="1" outlineLevel="1">
      <c r="A287" s="196" t="s">
        <v>351</v>
      </c>
      <c r="B287" s="197">
        <v>40704</v>
      </c>
      <c r="C287" s="196" t="s">
        <v>932</v>
      </c>
      <c r="D287" s="196">
        <v>89.6</v>
      </c>
      <c r="E287" s="196" t="s">
        <v>941</v>
      </c>
      <c r="F287" s="196">
        <v>89</v>
      </c>
      <c r="G287" s="196">
        <f t="shared" si="4"/>
        <v>44.5</v>
      </c>
      <c r="H287" s="196">
        <v>26000</v>
      </c>
      <c r="I287" s="196" t="s">
        <v>2036</v>
      </c>
      <c r="J287" s="196"/>
    </row>
    <row r="288" spans="1:10" ht="14.4" hidden="1" outlineLevel="1">
      <c r="A288" s="196" t="s">
        <v>351</v>
      </c>
      <c r="B288" s="197">
        <v>40707</v>
      </c>
      <c r="C288" s="196" t="s">
        <v>627</v>
      </c>
      <c r="D288" s="196">
        <v>90</v>
      </c>
      <c r="E288" s="196" t="s">
        <v>627</v>
      </c>
      <c r="F288" s="196">
        <v>89</v>
      </c>
      <c r="G288" s="196">
        <f t="shared" si="4"/>
        <v>44.5</v>
      </c>
      <c r="H288" s="196">
        <v>4700</v>
      </c>
      <c r="I288" s="196" t="s">
        <v>2035</v>
      </c>
      <c r="J288" s="196"/>
    </row>
    <row r="289" spans="1:10" ht="14.4" hidden="1" outlineLevel="1">
      <c r="A289" s="196" t="s">
        <v>351</v>
      </c>
      <c r="B289" s="197">
        <v>40708</v>
      </c>
      <c r="C289" s="196" t="s">
        <v>627</v>
      </c>
      <c r="D289" s="196">
        <v>89.4</v>
      </c>
      <c r="E289" s="196" t="s">
        <v>912</v>
      </c>
      <c r="F289" s="196">
        <v>87.5</v>
      </c>
      <c r="G289" s="196">
        <f t="shared" si="4"/>
        <v>43.75</v>
      </c>
      <c r="H289" s="196">
        <v>13600</v>
      </c>
      <c r="I289" s="196" t="s">
        <v>2034</v>
      </c>
      <c r="J289" s="196"/>
    </row>
    <row r="290" spans="1:10" ht="14.4" hidden="1" outlineLevel="1">
      <c r="A290" s="196" t="s">
        <v>351</v>
      </c>
      <c r="B290" s="197">
        <v>40710</v>
      </c>
      <c r="C290" s="196" t="s">
        <v>2032</v>
      </c>
      <c r="D290" s="196">
        <v>89</v>
      </c>
      <c r="E290" s="196" t="s">
        <v>2022</v>
      </c>
      <c r="F290" s="196">
        <v>86.8</v>
      </c>
      <c r="G290" s="196">
        <f t="shared" si="4"/>
        <v>43.4</v>
      </c>
      <c r="H290" s="196">
        <v>10100</v>
      </c>
      <c r="I290" s="196" t="s">
        <v>2033</v>
      </c>
      <c r="J290" s="196"/>
    </row>
    <row r="291" spans="1:10" ht="14.4" hidden="1" outlineLevel="1">
      <c r="A291" s="196" t="s">
        <v>351</v>
      </c>
      <c r="B291" s="197">
        <v>40711</v>
      </c>
      <c r="C291" s="196" t="s">
        <v>941</v>
      </c>
      <c r="D291" s="196">
        <v>89</v>
      </c>
      <c r="E291" s="196" t="s">
        <v>627</v>
      </c>
      <c r="F291" s="196">
        <v>88.5</v>
      </c>
      <c r="G291" s="196">
        <f t="shared" si="4"/>
        <v>44.25</v>
      </c>
      <c r="H291" s="196">
        <v>600</v>
      </c>
      <c r="I291" s="196" t="s">
        <v>2031</v>
      </c>
      <c r="J291" s="196"/>
    </row>
    <row r="292" spans="1:10" ht="14.4" hidden="1" outlineLevel="1">
      <c r="A292" s="196" t="s">
        <v>351</v>
      </c>
      <c r="B292" s="197">
        <v>40714</v>
      </c>
      <c r="C292" s="196" t="s">
        <v>925</v>
      </c>
      <c r="D292" s="196">
        <v>86.1</v>
      </c>
      <c r="E292" s="196" t="s">
        <v>2022</v>
      </c>
      <c r="F292" s="196">
        <v>85.2</v>
      </c>
      <c r="G292" s="196">
        <f t="shared" si="4"/>
        <v>42.6</v>
      </c>
      <c r="H292" s="196">
        <v>5300</v>
      </c>
      <c r="I292" s="196" t="s">
        <v>2030</v>
      </c>
      <c r="J292" s="196"/>
    </row>
    <row r="293" spans="1:10" ht="14.4" hidden="1" outlineLevel="1">
      <c r="A293" s="196" t="s">
        <v>351</v>
      </c>
      <c r="B293" s="197">
        <v>40715</v>
      </c>
      <c r="C293" s="196" t="s">
        <v>2025</v>
      </c>
      <c r="D293" s="196">
        <v>85.3</v>
      </c>
      <c r="E293" s="196" t="s">
        <v>2022</v>
      </c>
      <c r="F293" s="196">
        <v>85.2</v>
      </c>
      <c r="G293" s="196">
        <f t="shared" si="4"/>
        <v>42.6</v>
      </c>
      <c r="H293" s="196">
        <v>18000</v>
      </c>
      <c r="I293" s="196" t="s">
        <v>2029</v>
      </c>
      <c r="J293" s="196"/>
    </row>
    <row r="294" spans="1:10" ht="14.4" hidden="1" outlineLevel="1">
      <c r="A294" s="196" t="s">
        <v>351</v>
      </c>
      <c r="B294" s="197">
        <v>40716</v>
      </c>
      <c r="C294" s="196" t="s">
        <v>2022</v>
      </c>
      <c r="D294" s="196">
        <v>85.1</v>
      </c>
      <c r="E294" s="196" t="s">
        <v>2022</v>
      </c>
      <c r="F294" s="196">
        <v>85.1</v>
      </c>
      <c r="G294" s="196">
        <f t="shared" si="4"/>
        <v>42.55</v>
      </c>
      <c r="H294" s="196">
        <v>12300</v>
      </c>
      <c r="I294" s="196" t="s">
        <v>2028</v>
      </c>
      <c r="J294" s="196"/>
    </row>
    <row r="295" spans="1:10" ht="14.4" hidden="1" outlineLevel="1">
      <c r="A295" s="196" t="s">
        <v>351</v>
      </c>
      <c r="B295" s="197">
        <v>40717</v>
      </c>
      <c r="C295" s="196" t="s">
        <v>2024</v>
      </c>
      <c r="D295" s="196">
        <v>86</v>
      </c>
      <c r="E295" s="196" t="s">
        <v>2025</v>
      </c>
      <c r="F295" s="196">
        <v>85.9</v>
      </c>
      <c r="G295" s="196">
        <f t="shared" si="4"/>
        <v>42.95</v>
      </c>
      <c r="H295" s="196">
        <v>13800</v>
      </c>
      <c r="I295" s="196" t="s">
        <v>2027</v>
      </c>
      <c r="J295" s="196"/>
    </row>
    <row r="296" spans="1:10" ht="14.4" hidden="1" outlineLevel="1">
      <c r="A296" s="196" t="s">
        <v>351</v>
      </c>
      <c r="B296" s="197">
        <v>40718</v>
      </c>
      <c r="C296" s="196" t="s">
        <v>2024</v>
      </c>
      <c r="D296" s="196">
        <v>85.5</v>
      </c>
      <c r="E296" s="196" t="s">
        <v>2025</v>
      </c>
      <c r="F296" s="196">
        <v>85.2</v>
      </c>
      <c r="G296" s="196">
        <f t="shared" si="4"/>
        <v>42.6</v>
      </c>
      <c r="H296" s="196">
        <v>6800</v>
      </c>
      <c r="I296" s="196" t="s">
        <v>2026</v>
      </c>
      <c r="J296" s="196"/>
    </row>
    <row r="297" spans="1:10" ht="14.4" hidden="1" outlineLevel="1">
      <c r="A297" s="196" t="s">
        <v>351</v>
      </c>
      <c r="B297" s="197">
        <v>40721</v>
      </c>
      <c r="C297" s="196" t="s">
        <v>2022</v>
      </c>
      <c r="D297" s="196">
        <v>85.9</v>
      </c>
      <c r="E297" s="196" t="s">
        <v>2022</v>
      </c>
      <c r="F297" s="196">
        <v>85.1</v>
      </c>
      <c r="G297" s="196">
        <f t="shared" si="4"/>
        <v>42.55</v>
      </c>
      <c r="H297" s="196">
        <v>33900</v>
      </c>
      <c r="I297" s="196" t="s">
        <v>2023</v>
      </c>
      <c r="J297" s="196"/>
    </row>
    <row r="298" spans="1:10" ht="14.4" hidden="1" outlineLevel="1">
      <c r="A298" s="196" t="s">
        <v>351</v>
      </c>
      <c r="B298" s="197">
        <v>40722</v>
      </c>
      <c r="C298" s="196" t="s">
        <v>2019</v>
      </c>
      <c r="D298" s="196">
        <v>85.9</v>
      </c>
      <c r="E298" s="196" t="s">
        <v>2020</v>
      </c>
      <c r="F298" s="196">
        <v>83.3</v>
      </c>
      <c r="G298" s="196">
        <f t="shared" si="4"/>
        <v>41.65</v>
      </c>
      <c r="H298" s="196">
        <v>5000</v>
      </c>
      <c r="I298" s="196" t="s">
        <v>2021</v>
      </c>
      <c r="J298" s="196"/>
    </row>
    <row r="299" spans="1:10" ht="14.4" hidden="1" outlineLevel="1">
      <c r="A299" s="196" t="s">
        <v>351</v>
      </c>
      <c r="B299" s="197">
        <v>40723</v>
      </c>
      <c r="C299" s="196" t="s">
        <v>1007</v>
      </c>
      <c r="D299" s="196">
        <v>83</v>
      </c>
      <c r="E299" s="196" t="s">
        <v>1007</v>
      </c>
      <c r="F299" s="196">
        <v>83</v>
      </c>
      <c r="G299" s="196">
        <f t="shared" si="4"/>
        <v>41.5</v>
      </c>
      <c r="H299" s="196">
        <v>4500</v>
      </c>
      <c r="I299" s="196" t="s">
        <v>2018</v>
      </c>
      <c r="J299" s="196"/>
    </row>
    <row r="300" spans="1:10" ht="14.4" hidden="1" outlineLevel="1">
      <c r="A300" s="196" t="s">
        <v>351</v>
      </c>
      <c r="B300" s="197">
        <v>40724</v>
      </c>
      <c r="C300" s="196" t="s">
        <v>1013</v>
      </c>
      <c r="D300" s="196">
        <v>83.1</v>
      </c>
      <c r="E300" s="196" t="s">
        <v>1037</v>
      </c>
      <c r="F300" s="196">
        <v>80.2</v>
      </c>
      <c r="G300" s="196">
        <f t="shared" si="4"/>
        <v>40.1</v>
      </c>
      <c r="H300" s="196">
        <v>20600</v>
      </c>
      <c r="I300" s="196" t="s">
        <v>2017</v>
      </c>
      <c r="J300" s="196"/>
    </row>
    <row r="301" spans="1:10" ht="14.4" hidden="1" outlineLevel="1">
      <c r="A301" s="196" t="s">
        <v>351</v>
      </c>
      <c r="B301" s="197">
        <v>40725</v>
      </c>
      <c r="C301" s="196" t="s">
        <v>2013</v>
      </c>
      <c r="D301" s="196">
        <v>80.3</v>
      </c>
      <c r="E301" s="196" t="s">
        <v>1037</v>
      </c>
      <c r="F301" s="196">
        <v>80.2</v>
      </c>
      <c r="G301" s="196">
        <f t="shared" si="4"/>
        <v>40.1</v>
      </c>
      <c r="H301" s="196">
        <v>2200</v>
      </c>
      <c r="I301" s="196" t="s">
        <v>2016</v>
      </c>
      <c r="J301" s="196"/>
    </row>
    <row r="302" spans="1:10" ht="14.4" hidden="1" outlineLevel="1">
      <c r="A302" s="196" t="s">
        <v>351</v>
      </c>
      <c r="B302" s="197">
        <v>40728</v>
      </c>
      <c r="C302" s="196" t="s">
        <v>1054</v>
      </c>
      <c r="D302" s="196">
        <v>84.5</v>
      </c>
      <c r="E302" s="196" t="s">
        <v>1054</v>
      </c>
      <c r="F302" s="196">
        <v>81</v>
      </c>
      <c r="G302" s="196">
        <f t="shared" si="4"/>
        <v>40.5</v>
      </c>
      <c r="H302" s="196">
        <v>5000</v>
      </c>
      <c r="I302" s="196" t="s">
        <v>2015</v>
      </c>
      <c r="J302" s="196"/>
    </row>
    <row r="303" spans="1:10" ht="14.4" hidden="1" outlineLevel="1">
      <c r="A303" s="196" t="s">
        <v>351</v>
      </c>
      <c r="B303" s="197">
        <v>40729</v>
      </c>
      <c r="C303" s="196" t="s">
        <v>952</v>
      </c>
      <c r="D303" s="196">
        <v>82</v>
      </c>
      <c r="E303" s="196" t="s">
        <v>2013</v>
      </c>
      <c r="F303" s="196">
        <v>80.3</v>
      </c>
      <c r="G303" s="196">
        <f t="shared" si="4"/>
        <v>40.15</v>
      </c>
      <c r="H303" s="196">
        <v>700</v>
      </c>
      <c r="I303" s="196" t="s">
        <v>2014</v>
      </c>
      <c r="J303" s="196"/>
    </row>
    <row r="304" spans="1:10" ht="14.4" hidden="1" outlineLevel="1">
      <c r="A304" s="196" t="s">
        <v>351</v>
      </c>
      <c r="B304" s="197">
        <v>40730</v>
      </c>
      <c r="C304" s="196" t="s">
        <v>1003</v>
      </c>
      <c r="D304" s="196">
        <v>81</v>
      </c>
      <c r="E304" s="196" t="s">
        <v>1003</v>
      </c>
      <c r="F304" s="196">
        <v>80.8</v>
      </c>
      <c r="G304" s="196">
        <f t="shared" si="4"/>
        <v>40.4</v>
      </c>
      <c r="H304" s="196">
        <v>200</v>
      </c>
      <c r="I304" s="196" t="s">
        <v>2012</v>
      </c>
      <c r="J304" s="196"/>
    </row>
    <row r="305" spans="1:10" ht="14.4" hidden="1" outlineLevel="1">
      <c r="A305" s="196" t="s">
        <v>351</v>
      </c>
      <c r="B305" s="197">
        <v>40731</v>
      </c>
      <c r="C305" s="196" t="s">
        <v>1007</v>
      </c>
      <c r="D305" s="196">
        <v>83.9</v>
      </c>
      <c r="E305" s="196" t="s">
        <v>1005</v>
      </c>
      <c r="F305" s="196">
        <v>80.7</v>
      </c>
      <c r="G305" s="196">
        <f t="shared" si="4"/>
        <v>40.35</v>
      </c>
      <c r="H305" s="196">
        <v>2100</v>
      </c>
      <c r="I305" s="196" t="s">
        <v>2011</v>
      </c>
      <c r="J305" s="196"/>
    </row>
    <row r="306" spans="1:10" ht="14.4" hidden="1" outlineLevel="1">
      <c r="A306" s="196" t="s">
        <v>351</v>
      </c>
      <c r="B306" s="197">
        <v>40735</v>
      </c>
      <c r="C306" s="196" t="s">
        <v>1003</v>
      </c>
      <c r="D306" s="196">
        <v>80.599999999999994</v>
      </c>
      <c r="E306" s="196" t="s">
        <v>950</v>
      </c>
      <c r="F306" s="196">
        <v>80.099999999999994</v>
      </c>
      <c r="G306" s="196">
        <f t="shared" si="4"/>
        <v>40.049999999999997</v>
      </c>
      <c r="H306" s="196">
        <v>6700</v>
      </c>
      <c r="I306" s="196" t="s">
        <v>2010</v>
      </c>
      <c r="J306" s="196"/>
    </row>
    <row r="307" spans="1:10" ht="14.4" hidden="1" outlineLevel="1">
      <c r="A307" s="196" t="s">
        <v>351</v>
      </c>
      <c r="B307" s="197">
        <v>40736</v>
      </c>
      <c r="C307" s="196" t="s">
        <v>2008</v>
      </c>
      <c r="D307" s="196">
        <v>78.7</v>
      </c>
      <c r="E307" s="196" t="s">
        <v>956</v>
      </c>
      <c r="F307" s="196">
        <v>78.099999999999994</v>
      </c>
      <c r="G307" s="196">
        <f t="shared" si="4"/>
        <v>39.049999999999997</v>
      </c>
      <c r="H307" s="196">
        <v>1800</v>
      </c>
      <c r="I307" s="196" t="s">
        <v>2009</v>
      </c>
      <c r="J307" s="196"/>
    </row>
    <row r="308" spans="1:10" ht="14.4" hidden="1" outlineLevel="1">
      <c r="A308" s="196" t="s">
        <v>351</v>
      </c>
      <c r="B308" s="197">
        <v>40737</v>
      </c>
      <c r="C308" s="196" t="s">
        <v>956</v>
      </c>
      <c r="D308" s="196">
        <v>80</v>
      </c>
      <c r="E308" s="196" t="s">
        <v>956</v>
      </c>
      <c r="F308" s="196">
        <v>79.7</v>
      </c>
      <c r="G308" s="196">
        <f t="shared" si="4"/>
        <v>39.85</v>
      </c>
      <c r="H308" s="196">
        <v>3700</v>
      </c>
      <c r="I308" s="196" t="s">
        <v>2007</v>
      </c>
      <c r="J308" s="196"/>
    </row>
    <row r="309" spans="1:10" ht="14.4" hidden="1" outlineLevel="1">
      <c r="A309" s="196" t="s">
        <v>351</v>
      </c>
      <c r="B309" s="197">
        <v>40739</v>
      </c>
      <c r="C309" s="196" t="s">
        <v>1052</v>
      </c>
      <c r="D309" s="196">
        <v>79.2</v>
      </c>
      <c r="E309" s="196" t="s">
        <v>956</v>
      </c>
      <c r="F309" s="196">
        <v>78.400000000000006</v>
      </c>
      <c r="G309" s="196">
        <f t="shared" si="4"/>
        <v>39.200000000000003</v>
      </c>
      <c r="H309" s="196">
        <v>1900</v>
      </c>
      <c r="I309" s="196" t="s">
        <v>2006</v>
      </c>
      <c r="J309" s="196"/>
    </row>
    <row r="310" spans="1:10" ht="14.4" hidden="1" outlineLevel="1">
      <c r="A310" s="196" t="s">
        <v>351</v>
      </c>
      <c r="B310" s="197">
        <v>40742</v>
      </c>
      <c r="C310" s="196" t="s">
        <v>990</v>
      </c>
      <c r="D310" s="196">
        <v>78.3</v>
      </c>
      <c r="E310" s="196" t="s">
        <v>962</v>
      </c>
      <c r="F310" s="196">
        <v>78.2</v>
      </c>
      <c r="G310" s="196">
        <f t="shared" si="4"/>
        <v>39.1</v>
      </c>
      <c r="H310" s="196">
        <v>7800</v>
      </c>
      <c r="I310" s="196" t="s">
        <v>2005</v>
      </c>
      <c r="J310" s="196"/>
    </row>
    <row r="311" spans="1:10" ht="14.4" hidden="1" outlineLevel="1">
      <c r="A311" s="196" t="s">
        <v>351</v>
      </c>
      <c r="B311" s="197">
        <v>40743</v>
      </c>
      <c r="C311" s="196" t="s">
        <v>972</v>
      </c>
      <c r="D311" s="196">
        <v>76.099999999999994</v>
      </c>
      <c r="E311" s="196" t="s">
        <v>972</v>
      </c>
      <c r="F311" s="196">
        <v>76</v>
      </c>
      <c r="G311" s="196">
        <f t="shared" si="4"/>
        <v>38</v>
      </c>
      <c r="H311" s="196">
        <v>1100</v>
      </c>
      <c r="I311" s="196" t="s">
        <v>2004</v>
      </c>
      <c r="J311" s="196"/>
    </row>
    <row r="312" spans="1:10" ht="14.4" hidden="1" outlineLevel="1">
      <c r="A312" s="196" t="s">
        <v>351</v>
      </c>
      <c r="B312" s="197">
        <v>40744</v>
      </c>
      <c r="C312" s="196" t="s">
        <v>1072</v>
      </c>
      <c r="D312" s="196">
        <v>76.3</v>
      </c>
      <c r="E312" s="196" t="s">
        <v>1072</v>
      </c>
      <c r="F312" s="196">
        <v>76.2</v>
      </c>
      <c r="G312" s="196">
        <f t="shared" si="4"/>
        <v>38.1</v>
      </c>
      <c r="H312" s="196">
        <v>600</v>
      </c>
      <c r="I312" s="196" t="s">
        <v>2003</v>
      </c>
      <c r="J312" s="196"/>
    </row>
    <row r="313" spans="1:10" ht="14.4" hidden="1" outlineLevel="1">
      <c r="A313" s="196" t="s">
        <v>351</v>
      </c>
      <c r="B313" s="197">
        <v>40745</v>
      </c>
      <c r="C313" s="196" t="s">
        <v>1070</v>
      </c>
      <c r="D313" s="196">
        <v>76.099999999999994</v>
      </c>
      <c r="E313" s="196" t="s">
        <v>1070</v>
      </c>
      <c r="F313" s="196">
        <v>76.099999999999994</v>
      </c>
      <c r="G313" s="196">
        <f t="shared" si="4"/>
        <v>38.049999999999997</v>
      </c>
      <c r="H313" s="196">
        <v>800</v>
      </c>
      <c r="I313" s="196" t="s">
        <v>1948</v>
      </c>
      <c r="J313" s="196"/>
    </row>
    <row r="314" spans="1:10" ht="14.4" hidden="1" outlineLevel="1">
      <c r="A314" s="196" t="s">
        <v>351</v>
      </c>
      <c r="B314" s="197">
        <v>40746</v>
      </c>
      <c r="C314" s="196" t="s">
        <v>1070</v>
      </c>
      <c r="D314" s="196">
        <v>76.099999999999994</v>
      </c>
      <c r="E314" s="196" t="s">
        <v>1112</v>
      </c>
      <c r="F314" s="196">
        <v>75.099999999999994</v>
      </c>
      <c r="G314" s="196">
        <f t="shared" si="4"/>
        <v>37.549999999999997</v>
      </c>
      <c r="H314" s="196">
        <v>24000</v>
      </c>
      <c r="I314" s="196" t="s">
        <v>2002</v>
      </c>
      <c r="J314" s="196"/>
    </row>
    <row r="315" spans="1:10" ht="14.4" hidden="1" outlineLevel="1">
      <c r="A315" s="196" t="s">
        <v>351</v>
      </c>
      <c r="B315" s="197">
        <v>40749</v>
      </c>
      <c r="C315" s="196" t="s">
        <v>1082</v>
      </c>
      <c r="D315" s="196">
        <v>75.099999999999994</v>
      </c>
      <c r="E315" s="196" t="s">
        <v>1119</v>
      </c>
      <c r="F315" s="196">
        <v>73.5</v>
      </c>
      <c r="G315" s="196">
        <f t="shared" si="4"/>
        <v>36.75</v>
      </c>
      <c r="H315" s="196">
        <v>5400</v>
      </c>
      <c r="I315" s="196" t="s">
        <v>2001</v>
      </c>
      <c r="J315" s="196"/>
    </row>
    <row r="316" spans="1:10" ht="14.4" hidden="1" outlineLevel="1">
      <c r="A316" s="196" t="s">
        <v>351</v>
      </c>
      <c r="B316" s="197">
        <v>40750</v>
      </c>
      <c r="C316" s="196" t="s">
        <v>1117</v>
      </c>
      <c r="D316" s="196">
        <v>73.099999999999994</v>
      </c>
      <c r="E316" s="196" t="s">
        <v>1119</v>
      </c>
      <c r="F316" s="196">
        <v>73</v>
      </c>
      <c r="G316" s="196">
        <f t="shared" si="4"/>
        <v>36.5</v>
      </c>
      <c r="H316" s="196">
        <v>1000</v>
      </c>
      <c r="I316" s="196" t="s">
        <v>2000</v>
      </c>
      <c r="J316" s="196"/>
    </row>
    <row r="317" spans="1:10" ht="14.4" hidden="1" outlineLevel="1">
      <c r="A317" s="196" t="s">
        <v>351</v>
      </c>
      <c r="B317" s="197">
        <v>40751</v>
      </c>
      <c r="C317" s="196" t="s">
        <v>980</v>
      </c>
      <c r="D317" s="196">
        <v>75</v>
      </c>
      <c r="E317" s="196" t="s">
        <v>1110</v>
      </c>
      <c r="F317" s="196">
        <v>74.900000000000006</v>
      </c>
      <c r="G317" s="196">
        <f t="shared" si="4"/>
        <v>37.450000000000003</v>
      </c>
      <c r="H317" s="196">
        <v>1000</v>
      </c>
      <c r="I317" s="196" t="s">
        <v>1999</v>
      </c>
      <c r="J317" s="196"/>
    </row>
    <row r="318" spans="1:10" ht="14.4" hidden="1" outlineLevel="1">
      <c r="A318" s="196" t="s">
        <v>351</v>
      </c>
      <c r="B318" s="197">
        <v>40752</v>
      </c>
      <c r="C318" s="196" t="s">
        <v>980</v>
      </c>
      <c r="D318" s="196">
        <v>75</v>
      </c>
      <c r="E318" s="196" t="s">
        <v>980</v>
      </c>
      <c r="F318" s="196">
        <v>75</v>
      </c>
      <c r="G318" s="196">
        <f t="shared" si="4"/>
        <v>37.5</v>
      </c>
      <c r="H318" s="196">
        <v>200</v>
      </c>
      <c r="I318" s="196" t="s">
        <v>1998</v>
      </c>
      <c r="J318" s="196"/>
    </row>
    <row r="319" spans="1:10" ht="14.4" hidden="1" outlineLevel="1">
      <c r="A319" s="196" t="s">
        <v>351</v>
      </c>
      <c r="B319" s="197">
        <v>40753</v>
      </c>
      <c r="C319" s="196" t="s">
        <v>972</v>
      </c>
      <c r="D319" s="196">
        <v>80</v>
      </c>
      <c r="E319" s="196" t="s">
        <v>972</v>
      </c>
      <c r="F319" s="196">
        <v>80</v>
      </c>
      <c r="G319" s="196">
        <f t="shared" si="4"/>
        <v>40</v>
      </c>
      <c r="H319" s="196">
        <v>2600</v>
      </c>
      <c r="I319" s="196" t="s">
        <v>1997</v>
      </c>
      <c r="J319" s="196"/>
    </row>
    <row r="320" spans="1:10" ht="14.4" hidden="1" outlineLevel="1">
      <c r="A320" s="196" t="s">
        <v>351</v>
      </c>
      <c r="B320" s="197">
        <v>40756</v>
      </c>
      <c r="C320" s="196" t="s">
        <v>995</v>
      </c>
      <c r="D320" s="196">
        <v>77.2</v>
      </c>
      <c r="E320" s="196" t="s">
        <v>1043</v>
      </c>
      <c r="F320" s="196">
        <v>77.099999999999994</v>
      </c>
      <c r="G320" s="196">
        <f t="shared" si="4"/>
        <v>38.549999999999997</v>
      </c>
      <c r="H320" s="196">
        <v>700</v>
      </c>
      <c r="I320" s="196" t="s">
        <v>1996</v>
      </c>
      <c r="J320" s="196"/>
    </row>
    <row r="321" spans="1:10" ht="14.4" hidden="1" outlineLevel="1">
      <c r="A321" s="196" t="s">
        <v>351</v>
      </c>
      <c r="B321" s="197">
        <v>40757</v>
      </c>
      <c r="C321" s="196" t="s">
        <v>974</v>
      </c>
      <c r="D321" s="196">
        <v>77</v>
      </c>
      <c r="E321" s="196" t="s">
        <v>1072</v>
      </c>
      <c r="F321" s="196">
        <v>76.2</v>
      </c>
      <c r="G321" s="196">
        <f t="shared" si="4"/>
        <v>38.1</v>
      </c>
      <c r="H321" s="196">
        <v>700</v>
      </c>
      <c r="I321" s="196" t="s">
        <v>1995</v>
      </c>
      <c r="J321" s="196"/>
    </row>
    <row r="322" spans="1:10" ht="14.4" hidden="1" outlineLevel="1">
      <c r="A322" s="196" t="s">
        <v>351</v>
      </c>
      <c r="B322" s="197">
        <v>40758</v>
      </c>
      <c r="C322" s="196" t="s">
        <v>1072</v>
      </c>
      <c r="D322" s="196">
        <v>76.2</v>
      </c>
      <c r="E322" s="196" t="s">
        <v>972</v>
      </c>
      <c r="F322" s="196">
        <v>76.099999999999994</v>
      </c>
      <c r="G322" s="196">
        <f t="shared" si="4"/>
        <v>38.049999999999997</v>
      </c>
      <c r="H322" s="196">
        <v>2300</v>
      </c>
      <c r="I322" s="196" t="s">
        <v>1994</v>
      </c>
      <c r="J322" s="196"/>
    </row>
    <row r="323" spans="1:10" ht="14.4" hidden="1" outlineLevel="1">
      <c r="A323" s="196" t="s">
        <v>351</v>
      </c>
      <c r="B323" s="197">
        <v>40759</v>
      </c>
      <c r="C323" s="196" t="s">
        <v>1070</v>
      </c>
      <c r="D323" s="196">
        <v>76.099999999999994</v>
      </c>
      <c r="E323" s="196" t="s">
        <v>1070</v>
      </c>
      <c r="F323" s="196">
        <v>76.099999999999994</v>
      </c>
      <c r="G323" s="196">
        <f t="shared" si="4"/>
        <v>38.049999999999997</v>
      </c>
      <c r="H323" s="196">
        <v>100</v>
      </c>
      <c r="I323" s="196" t="s">
        <v>1993</v>
      </c>
      <c r="J323" s="196"/>
    </row>
    <row r="324" spans="1:10" ht="14.4" hidden="1" outlineLevel="1">
      <c r="A324" s="196" t="s">
        <v>351</v>
      </c>
      <c r="B324" s="197">
        <v>40760</v>
      </c>
      <c r="C324" s="196" t="s">
        <v>972</v>
      </c>
      <c r="D324" s="196">
        <v>76</v>
      </c>
      <c r="E324" s="196" t="s">
        <v>980</v>
      </c>
      <c r="F324" s="196">
        <v>75.099999999999994</v>
      </c>
      <c r="G324" s="196">
        <f t="shared" si="4"/>
        <v>37.549999999999997</v>
      </c>
      <c r="H324" s="196">
        <v>1600</v>
      </c>
      <c r="I324" s="196" t="s">
        <v>1992</v>
      </c>
      <c r="J324" s="196"/>
    </row>
    <row r="325" spans="1:10" ht="14.4" hidden="1" outlineLevel="1">
      <c r="A325" s="196" t="s">
        <v>351</v>
      </c>
      <c r="B325" s="197">
        <v>40763</v>
      </c>
      <c r="C325" s="196" t="s">
        <v>1536</v>
      </c>
      <c r="D325" s="196">
        <v>79.599999999999994</v>
      </c>
      <c r="E325" s="196" t="s">
        <v>980</v>
      </c>
      <c r="F325" s="196">
        <v>78.8</v>
      </c>
      <c r="G325" s="196">
        <f t="shared" ref="G325:G388" si="5">F325/2</f>
        <v>39.4</v>
      </c>
      <c r="H325" s="196">
        <v>4100</v>
      </c>
      <c r="I325" s="196" t="s">
        <v>1991</v>
      </c>
      <c r="J325" s="196"/>
    </row>
    <row r="326" spans="1:10" ht="14.4" hidden="1" outlineLevel="1">
      <c r="A326" s="196" t="s">
        <v>351</v>
      </c>
      <c r="B326" s="197">
        <v>40764</v>
      </c>
      <c r="C326" s="196" t="s">
        <v>959</v>
      </c>
      <c r="D326" s="196">
        <v>80</v>
      </c>
      <c r="E326" s="196" t="s">
        <v>959</v>
      </c>
      <c r="F326" s="196">
        <v>80</v>
      </c>
      <c r="G326" s="196">
        <f t="shared" si="5"/>
        <v>40</v>
      </c>
      <c r="H326" s="196">
        <v>1500</v>
      </c>
      <c r="I326" s="196" t="s">
        <v>1990</v>
      </c>
      <c r="J326" s="196"/>
    </row>
    <row r="327" spans="1:10" s="192" customFormat="1" ht="14.4" hidden="1" outlineLevel="1">
      <c r="A327" s="196" t="s">
        <v>351</v>
      </c>
      <c r="B327" s="197">
        <v>40765</v>
      </c>
      <c r="C327" s="196" t="s">
        <v>972</v>
      </c>
      <c r="D327" s="196">
        <v>81.8</v>
      </c>
      <c r="E327" s="196" t="s">
        <v>972</v>
      </c>
      <c r="F327" s="196">
        <v>81.8</v>
      </c>
      <c r="G327" s="196">
        <f t="shared" si="5"/>
        <v>40.9</v>
      </c>
      <c r="H327" s="196">
        <v>800</v>
      </c>
      <c r="I327" s="196" t="s">
        <v>1989</v>
      </c>
      <c r="J327" s="196"/>
    </row>
    <row r="328" spans="1:10" ht="14.4" hidden="1" outlineLevel="1">
      <c r="A328" s="196" t="s">
        <v>351</v>
      </c>
      <c r="B328" s="197">
        <v>40766</v>
      </c>
      <c r="C328" s="196" t="s">
        <v>1043</v>
      </c>
      <c r="D328" s="196">
        <v>81.8</v>
      </c>
      <c r="E328" s="196" t="s">
        <v>1043</v>
      </c>
      <c r="F328" s="196">
        <v>77.5</v>
      </c>
      <c r="G328" s="196">
        <f t="shared" si="5"/>
        <v>38.75</v>
      </c>
      <c r="H328" s="196">
        <v>6000</v>
      </c>
      <c r="I328" s="196" t="s">
        <v>1988</v>
      </c>
      <c r="J328" s="196"/>
    </row>
    <row r="329" spans="1:10" ht="14.4" hidden="1" outlineLevel="1">
      <c r="A329" s="196" t="s">
        <v>351</v>
      </c>
      <c r="B329" s="197">
        <v>40767</v>
      </c>
      <c r="C329" s="196" t="s">
        <v>962</v>
      </c>
      <c r="D329" s="196">
        <v>78</v>
      </c>
      <c r="E329" s="196" t="s">
        <v>962</v>
      </c>
      <c r="F329" s="196">
        <v>78</v>
      </c>
      <c r="G329" s="196">
        <f t="shared" si="5"/>
        <v>39</v>
      </c>
      <c r="H329" s="196">
        <v>200</v>
      </c>
      <c r="I329" s="196" t="s">
        <v>1987</v>
      </c>
      <c r="J329" s="196"/>
    </row>
    <row r="330" spans="1:10" ht="14.4" hidden="1" outlineLevel="1">
      <c r="A330" s="196" t="s">
        <v>351</v>
      </c>
      <c r="B330" s="197">
        <v>40770</v>
      </c>
      <c r="C330" s="196" t="s">
        <v>962</v>
      </c>
      <c r="D330" s="196">
        <v>78.099999999999994</v>
      </c>
      <c r="E330" s="196" t="s">
        <v>962</v>
      </c>
      <c r="F330" s="196">
        <v>78.099999999999994</v>
      </c>
      <c r="G330" s="196">
        <f t="shared" si="5"/>
        <v>39.049999999999997</v>
      </c>
      <c r="H330" s="196">
        <v>1100</v>
      </c>
      <c r="I330" s="196" t="s">
        <v>1986</v>
      </c>
      <c r="J330" s="196"/>
    </row>
    <row r="331" spans="1:10" ht="14.4" hidden="1" outlineLevel="1">
      <c r="A331" s="196" t="s">
        <v>351</v>
      </c>
      <c r="B331" s="197">
        <v>40771</v>
      </c>
      <c r="C331" s="196" t="s">
        <v>956</v>
      </c>
      <c r="D331" s="196">
        <v>80</v>
      </c>
      <c r="E331" s="196" t="s">
        <v>956</v>
      </c>
      <c r="F331" s="196">
        <v>80</v>
      </c>
      <c r="G331" s="196">
        <f t="shared" si="5"/>
        <v>40</v>
      </c>
      <c r="H331" s="196">
        <v>1500</v>
      </c>
      <c r="I331" s="196" t="s">
        <v>1985</v>
      </c>
      <c r="J331" s="196"/>
    </row>
    <row r="332" spans="1:10" ht="14.4" hidden="1" outlineLevel="1">
      <c r="A332" s="196" t="s">
        <v>351</v>
      </c>
      <c r="B332" s="197">
        <v>40772</v>
      </c>
      <c r="C332" s="196" t="s">
        <v>952</v>
      </c>
      <c r="D332" s="196">
        <v>85</v>
      </c>
      <c r="E332" s="196" t="s">
        <v>950</v>
      </c>
      <c r="F332" s="196">
        <v>81.5</v>
      </c>
      <c r="G332" s="196">
        <f t="shared" si="5"/>
        <v>40.75</v>
      </c>
      <c r="H332" s="196">
        <v>12200</v>
      </c>
      <c r="I332" s="196" t="s">
        <v>1984</v>
      </c>
      <c r="J332" s="196"/>
    </row>
    <row r="333" spans="1:10" ht="14.4" hidden="1" outlineLevel="1">
      <c r="A333" s="196" t="s">
        <v>351</v>
      </c>
      <c r="B333" s="197">
        <v>40773</v>
      </c>
      <c r="C333" s="196" t="s">
        <v>952</v>
      </c>
      <c r="D333" s="196">
        <v>82</v>
      </c>
      <c r="E333" s="196" t="s">
        <v>950</v>
      </c>
      <c r="F333" s="196">
        <v>80.099999999999994</v>
      </c>
      <c r="G333" s="196">
        <f t="shared" si="5"/>
        <v>40.049999999999997</v>
      </c>
      <c r="H333" s="196">
        <v>20500</v>
      </c>
      <c r="I333" s="196" t="s">
        <v>1983</v>
      </c>
      <c r="J333" s="196"/>
    </row>
    <row r="334" spans="1:10" ht="14.4" hidden="1" outlineLevel="1">
      <c r="A334" s="196" t="s">
        <v>351</v>
      </c>
      <c r="B334" s="197">
        <v>40774</v>
      </c>
      <c r="C334" s="196" t="s">
        <v>1013</v>
      </c>
      <c r="D334" s="196">
        <v>83</v>
      </c>
      <c r="E334" s="196" t="s">
        <v>1037</v>
      </c>
      <c r="F334" s="196">
        <v>80.099999999999994</v>
      </c>
      <c r="G334" s="196">
        <f t="shared" si="5"/>
        <v>40.049999999999997</v>
      </c>
      <c r="H334" s="196">
        <v>2100</v>
      </c>
      <c r="I334" s="196" t="s">
        <v>1982</v>
      </c>
      <c r="J334" s="196"/>
    </row>
    <row r="335" spans="1:10" ht="14.4" hidden="1" outlineLevel="1">
      <c r="A335" s="196" t="s">
        <v>351</v>
      </c>
      <c r="B335" s="197">
        <v>40777</v>
      </c>
      <c r="C335" s="196" t="s">
        <v>1007</v>
      </c>
      <c r="D335" s="196">
        <v>83.2</v>
      </c>
      <c r="E335" s="196" t="s">
        <v>1054</v>
      </c>
      <c r="F335" s="196">
        <v>82.1</v>
      </c>
      <c r="G335" s="196">
        <f t="shared" si="5"/>
        <v>41.05</v>
      </c>
      <c r="H335" s="196">
        <v>3700</v>
      </c>
      <c r="I335" s="196" t="s">
        <v>1981</v>
      </c>
      <c r="J335" s="196"/>
    </row>
    <row r="336" spans="1:10" ht="14.4" hidden="1" outlineLevel="1">
      <c r="A336" s="196" t="s">
        <v>351</v>
      </c>
      <c r="B336" s="197">
        <v>40778</v>
      </c>
      <c r="C336" s="196" t="s">
        <v>1010</v>
      </c>
      <c r="D336" s="196">
        <v>80.5</v>
      </c>
      <c r="E336" s="196" t="s">
        <v>950</v>
      </c>
      <c r="F336" s="196">
        <v>80</v>
      </c>
      <c r="G336" s="196">
        <f t="shared" si="5"/>
        <v>40</v>
      </c>
      <c r="H336" s="196">
        <v>23300</v>
      </c>
      <c r="I336" s="196" t="s">
        <v>1980</v>
      </c>
      <c r="J336" s="196"/>
    </row>
    <row r="337" spans="1:10" ht="14.4" hidden="1" outlineLevel="1">
      <c r="A337" s="196" t="s">
        <v>351</v>
      </c>
      <c r="B337" s="197">
        <v>40779</v>
      </c>
      <c r="C337" s="196" t="s">
        <v>1052</v>
      </c>
      <c r="D337" s="196">
        <v>79.5</v>
      </c>
      <c r="E337" s="196" t="s">
        <v>997</v>
      </c>
      <c r="F337" s="196">
        <v>79.5</v>
      </c>
      <c r="G337" s="196">
        <f t="shared" si="5"/>
        <v>39.75</v>
      </c>
      <c r="H337" s="196">
        <v>2100</v>
      </c>
      <c r="I337" s="196" t="s">
        <v>1979</v>
      </c>
      <c r="J337" s="196"/>
    </row>
    <row r="338" spans="1:10" ht="14.4" hidden="1" outlineLevel="1">
      <c r="A338" s="196" t="s">
        <v>351</v>
      </c>
      <c r="B338" s="197">
        <v>40780</v>
      </c>
      <c r="C338" s="196" t="s">
        <v>1977</v>
      </c>
      <c r="D338" s="196">
        <v>80</v>
      </c>
      <c r="E338" s="196" t="s">
        <v>962</v>
      </c>
      <c r="F338" s="196">
        <v>80</v>
      </c>
      <c r="G338" s="196">
        <f t="shared" si="5"/>
        <v>40</v>
      </c>
      <c r="H338" s="196">
        <v>7600</v>
      </c>
      <c r="I338" s="196" t="s">
        <v>1978</v>
      </c>
      <c r="J338" s="196"/>
    </row>
    <row r="339" spans="1:10" ht="14.4" hidden="1" outlineLevel="1">
      <c r="A339" s="196" t="s">
        <v>351</v>
      </c>
      <c r="B339" s="197">
        <v>40781</v>
      </c>
      <c r="C339" s="196" t="s">
        <v>950</v>
      </c>
      <c r="D339" s="196">
        <v>80.099999999999994</v>
      </c>
      <c r="E339" s="196" t="s">
        <v>950</v>
      </c>
      <c r="F339" s="196">
        <v>80</v>
      </c>
      <c r="G339" s="196">
        <f t="shared" si="5"/>
        <v>40</v>
      </c>
      <c r="H339" s="196">
        <v>15900</v>
      </c>
      <c r="I339" s="196" t="s">
        <v>1976</v>
      </c>
      <c r="J339" s="196"/>
    </row>
    <row r="340" spans="1:10" ht="14.4" hidden="1" outlineLevel="1">
      <c r="A340" s="196" t="s">
        <v>351</v>
      </c>
      <c r="B340" s="197">
        <v>40785</v>
      </c>
      <c r="C340" s="196" t="s">
        <v>1052</v>
      </c>
      <c r="D340" s="196">
        <v>79.099999999999994</v>
      </c>
      <c r="E340" s="196" t="s">
        <v>992</v>
      </c>
      <c r="F340" s="196">
        <v>78.5</v>
      </c>
      <c r="G340" s="196">
        <f t="shared" si="5"/>
        <v>39.25</v>
      </c>
      <c r="H340" s="196">
        <v>700</v>
      </c>
      <c r="I340" s="196" t="s">
        <v>1975</v>
      </c>
      <c r="J340" s="196"/>
    </row>
    <row r="341" spans="1:10" ht="14.4" hidden="1" outlineLevel="1">
      <c r="A341" s="196" t="s">
        <v>351</v>
      </c>
      <c r="B341" s="197">
        <v>40787</v>
      </c>
      <c r="C341" s="196" t="s">
        <v>992</v>
      </c>
      <c r="D341" s="196">
        <v>78.5</v>
      </c>
      <c r="E341" s="196" t="s">
        <v>955</v>
      </c>
      <c r="F341" s="196">
        <v>78.2</v>
      </c>
      <c r="G341" s="196">
        <f t="shared" si="5"/>
        <v>39.1</v>
      </c>
      <c r="H341" s="196">
        <v>1400</v>
      </c>
      <c r="I341" s="196" t="s">
        <v>1974</v>
      </c>
      <c r="J341" s="196"/>
    </row>
    <row r="342" spans="1:10" ht="14.4" hidden="1" outlineLevel="1">
      <c r="A342" s="196" t="s">
        <v>351</v>
      </c>
      <c r="B342" s="197">
        <v>40788</v>
      </c>
      <c r="C342" s="196" t="s">
        <v>992</v>
      </c>
      <c r="D342" s="196">
        <v>78.5</v>
      </c>
      <c r="E342" s="196" t="s">
        <v>992</v>
      </c>
      <c r="F342" s="196">
        <v>78.5</v>
      </c>
      <c r="G342" s="196">
        <f t="shared" si="5"/>
        <v>39.25</v>
      </c>
      <c r="H342" s="196">
        <v>500</v>
      </c>
      <c r="I342" s="196" t="s">
        <v>1973</v>
      </c>
      <c r="J342" s="196"/>
    </row>
    <row r="343" spans="1:10" ht="14.4" hidden="1" outlineLevel="1">
      <c r="A343" s="196" t="s">
        <v>351</v>
      </c>
      <c r="B343" s="197">
        <v>40791</v>
      </c>
      <c r="C343" s="196" t="s">
        <v>1052</v>
      </c>
      <c r="D343" s="196">
        <v>79.5</v>
      </c>
      <c r="E343" s="196" t="s">
        <v>962</v>
      </c>
      <c r="F343" s="196">
        <v>78.3</v>
      </c>
      <c r="G343" s="196">
        <f t="shared" si="5"/>
        <v>39.15</v>
      </c>
      <c r="H343" s="196">
        <v>12300</v>
      </c>
      <c r="I343" s="196" t="s">
        <v>1972</v>
      </c>
      <c r="J343" s="196"/>
    </row>
    <row r="344" spans="1:10" ht="14.4" hidden="1" outlineLevel="1">
      <c r="A344" s="196" t="s">
        <v>351</v>
      </c>
      <c r="B344" s="197">
        <v>40792</v>
      </c>
      <c r="C344" s="196" t="s">
        <v>1090</v>
      </c>
      <c r="D344" s="196">
        <v>82</v>
      </c>
      <c r="E344" s="196" t="s">
        <v>1090</v>
      </c>
      <c r="F344" s="196">
        <v>82</v>
      </c>
      <c r="G344" s="196">
        <f t="shared" si="5"/>
        <v>41</v>
      </c>
      <c r="H344" s="196">
        <v>600</v>
      </c>
      <c r="I344" s="196" t="s">
        <v>1971</v>
      </c>
      <c r="J344" s="196"/>
    </row>
    <row r="345" spans="1:10" ht="14.4" hidden="1" outlineLevel="1">
      <c r="A345" s="196" t="s">
        <v>351</v>
      </c>
      <c r="B345" s="197">
        <v>40793</v>
      </c>
      <c r="C345" s="196" t="s">
        <v>950</v>
      </c>
      <c r="D345" s="196">
        <v>80</v>
      </c>
      <c r="E345" s="196" t="s">
        <v>950</v>
      </c>
      <c r="F345" s="196">
        <v>80</v>
      </c>
      <c r="G345" s="196">
        <f t="shared" si="5"/>
        <v>40</v>
      </c>
      <c r="H345" s="196">
        <v>2700</v>
      </c>
      <c r="I345" s="196" t="s">
        <v>745</v>
      </c>
      <c r="J345" s="196"/>
    </row>
    <row r="346" spans="1:10" ht="14.4" hidden="1" outlineLevel="1">
      <c r="A346" s="196" t="s">
        <v>351</v>
      </c>
      <c r="B346" s="197">
        <v>40794</v>
      </c>
      <c r="C346" s="196" t="s">
        <v>950</v>
      </c>
      <c r="D346" s="196">
        <v>80</v>
      </c>
      <c r="E346" s="196" t="s">
        <v>955</v>
      </c>
      <c r="F346" s="196">
        <v>79</v>
      </c>
      <c r="G346" s="196">
        <f t="shared" si="5"/>
        <v>39.5</v>
      </c>
      <c r="H346" s="196">
        <v>2900</v>
      </c>
      <c r="I346" s="196" t="s">
        <v>1970</v>
      </c>
      <c r="J346" s="196"/>
    </row>
    <row r="347" spans="1:10" ht="14.4" hidden="1" outlineLevel="1">
      <c r="A347" s="196" t="s">
        <v>351</v>
      </c>
      <c r="B347" s="197">
        <v>40795</v>
      </c>
      <c r="C347" s="196" t="s">
        <v>962</v>
      </c>
      <c r="D347" s="196">
        <v>79</v>
      </c>
      <c r="E347" s="196" t="s">
        <v>1968</v>
      </c>
      <c r="F347" s="196">
        <v>78.2</v>
      </c>
      <c r="G347" s="196">
        <f t="shared" si="5"/>
        <v>39.1</v>
      </c>
      <c r="H347" s="196">
        <v>5900</v>
      </c>
      <c r="I347" s="196" t="s">
        <v>1969</v>
      </c>
      <c r="J347" s="196"/>
    </row>
    <row r="348" spans="1:10" ht="14.4" hidden="1" outlineLevel="1">
      <c r="A348" s="196" t="s">
        <v>351</v>
      </c>
      <c r="B348" s="197">
        <v>40798</v>
      </c>
      <c r="C348" s="196" t="s">
        <v>956</v>
      </c>
      <c r="D348" s="196">
        <v>78.5</v>
      </c>
      <c r="E348" s="196" t="s">
        <v>956</v>
      </c>
      <c r="F348" s="196">
        <v>78.2</v>
      </c>
      <c r="G348" s="196">
        <f t="shared" si="5"/>
        <v>39.1</v>
      </c>
      <c r="H348" s="196">
        <v>1700</v>
      </c>
      <c r="I348" s="196" t="s">
        <v>1967</v>
      </c>
      <c r="J348" s="196"/>
    </row>
    <row r="349" spans="1:10" ht="14.4" hidden="1" outlineLevel="1">
      <c r="A349" s="196" t="s">
        <v>351</v>
      </c>
      <c r="B349" s="197">
        <v>40799</v>
      </c>
      <c r="C349" s="196" t="s">
        <v>992</v>
      </c>
      <c r="D349" s="196">
        <v>78.5</v>
      </c>
      <c r="E349" s="196" t="s">
        <v>992</v>
      </c>
      <c r="F349" s="196">
        <v>78.5</v>
      </c>
      <c r="G349" s="196">
        <f t="shared" si="5"/>
        <v>39.25</v>
      </c>
      <c r="H349" s="196">
        <v>9800</v>
      </c>
      <c r="I349" s="196" t="s">
        <v>1966</v>
      </c>
      <c r="J349" s="196"/>
    </row>
    <row r="350" spans="1:10" ht="14.4" hidden="1" outlineLevel="1">
      <c r="A350" s="196" t="s">
        <v>351</v>
      </c>
      <c r="B350" s="197">
        <v>40800</v>
      </c>
      <c r="C350" s="196" t="s">
        <v>1035</v>
      </c>
      <c r="D350" s="196">
        <v>79</v>
      </c>
      <c r="E350" s="196" t="s">
        <v>1035</v>
      </c>
      <c r="F350" s="196">
        <v>78.8</v>
      </c>
      <c r="G350" s="196">
        <f t="shared" si="5"/>
        <v>39.4</v>
      </c>
      <c r="H350" s="196">
        <v>6900</v>
      </c>
      <c r="I350" s="196" t="s">
        <v>1965</v>
      </c>
      <c r="J350" s="196"/>
    </row>
    <row r="351" spans="1:10" ht="14.4" hidden="1" outlineLevel="1">
      <c r="A351" s="196" t="s">
        <v>351</v>
      </c>
      <c r="B351" s="197">
        <v>40801</v>
      </c>
      <c r="C351" s="196" t="s">
        <v>962</v>
      </c>
      <c r="D351" s="196">
        <v>79</v>
      </c>
      <c r="E351" s="196" t="s">
        <v>962</v>
      </c>
      <c r="F351" s="196">
        <v>79</v>
      </c>
      <c r="G351" s="196">
        <f t="shared" si="5"/>
        <v>39.5</v>
      </c>
      <c r="H351" s="196">
        <v>400</v>
      </c>
      <c r="I351" s="196" t="s">
        <v>1964</v>
      </c>
      <c r="J351" s="196"/>
    </row>
    <row r="352" spans="1:10" ht="14.4" hidden="1" outlineLevel="1">
      <c r="A352" s="196" t="s">
        <v>351</v>
      </c>
      <c r="B352" s="197">
        <v>40802</v>
      </c>
      <c r="C352" s="196" t="s">
        <v>959</v>
      </c>
      <c r="D352" s="196">
        <v>80</v>
      </c>
      <c r="E352" s="196" t="s">
        <v>959</v>
      </c>
      <c r="F352" s="196">
        <v>80</v>
      </c>
      <c r="G352" s="196">
        <f t="shared" si="5"/>
        <v>40</v>
      </c>
      <c r="H352" s="196">
        <v>32100</v>
      </c>
      <c r="I352" s="196" t="s">
        <v>1963</v>
      </c>
      <c r="J352" s="196"/>
    </row>
    <row r="353" spans="1:10" ht="14.4" hidden="1" outlineLevel="1">
      <c r="A353" s="196" t="s">
        <v>351</v>
      </c>
      <c r="B353" s="197">
        <v>40806</v>
      </c>
      <c r="C353" s="196" t="s">
        <v>1037</v>
      </c>
      <c r="D353" s="196">
        <v>80.099999999999994</v>
      </c>
      <c r="E353" s="196" t="s">
        <v>955</v>
      </c>
      <c r="F353" s="196">
        <v>78.2</v>
      </c>
      <c r="G353" s="196">
        <f t="shared" si="5"/>
        <v>39.1</v>
      </c>
      <c r="H353" s="196">
        <v>45800</v>
      </c>
      <c r="I353" s="196" t="s">
        <v>1962</v>
      </c>
      <c r="J353" s="196"/>
    </row>
    <row r="354" spans="1:10" ht="14.4" hidden="1" outlineLevel="1">
      <c r="A354" s="196" t="s">
        <v>351</v>
      </c>
      <c r="B354" s="197">
        <v>40807</v>
      </c>
      <c r="C354" s="196" t="s">
        <v>950</v>
      </c>
      <c r="D354" s="196">
        <v>84.8</v>
      </c>
      <c r="E354" s="196" t="s">
        <v>950</v>
      </c>
      <c r="F354" s="196">
        <v>80</v>
      </c>
      <c r="G354" s="196">
        <f t="shared" si="5"/>
        <v>40</v>
      </c>
      <c r="H354" s="196">
        <v>23000</v>
      </c>
      <c r="I354" s="196" t="s">
        <v>1961</v>
      </c>
      <c r="J354" s="196"/>
    </row>
    <row r="355" spans="1:10" ht="14.4" hidden="1" outlineLevel="1">
      <c r="A355" s="196" t="s">
        <v>351</v>
      </c>
      <c r="B355" s="197">
        <v>40809</v>
      </c>
      <c r="C355" s="196" t="s">
        <v>1037</v>
      </c>
      <c r="D355" s="196">
        <v>80.099999999999994</v>
      </c>
      <c r="E355" s="196" t="s">
        <v>956</v>
      </c>
      <c r="F355" s="196">
        <v>79.400000000000006</v>
      </c>
      <c r="G355" s="196">
        <f t="shared" si="5"/>
        <v>39.700000000000003</v>
      </c>
      <c r="H355" s="196">
        <v>900</v>
      </c>
      <c r="I355" s="196" t="s">
        <v>1960</v>
      </c>
      <c r="J355" s="196"/>
    </row>
    <row r="356" spans="1:10" ht="14.4" hidden="1" outlineLevel="1">
      <c r="A356" s="196" t="s">
        <v>351</v>
      </c>
      <c r="B356" s="197">
        <v>40812</v>
      </c>
      <c r="C356" s="196" t="s">
        <v>950</v>
      </c>
      <c r="D356" s="196">
        <v>80</v>
      </c>
      <c r="E356" s="196" t="s">
        <v>997</v>
      </c>
      <c r="F356" s="196">
        <v>79</v>
      </c>
      <c r="G356" s="196">
        <f t="shared" si="5"/>
        <v>39.5</v>
      </c>
      <c r="H356" s="196">
        <v>1000</v>
      </c>
      <c r="I356" s="196" t="s">
        <v>1959</v>
      </c>
      <c r="J356" s="196"/>
    </row>
    <row r="357" spans="1:10" ht="14.4" hidden="1" outlineLevel="1">
      <c r="A357" s="196" t="s">
        <v>351</v>
      </c>
      <c r="B357" s="197">
        <v>40814</v>
      </c>
      <c r="C357" s="196" t="s">
        <v>997</v>
      </c>
      <c r="D357" s="196">
        <v>79</v>
      </c>
      <c r="E357" s="196" t="s">
        <v>1061</v>
      </c>
      <c r="F357" s="196">
        <v>78.599999999999994</v>
      </c>
      <c r="G357" s="196">
        <f t="shared" si="5"/>
        <v>39.299999999999997</v>
      </c>
      <c r="H357" s="196">
        <v>14600</v>
      </c>
      <c r="I357" s="196" t="s">
        <v>1958</v>
      </c>
      <c r="J357" s="196"/>
    </row>
    <row r="358" spans="1:10" ht="14.4" hidden="1" outlineLevel="1">
      <c r="A358" s="196" t="s">
        <v>351</v>
      </c>
      <c r="B358" s="197">
        <v>40815</v>
      </c>
      <c r="C358" s="196" t="s">
        <v>1061</v>
      </c>
      <c r="D358" s="196">
        <v>76.3</v>
      </c>
      <c r="E358" s="196" t="s">
        <v>980</v>
      </c>
      <c r="F358" s="196">
        <v>75.099999999999994</v>
      </c>
      <c r="G358" s="196">
        <f t="shared" si="5"/>
        <v>37.549999999999997</v>
      </c>
      <c r="H358" s="196">
        <v>46200</v>
      </c>
      <c r="I358" s="196" t="s">
        <v>1957</v>
      </c>
      <c r="J358" s="196"/>
    </row>
    <row r="359" spans="1:10" ht="14.4" hidden="1" outlineLevel="1">
      <c r="A359" s="196" t="s">
        <v>351</v>
      </c>
      <c r="B359" s="197">
        <v>40816</v>
      </c>
      <c r="C359" s="196" t="s">
        <v>974</v>
      </c>
      <c r="D359" s="196">
        <v>77</v>
      </c>
      <c r="E359" s="196" t="s">
        <v>974</v>
      </c>
      <c r="F359" s="196">
        <v>77</v>
      </c>
      <c r="G359" s="196">
        <f t="shared" si="5"/>
        <v>38.5</v>
      </c>
      <c r="H359" s="196">
        <v>900</v>
      </c>
      <c r="I359" s="196" t="s">
        <v>1956</v>
      </c>
      <c r="J359" s="196"/>
    </row>
    <row r="360" spans="1:10" ht="14.4" hidden="1" outlineLevel="1">
      <c r="A360" s="196" t="s">
        <v>351</v>
      </c>
      <c r="B360" s="197">
        <v>40819</v>
      </c>
      <c r="C360" s="196" t="s">
        <v>972</v>
      </c>
      <c r="D360" s="196">
        <v>76</v>
      </c>
      <c r="E360" s="196" t="s">
        <v>1082</v>
      </c>
      <c r="F360" s="196">
        <v>75.8</v>
      </c>
      <c r="G360" s="196">
        <f t="shared" si="5"/>
        <v>37.9</v>
      </c>
      <c r="H360" s="196">
        <v>6200</v>
      </c>
      <c r="I360" s="196" t="s">
        <v>1955</v>
      </c>
      <c r="J360" s="196"/>
    </row>
    <row r="361" spans="1:10" ht="14.4" hidden="1" outlineLevel="1">
      <c r="A361" s="196" t="s">
        <v>351</v>
      </c>
      <c r="B361" s="197">
        <v>40820</v>
      </c>
      <c r="C361" s="196" t="s">
        <v>962</v>
      </c>
      <c r="D361" s="196">
        <v>80</v>
      </c>
      <c r="E361" s="196" t="s">
        <v>962</v>
      </c>
      <c r="F361" s="196">
        <v>79.5</v>
      </c>
      <c r="G361" s="196">
        <f t="shared" si="5"/>
        <v>39.75</v>
      </c>
      <c r="H361" s="196">
        <v>18600</v>
      </c>
      <c r="I361" s="196" t="s">
        <v>1954</v>
      </c>
      <c r="J361" s="196"/>
    </row>
    <row r="362" spans="1:10" ht="14.4" hidden="1" outlineLevel="1">
      <c r="A362" s="196" t="s">
        <v>351</v>
      </c>
      <c r="B362" s="197">
        <v>40821</v>
      </c>
      <c r="C362" s="196" t="s">
        <v>1145</v>
      </c>
      <c r="D362" s="196">
        <v>77</v>
      </c>
      <c r="E362" s="196" t="s">
        <v>1145</v>
      </c>
      <c r="F362" s="196">
        <v>75.8</v>
      </c>
      <c r="G362" s="196">
        <f t="shared" si="5"/>
        <v>37.9</v>
      </c>
      <c r="H362" s="196">
        <v>4600</v>
      </c>
      <c r="I362" s="196" t="s">
        <v>1953</v>
      </c>
      <c r="J362" s="196"/>
    </row>
    <row r="363" spans="1:10" ht="14.4" hidden="1" outlineLevel="1">
      <c r="A363" s="196" t="s">
        <v>351</v>
      </c>
      <c r="B363" s="197">
        <v>40822</v>
      </c>
      <c r="C363" s="196" t="s">
        <v>1070</v>
      </c>
      <c r="D363" s="196">
        <v>76.2</v>
      </c>
      <c r="E363" s="196" t="s">
        <v>1070</v>
      </c>
      <c r="F363" s="196">
        <v>76.2</v>
      </c>
      <c r="G363" s="196">
        <f t="shared" si="5"/>
        <v>38.1</v>
      </c>
      <c r="H363" s="196">
        <v>6100</v>
      </c>
      <c r="I363" s="196" t="s">
        <v>1952</v>
      </c>
      <c r="J363" s="196"/>
    </row>
    <row r="364" spans="1:10" ht="14.4" hidden="1" outlineLevel="1">
      <c r="A364" s="196" t="s">
        <v>351</v>
      </c>
      <c r="B364" s="197">
        <v>40823</v>
      </c>
      <c r="C364" s="196" t="s">
        <v>972</v>
      </c>
      <c r="D364" s="196">
        <v>76</v>
      </c>
      <c r="E364" s="196" t="s">
        <v>972</v>
      </c>
      <c r="F364" s="196">
        <v>76</v>
      </c>
      <c r="G364" s="196">
        <f t="shared" si="5"/>
        <v>38</v>
      </c>
      <c r="H364" s="196">
        <v>300</v>
      </c>
      <c r="I364" s="196" t="s">
        <v>1951</v>
      </c>
      <c r="J364" s="196"/>
    </row>
    <row r="365" spans="1:10" ht="14.4" hidden="1" outlineLevel="1">
      <c r="A365" s="196" t="s">
        <v>351</v>
      </c>
      <c r="B365" s="197">
        <v>40826</v>
      </c>
      <c r="C365" s="196" t="s">
        <v>972</v>
      </c>
      <c r="D365" s="196">
        <v>76.2</v>
      </c>
      <c r="E365" s="196" t="s">
        <v>972</v>
      </c>
      <c r="F365" s="196">
        <v>76.099999999999994</v>
      </c>
      <c r="G365" s="196">
        <f t="shared" si="5"/>
        <v>38.049999999999997</v>
      </c>
      <c r="H365" s="196">
        <v>2000</v>
      </c>
      <c r="I365" s="196" t="s">
        <v>1950</v>
      </c>
      <c r="J365" s="196"/>
    </row>
    <row r="366" spans="1:10" ht="14.4" hidden="1" outlineLevel="1">
      <c r="A366" s="196" t="s">
        <v>351</v>
      </c>
      <c r="B366" s="197">
        <v>40828</v>
      </c>
      <c r="C366" s="196" t="s">
        <v>974</v>
      </c>
      <c r="D366" s="196">
        <v>77</v>
      </c>
      <c r="E366" s="196" t="s">
        <v>972</v>
      </c>
      <c r="F366" s="196">
        <v>76.099999999999994</v>
      </c>
      <c r="G366" s="196">
        <f t="shared" si="5"/>
        <v>38.049999999999997</v>
      </c>
      <c r="H366" s="196">
        <v>28000</v>
      </c>
      <c r="I366" s="196" t="s">
        <v>1949</v>
      </c>
      <c r="J366" s="196"/>
    </row>
    <row r="367" spans="1:10" ht="14.4" hidden="1" outlineLevel="1">
      <c r="A367" s="196" t="s">
        <v>351</v>
      </c>
      <c r="B367" s="197">
        <v>40829</v>
      </c>
      <c r="C367" s="196" t="s">
        <v>1070</v>
      </c>
      <c r="D367" s="196">
        <v>76.099999999999994</v>
      </c>
      <c r="E367" s="196" t="s">
        <v>1070</v>
      </c>
      <c r="F367" s="196">
        <v>76.099999999999994</v>
      </c>
      <c r="G367" s="196">
        <f t="shared" si="5"/>
        <v>38.049999999999997</v>
      </c>
      <c r="H367" s="196">
        <v>800</v>
      </c>
      <c r="I367" s="196" t="s">
        <v>1948</v>
      </c>
      <c r="J367" s="196"/>
    </row>
    <row r="368" spans="1:10" ht="14.4" hidden="1" outlineLevel="1">
      <c r="A368" s="196" t="s">
        <v>351</v>
      </c>
      <c r="B368" s="197">
        <v>40830</v>
      </c>
      <c r="C368" s="196" t="s">
        <v>1070</v>
      </c>
      <c r="D368" s="196">
        <v>76.099999999999994</v>
      </c>
      <c r="E368" s="196" t="s">
        <v>972</v>
      </c>
      <c r="F368" s="196">
        <v>76</v>
      </c>
      <c r="G368" s="196">
        <f t="shared" si="5"/>
        <v>38</v>
      </c>
      <c r="H368" s="196">
        <v>18300</v>
      </c>
      <c r="I368" s="196" t="s">
        <v>1947</v>
      </c>
      <c r="J368" s="196"/>
    </row>
    <row r="369" spans="1:10" ht="14.4" hidden="1" outlineLevel="1">
      <c r="A369" s="196" t="s">
        <v>351</v>
      </c>
      <c r="B369" s="197">
        <v>40833</v>
      </c>
      <c r="C369" s="196" t="s">
        <v>972</v>
      </c>
      <c r="D369" s="196">
        <v>76</v>
      </c>
      <c r="E369" s="196" t="s">
        <v>1082</v>
      </c>
      <c r="F369" s="196">
        <v>75.099999999999994</v>
      </c>
      <c r="G369" s="196">
        <f t="shared" si="5"/>
        <v>37.549999999999997</v>
      </c>
      <c r="H369" s="196">
        <v>4600</v>
      </c>
      <c r="I369" s="196" t="s">
        <v>1946</v>
      </c>
      <c r="J369" s="196"/>
    </row>
    <row r="370" spans="1:10" ht="14.4" hidden="1" outlineLevel="1">
      <c r="A370" s="196" t="s">
        <v>351</v>
      </c>
      <c r="B370" s="197">
        <v>40834</v>
      </c>
      <c r="C370" s="196" t="s">
        <v>972</v>
      </c>
      <c r="D370" s="196">
        <v>77</v>
      </c>
      <c r="E370" s="196" t="s">
        <v>1085</v>
      </c>
      <c r="F370" s="196">
        <v>74.7</v>
      </c>
      <c r="G370" s="196">
        <f t="shared" si="5"/>
        <v>37.35</v>
      </c>
      <c r="H370" s="196">
        <v>4400</v>
      </c>
      <c r="I370" s="196" t="s">
        <v>1945</v>
      </c>
      <c r="J370" s="196"/>
    </row>
    <row r="371" spans="1:10" ht="14.4" hidden="1" outlineLevel="1">
      <c r="A371" s="196" t="s">
        <v>351</v>
      </c>
      <c r="B371" s="197">
        <v>40835</v>
      </c>
      <c r="C371" s="196" t="s">
        <v>980</v>
      </c>
      <c r="D371" s="196">
        <v>75</v>
      </c>
      <c r="E371" s="196" t="s">
        <v>983</v>
      </c>
      <c r="F371" s="196">
        <v>75</v>
      </c>
      <c r="G371" s="196">
        <f t="shared" si="5"/>
        <v>37.5</v>
      </c>
      <c r="H371" s="196">
        <v>33400</v>
      </c>
      <c r="I371" s="196" t="s">
        <v>1944</v>
      </c>
      <c r="J371" s="196"/>
    </row>
    <row r="372" spans="1:10" ht="14.4" hidden="1" outlineLevel="1">
      <c r="A372" s="196" t="s">
        <v>351</v>
      </c>
      <c r="B372" s="197">
        <v>40836</v>
      </c>
      <c r="C372" s="196" t="s">
        <v>980</v>
      </c>
      <c r="D372" s="196">
        <v>75</v>
      </c>
      <c r="E372" s="196" t="s">
        <v>1511</v>
      </c>
      <c r="F372" s="196">
        <v>73.900000000000006</v>
      </c>
      <c r="G372" s="196">
        <f t="shared" si="5"/>
        <v>36.950000000000003</v>
      </c>
      <c r="H372" s="196">
        <v>16500</v>
      </c>
      <c r="I372" s="196" t="s">
        <v>1943</v>
      </c>
      <c r="J372" s="196"/>
    </row>
    <row r="373" spans="1:10" ht="14.4" hidden="1" outlineLevel="1">
      <c r="A373" s="196" t="s">
        <v>351</v>
      </c>
      <c r="B373" s="197">
        <v>40837</v>
      </c>
      <c r="C373" s="196" t="s">
        <v>1125</v>
      </c>
      <c r="D373" s="196">
        <v>73.900000000000006</v>
      </c>
      <c r="E373" s="196" t="s">
        <v>1125</v>
      </c>
      <c r="F373" s="196">
        <v>73.900000000000006</v>
      </c>
      <c r="G373" s="196">
        <f t="shared" si="5"/>
        <v>36.950000000000003</v>
      </c>
      <c r="H373" s="196">
        <v>100</v>
      </c>
      <c r="I373" s="196" t="s">
        <v>1942</v>
      </c>
      <c r="J373" s="196"/>
    </row>
    <row r="374" spans="1:10" ht="14.4" hidden="1" outlineLevel="1">
      <c r="A374" s="196" t="s">
        <v>351</v>
      </c>
      <c r="B374" s="197">
        <v>40840</v>
      </c>
      <c r="C374" s="196" t="s">
        <v>983</v>
      </c>
      <c r="D374" s="196">
        <v>74</v>
      </c>
      <c r="E374" s="196" t="s">
        <v>983</v>
      </c>
      <c r="F374" s="196">
        <v>74</v>
      </c>
      <c r="G374" s="196">
        <f t="shared" si="5"/>
        <v>37</v>
      </c>
      <c r="H374" s="196">
        <v>100</v>
      </c>
      <c r="I374" s="196" t="s">
        <v>1901</v>
      </c>
      <c r="J374" s="196"/>
    </row>
    <row r="375" spans="1:10" ht="14.4" hidden="1" outlineLevel="1">
      <c r="A375" s="196" t="s">
        <v>351</v>
      </c>
      <c r="B375" s="197">
        <v>40841</v>
      </c>
      <c r="C375" s="196" t="s">
        <v>980</v>
      </c>
      <c r="D375" s="196">
        <v>75</v>
      </c>
      <c r="E375" s="196" t="s">
        <v>983</v>
      </c>
      <c r="F375" s="196">
        <v>74.8</v>
      </c>
      <c r="G375" s="196">
        <f t="shared" si="5"/>
        <v>37.4</v>
      </c>
      <c r="H375" s="196">
        <v>400</v>
      </c>
      <c r="I375" s="196" t="s">
        <v>1941</v>
      </c>
      <c r="J375" s="196"/>
    </row>
    <row r="376" spans="1:10" ht="14.4" hidden="1" outlineLevel="1">
      <c r="A376" s="196" t="s">
        <v>351</v>
      </c>
      <c r="B376" s="197">
        <v>40843</v>
      </c>
      <c r="C376" s="196" t="s">
        <v>1127</v>
      </c>
      <c r="D376" s="196">
        <v>72</v>
      </c>
      <c r="E376" s="196" t="s">
        <v>1161</v>
      </c>
      <c r="F376" s="196">
        <v>71.2</v>
      </c>
      <c r="G376" s="196">
        <f t="shared" si="5"/>
        <v>35.6</v>
      </c>
      <c r="H376" s="196">
        <v>1000</v>
      </c>
      <c r="I376" s="196" t="s">
        <v>1940</v>
      </c>
      <c r="J376" s="196"/>
    </row>
    <row r="377" spans="1:10" ht="14.4" hidden="1" outlineLevel="1">
      <c r="A377" s="196" t="s">
        <v>351</v>
      </c>
      <c r="B377" s="197">
        <v>40844</v>
      </c>
      <c r="C377" s="196" t="s">
        <v>1175</v>
      </c>
      <c r="D377" s="196">
        <v>75</v>
      </c>
      <c r="E377" s="196" t="s">
        <v>1175</v>
      </c>
      <c r="F377" s="196">
        <v>75</v>
      </c>
      <c r="G377" s="196">
        <f t="shared" si="5"/>
        <v>37.5</v>
      </c>
      <c r="H377" s="196">
        <v>5900</v>
      </c>
      <c r="I377" s="196" t="s">
        <v>1939</v>
      </c>
      <c r="J377" s="196"/>
    </row>
    <row r="378" spans="1:10" ht="14.4" hidden="1" outlineLevel="1">
      <c r="A378" s="196" t="s">
        <v>351</v>
      </c>
      <c r="B378" s="197">
        <v>40847</v>
      </c>
      <c r="C378" s="196" t="s">
        <v>980</v>
      </c>
      <c r="D378" s="196">
        <v>75</v>
      </c>
      <c r="E378" s="196" t="s">
        <v>980</v>
      </c>
      <c r="F378" s="196">
        <v>75</v>
      </c>
      <c r="G378" s="196">
        <f t="shared" si="5"/>
        <v>37.5</v>
      </c>
      <c r="H378" s="196">
        <v>3200</v>
      </c>
      <c r="I378" s="196" t="s">
        <v>1938</v>
      </c>
      <c r="J378" s="196"/>
    </row>
    <row r="379" spans="1:10" ht="14.4" hidden="1" outlineLevel="1">
      <c r="A379" s="196" t="s">
        <v>351</v>
      </c>
      <c r="B379" s="197">
        <v>40848</v>
      </c>
      <c r="C379" s="196" t="s">
        <v>980</v>
      </c>
      <c r="D379" s="196">
        <v>75</v>
      </c>
      <c r="E379" s="196" t="s">
        <v>1117</v>
      </c>
      <c r="F379" s="196">
        <v>75</v>
      </c>
      <c r="G379" s="196">
        <f t="shared" si="5"/>
        <v>37.5</v>
      </c>
      <c r="H379" s="196">
        <v>3700</v>
      </c>
      <c r="I379" s="196" t="s">
        <v>1937</v>
      </c>
      <c r="J379" s="196"/>
    </row>
    <row r="380" spans="1:10" ht="14.4" hidden="1" outlineLevel="1">
      <c r="A380" s="196" t="s">
        <v>351</v>
      </c>
      <c r="B380" s="197">
        <v>40849</v>
      </c>
      <c r="C380" s="196" t="s">
        <v>1119</v>
      </c>
      <c r="D380" s="196">
        <v>74</v>
      </c>
      <c r="E380" s="196" t="s">
        <v>1127</v>
      </c>
      <c r="F380" s="196">
        <v>74</v>
      </c>
      <c r="G380" s="196">
        <f t="shared" si="5"/>
        <v>37</v>
      </c>
      <c r="H380" s="196">
        <v>2400</v>
      </c>
      <c r="I380" s="196" t="s">
        <v>1936</v>
      </c>
      <c r="J380" s="196"/>
    </row>
    <row r="381" spans="1:10" ht="14.4" hidden="1" outlineLevel="1">
      <c r="A381" s="196" t="s">
        <v>351</v>
      </c>
      <c r="B381" s="197">
        <v>40850</v>
      </c>
      <c r="C381" s="196" t="s">
        <v>1934</v>
      </c>
      <c r="D381" s="196">
        <v>74.099999999999994</v>
      </c>
      <c r="E381" s="196" t="s">
        <v>1934</v>
      </c>
      <c r="F381" s="196">
        <v>74.099999999999994</v>
      </c>
      <c r="G381" s="196">
        <f t="shared" si="5"/>
        <v>37.049999999999997</v>
      </c>
      <c r="H381" s="196">
        <v>300</v>
      </c>
      <c r="I381" s="196" t="s">
        <v>1935</v>
      </c>
      <c r="J381" s="196"/>
    </row>
    <row r="382" spans="1:10" ht="14.4" hidden="1" outlineLevel="1">
      <c r="A382" s="196" t="s">
        <v>351</v>
      </c>
      <c r="B382" s="197">
        <v>40855</v>
      </c>
      <c r="C382" s="196" t="s">
        <v>983</v>
      </c>
      <c r="D382" s="196">
        <v>77</v>
      </c>
      <c r="E382" s="196" t="s">
        <v>1119</v>
      </c>
      <c r="F382" s="196">
        <v>73</v>
      </c>
      <c r="G382" s="196">
        <f t="shared" si="5"/>
        <v>36.5</v>
      </c>
      <c r="H382" s="196">
        <v>3200</v>
      </c>
      <c r="I382" s="196" t="s">
        <v>1933</v>
      </c>
      <c r="J382" s="196"/>
    </row>
    <row r="383" spans="1:10" ht="14.4" hidden="1" outlineLevel="1">
      <c r="A383" s="196" t="s">
        <v>351</v>
      </c>
      <c r="B383" s="197">
        <v>40856</v>
      </c>
      <c r="C383" s="196" t="s">
        <v>1119</v>
      </c>
      <c r="D383" s="196">
        <v>74</v>
      </c>
      <c r="E383" s="196" t="s">
        <v>1196</v>
      </c>
      <c r="F383" s="196">
        <v>74</v>
      </c>
      <c r="G383" s="196">
        <f t="shared" si="5"/>
        <v>37</v>
      </c>
      <c r="H383" s="196">
        <v>3700</v>
      </c>
      <c r="I383" s="196" t="s">
        <v>1932</v>
      </c>
      <c r="J383" s="196"/>
    </row>
    <row r="384" spans="1:10" ht="14.4" hidden="1" outlineLevel="1">
      <c r="A384" s="196" t="s">
        <v>351</v>
      </c>
      <c r="B384" s="197">
        <v>40858</v>
      </c>
      <c r="C384" s="196" t="s">
        <v>983</v>
      </c>
      <c r="D384" s="196">
        <v>75</v>
      </c>
      <c r="E384" s="196" t="s">
        <v>983</v>
      </c>
      <c r="F384" s="196">
        <v>75</v>
      </c>
      <c r="G384" s="196">
        <f t="shared" si="5"/>
        <v>37.5</v>
      </c>
      <c r="H384" s="196">
        <v>1200</v>
      </c>
      <c r="I384" s="196" t="s">
        <v>1931</v>
      </c>
      <c r="J384" s="196"/>
    </row>
    <row r="385" spans="1:10" ht="14.4" hidden="1" outlineLevel="1">
      <c r="A385" s="196" t="s">
        <v>351</v>
      </c>
      <c r="B385" s="197">
        <v>40861</v>
      </c>
      <c r="C385" s="196" t="s">
        <v>1511</v>
      </c>
      <c r="D385" s="196">
        <v>73.5</v>
      </c>
      <c r="E385" s="196" t="s">
        <v>1511</v>
      </c>
      <c r="F385" s="196">
        <v>73.5</v>
      </c>
      <c r="G385" s="196">
        <f t="shared" si="5"/>
        <v>36.75</v>
      </c>
      <c r="H385" s="196">
        <v>1800</v>
      </c>
      <c r="I385" s="196" t="s">
        <v>1396</v>
      </c>
      <c r="J385" s="196"/>
    </row>
    <row r="386" spans="1:10" ht="14.4" hidden="1" outlineLevel="1">
      <c r="A386" s="196" t="s">
        <v>351</v>
      </c>
      <c r="B386" s="197">
        <v>40862</v>
      </c>
      <c r="C386" s="196" t="s">
        <v>1211</v>
      </c>
      <c r="D386" s="196">
        <v>71</v>
      </c>
      <c r="E386" s="196" t="s">
        <v>1211</v>
      </c>
      <c r="F386" s="196">
        <v>70.2</v>
      </c>
      <c r="G386" s="196">
        <f t="shared" si="5"/>
        <v>35.1</v>
      </c>
      <c r="H386" s="196">
        <v>1800</v>
      </c>
      <c r="I386" s="196" t="s">
        <v>1930</v>
      </c>
      <c r="J386" s="196"/>
    </row>
    <row r="387" spans="1:10" ht="14.4" hidden="1" outlineLevel="1">
      <c r="A387" s="196" t="s">
        <v>351</v>
      </c>
      <c r="B387" s="197">
        <v>40863</v>
      </c>
      <c r="C387" s="196" t="s">
        <v>1511</v>
      </c>
      <c r="D387" s="196">
        <v>73.5</v>
      </c>
      <c r="E387" s="196" t="s">
        <v>1211</v>
      </c>
      <c r="F387" s="196">
        <v>70.2</v>
      </c>
      <c r="G387" s="196">
        <f t="shared" si="5"/>
        <v>35.1</v>
      </c>
      <c r="H387" s="196">
        <v>12800</v>
      </c>
      <c r="I387" s="196" t="s">
        <v>1929</v>
      </c>
      <c r="J387" s="196"/>
    </row>
    <row r="388" spans="1:10" ht="14.4" hidden="1" outlineLevel="1">
      <c r="A388" s="196" t="s">
        <v>351</v>
      </c>
      <c r="B388" s="197">
        <v>40864</v>
      </c>
      <c r="C388" s="196" t="s">
        <v>1211</v>
      </c>
      <c r="D388" s="196">
        <v>70</v>
      </c>
      <c r="E388" s="196" t="s">
        <v>1211</v>
      </c>
      <c r="F388" s="196">
        <v>70</v>
      </c>
      <c r="G388" s="196">
        <f t="shared" si="5"/>
        <v>35</v>
      </c>
      <c r="H388" s="196">
        <v>9600</v>
      </c>
      <c r="I388" s="196" t="s">
        <v>1928</v>
      </c>
      <c r="J388" s="196"/>
    </row>
    <row r="389" spans="1:10" ht="14.4" hidden="1" outlineLevel="1">
      <c r="A389" s="196" t="s">
        <v>351</v>
      </c>
      <c r="B389" s="197">
        <v>40865</v>
      </c>
      <c r="C389" s="196" t="s">
        <v>1211</v>
      </c>
      <c r="D389" s="196">
        <v>71.5</v>
      </c>
      <c r="E389" s="196" t="s">
        <v>1211</v>
      </c>
      <c r="F389" s="196">
        <v>71</v>
      </c>
      <c r="G389" s="196">
        <f t="shared" ref="G389:G452" si="6">F389/2</f>
        <v>35.5</v>
      </c>
      <c r="H389" s="196">
        <v>10300</v>
      </c>
      <c r="I389" s="196" t="s">
        <v>1927</v>
      </c>
      <c r="J389" s="196"/>
    </row>
    <row r="390" spans="1:10" ht="14.4" hidden="1" outlineLevel="1">
      <c r="A390" s="196" t="s">
        <v>351</v>
      </c>
      <c r="B390" s="197">
        <v>40868</v>
      </c>
      <c r="C390" s="196" t="s">
        <v>1161</v>
      </c>
      <c r="D390" s="196">
        <v>71</v>
      </c>
      <c r="E390" s="196" t="s">
        <v>1185</v>
      </c>
      <c r="F390" s="196">
        <v>71</v>
      </c>
      <c r="G390" s="196">
        <f t="shared" si="6"/>
        <v>35.5</v>
      </c>
      <c r="H390" s="196">
        <v>4100</v>
      </c>
      <c r="I390" s="196" t="s">
        <v>1926</v>
      </c>
      <c r="J390" s="196"/>
    </row>
    <row r="391" spans="1:10" ht="14.4" hidden="1" outlineLevel="1">
      <c r="A391" s="196" t="s">
        <v>351</v>
      </c>
      <c r="B391" s="197">
        <v>40869</v>
      </c>
      <c r="C391" s="196" t="s">
        <v>1185</v>
      </c>
      <c r="D391" s="196">
        <v>70.099999999999994</v>
      </c>
      <c r="E391" s="196" t="s">
        <v>1185</v>
      </c>
      <c r="F391" s="196">
        <v>70.099999999999994</v>
      </c>
      <c r="G391" s="196">
        <f t="shared" si="6"/>
        <v>35.049999999999997</v>
      </c>
      <c r="H391" s="196">
        <v>9900</v>
      </c>
      <c r="I391" s="196" t="s">
        <v>1925</v>
      </c>
      <c r="J391" s="196"/>
    </row>
    <row r="392" spans="1:10" ht="14.4" hidden="1" outlineLevel="1">
      <c r="A392" s="196" t="s">
        <v>351</v>
      </c>
      <c r="B392" s="197">
        <v>40870</v>
      </c>
      <c r="C392" s="196" t="s">
        <v>1211</v>
      </c>
      <c r="D392" s="196">
        <v>71</v>
      </c>
      <c r="E392" s="196" t="s">
        <v>1216</v>
      </c>
      <c r="F392" s="196">
        <v>69</v>
      </c>
      <c r="G392" s="196">
        <f t="shared" si="6"/>
        <v>34.5</v>
      </c>
      <c r="H392" s="196">
        <v>13000</v>
      </c>
      <c r="I392" s="196" t="s">
        <v>1924</v>
      </c>
      <c r="J392" s="196"/>
    </row>
    <row r="393" spans="1:10" ht="14.4" hidden="1" outlineLevel="1">
      <c r="A393" s="196" t="s">
        <v>351</v>
      </c>
      <c r="B393" s="197">
        <v>40871</v>
      </c>
      <c r="C393" s="196" t="s">
        <v>1216</v>
      </c>
      <c r="D393" s="196">
        <v>70</v>
      </c>
      <c r="E393" s="196" t="s">
        <v>1220</v>
      </c>
      <c r="F393" s="196">
        <v>68.5</v>
      </c>
      <c r="G393" s="196">
        <f t="shared" si="6"/>
        <v>34.25</v>
      </c>
      <c r="H393" s="196">
        <v>23700</v>
      </c>
      <c r="I393" s="196" t="s">
        <v>1923</v>
      </c>
      <c r="J393" s="196"/>
    </row>
    <row r="394" spans="1:10" ht="14.4" hidden="1" outlineLevel="1">
      <c r="A394" s="196" t="s">
        <v>351</v>
      </c>
      <c r="B394" s="197">
        <v>40872</v>
      </c>
      <c r="C394" s="196" t="s">
        <v>1216</v>
      </c>
      <c r="D394" s="196">
        <v>69</v>
      </c>
      <c r="E394" s="196" t="s">
        <v>1498</v>
      </c>
      <c r="F394" s="196">
        <v>68.5</v>
      </c>
      <c r="G394" s="196">
        <f t="shared" si="6"/>
        <v>34.25</v>
      </c>
      <c r="H394" s="196">
        <v>8800</v>
      </c>
      <c r="I394" s="196" t="s">
        <v>1922</v>
      </c>
      <c r="J394" s="196"/>
    </row>
    <row r="395" spans="1:10" ht="14.4" hidden="1" outlineLevel="1">
      <c r="A395" s="196" t="s">
        <v>351</v>
      </c>
      <c r="B395" s="197">
        <v>40875</v>
      </c>
      <c r="C395" s="196" t="s">
        <v>1216</v>
      </c>
      <c r="D395" s="196">
        <v>70</v>
      </c>
      <c r="E395" s="196" t="s">
        <v>1224</v>
      </c>
      <c r="F395" s="196">
        <v>70</v>
      </c>
      <c r="G395" s="196">
        <f t="shared" si="6"/>
        <v>35</v>
      </c>
      <c r="H395" s="196">
        <v>14400</v>
      </c>
      <c r="I395" s="196" t="s">
        <v>1921</v>
      </c>
      <c r="J395" s="196"/>
    </row>
    <row r="396" spans="1:10" ht="14.4" hidden="1" outlineLevel="1">
      <c r="A396" s="196" t="s">
        <v>351</v>
      </c>
      <c r="B396" s="197">
        <v>40876</v>
      </c>
      <c r="C396" s="196" t="s">
        <v>1211</v>
      </c>
      <c r="D396" s="196">
        <v>72</v>
      </c>
      <c r="E396" s="196" t="s">
        <v>1224</v>
      </c>
      <c r="F396" s="196">
        <v>72</v>
      </c>
      <c r="G396" s="196">
        <f t="shared" si="6"/>
        <v>36</v>
      </c>
      <c r="H396" s="196">
        <v>8400</v>
      </c>
      <c r="I396" s="196" t="s">
        <v>1920</v>
      </c>
      <c r="J396" s="196"/>
    </row>
    <row r="397" spans="1:10" ht="14.4" hidden="1" outlineLevel="1">
      <c r="A397" s="196" t="s">
        <v>351</v>
      </c>
      <c r="B397" s="197">
        <v>40877</v>
      </c>
      <c r="C397" s="196" t="s">
        <v>1157</v>
      </c>
      <c r="D397" s="196">
        <v>74.900000000000006</v>
      </c>
      <c r="E397" s="196" t="s">
        <v>1157</v>
      </c>
      <c r="F397" s="196">
        <v>74.400000000000006</v>
      </c>
      <c r="G397" s="196">
        <f t="shared" si="6"/>
        <v>37.200000000000003</v>
      </c>
      <c r="H397" s="196">
        <v>5800</v>
      </c>
      <c r="I397" s="196" t="s">
        <v>1919</v>
      </c>
      <c r="J397" s="196"/>
    </row>
    <row r="398" spans="1:10" ht="14.4" hidden="1" outlineLevel="1">
      <c r="A398" s="196" t="s">
        <v>351</v>
      </c>
      <c r="B398" s="197">
        <v>40878</v>
      </c>
      <c r="C398" s="196" t="s">
        <v>980</v>
      </c>
      <c r="D398" s="196">
        <v>75</v>
      </c>
      <c r="E398" s="196" t="s">
        <v>1106</v>
      </c>
      <c r="F398" s="196">
        <v>74.099999999999994</v>
      </c>
      <c r="G398" s="196">
        <f t="shared" si="6"/>
        <v>37.049999999999997</v>
      </c>
      <c r="H398" s="196">
        <v>1000</v>
      </c>
      <c r="I398" s="196" t="s">
        <v>1918</v>
      </c>
      <c r="J398" s="196"/>
    </row>
    <row r="399" spans="1:10" ht="14.4" hidden="1" outlineLevel="1">
      <c r="A399" s="196" t="s">
        <v>351</v>
      </c>
      <c r="B399" s="197">
        <v>40879</v>
      </c>
      <c r="C399" s="196" t="s">
        <v>1106</v>
      </c>
      <c r="D399" s="196">
        <v>73.2</v>
      </c>
      <c r="E399" s="196" t="s">
        <v>1127</v>
      </c>
      <c r="F399" s="196">
        <v>72</v>
      </c>
      <c r="G399" s="196">
        <f t="shared" si="6"/>
        <v>36</v>
      </c>
      <c r="H399" s="196">
        <v>104100</v>
      </c>
      <c r="I399" s="196" t="s">
        <v>1917</v>
      </c>
      <c r="J399" s="196"/>
    </row>
    <row r="400" spans="1:10" ht="14.4" hidden="1" outlineLevel="1">
      <c r="A400" s="196" t="s">
        <v>351</v>
      </c>
      <c r="B400" s="197">
        <v>40882</v>
      </c>
      <c r="C400" s="196" t="s">
        <v>1127</v>
      </c>
      <c r="D400" s="196">
        <v>72</v>
      </c>
      <c r="E400" s="196" t="s">
        <v>1211</v>
      </c>
      <c r="F400" s="196">
        <v>70.5</v>
      </c>
      <c r="G400" s="196">
        <f t="shared" si="6"/>
        <v>35.25</v>
      </c>
      <c r="H400" s="196">
        <v>1700</v>
      </c>
      <c r="I400" s="196" t="s">
        <v>1916</v>
      </c>
      <c r="J400" s="196"/>
    </row>
    <row r="401" spans="1:10" ht="14.4" hidden="1" outlineLevel="1">
      <c r="A401" s="196" t="s">
        <v>351</v>
      </c>
      <c r="B401" s="197">
        <v>40883</v>
      </c>
      <c r="C401" s="196" t="s">
        <v>1157</v>
      </c>
      <c r="D401" s="196">
        <v>74</v>
      </c>
      <c r="E401" s="196" t="s">
        <v>1157</v>
      </c>
      <c r="F401" s="196">
        <v>73.900000000000006</v>
      </c>
      <c r="G401" s="196">
        <f t="shared" si="6"/>
        <v>36.950000000000003</v>
      </c>
      <c r="H401" s="196">
        <v>3100</v>
      </c>
      <c r="I401" s="196" t="s">
        <v>1915</v>
      </c>
      <c r="J401" s="196"/>
    </row>
    <row r="402" spans="1:10" ht="14.4" hidden="1" outlineLevel="1">
      <c r="A402" s="196" t="s">
        <v>351</v>
      </c>
      <c r="B402" s="197">
        <v>40884</v>
      </c>
      <c r="C402" s="196" t="s">
        <v>1127</v>
      </c>
      <c r="D402" s="196">
        <v>73.900000000000006</v>
      </c>
      <c r="E402" s="196" t="s">
        <v>1127</v>
      </c>
      <c r="F402" s="196">
        <v>72.5</v>
      </c>
      <c r="G402" s="196">
        <f t="shared" si="6"/>
        <v>36.25</v>
      </c>
      <c r="H402" s="196">
        <v>3700</v>
      </c>
      <c r="I402" s="196" t="s">
        <v>1914</v>
      </c>
      <c r="J402" s="196"/>
    </row>
    <row r="403" spans="1:10" ht="14.4" hidden="1" outlineLevel="1">
      <c r="A403" s="196" t="s">
        <v>351</v>
      </c>
      <c r="B403" s="197">
        <v>40886</v>
      </c>
      <c r="C403" s="196" t="s">
        <v>1127</v>
      </c>
      <c r="D403" s="196">
        <v>73.5</v>
      </c>
      <c r="E403" s="196" t="s">
        <v>1127</v>
      </c>
      <c r="F403" s="196">
        <v>72</v>
      </c>
      <c r="G403" s="196">
        <f t="shared" si="6"/>
        <v>36</v>
      </c>
      <c r="H403" s="196">
        <v>12500</v>
      </c>
      <c r="I403" s="196" t="s">
        <v>1913</v>
      </c>
      <c r="J403" s="196"/>
    </row>
    <row r="404" spans="1:10" ht="14.4" hidden="1" outlineLevel="1">
      <c r="A404" s="196" t="s">
        <v>351</v>
      </c>
      <c r="B404" s="197">
        <v>40889</v>
      </c>
      <c r="C404" s="196" t="s">
        <v>1127</v>
      </c>
      <c r="D404" s="196">
        <v>72.099999999999994</v>
      </c>
      <c r="E404" s="196" t="s">
        <v>1127</v>
      </c>
      <c r="F404" s="196">
        <v>72</v>
      </c>
      <c r="G404" s="196">
        <f t="shared" si="6"/>
        <v>36</v>
      </c>
      <c r="H404" s="196">
        <v>5100</v>
      </c>
      <c r="I404" s="196" t="s">
        <v>1912</v>
      </c>
      <c r="J404" s="196"/>
    </row>
    <row r="405" spans="1:10" ht="14.4" hidden="1" outlineLevel="1">
      <c r="A405" s="196" t="s">
        <v>351</v>
      </c>
      <c r="B405" s="197">
        <v>40890</v>
      </c>
      <c r="C405" s="196" t="s">
        <v>1127</v>
      </c>
      <c r="D405" s="196">
        <v>72</v>
      </c>
      <c r="E405" s="196" t="s">
        <v>1127</v>
      </c>
      <c r="F405" s="196">
        <v>72</v>
      </c>
      <c r="G405" s="196">
        <f t="shared" si="6"/>
        <v>36</v>
      </c>
      <c r="H405" s="196">
        <v>700</v>
      </c>
      <c r="I405" s="196" t="s">
        <v>1911</v>
      </c>
      <c r="J405" s="196"/>
    </row>
    <row r="406" spans="1:10" ht="14.4" hidden="1" outlineLevel="1">
      <c r="A406" s="196" t="s">
        <v>351</v>
      </c>
      <c r="B406" s="197">
        <v>40891</v>
      </c>
      <c r="C406" s="196" t="s">
        <v>1161</v>
      </c>
      <c r="D406" s="196">
        <v>72</v>
      </c>
      <c r="E406" s="196" t="s">
        <v>1161</v>
      </c>
      <c r="F406" s="196">
        <v>72</v>
      </c>
      <c r="G406" s="196">
        <f t="shared" si="6"/>
        <v>36</v>
      </c>
      <c r="H406" s="196">
        <v>4200</v>
      </c>
      <c r="I406" s="196" t="s">
        <v>1910</v>
      </c>
      <c r="J406" s="196"/>
    </row>
    <row r="407" spans="1:10" ht="14.4" hidden="1" outlineLevel="1">
      <c r="A407" s="196" t="s">
        <v>351</v>
      </c>
      <c r="B407" s="197">
        <v>40892</v>
      </c>
      <c r="C407" s="196" t="s">
        <v>1161</v>
      </c>
      <c r="D407" s="196">
        <v>71</v>
      </c>
      <c r="E407" s="196" t="s">
        <v>1161</v>
      </c>
      <c r="F407" s="196">
        <v>71</v>
      </c>
      <c r="G407" s="196">
        <f t="shared" si="6"/>
        <v>35.5</v>
      </c>
      <c r="H407" s="196">
        <v>100</v>
      </c>
      <c r="I407" s="196" t="s">
        <v>1909</v>
      </c>
      <c r="J407" s="196"/>
    </row>
    <row r="408" spans="1:10" ht="14.4" hidden="1" outlineLevel="1">
      <c r="A408" s="196" t="s">
        <v>351</v>
      </c>
      <c r="B408" s="197">
        <v>40893</v>
      </c>
      <c r="C408" s="196" t="s">
        <v>1127</v>
      </c>
      <c r="D408" s="196">
        <v>72</v>
      </c>
      <c r="E408" s="196" t="s">
        <v>1498</v>
      </c>
      <c r="F408" s="196">
        <v>68.900000000000006</v>
      </c>
      <c r="G408" s="196">
        <f t="shared" si="6"/>
        <v>34.450000000000003</v>
      </c>
      <c r="H408" s="196">
        <v>1400</v>
      </c>
      <c r="I408" s="196" t="s">
        <v>1908</v>
      </c>
      <c r="J408" s="196"/>
    </row>
    <row r="409" spans="1:10" ht="14.4" hidden="1" outlineLevel="1">
      <c r="A409" s="196" t="s">
        <v>351</v>
      </c>
      <c r="B409" s="197">
        <v>40896</v>
      </c>
      <c r="C409" s="196" t="s">
        <v>1211</v>
      </c>
      <c r="D409" s="196">
        <v>70</v>
      </c>
      <c r="E409" s="196" t="s">
        <v>1211</v>
      </c>
      <c r="F409" s="196">
        <v>70</v>
      </c>
      <c r="G409" s="196">
        <f t="shared" si="6"/>
        <v>35</v>
      </c>
      <c r="H409" s="196">
        <v>1600</v>
      </c>
      <c r="I409" s="196" t="s">
        <v>1907</v>
      </c>
      <c r="J409" s="196"/>
    </row>
    <row r="410" spans="1:10" ht="14.4" hidden="1" outlineLevel="1">
      <c r="A410" s="196" t="s">
        <v>351</v>
      </c>
      <c r="B410" s="197">
        <v>40897</v>
      </c>
      <c r="C410" s="196" t="s">
        <v>1211</v>
      </c>
      <c r="D410" s="196">
        <v>70</v>
      </c>
      <c r="E410" s="196" t="s">
        <v>1669</v>
      </c>
      <c r="F410" s="196">
        <v>68.400000000000006</v>
      </c>
      <c r="G410" s="196">
        <f t="shared" si="6"/>
        <v>34.200000000000003</v>
      </c>
      <c r="H410" s="196">
        <v>3200</v>
      </c>
      <c r="I410" s="196" t="s">
        <v>1906</v>
      </c>
      <c r="J410" s="196"/>
    </row>
    <row r="411" spans="1:10" ht="14.4" hidden="1" outlineLevel="1">
      <c r="A411" s="196" t="s">
        <v>351</v>
      </c>
      <c r="B411" s="197">
        <v>40900</v>
      </c>
      <c r="C411" s="196" t="s">
        <v>1127</v>
      </c>
      <c r="D411" s="196">
        <v>72</v>
      </c>
      <c r="E411" s="196" t="s">
        <v>1127</v>
      </c>
      <c r="F411" s="196">
        <v>72</v>
      </c>
      <c r="G411" s="196">
        <f t="shared" si="6"/>
        <v>36</v>
      </c>
      <c r="H411" s="196">
        <v>300</v>
      </c>
      <c r="I411" s="196" t="s">
        <v>1905</v>
      </c>
      <c r="J411" s="196"/>
    </row>
    <row r="412" spans="1:10" ht="14.4" hidden="1" outlineLevel="1">
      <c r="A412" s="196" t="s">
        <v>351</v>
      </c>
      <c r="B412" s="197">
        <v>40904</v>
      </c>
      <c r="C412" s="196" t="s">
        <v>1127</v>
      </c>
      <c r="D412" s="196">
        <v>75</v>
      </c>
      <c r="E412" s="196" t="s">
        <v>1127</v>
      </c>
      <c r="F412" s="196">
        <v>75</v>
      </c>
      <c r="G412" s="196">
        <f t="shared" si="6"/>
        <v>37.5</v>
      </c>
      <c r="H412" s="196">
        <v>2700</v>
      </c>
      <c r="I412" s="196" t="s">
        <v>1904</v>
      </c>
      <c r="J412" s="196"/>
    </row>
    <row r="413" spans="1:10" ht="14.4" hidden="1" outlineLevel="1">
      <c r="A413" s="196" t="s">
        <v>351</v>
      </c>
      <c r="B413" s="197">
        <v>40905</v>
      </c>
      <c r="C413" s="196" t="s">
        <v>980</v>
      </c>
      <c r="D413" s="196">
        <v>75</v>
      </c>
      <c r="E413" s="196" t="s">
        <v>1110</v>
      </c>
      <c r="F413" s="196">
        <v>75</v>
      </c>
      <c r="G413" s="196">
        <f t="shared" si="6"/>
        <v>37.5</v>
      </c>
      <c r="H413" s="196">
        <v>3200</v>
      </c>
      <c r="I413" s="196" t="s">
        <v>1903</v>
      </c>
      <c r="J413" s="196"/>
    </row>
    <row r="414" spans="1:10" ht="14.4" hidden="1" outlineLevel="1">
      <c r="A414" s="196" t="s">
        <v>351</v>
      </c>
      <c r="B414" s="197">
        <v>40906</v>
      </c>
      <c r="C414" s="196" t="s">
        <v>1187</v>
      </c>
      <c r="D414" s="196">
        <v>72.099999999999994</v>
      </c>
      <c r="E414" s="196" t="s">
        <v>1187</v>
      </c>
      <c r="F414" s="196">
        <v>72.099999999999994</v>
      </c>
      <c r="G414" s="196">
        <f t="shared" si="6"/>
        <v>36.049999999999997</v>
      </c>
      <c r="H414" s="196">
        <v>300</v>
      </c>
      <c r="I414" s="196" t="s">
        <v>1902</v>
      </c>
      <c r="J414" s="196"/>
    </row>
    <row r="415" spans="1:10" ht="14.4" hidden="1" outlineLevel="1">
      <c r="A415" s="196" t="s">
        <v>351</v>
      </c>
      <c r="B415" s="197">
        <v>40907</v>
      </c>
      <c r="C415" s="196" t="s">
        <v>983</v>
      </c>
      <c r="D415" s="196">
        <v>74</v>
      </c>
      <c r="E415" s="196" t="s">
        <v>983</v>
      </c>
      <c r="F415" s="196">
        <v>74</v>
      </c>
      <c r="G415" s="196">
        <f t="shared" si="6"/>
        <v>37</v>
      </c>
      <c r="H415" s="196">
        <v>100</v>
      </c>
      <c r="I415" s="196" t="s">
        <v>1901</v>
      </c>
      <c r="J415" s="196"/>
    </row>
    <row r="416" spans="1:10" ht="14.4" hidden="1" outlineLevel="1">
      <c r="A416" s="196" t="s">
        <v>351</v>
      </c>
      <c r="B416" s="197">
        <v>40910</v>
      </c>
      <c r="C416" s="196" t="s">
        <v>1187</v>
      </c>
      <c r="D416" s="196">
        <v>72.099999999999994</v>
      </c>
      <c r="E416" s="196" t="s">
        <v>1187</v>
      </c>
      <c r="F416" s="196">
        <v>72.099999999999994</v>
      </c>
      <c r="G416" s="196">
        <f t="shared" si="6"/>
        <v>36.049999999999997</v>
      </c>
      <c r="H416" s="196">
        <v>1000</v>
      </c>
      <c r="I416" s="196" t="s">
        <v>1900</v>
      </c>
      <c r="J416" s="196"/>
    </row>
    <row r="417" spans="1:10" ht="14.4" hidden="1" outlineLevel="1">
      <c r="A417" s="196" t="s">
        <v>351</v>
      </c>
      <c r="B417" s="197">
        <v>40911</v>
      </c>
      <c r="C417" s="196" t="s">
        <v>1160</v>
      </c>
      <c r="D417" s="196">
        <v>71.5</v>
      </c>
      <c r="E417" s="196" t="s">
        <v>1160</v>
      </c>
      <c r="F417" s="196">
        <v>71.5</v>
      </c>
      <c r="G417" s="196">
        <f t="shared" si="6"/>
        <v>35.75</v>
      </c>
      <c r="H417" s="196">
        <v>500</v>
      </c>
      <c r="I417" s="196" t="s">
        <v>1898</v>
      </c>
      <c r="J417" s="196"/>
    </row>
    <row r="418" spans="1:10" ht="14.4" hidden="1" outlineLevel="1">
      <c r="A418" s="196" t="s">
        <v>351</v>
      </c>
      <c r="B418" s="197">
        <v>40912</v>
      </c>
      <c r="C418" s="196" t="s">
        <v>1374</v>
      </c>
      <c r="D418" s="196">
        <v>72.3</v>
      </c>
      <c r="E418" s="196" t="s">
        <v>1374</v>
      </c>
      <c r="F418" s="196">
        <v>72.3</v>
      </c>
      <c r="G418" s="196">
        <f t="shared" si="6"/>
        <v>36.15</v>
      </c>
      <c r="H418" s="196">
        <v>300</v>
      </c>
      <c r="I418" s="196" t="s">
        <v>1899</v>
      </c>
      <c r="J418" s="196"/>
    </row>
    <row r="419" spans="1:10" ht="14.4" hidden="1" outlineLevel="1">
      <c r="A419" s="196" t="s">
        <v>351</v>
      </c>
      <c r="B419" s="197">
        <v>40913</v>
      </c>
      <c r="C419" s="196" t="s">
        <v>1160</v>
      </c>
      <c r="D419" s="196">
        <v>71.5</v>
      </c>
      <c r="E419" s="196" t="s">
        <v>1160</v>
      </c>
      <c r="F419" s="196">
        <v>71.5</v>
      </c>
      <c r="G419" s="196">
        <f t="shared" si="6"/>
        <v>35.75</v>
      </c>
      <c r="H419" s="196">
        <v>500</v>
      </c>
      <c r="I419" s="196" t="s">
        <v>1898</v>
      </c>
      <c r="J419" s="196"/>
    </row>
    <row r="420" spans="1:10" ht="14.4" hidden="1" outlineLevel="1">
      <c r="A420" s="196" t="s">
        <v>351</v>
      </c>
      <c r="B420" s="197">
        <v>40917</v>
      </c>
      <c r="C420" s="196" t="s">
        <v>1376</v>
      </c>
      <c r="D420" s="196">
        <v>72.900000000000006</v>
      </c>
      <c r="E420" s="196" t="s">
        <v>1160</v>
      </c>
      <c r="F420" s="196">
        <v>71.7</v>
      </c>
      <c r="G420" s="196">
        <f t="shared" si="6"/>
        <v>35.85</v>
      </c>
      <c r="H420" s="196">
        <v>700</v>
      </c>
      <c r="I420" s="196" t="s">
        <v>1897</v>
      </c>
      <c r="J420" s="196"/>
    </row>
    <row r="421" spans="1:10" ht="14.4" hidden="1" outlineLevel="1">
      <c r="A421" s="196" t="s">
        <v>351</v>
      </c>
      <c r="B421" s="197">
        <v>40918</v>
      </c>
      <c r="C421" s="196" t="s">
        <v>1160</v>
      </c>
      <c r="D421" s="196">
        <v>71.5</v>
      </c>
      <c r="E421" s="196" t="s">
        <v>1216</v>
      </c>
      <c r="F421" s="196">
        <v>70.5</v>
      </c>
      <c r="G421" s="196">
        <f t="shared" si="6"/>
        <v>35.25</v>
      </c>
      <c r="H421" s="196">
        <v>4200</v>
      </c>
      <c r="I421" s="196" t="s">
        <v>1896</v>
      </c>
      <c r="J421" s="196"/>
    </row>
    <row r="422" spans="1:10" ht="14.4" hidden="1" outlineLevel="1">
      <c r="A422" s="196" t="s">
        <v>351</v>
      </c>
      <c r="B422" s="197">
        <v>40919</v>
      </c>
      <c r="C422" s="196" t="s">
        <v>1211</v>
      </c>
      <c r="D422" s="196">
        <v>70</v>
      </c>
      <c r="E422" s="196" t="s">
        <v>1211</v>
      </c>
      <c r="F422" s="196">
        <v>70</v>
      </c>
      <c r="G422" s="196">
        <f t="shared" si="6"/>
        <v>35</v>
      </c>
      <c r="H422" s="196">
        <v>15000</v>
      </c>
      <c r="I422" s="196" t="s">
        <v>1895</v>
      </c>
      <c r="J422" s="196"/>
    </row>
    <row r="423" spans="1:10" ht="14.4" hidden="1" outlineLevel="1">
      <c r="A423" s="196" t="s">
        <v>351</v>
      </c>
      <c r="B423" s="197">
        <v>40920</v>
      </c>
      <c r="C423" s="196" t="s">
        <v>1211</v>
      </c>
      <c r="D423" s="196">
        <v>70</v>
      </c>
      <c r="E423" s="196" t="s">
        <v>1211</v>
      </c>
      <c r="F423" s="196">
        <v>70</v>
      </c>
      <c r="G423" s="196">
        <f t="shared" si="6"/>
        <v>35</v>
      </c>
      <c r="H423" s="196">
        <v>20000</v>
      </c>
      <c r="I423" s="196" t="s">
        <v>1894</v>
      </c>
      <c r="J423" s="196"/>
    </row>
    <row r="424" spans="1:10" ht="14.4" hidden="1" outlineLevel="1">
      <c r="A424" s="196" t="s">
        <v>351</v>
      </c>
      <c r="B424" s="197">
        <v>40921</v>
      </c>
      <c r="C424" s="196" t="s">
        <v>983</v>
      </c>
      <c r="D424" s="196">
        <v>74</v>
      </c>
      <c r="E424" s="196" t="s">
        <v>1127</v>
      </c>
      <c r="F424" s="196">
        <v>73</v>
      </c>
      <c r="G424" s="196">
        <f t="shared" si="6"/>
        <v>36.5</v>
      </c>
      <c r="H424" s="196">
        <v>200</v>
      </c>
      <c r="I424" s="196" t="s">
        <v>1893</v>
      </c>
      <c r="J424" s="196"/>
    </row>
    <row r="425" spans="1:10" ht="14.4" hidden="1" outlineLevel="1">
      <c r="A425" s="196" t="s">
        <v>351</v>
      </c>
      <c r="B425" s="197">
        <v>40925</v>
      </c>
      <c r="C425" s="196" t="s">
        <v>1125</v>
      </c>
      <c r="D425" s="196">
        <v>74</v>
      </c>
      <c r="E425" s="196" t="s">
        <v>1211</v>
      </c>
      <c r="F425" s="196">
        <v>70.3</v>
      </c>
      <c r="G425" s="196">
        <f t="shared" si="6"/>
        <v>35.15</v>
      </c>
      <c r="H425" s="196">
        <v>4200</v>
      </c>
      <c r="I425" s="196" t="s">
        <v>1892</v>
      </c>
      <c r="J425" s="196"/>
    </row>
    <row r="426" spans="1:10" ht="14.4" hidden="1" outlineLevel="1">
      <c r="A426" s="196" t="s">
        <v>351</v>
      </c>
      <c r="B426" s="197">
        <v>40926</v>
      </c>
      <c r="C426" s="196" t="s">
        <v>1211</v>
      </c>
      <c r="D426" s="196">
        <v>70</v>
      </c>
      <c r="E426" s="196" t="s">
        <v>1211</v>
      </c>
      <c r="F426" s="196">
        <v>70</v>
      </c>
      <c r="G426" s="196">
        <f t="shared" si="6"/>
        <v>35</v>
      </c>
      <c r="H426" s="196">
        <v>1000</v>
      </c>
      <c r="I426" s="196" t="s">
        <v>1891</v>
      </c>
      <c r="J426" s="196"/>
    </row>
    <row r="427" spans="1:10" ht="14.4" hidden="1" outlineLevel="1">
      <c r="A427" s="196" t="s">
        <v>351</v>
      </c>
      <c r="B427" s="197">
        <v>40927</v>
      </c>
      <c r="C427" s="196" t="s">
        <v>1211</v>
      </c>
      <c r="D427" s="196">
        <v>70</v>
      </c>
      <c r="E427" s="196" t="s">
        <v>1211</v>
      </c>
      <c r="F427" s="196">
        <v>70</v>
      </c>
      <c r="G427" s="196">
        <f t="shared" si="6"/>
        <v>35</v>
      </c>
      <c r="H427" s="196">
        <v>4400</v>
      </c>
      <c r="I427" s="196" t="s">
        <v>1890</v>
      </c>
      <c r="J427" s="196"/>
    </row>
    <row r="428" spans="1:10" ht="14.4" hidden="1" outlineLevel="1">
      <c r="A428" s="196" t="s">
        <v>351</v>
      </c>
      <c r="B428" s="197">
        <v>40928</v>
      </c>
      <c r="C428" s="196" t="s">
        <v>1211</v>
      </c>
      <c r="D428" s="196">
        <v>70</v>
      </c>
      <c r="E428" s="196" t="s">
        <v>1547</v>
      </c>
      <c r="F428" s="196">
        <v>69.599999999999994</v>
      </c>
      <c r="G428" s="196">
        <f t="shared" si="6"/>
        <v>34.799999999999997</v>
      </c>
      <c r="H428" s="196">
        <v>7100</v>
      </c>
      <c r="I428" s="196" t="s">
        <v>1889</v>
      </c>
      <c r="J428" s="196"/>
    </row>
    <row r="429" spans="1:10" ht="14.4" hidden="1" outlineLevel="1">
      <c r="A429" s="196" t="s">
        <v>351</v>
      </c>
      <c r="B429" s="197">
        <v>40931</v>
      </c>
      <c r="C429" s="196" t="s">
        <v>1547</v>
      </c>
      <c r="D429" s="196">
        <v>69.599999999999994</v>
      </c>
      <c r="E429" s="196" t="s">
        <v>1216</v>
      </c>
      <c r="F429" s="196">
        <v>69.3</v>
      </c>
      <c r="G429" s="196">
        <f t="shared" si="6"/>
        <v>34.65</v>
      </c>
      <c r="H429" s="196">
        <v>4600</v>
      </c>
      <c r="I429" s="196" t="s">
        <v>1888</v>
      </c>
      <c r="J429" s="196"/>
    </row>
    <row r="430" spans="1:10" ht="14.4" hidden="1" outlineLevel="1">
      <c r="A430" s="196" t="s">
        <v>351</v>
      </c>
      <c r="B430" s="197">
        <v>40932</v>
      </c>
      <c r="C430" s="196" t="s">
        <v>1216</v>
      </c>
      <c r="D430" s="196">
        <v>69</v>
      </c>
      <c r="E430" s="196" t="s">
        <v>1225</v>
      </c>
      <c r="F430" s="196">
        <v>67.5</v>
      </c>
      <c r="G430" s="196">
        <f t="shared" si="6"/>
        <v>33.75</v>
      </c>
      <c r="H430" s="196">
        <v>6100</v>
      </c>
      <c r="I430" s="196" t="s">
        <v>1887</v>
      </c>
      <c r="J430" s="196"/>
    </row>
    <row r="431" spans="1:10" ht="14.4" hidden="1" outlineLevel="1">
      <c r="A431" s="196" t="s">
        <v>351</v>
      </c>
      <c r="B431" s="197">
        <v>40933</v>
      </c>
      <c r="C431" s="196" t="s">
        <v>1224</v>
      </c>
      <c r="D431" s="196">
        <v>70.900000000000006</v>
      </c>
      <c r="E431" s="196" t="s">
        <v>1224</v>
      </c>
      <c r="F431" s="196">
        <v>70.900000000000006</v>
      </c>
      <c r="G431" s="196">
        <f t="shared" si="6"/>
        <v>35.450000000000003</v>
      </c>
      <c r="H431" s="196">
        <v>400</v>
      </c>
      <c r="I431" s="196" t="s">
        <v>1886</v>
      </c>
      <c r="J431" s="196"/>
    </row>
    <row r="432" spans="1:10" ht="14.4" hidden="1" outlineLevel="1">
      <c r="A432" s="196" t="s">
        <v>351</v>
      </c>
      <c r="B432" s="197">
        <v>40934</v>
      </c>
      <c r="C432" s="196" t="s">
        <v>1216</v>
      </c>
      <c r="D432" s="196">
        <v>69</v>
      </c>
      <c r="E432" s="196" t="s">
        <v>1216</v>
      </c>
      <c r="F432" s="196">
        <v>69</v>
      </c>
      <c r="G432" s="196">
        <f t="shared" si="6"/>
        <v>34.5</v>
      </c>
      <c r="H432" s="196">
        <v>100</v>
      </c>
      <c r="I432" s="196" t="s">
        <v>1885</v>
      </c>
      <c r="J432" s="196"/>
    </row>
    <row r="433" spans="1:10" ht="14.4" hidden="1" outlineLevel="1">
      <c r="A433" s="196" t="s">
        <v>351</v>
      </c>
      <c r="B433" s="197">
        <v>40935</v>
      </c>
      <c r="C433" s="196" t="s">
        <v>1211</v>
      </c>
      <c r="D433" s="196">
        <v>71</v>
      </c>
      <c r="E433" s="196" t="s">
        <v>1211</v>
      </c>
      <c r="F433" s="196">
        <v>70.099999999999994</v>
      </c>
      <c r="G433" s="196">
        <f t="shared" si="6"/>
        <v>35.049999999999997</v>
      </c>
      <c r="H433" s="196">
        <v>19700</v>
      </c>
      <c r="I433" s="196" t="s">
        <v>1884</v>
      </c>
      <c r="J433" s="196"/>
    </row>
    <row r="434" spans="1:10" ht="14.4" hidden="1" outlineLevel="1">
      <c r="A434" s="196" t="s">
        <v>351</v>
      </c>
      <c r="B434" s="197">
        <v>40938</v>
      </c>
      <c r="C434" s="196" t="s">
        <v>1127</v>
      </c>
      <c r="D434" s="196">
        <v>72</v>
      </c>
      <c r="E434" s="196" t="s">
        <v>1216</v>
      </c>
      <c r="F434" s="196">
        <v>69.5</v>
      </c>
      <c r="G434" s="196">
        <f t="shared" si="6"/>
        <v>34.75</v>
      </c>
      <c r="H434" s="196">
        <v>4300</v>
      </c>
      <c r="I434" s="196" t="s">
        <v>1883</v>
      </c>
      <c r="J434" s="196"/>
    </row>
    <row r="435" spans="1:10" ht="14.4" hidden="1" outlineLevel="1">
      <c r="A435" s="196" t="s">
        <v>351</v>
      </c>
      <c r="B435" s="197">
        <v>40939</v>
      </c>
      <c r="C435" s="196" t="s">
        <v>1366</v>
      </c>
      <c r="D435" s="196">
        <v>70</v>
      </c>
      <c r="E435" s="196" t="s">
        <v>1366</v>
      </c>
      <c r="F435" s="196">
        <v>69.7</v>
      </c>
      <c r="G435" s="196">
        <f t="shared" si="6"/>
        <v>34.85</v>
      </c>
      <c r="H435" s="196">
        <v>8200</v>
      </c>
      <c r="I435" s="196" t="s">
        <v>1882</v>
      </c>
      <c r="J435" s="196"/>
    </row>
    <row r="436" spans="1:10" ht="14.4" hidden="1" outlineLevel="1">
      <c r="A436" s="196" t="s">
        <v>351</v>
      </c>
      <c r="B436" s="197">
        <v>40940</v>
      </c>
      <c r="C436" s="196" t="s">
        <v>1214</v>
      </c>
      <c r="D436" s="196">
        <v>71</v>
      </c>
      <c r="E436" s="196" t="s">
        <v>1214</v>
      </c>
      <c r="F436" s="196">
        <v>70.5</v>
      </c>
      <c r="G436" s="196">
        <f t="shared" si="6"/>
        <v>35.25</v>
      </c>
      <c r="H436" s="196">
        <v>200</v>
      </c>
      <c r="I436" s="196" t="s">
        <v>1881</v>
      </c>
      <c r="J436" s="196"/>
    </row>
    <row r="437" spans="1:10" ht="14.4" hidden="1" outlineLevel="1">
      <c r="A437" s="196" t="s">
        <v>351</v>
      </c>
      <c r="B437" s="197">
        <v>40941</v>
      </c>
      <c r="C437" s="196" t="s">
        <v>1476</v>
      </c>
      <c r="D437" s="196">
        <v>68</v>
      </c>
      <c r="E437" s="196" t="s">
        <v>1476</v>
      </c>
      <c r="F437" s="196">
        <v>68</v>
      </c>
      <c r="G437" s="196">
        <f t="shared" si="6"/>
        <v>34</v>
      </c>
      <c r="H437" s="196">
        <v>1000</v>
      </c>
      <c r="I437" s="196" t="s">
        <v>1880</v>
      </c>
      <c r="J437" s="196"/>
    </row>
    <row r="438" spans="1:10" ht="14.4" hidden="1" outlineLevel="1">
      <c r="A438" s="196" t="s">
        <v>351</v>
      </c>
      <c r="B438" s="197">
        <v>40945</v>
      </c>
      <c r="C438" s="196" t="s">
        <v>1229</v>
      </c>
      <c r="D438" s="196">
        <v>66.599999999999994</v>
      </c>
      <c r="E438" s="196" t="s">
        <v>1237</v>
      </c>
      <c r="F438" s="196">
        <v>66.3</v>
      </c>
      <c r="G438" s="196">
        <f t="shared" si="6"/>
        <v>33.15</v>
      </c>
      <c r="H438" s="196">
        <v>1500</v>
      </c>
      <c r="I438" s="196" t="s">
        <v>1879</v>
      </c>
      <c r="J438" s="196"/>
    </row>
    <row r="439" spans="1:10" ht="14.4" hidden="1" outlineLevel="1">
      <c r="A439" s="196" t="s">
        <v>351</v>
      </c>
      <c r="B439" s="197">
        <v>40947</v>
      </c>
      <c r="C439" s="196" t="s">
        <v>1225</v>
      </c>
      <c r="D439" s="196">
        <v>67</v>
      </c>
      <c r="E439" s="196" t="s">
        <v>1237</v>
      </c>
      <c r="F439" s="196">
        <v>66</v>
      </c>
      <c r="G439" s="196">
        <f t="shared" si="6"/>
        <v>33</v>
      </c>
      <c r="H439" s="196">
        <v>5000</v>
      </c>
      <c r="I439" s="196" t="s">
        <v>1878</v>
      </c>
      <c r="J439" s="196"/>
    </row>
    <row r="440" spans="1:10" ht="14.4" hidden="1" outlineLevel="1">
      <c r="A440" s="196" t="s">
        <v>351</v>
      </c>
      <c r="B440" s="197">
        <v>40948</v>
      </c>
      <c r="C440" s="196" t="s">
        <v>1237</v>
      </c>
      <c r="D440" s="196">
        <v>66</v>
      </c>
      <c r="E440" s="196" t="s">
        <v>1238</v>
      </c>
      <c r="F440" s="196">
        <v>65.8</v>
      </c>
      <c r="G440" s="196">
        <f t="shared" si="6"/>
        <v>32.9</v>
      </c>
      <c r="H440" s="196">
        <v>3000</v>
      </c>
      <c r="I440" s="196" t="s">
        <v>1877</v>
      </c>
      <c r="J440" s="196"/>
    </row>
    <row r="441" spans="1:10" ht="14.4" hidden="1" outlineLevel="1">
      <c r="A441" s="196" t="s">
        <v>351</v>
      </c>
      <c r="B441" s="197">
        <v>40952</v>
      </c>
      <c r="C441" s="196" t="s">
        <v>1253</v>
      </c>
      <c r="D441" s="196">
        <v>64</v>
      </c>
      <c r="E441" s="196" t="s">
        <v>1351</v>
      </c>
      <c r="F441" s="196">
        <v>62.9</v>
      </c>
      <c r="G441" s="196">
        <f t="shared" si="6"/>
        <v>31.45</v>
      </c>
      <c r="H441" s="196">
        <v>20800</v>
      </c>
      <c r="I441" s="196" t="s">
        <v>1876</v>
      </c>
      <c r="J441" s="196"/>
    </row>
    <row r="442" spans="1:10" ht="14.4" hidden="1" outlineLevel="1">
      <c r="A442" s="196" t="s">
        <v>351</v>
      </c>
      <c r="B442" s="197">
        <v>40953</v>
      </c>
      <c r="C442" s="196" t="s">
        <v>1351</v>
      </c>
      <c r="D442" s="196">
        <v>60</v>
      </c>
      <c r="E442" s="196" t="s">
        <v>468</v>
      </c>
      <c r="F442" s="196">
        <v>58</v>
      </c>
      <c r="G442" s="196">
        <f t="shared" si="6"/>
        <v>29</v>
      </c>
      <c r="H442" s="196">
        <v>22400</v>
      </c>
      <c r="I442" s="196" t="s">
        <v>1875</v>
      </c>
      <c r="J442" s="196"/>
    </row>
    <row r="443" spans="1:10" ht="14.4" hidden="1" outlineLevel="1">
      <c r="A443" s="196" t="s">
        <v>351</v>
      </c>
      <c r="B443" s="197">
        <v>40954</v>
      </c>
      <c r="C443" s="196" t="s">
        <v>1716</v>
      </c>
      <c r="D443" s="196">
        <v>57.5</v>
      </c>
      <c r="E443" s="196" t="s">
        <v>484</v>
      </c>
      <c r="F443" s="196">
        <v>56</v>
      </c>
      <c r="G443" s="196">
        <f t="shared" si="6"/>
        <v>28</v>
      </c>
      <c r="H443" s="196">
        <v>1300</v>
      </c>
      <c r="I443" s="196" t="s">
        <v>1874</v>
      </c>
      <c r="J443" s="196"/>
    </row>
    <row r="444" spans="1:10" ht="14.4" hidden="1" outlineLevel="1">
      <c r="A444" s="196" t="s">
        <v>351</v>
      </c>
      <c r="B444" s="197">
        <v>40955</v>
      </c>
      <c r="C444" s="196" t="s">
        <v>478</v>
      </c>
      <c r="D444" s="196">
        <v>64</v>
      </c>
      <c r="E444" s="196" t="s">
        <v>478</v>
      </c>
      <c r="F444" s="196">
        <v>63.4</v>
      </c>
      <c r="G444" s="196">
        <f t="shared" si="6"/>
        <v>31.7</v>
      </c>
      <c r="H444" s="196">
        <v>8600</v>
      </c>
      <c r="I444" s="196" t="s">
        <v>1873</v>
      </c>
      <c r="J444" s="196"/>
    </row>
    <row r="445" spans="1:10" ht="14.4" hidden="1" outlineLevel="1">
      <c r="A445" s="196" t="s">
        <v>351</v>
      </c>
      <c r="B445" s="197">
        <v>40956</v>
      </c>
      <c r="C445" s="196" t="s">
        <v>1253</v>
      </c>
      <c r="D445" s="196">
        <v>69</v>
      </c>
      <c r="E445" s="196" t="s">
        <v>1253</v>
      </c>
      <c r="F445" s="196">
        <v>65.5</v>
      </c>
      <c r="G445" s="196">
        <f t="shared" si="6"/>
        <v>32.75</v>
      </c>
      <c r="H445" s="196">
        <v>4500</v>
      </c>
      <c r="I445" s="196" t="s">
        <v>1872</v>
      </c>
      <c r="J445" s="196"/>
    </row>
    <row r="446" spans="1:10" ht="14.4" hidden="1" outlineLevel="1">
      <c r="A446" s="196" t="s">
        <v>351</v>
      </c>
      <c r="B446" s="197">
        <v>40960</v>
      </c>
      <c r="C446" s="196" t="s">
        <v>1244</v>
      </c>
      <c r="D446" s="196">
        <v>65</v>
      </c>
      <c r="E446" s="196" t="s">
        <v>1244</v>
      </c>
      <c r="F446" s="196">
        <v>65</v>
      </c>
      <c r="G446" s="196">
        <f t="shared" si="6"/>
        <v>32.5</v>
      </c>
      <c r="H446" s="196">
        <v>1500</v>
      </c>
      <c r="I446" s="196" t="s">
        <v>1871</v>
      </c>
      <c r="J446" s="196"/>
    </row>
    <row r="447" spans="1:10" ht="14.4" hidden="1" outlineLevel="1">
      <c r="A447" s="196" t="s">
        <v>351</v>
      </c>
      <c r="B447" s="197">
        <v>40962</v>
      </c>
      <c r="C447" s="196" t="s">
        <v>1237</v>
      </c>
      <c r="D447" s="196">
        <v>70</v>
      </c>
      <c r="E447" s="196" t="s">
        <v>1237</v>
      </c>
      <c r="F447" s="196">
        <v>69.7</v>
      </c>
      <c r="G447" s="196">
        <f t="shared" si="6"/>
        <v>34.85</v>
      </c>
      <c r="H447" s="196">
        <v>4300</v>
      </c>
      <c r="I447" s="196" t="s">
        <v>1870</v>
      </c>
      <c r="J447" s="196"/>
    </row>
    <row r="448" spans="1:10" ht="14.4" hidden="1" outlineLevel="1">
      <c r="A448" s="196" t="s">
        <v>351</v>
      </c>
      <c r="B448" s="197">
        <v>40963</v>
      </c>
      <c r="C448" s="196" t="s">
        <v>1242</v>
      </c>
      <c r="D448" s="196">
        <v>68</v>
      </c>
      <c r="E448" s="196" t="s">
        <v>1242</v>
      </c>
      <c r="F448" s="196">
        <v>68</v>
      </c>
      <c r="G448" s="196">
        <f t="shared" si="6"/>
        <v>34</v>
      </c>
      <c r="H448" s="196">
        <v>520</v>
      </c>
      <c r="I448" s="196" t="s">
        <v>1869</v>
      </c>
      <c r="J448" s="196"/>
    </row>
    <row r="449" spans="1:10" ht="14.4" hidden="1" outlineLevel="1">
      <c r="A449" s="196" t="s">
        <v>351</v>
      </c>
      <c r="B449" s="197">
        <v>40966</v>
      </c>
      <c r="C449" s="196" t="s">
        <v>1225</v>
      </c>
      <c r="D449" s="196">
        <v>67</v>
      </c>
      <c r="E449" s="196" t="s">
        <v>1240</v>
      </c>
      <c r="F449" s="196">
        <v>65.5</v>
      </c>
      <c r="G449" s="196">
        <f t="shared" si="6"/>
        <v>32.75</v>
      </c>
      <c r="H449" s="196">
        <v>902</v>
      </c>
      <c r="I449" s="196" t="s">
        <v>1868</v>
      </c>
      <c r="J449" s="196"/>
    </row>
    <row r="450" spans="1:10" ht="14.4" hidden="1" outlineLevel="1">
      <c r="A450" s="196" t="s">
        <v>351</v>
      </c>
      <c r="B450" s="197">
        <v>40967</v>
      </c>
      <c r="C450" s="196" t="s">
        <v>1242</v>
      </c>
      <c r="D450" s="196">
        <v>65</v>
      </c>
      <c r="E450" s="196" t="s">
        <v>1310</v>
      </c>
      <c r="F450" s="196">
        <v>62</v>
      </c>
      <c r="G450" s="196">
        <f t="shared" si="6"/>
        <v>31</v>
      </c>
      <c r="H450" s="196">
        <v>188000</v>
      </c>
      <c r="I450" s="196" t="s">
        <v>1867</v>
      </c>
      <c r="J450" s="196"/>
    </row>
    <row r="451" spans="1:10" ht="14.4" hidden="1" outlineLevel="1">
      <c r="A451" s="196" t="s">
        <v>351</v>
      </c>
      <c r="B451" s="197">
        <v>40969</v>
      </c>
      <c r="C451" s="196" t="s">
        <v>1302</v>
      </c>
      <c r="D451" s="196">
        <v>65</v>
      </c>
      <c r="E451" s="196" t="s">
        <v>1302</v>
      </c>
      <c r="F451" s="196">
        <v>62.1</v>
      </c>
      <c r="G451" s="196">
        <f t="shared" si="6"/>
        <v>31.05</v>
      </c>
      <c r="H451" s="196">
        <v>201</v>
      </c>
      <c r="I451" s="196" t="s">
        <v>1866</v>
      </c>
      <c r="J451" s="196"/>
    </row>
    <row r="452" spans="1:10" ht="14.4" hidden="1" outlineLevel="1">
      <c r="A452" s="196" t="s">
        <v>351</v>
      </c>
      <c r="B452" s="197">
        <v>40970</v>
      </c>
      <c r="C452" s="196" t="s">
        <v>1310</v>
      </c>
      <c r="D452" s="196">
        <v>62.5</v>
      </c>
      <c r="E452" s="196" t="s">
        <v>1310</v>
      </c>
      <c r="F452" s="196">
        <v>62.1</v>
      </c>
      <c r="G452" s="196">
        <f t="shared" si="6"/>
        <v>31.05</v>
      </c>
      <c r="H452" s="196">
        <v>1305</v>
      </c>
      <c r="I452" s="196" t="s">
        <v>1865</v>
      </c>
      <c r="J452" s="196"/>
    </row>
    <row r="453" spans="1:10" ht="14.4" hidden="1" outlineLevel="1">
      <c r="A453" s="196" t="s">
        <v>351</v>
      </c>
      <c r="B453" s="197">
        <v>40973</v>
      </c>
      <c r="C453" s="196" t="s">
        <v>1310</v>
      </c>
      <c r="D453" s="196">
        <v>65</v>
      </c>
      <c r="E453" s="196" t="s">
        <v>1310</v>
      </c>
      <c r="F453" s="196">
        <v>62</v>
      </c>
      <c r="G453" s="196">
        <f t="shared" ref="G453:G516" si="7">F453/2</f>
        <v>31</v>
      </c>
      <c r="H453" s="196">
        <v>2202</v>
      </c>
      <c r="I453" s="196" t="s">
        <v>1864</v>
      </c>
      <c r="J453" s="196"/>
    </row>
    <row r="454" spans="1:10" ht="14.4" hidden="1" outlineLevel="1">
      <c r="A454" s="196" t="s">
        <v>351</v>
      </c>
      <c r="B454" s="197">
        <v>40974</v>
      </c>
      <c r="C454" s="196" t="s">
        <v>1237</v>
      </c>
      <c r="D454" s="196">
        <v>66</v>
      </c>
      <c r="E454" s="196" t="s">
        <v>1343</v>
      </c>
      <c r="F454" s="196">
        <v>63</v>
      </c>
      <c r="G454" s="196">
        <f t="shared" si="7"/>
        <v>31.5</v>
      </c>
      <c r="H454" s="196">
        <v>212</v>
      </c>
      <c r="I454" s="196" t="s">
        <v>1863</v>
      </c>
      <c r="J454" s="196"/>
    </row>
    <row r="455" spans="1:10" ht="14.4" hidden="1" outlineLevel="1">
      <c r="A455" s="196" t="s">
        <v>351</v>
      </c>
      <c r="B455" s="197">
        <v>40976</v>
      </c>
      <c r="C455" s="196" t="s">
        <v>1310</v>
      </c>
      <c r="D455" s="196">
        <v>62</v>
      </c>
      <c r="E455" s="196" t="s">
        <v>1310</v>
      </c>
      <c r="F455" s="196">
        <v>62</v>
      </c>
      <c r="G455" s="196">
        <f t="shared" si="7"/>
        <v>31</v>
      </c>
      <c r="H455" s="196">
        <v>3000</v>
      </c>
      <c r="I455" s="196" t="s">
        <v>1862</v>
      </c>
      <c r="J455" s="196"/>
    </row>
    <row r="456" spans="1:10" ht="14.4" hidden="1" outlineLevel="1">
      <c r="A456" s="196" t="s">
        <v>351</v>
      </c>
      <c r="B456" s="197">
        <v>40977</v>
      </c>
      <c r="C456" s="196" t="s">
        <v>1302</v>
      </c>
      <c r="D456" s="196">
        <v>62.1</v>
      </c>
      <c r="E456" s="196" t="s">
        <v>1302</v>
      </c>
      <c r="F456" s="196">
        <v>62.1</v>
      </c>
      <c r="G456" s="196">
        <f t="shared" si="7"/>
        <v>31.05</v>
      </c>
      <c r="H456" s="196">
        <v>8</v>
      </c>
      <c r="I456" s="196" t="s">
        <v>1861</v>
      </c>
      <c r="J456" s="196"/>
    </row>
    <row r="457" spans="1:10" ht="14.4" hidden="1" outlineLevel="1">
      <c r="A457" s="196" t="s">
        <v>351</v>
      </c>
      <c r="B457" s="197">
        <v>40980</v>
      </c>
      <c r="C457" s="196" t="s">
        <v>1859</v>
      </c>
      <c r="D457" s="196">
        <v>64</v>
      </c>
      <c r="E457" s="196" t="s">
        <v>1302</v>
      </c>
      <c r="F457" s="196">
        <v>64</v>
      </c>
      <c r="G457" s="196">
        <f t="shared" si="7"/>
        <v>32</v>
      </c>
      <c r="H457" s="196">
        <v>380</v>
      </c>
      <c r="I457" s="196" t="s">
        <v>1860</v>
      </c>
      <c r="J457" s="196"/>
    </row>
    <row r="458" spans="1:10" ht="14.4" hidden="1" outlineLevel="1">
      <c r="A458" s="196" t="s">
        <v>351</v>
      </c>
      <c r="B458" s="197">
        <v>40981</v>
      </c>
      <c r="C458" s="196" t="s">
        <v>1302</v>
      </c>
      <c r="D458" s="196">
        <v>62.1</v>
      </c>
      <c r="E458" s="196" t="s">
        <v>1302</v>
      </c>
      <c r="F458" s="196">
        <v>62.1</v>
      </c>
      <c r="G458" s="196">
        <f t="shared" si="7"/>
        <v>31.05</v>
      </c>
      <c r="H458" s="196">
        <v>1049</v>
      </c>
      <c r="I458" s="196" t="s">
        <v>1858</v>
      </c>
      <c r="J458" s="196"/>
    </row>
    <row r="459" spans="1:10" ht="14.4" hidden="1" outlineLevel="1">
      <c r="A459" s="196" t="s">
        <v>351</v>
      </c>
      <c r="B459" s="197">
        <v>40982</v>
      </c>
      <c r="C459" s="196" t="s">
        <v>1302</v>
      </c>
      <c r="D459" s="196">
        <v>64</v>
      </c>
      <c r="E459" s="196" t="s">
        <v>1302</v>
      </c>
      <c r="F459" s="196">
        <v>63.1</v>
      </c>
      <c r="G459" s="196">
        <f t="shared" si="7"/>
        <v>31.55</v>
      </c>
      <c r="H459" s="196">
        <v>1540</v>
      </c>
      <c r="I459" s="196" t="s">
        <v>1857</v>
      </c>
      <c r="J459" s="196"/>
    </row>
    <row r="460" spans="1:10" ht="14.4" hidden="1" outlineLevel="1">
      <c r="A460" s="196" t="s">
        <v>351</v>
      </c>
      <c r="B460" s="197">
        <v>40983</v>
      </c>
      <c r="C460" s="196" t="s">
        <v>1346</v>
      </c>
      <c r="D460" s="196">
        <v>62.5</v>
      </c>
      <c r="E460" s="196" t="s">
        <v>1346</v>
      </c>
      <c r="F460" s="196">
        <v>62.5</v>
      </c>
      <c r="G460" s="196">
        <f t="shared" si="7"/>
        <v>31.25</v>
      </c>
      <c r="H460" s="196">
        <v>2860</v>
      </c>
      <c r="I460" s="196" t="s">
        <v>1856</v>
      </c>
      <c r="J460" s="196"/>
    </row>
    <row r="461" spans="1:10" ht="14.4" hidden="1" outlineLevel="1">
      <c r="A461" s="196" t="s">
        <v>351</v>
      </c>
      <c r="B461" s="197">
        <v>40987</v>
      </c>
      <c r="C461" s="196" t="s">
        <v>1253</v>
      </c>
      <c r="D461" s="196">
        <v>64</v>
      </c>
      <c r="E461" s="196" t="s">
        <v>1253</v>
      </c>
      <c r="F461" s="196">
        <v>64</v>
      </c>
      <c r="G461" s="196">
        <f t="shared" si="7"/>
        <v>32</v>
      </c>
      <c r="H461" s="196">
        <v>100</v>
      </c>
      <c r="I461" s="196" t="s">
        <v>1855</v>
      </c>
      <c r="J461" s="196"/>
    </row>
    <row r="462" spans="1:10" ht="14.4" hidden="1" outlineLevel="1">
      <c r="A462" s="196" t="s">
        <v>351</v>
      </c>
      <c r="B462" s="197">
        <v>40988</v>
      </c>
      <c r="C462" s="196" t="s">
        <v>1652</v>
      </c>
      <c r="D462" s="196">
        <v>67.900000000000006</v>
      </c>
      <c r="E462" s="196" t="s">
        <v>1237</v>
      </c>
      <c r="F462" s="196">
        <v>66</v>
      </c>
      <c r="G462" s="196">
        <f t="shared" si="7"/>
        <v>33</v>
      </c>
      <c r="H462" s="196">
        <v>106</v>
      </c>
      <c r="I462" s="196" t="s">
        <v>1854</v>
      </c>
      <c r="J462" s="196"/>
    </row>
    <row r="463" spans="1:10" ht="14.4" hidden="1" outlineLevel="1">
      <c r="A463" s="196" t="s">
        <v>351</v>
      </c>
      <c r="B463" s="197">
        <v>40989</v>
      </c>
      <c r="C463" s="196" t="s">
        <v>1242</v>
      </c>
      <c r="D463" s="196">
        <v>65</v>
      </c>
      <c r="E463" s="196" t="s">
        <v>1339</v>
      </c>
      <c r="F463" s="196">
        <v>60.5</v>
      </c>
      <c r="G463" s="196">
        <f t="shared" si="7"/>
        <v>30.25</v>
      </c>
      <c r="H463" s="196">
        <v>1100</v>
      </c>
      <c r="I463" s="196" t="s">
        <v>1853</v>
      </c>
      <c r="J463" s="196"/>
    </row>
    <row r="464" spans="1:10" ht="14.4" hidden="1" outlineLevel="1">
      <c r="A464" s="196" t="s">
        <v>351</v>
      </c>
      <c r="B464" s="197">
        <v>40990</v>
      </c>
      <c r="C464" s="196" t="s">
        <v>1339</v>
      </c>
      <c r="D464" s="196">
        <v>60.6</v>
      </c>
      <c r="E464" s="196" t="s">
        <v>1339</v>
      </c>
      <c r="F464" s="196">
        <v>60.5</v>
      </c>
      <c r="G464" s="196">
        <f t="shared" si="7"/>
        <v>30.25</v>
      </c>
      <c r="H464" s="196">
        <v>7495</v>
      </c>
      <c r="I464" s="196" t="s">
        <v>1852</v>
      </c>
      <c r="J464" s="196"/>
    </row>
    <row r="465" spans="1:10" ht="14.4" hidden="1" outlineLevel="1">
      <c r="A465" s="196" t="s">
        <v>351</v>
      </c>
      <c r="B465" s="197">
        <v>40991</v>
      </c>
      <c r="C465" s="196" t="s">
        <v>1315</v>
      </c>
      <c r="D465" s="196">
        <v>61</v>
      </c>
      <c r="E465" s="196" t="s">
        <v>1315</v>
      </c>
      <c r="F465" s="196">
        <v>61</v>
      </c>
      <c r="G465" s="196">
        <f t="shared" si="7"/>
        <v>30.5</v>
      </c>
      <c r="H465" s="196">
        <v>5140</v>
      </c>
      <c r="I465" s="196" t="s">
        <v>1851</v>
      </c>
      <c r="J465" s="196"/>
    </row>
    <row r="466" spans="1:10" ht="14.4" hidden="1" outlineLevel="1">
      <c r="A466" s="196" t="s">
        <v>351</v>
      </c>
      <c r="B466" s="197">
        <v>40995</v>
      </c>
      <c r="C466" s="196" t="s">
        <v>1322</v>
      </c>
      <c r="D466" s="196">
        <v>61</v>
      </c>
      <c r="E466" s="196" t="s">
        <v>1322</v>
      </c>
      <c r="F466" s="196">
        <v>61</v>
      </c>
      <c r="G466" s="196">
        <f t="shared" si="7"/>
        <v>30.5</v>
      </c>
      <c r="H466" s="196">
        <v>2001</v>
      </c>
      <c r="I466" s="196" t="s">
        <v>1850</v>
      </c>
      <c r="J466" s="196"/>
    </row>
    <row r="467" spans="1:10" ht="14.4" hidden="1" outlineLevel="1">
      <c r="A467" s="196" t="s">
        <v>351</v>
      </c>
      <c r="B467" s="197">
        <v>40997</v>
      </c>
      <c r="C467" s="196" t="s">
        <v>1244</v>
      </c>
      <c r="D467" s="196">
        <v>64.5</v>
      </c>
      <c r="E467" s="196" t="s">
        <v>1244</v>
      </c>
      <c r="F467" s="196">
        <v>64.5</v>
      </c>
      <c r="G467" s="196">
        <f t="shared" si="7"/>
        <v>32.25</v>
      </c>
      <c r="H467" s="196">
        <v>2</v>
      </c>
      <c r="I467" s="196" t="s">
        <v>1849</v>
      </c>
      <c r="J467" s="196"/>
    </row>
    <row r="468" spans="1:10" ht="14.4" hidden="1" outlineLevel="1">
      <c r="A468" s="196" t="s">
        <v>351</v>
      </c>
      <c r="B468" s="197">
        <v>40998</v>
      </c>
      <c r="C468" s="196" t="s">
        <v>1310</v>
      </c>
      <c r="D468" s="196">
        <v>63.5</v>
      </c>
      <c r="E468" s="196" t="s">
        <v>1310</v>
      </c>
      <c r="F468" s="196">
        <v>62.6</v>
      </c>
      <c r="G468" s="196">
        <f t="shared" si="7"/>
        <v>31.3</v>
      </c>
      <c r="H468" s="196">
        <v>5401</v>
      </c>
      <c r="I468" s="196" t="s">
        <v>1848</v>
      </c>
      <c r="J468" s="196"/>
    </row>
    <row r="469" spans="1:10" s="192" customFormat="1" ht="14.4" hidden="1" outlineLevel="1" collapsed="1">
      <c r="A469" s="198" t="s">
        <v>351</v>
      </c>
      <c r="B469" s="199">
        <v>41001</v>
      </c>
      <c r="C469" s="198" t="s">
        <v>1346</v>
      </c>
      <c r="D469" s="198">
        <v>62.5</v>
      </c>
      <c r="E469" s="198" t="s">
        <v>1310</v>
      </c>
      <c r="F469" s="198">
        <v>62.4</v>
      </c>
      <c r="G469" s="198">
        <f t="shared" si="7"/>
        <v>31.2</v>
      </c>
      <c r="H469" s="198">
        <v>10436</v>
      </c>
      <c r="I469" s="198" t="s">
        <v>1847</v>
      </c>
      <c r="J469" s="198">
        <f>AVERAGE(G469:G696)</f>
        <v>31.157017543859663</v>
      </c>
    </row>
    <row r="470" spans="1:10" ht="14.4" hidden="1" outlineLevel="1">
      <c r="A470" s="196" t="s">
        <v>351</v>
      </c>
      <c r="B470" s="197">
        <v>41002</v>
      </c>
      <c r="C470" s="196" t="s">
        <v>1268</v>
      </c>
      <c r="D470" s="196">
        <v>63.6</v>
      </c>
      <c r="E470" s="196" t="s">
        <v>1268</v>
      </c>
      <c r="F470" s="196">
        <v>63.6</v>
      </c>
      <c r="G470" s="196">
        <f t="shared" si="7"/>
        <v>31.8</v>
      </c>
      <c r="H470" s="196">
        <v>5</v>
      </c>
      <c r="I470" s="196" t="s">
        <v>1846</v>
      </c>
      <c r="J470" s="196"/>
    </row>
    <row r="471" spans="1:10" ht="14.4" hidden="1" outlineLevel="1">
      <c r="A471" s="196" t="s">
        <v>351</v>
      </c>
      <c r="B471" s="197">
        <v>41003</v>
      </c>
      <c r="C471" s="196" t="s">
        <v>1259</v>
      </c>
      <c r="D471" s="196">
        <v>63.3</v>
      </c>
      <c r="E471" s="196" t="s">
        <v>1259</v>
      </c>
      <c r="F471" s="196">
        <v>63.3</v>
      </c>
      <c r="G471" s="196">
        <f t="shared" si="7"/>
        <v>31.65</v>
      </c>
      <c r="H471" s="196">
        <v>5</v>
      </c>
      <c r="I471" s="196" t="s">
        <v>1845</v>
      </c>
      <c r="J471" s="196"/>
    </row>
    <row r="472" spans="1:10" ht="14.4" hidden="1" outlineLevel="1">
      <c r="A472" s="196" t="s">
        <v>351</v>
      </c>
      <c r="B472" s="197">
        <v>41010</v>
      </c>
      <c r="C472" s="196" t="s">
        <v>1310</v>
      </c>
      <c r="D472" s="196">
        <v>62</v>
      </c>
      <c r="E472" s="196" t="s">
        <v>1314</v>
      </c>
      <c r="F472" s="196">
        <v>62</v>
      </c>
      <c r="G472" s="196">
        <f t="shared" si="7"/>
        <v>31</v>
      </c>
      <c r="H472" s="196">
        <v>211</v>
      </c>
      <c r="I472" s="196" t="s">
        <v>1844</v>
      </c>
      <c r="J472" s="196"/>
    </row>
    <row r="473" spans="1:10" ht="14.4" hidden="1" outlineLevel="1">
      <c r="A473" s="196" t="s">
        <v>351</v>
      </c>
      <c r="B473" s="197">
        <v>41015</v>
      </c>
      <c r="C473" s="196" t="s">
        <v>1351</v>
      </c>
      <c r="D473" s="196">
        <v>62</v>
      </c>
      <c r="E473" s="196" t="s">
        <v>1351</v>
      </c>
      <c r="F473" s="196">
        <v>62</v>
      </c>
      <c r="G473" s="196">
        <f t="shared" si="7"/>
        <v>31</v>
      </c>
      <c r="H473" s="196">
        <v>716</v>
      </c>
      <c r="I473" s="196" t="s">
        <v>1843</v>
      </c>
      <c r="J473" s="196"/>
    </row>
    <row r="474" spans="1:10" ht="14.4" hidden="1" outlineLevel="1">
      <c r="A474" s="196" t="s">
        <v>351</v>
      </c>
      <c r="B474" s="197">
        <v>41016</v>
      </c>
      <c r="C474" s="196" t="s">
        <v>1351</v>
      </c>
      <c r="D474" s="196">
        <v>61.7</v>
      </c>
      <c r="E474" s="196" t="s">
        <v>1351</v>
      </c>
      <c r="F474" s="196">
        <v>61.7</v>
      </c>
      <c r="G474" s="196">
        <f t="shared" si="7"/>
        <v>30.85</v>
      </c>
      <c r="H474" s="196">
        <v>290</v>
      </c>
      <c r="I474" s="196" t="s">
        <v>1842</v>
      </c>
      <c r="J474" s="196"/>
    </row>
    <row r="475" spans="1:10" ht="14.4" hidden="1" outlineLevel="1">
      <c r="A475" s="196" t="s">
        <v>351</v>
      </c>
      <c r="B475" s="197">
        <v>41017</v>
      </c>
      <c r="C475" s="196" t="s">
        <v>1315</v>
      </c>
      <c r="D475" s="196">
        <v>61</v>
      </c>
      <c r="E475" s="196" t="s">
        <v>1315</v>
      </c>
      <c r="F475" s="196">
        <v>61</v>
      </c>
      <c r="G475" s="196">
        <f t="shared" si="7"/>
        <v>30.5</v>
      </c>
      <c r="H475" s="196">
        <v>26</v>
      </c>
      <c r="I475" s="196" t="s">
        <v>1841</v>
      </c>
      <c r="J475" s="196"/>
    </row>
    <row r="476" spans="1:10" ht="14.4" hidden="1" outlineLevel="1">
      <c r="A476" s="196" t="s">
        <v>351</v>
      </c>
      <c r="B476" s="197">
        <v>41018</v>
      </c>
      <c r="C476" s="196" t="s">
        <v>1835</v>
      </c>
      <c r="D476" s="196">
        <v>60.1</v>
      </c>
      <c r="E476" s="196" t="s">
        <v>1351</v>
      </c>
      <c r="F476" s="196">
        <v>60</v>
      </c>
      <c r="G476" s="196">
        <f t="shared" si="7"/>
        <v>30</v>
      </c>
      <c r="H476" s="196">
        <v>1600</v>
      </c>
      <c r="I476" s="196" t="s">
        <v>1840</v>
      </c>
      <c r="J476" s="196"/>
    </row>
    <row r="477" spans="1:10" ht="14.4" hidden="1" outlineLevel="1">
      <c r="A477" s="196" t="s">
        <v>351</v>
      </c>
      <c r="B477" s="197">
        <v>41019</v>
      </c>
      <c r="C477" s="196" t="s">
        <v>1838</v>
      </c>
      <c r="D477" s="196">
        <v>61.7</v>
      </c>
      <c r="E477" s="196" t="s">
        <v>1835</v>
      </c>
      <c r="F477" s="196">
        <v>60.1</v>
      </c>
      <c r="G477" s="196">
        <f t="shared" si="7"/>
        <v>30.05</v>
      </c>
      <c r="H477" s="196">
        <v>913</v>
      </c>
      <c r="I477" s="196" t="s">
        <v>1839</v>
      </c>
      <c r="J477" s="196"/>
    </row>
    <row r="478" spans="1:10" ht="14.4" hidden="1" outlineLevel="1">
      <c r="A478" s="196" t="s">
        <v>351</v>
      </c>
      <c r="B478" s="197">
        <v>41022</v>
      </c>
      <c r="C478" s="196" t="s">
        <v>1835</v>
      </c>
      <c r="D478" s="196">
        <v>60.1</v>
      </c>
      <c r="E478" s="196" t="s">
        <v>1835</v>
      </c>
      <c r="F478" s="196">
        <v>60.1</v>
      </c>
      <c r="G478" s="196">
        <f t="shared" si="7"/>
        <v>30.05</v>
      </c>
      <c r="H478" s="196">
        <v>145</v>
      </c>
      <c r="I478" s="196" t="s">
        <v>1837</v>
      </c>
      <c r="J478" s="196"/>
    </row>
    <row r="479" spans="1:10" ht="14.4" hidden="1" outlineLevel="1">
      <c r="A479" s="196" t="s">
        <v>351</v>
      </c>
      <c r="B479" s="197">
        <v>41023</v>
      </c>
      <c r="C479" s="196" t="s">
        <v>1835</v>
      </c>
      <c r="D479" s="196">
        <v>60.1</v>
      </c>
      <c r="E479" s="196" t="s">
        <v>1351</v>
      </c>
      <c r="F479" s="196">
        <v>60</v>
      </c>
      <c r="G479" s="196">
        <f t="shared" si="7"/>
        <v>30</v>
      </c>
      <c r="H479" s="196">
        <v>5104</v>
      </c>
      <c r="I479" s="196" t="s">
        <v>1836</v>
      </c>
      <c r="J479" s="196"/>
    </row>
    <row r="480" spans="1:10" ht="14.4" hidden="1" outlineLevel="1">
      <c r="A480" s="196" t="s">
        <v>351</v>
      </c>
      <c r="B480" s="197">
        <v>41024</v>
      </c>
      <c r="C480" s="196" t="s">
        <v>1833</v>
      </c>
      <c r="D480" s="196">
        <v>60</v>
      </c>
      <c r="E480" s="196" t="s">
        <v>1833</v>
      </c>
      <c r="F480" s="196">
        <v>60</v>
      </c>
      <c r="G480" s="196">
        <f t="shared" si="7"/>
        <v>30</v>
      </c>
      <c r="H480" s="196">
        <v>126</v>
      </c>
      <c r="I480" s="196" t="s">
        <v>1834</v>
      </c>
      <c r="J480" s="196"/>
    </row>
    <row r="481" spans="1:10" ht="14.4" hidden="1" outlineLevel="1">
      <c r="A481" s="196" t="s">
        <v>351</v>
      </c>
      <c r="B481" s="197">
        <v>41025</v>
      </c>
      <c r="C481" s="196" t="s">
        <v>1831</v>
      </c>
      <c r="D481" s="196">
        <v>60.5</v>
      </c>
      <c r="E481" s="196" t="s">
        <v>471</v>
      </c>
      <c r="F481" s="196">
        <v>60.5</v>
      </c>
      <c r="G481" s="196">
        <f t="shared" si="7"/>
        <v>30.25</v>
      </c>
      <c r="H481" s="196">
        <v>2534</v>
      </c>
      <c r="I481" s="196" t="s">
        <v>1832</v>
      </c>
      <c r="J481" s="196"/>
    </row>
    <row r="482" spans="1:10" ht="14.4" hidden="1" outlineLevel="1">
      <c r="A482" s="196" t="s">
        <v>351</v>
      </c>
      <c r="B482" s="197">
        <v>41026</v>
      </c>
      <c r="C482" s="196" t="s">
        <v>471</v>
      </c>
      <c r="D482" s="196">
        <v>59.1</v>
      </c>
      <c r="E482" s="196" t="s">
        <v>471</v>
      </c>
      <c r="F482" s="196">
        <v>59</v>
      </c>
      <c r="G482" s="196">
        <f t="shared" si="7"/>
        <v>29.5</v>
      </c>
      <c r="H482" s="196">
        <v>474</v>
      </c>
      <c r="I482" s="196" t="s">
        <v>1830</v>
      </c>
      <c r="J482" s="196"/>
    </row>
    <row r="483" spans="1:10" ht="14.4" hidden="1" outlineLevel="1">
      <c r="A483" s="196" t="s">
        <v>351</v>
      </c>
      <c r="B483" s="197">
        <v>41029</v>
      </c>
      <c r="C483" s="196" t="s">
        <v>471</v>
      </c>
      <c r="D483" s="196">
        <v>61</v>
      </c>
      <c r="E483" s="196" t="s">
        <v>471</v>
      </c>
      <c r="F483" s="196">
        <v>61</v>
      </c>
      <c r="G483" s="196">
        <f t="shared" si="7"/>
        <v>30.5</v>
      </c>
      <c r="H483" s="196">
        <v>151</v>
      </c>
      <c r="I483" s="196" t="s">
        <v>1829</v>
      </c>
      <c r="J483" s="196"/>
    </row>
    <row r="484" spans="1:10" ht="14.4" hidden="1" outlineLevel="1">
      <c r="A484" s="196" t="s">
        <v>351</v>
      </c>
      <c r="B484" s="197">
        <v>41031</v>
      </c>
      <c r="C484" s="196" t="s">
        <v>1351</v>
      </c>
      <c r="D484" s="196">
        <v>60</v>
      </c>
      <c r="E484" s="196" t="s">
        <v>471</v>
      </c>
      <c r="F484" s="196">
        <v>59.1</v>
      </c>
      <c r="G484" s="196">
        <f t="shared" si="7"/>
        <v>29.55</v>
      </c>
      <c r="H484" s="196">
        <v>7383</v>
      </c>
      <c r="I484" s="196" t="s">
        <v>1828</v>
      </c>
      <c r="J484" s="196"/>
    </row>
    <row r="485" spans="1:10" ht="14.4" hidden="1" outlineLevel="1">
      <c r="A485" s="196" t="s">
        <v>351</v>
      </c>
      <c r="B485" s="197">
        <v>41032</v>
      </c>
      <c r="C485" s="196" t="s">
        <v>471</v>
      </c>
      <c r="D485" s="196">
        <v>59</v>
      </c>
      <c r="E485" s="196" t="s">
        <v>471</v>
      </c>
      <c r="F485" s="196">
        <v>59</v>
      </c>
      <c r="G485" s="196">
        <f t="shared" si="7"/>
        <v>29.5</v>
      </c>
      <c r="H485" s="196">
        <v>210</v>
      </c>
      <c r="I485" s="196" t="s">
        <v>1827</v>
      </c>
      <c r="J485" s="196"/>
    </row>
    <row r="486" spans="1:10" ht="14.4" hidden="1" outlineLevel="1">
      <c r="A486" s="196" t="s">
        <v>351</v>
      </c>
      <c r="B486" s="197">
        <v>41033</v>
      </c>
      <c r="C486" s="196" t="s">
        <v>1825</v>
      </c>
      <c r="D486" s="196">
        <v>59</v>
      </c>
      <c r="E486" s="196" t="s">
        <v>1825</v>
      </c>
      <c r="F486" s="196">
        <v>58.6</v>
      </c>
      <c r="G486" s="196">
        <f t="shared" si="7"/>
        <v>29.3</v>
      </c>
      <c r="H486" s="196">
        <v>300</v>
      </c>
      <c r="I486" s="196" t="s">
        <v>1826</v>
      </c>
      <c r="J486" s="196"/>
    </row>
    <row r="487" spans="1:10" ht="14.4" hidden="1" outlineLevel="1">
      <c r="A487" s="196" t="s">
        <v>351</v>
      </c>
      <c r="B487" s="197">
        <v>41037</v>
      </c>
      <c r="C487" s="196" t="s">
        <v>479</v>
      </c>
      <c r="D487" s="196">
        <v>58.5</v>
      </c>
      <c r="E487" s="196" t="s">
        <v>479</v>
      </c>
      <c r="F487" s="196">
        <v>58.5</v>
      </c>
      <c r="G487" s="196">
        <f t="shared" si="7"/>
        <v>29.25</v>
      </c>
      <c r="H487" s="196">
        <v>3000</v>
      </c>
      <c r="I487" s="196" t="s">
        <v>1824</v>
      </c>
      <c r="J487" s="196"/>
    </row>
    <row r="488" spans="1:10" ht="14.4" hidden="1" outlineLevel="1">
      <c r="A488" s="196" t="s">
        <v>351</v>
      </c>
      <c r="B488" s="197">
        <v>41038</v>
      </c>
      <c r="C488" s="196" t="s">
        <v>1821</v>
      </c>
      <c r="D488" s="196">
        <v>58.5</v>
      </c>
      <c r="E488" s="196" t="s">
        <v>1821</v>
      </c>
      <c r="F488" s="196">
        <v>57.2</v>
      </c>
      <c r="G488" s="196">
        <f t="shared" si="7"/>
        <v>28.6</v>
      </c>
      <c r="H488" s="196">
        <v>2232</v>
      </c>
      <c r="I488" s="196" t="s">
        <v>1823</v>
      </c>
      <c r="J488" s="196"/>
    </row>
    <row r="489" spans="1:10" ht="14.4" hidden="1" outlineLevel="1">
      <c r="A489" s="196" t="s">
        <v>351</v>
      </c>
      <c r="B489" s="197">
        <v>41039</v>
      </c>
      <c r="C489" s="196" t="s">
        <v>1821</v>
      </c>
      <c r="D489" s="196">
        <v>56.2</v>
      </c>
      <c r="E489" s="196" t="s">
        <v>1821</v>
      </c>
      <c r="F489" s="196">
        <v>56.2</v>
      </c>
      <c r="G489" s="196">
        <f t="shared" si="7"/>
        <v>28.1</v>
      </c>
      <c r="H489" s="196">
        <v>1072</v>
      </c>
      <c r="I489" s="196" t="s">
        <v>1822</v>
      </c>
      <c r="J489" s="196"/>
    </row>
    <row r="490" spans="1:10" ht="14.4" hidden="1" outlineLevel="1">
      <c r="A490" s="196" t="s">
        <v>351</v>
      </c>
      <c r="B490" s="197">
        <v>41040</v>
      </c>
      <c r="C490" s="196" t="s">
        <v>1814</v>
      </c>
      <c r="D490" s="196">
        <v>57</v>
      </c>
      <c r="E490" s="196" t="s">
        <v>1819</v>
      </c>
      <c r="F490" s="196">
        <v>57</v>
      </c>
      <c r="G490" s="196">
        <f t="shared" si="7"/>
        <v>28.5</v>
      </c>
      <c r="H490" s="196">
        <v>372</v>
      </c>
      <c r="I490" s="196" t="s">
        <v>1820</v>
      </c>
      <c r="J490" s="196"/>
    </row>
    <row r="491" spans="1:10" ht="14.4" hidden="1" outlineLevel="1">
      <c r="A491" s="196" t="s">
        <v>351</v>
      </c>
      <c r="B491" s="197">
        <v>41043</v>
      </c>
      <c r="C491" s="196" t="s">
        <v>468</v>
      </c>
      <c r="D491" s="196">
        <v>58</v>
      </c>
      <c r="E491" s="196" t="s">
        <v>484</v>
      </c>
      <c r="F491" s="196">
        <v>56.2</v>
      </c>
      <c r="G491" s="196">
        <f t="shared" si="7"/>
        <v>28.1</v>
      </c>
      <c r="H491" s="196">
        <v>1705</v>
      </c>
      <c r="I491" s="196" t="s">
        <v>1818</v>
      </c>
      <c r="J491" s="196"/>
    </row>
    <row r="492" spans="1:10" ht="14.4" hidden="1" outlineLevel="1">
      <c r="A492" s="196" t="s">
        <v>351</v>
      </c>
      <c r="B492" s="197">
        <v>41044</v>
      </c>
      <c r="C492" s="196" t="s">
        <v>484</v>
      </c>
      <c r="D492" s="196">
        <v>57.8</v>
      </c>
      <c r="E492" s="196" t="s">
        <v>484</v>
      </c>
      <c r="F492" s="196">
        <v>57</v>
      </c>
      <c r="G492" s="196">
        <f t="shared" si="7"/>
        <v>28.5</v>
      </c>
      <c r="H492" s="196">
        <v>2150</v>
      </c>
      <c r="I492" s="196" t="s">
        <v>1817</v>
      </c>
      <c r="J492" s="196"/>
    </row>
    <row r="493" spans="1:10" ht="14.4" hidden="1" outlineLevel="1">
      <c r="A493" s="196" t="s">
        <v>351</v>
      </c>
      <c r="B493" s="197">
        <v>41045</v>
      </c>
      <c r="C493" s="196" t="s">
        <v>1814</v>
      </c>
      <c r="D493" s="196">
        <v>57.9</v>
      </c>
      <c r="E493" s="196" t="s">
        <v>1815</v>
      </c>
      <c r="F493" s="196">
        <v>57.9</v>
      </c>
      <c r="G493" s="196">
        <f t="shared" si="7"/>
        <v>28.95</v>
      </c>
      <c r="H493" s="196">
        <v>8866</v>
      </c>
      <c r="I493" s="196" t="s">
        <v>1816</v>
      </c>
      <c r="J493" s="196"/>
    </row>
    <row r="494" spans="1:10" ht="14.4" hidden="1" outlineLevel="1">
      <c r="A494" s="196" t="s">
        <v>351</v>
      </c>
      <c r="B494" s="197">
        <v>41046</v>
      </c>
      <c r="C494" s="196" t="s">
        <v>1778</v>
      </c>
      <c r="D494" s="196">
        <v>60.1</v>
      </c>
      <c r="E494" s="196" t="s">
        <v>1778</v>
      </c>
      <c r="F494" s="196">
        <v>58</v>
      </c>
      <c r="G494" s="196">
        <f t="shared" si="7"/>
        <v>29</v>
      </c>
      <c r="H494" s="196">
        <v>2660</v>
      </c>
      <c r="I494" s="196" t="s">
        <v>1813</v>
      </c>
      <c r="J494" s="196"/>
    </row>
    <row r="495" spans="1:10" ht="14.4" hidden="1" outlineLevel="1">
      <c r="A495" s="196" t="s">
        <v>351</v>
      </c>
      <c r="B495" s="197">
        <v>41047</v>
      </c>
      <c r="C495" s="196" t="s">
        <v>1719</v>
      </c>
      <c r="D495" s="196">
        <v>55.8</v>
      </c>
      <c r="E495" s="196" t="s">
        <v>1719</v>
      </c>
      <c r="F495" s="196">
        <v>55.4</v>
      </c>
      <c r="G495" s="196">
        <f t="shared" si="7"/>
        <v>27.7</v>
      </c>
      <c r="H495" s="196">
        <v>250</v>
      </c>
      <c r="I495" s="196" t="s">
        <v>1812</v>
      </c>
      <c r="J495" s="196"/>
    </row>
    <row r="496" spans="1:10" ht="14.4" hidden="1" outlineLevel="1">
      <c r="A496" s="196" t="s">
        <v>351</v>
      </c>
      <c r="B496" s="197">
        <v>41051</v>
      </c>
      <c r="C496" s="196" t="s">
        <v>471</v>
      </c>
      <c r="D496" s="196">
        <v>59</v>
      </c>
      <c r="E496" s="196" t="s">
        <v>1810</v>
      </c>
      <c r="F496" s="196">
        <v>57.2</v>
      </c>
      <c r="G496" s="196">
        <f t="shared" si="7"/>
        <v>28.6</v>
      </c>
      <c r="H496" s="196">
        <v>556</v>
      </c>
      <c r="I496" s="196" t="s">
        <v>1811</v>
      </c>
      <c r="J496" s="196"/>
    </row>
    <row r="497" spans="1:10" ht="14.4" hidden="1" outlineLevel="1">
      <c r="A497" s="196" t="s">
        <v>351</v>
      </c>
      <c r="B497" s="197">
        <v>41052</v>
      </c>
      <c r="C497" s="196" t="s">
        <v>1808</v>
      </c>
      <c r="D497" s="196">
        <v>57.5</v>
      </c>
      <c r="E497" s="196" t="s">
        <v>1805</v>
      </c>
      <c r="F497" s="196">
        <v>57.5</v>
      </c>
      <c r="G497" s="196">
        <f t="shared" si="7"/>
        <v>28.75</v>
      </c>
      <c r="H497" s="196">
        <v>3996</v>
      </c>
      <c r="I497" s="196" t="s">
        <v>1809</v>
      </c>
      <c r="J497" s="196"/>
    </row>
    <row r="498" spans="1:10" ht="14.4" hidden="1" outlineLevel="1">
      <c r="A498" s="196" t="s">
        <v>351</v>
      </c>
      <c r="B498" s="197">
        <v>41053</v>
      </c>
      <c r="C498" s="196" t="s">
        <v>1719</v>
      </c>
      <c r="D498" s="196">
        <v>57.9</v>
      </c>
      <c r="E498" s="196" t="s">
        <v>1719</v>
      </c>
      <c r="F498" s="196">
        <v>57.9</v>
      </c>
      <c r="G498" s="196">
        <f t="shared" si="7"/>
        <v>28.95</v>
      </c>
      <c r="H498" s="196">
        <v>30153</v>
      </c>
      <c r="I498" s="196" t="s">
        <v>1807</v>
      </c>
      <c r="J498" s="196"/>
    </row>
    <row r="499" spans="1:10" ht="14.4" hidden="1" outlineLevel="1">
      <c r="A499" s="196" t="s">
        <v>351</v>
      </c>
      <c r="B499" s="197">
        <v>41054</v>
      </c>
      <c r="C499" s="196" t="s">
        <v>1803</v>
      </c>
      <c r="D499" s="196">
        <v>56.5</v>
      </c>
      <c r="E499" s="196" t="s">
        <v>1805</v>
      </c>
      <c r="F499" s="196">
        <v>56.5</v>
      </c>
      <c r="G499" s="196">
        <f t="shared" si="7"/>
        <v>28.25</v>
      </c>
      <c r="H499" s="196">
        <v>1020</v>
      </c>
      <c r="I499" s="196" t="s">
        <v>1806</v>
      </c>
      <c r="J499" s="196"/>
    </row>
    <row r="500" spans="1:10" ht="14.4" hidden="1" outlineLevel="1">
      <c r="A500" s="196" t="s">
        <v>351</v>
      </c>
      <c r="B500" s="197">
        <v>41057</v>
      </c>
      <c r="C500" s="196" t="s">
        <v>1803</v>
      </c>
      <c r="D500" s="196">
        <v>56.5</v>
      </c>
      <c r="E500" s="196" t="s">
        <v>1721</v>
      </c>
      <c r="F500" s="196">
        <v>54.5</v>
      </c>
      <c r="G500" s="196">
        <f t="shared" si="7"/>
        <v>27.25</v>
      </c>
      <c r="H500" s="196">
        <v>7200</v>
      </c>
      <c r="I500" s="196" t="s">
        <v>1804</v>
      </c>
      <c r="J500" s="196"/>
    </row>
    <row r="501" spans="1:10" ht="14.4" hidden="1" outlineLevel="1">
      <c r="A501" s="196" t="s">
        <v>351</v>
      </c>
      <c r="B501" s="197">
        <v>41058</v>
      </c>
      <c r="C501" s="196" t="s">
        <v>1728</v>
      </c>
      <c r="D501" s="196">
        <v>53</v>
      </c>
      <c r="E501" s="196" t="s">
        <v>1728</v>
      </c>
      <c r="F501" s="196">
        <v>53</v>
      </c>
      <c r="G501" s="196">
        <f t="shared" si="7"/>
        <v>26.5</v>
      </c>
      <c r="H501" s="196">
        <v>2308</v>
      </c>
      <c r="I501" s="196" t="s">
        <v>1802</v>
      </c>
      <c r="J501" s="196"/>
    </row>
    <row r="502" spans="1:10" ht="14.4" hidden="1" outlineLevel="1">
      <c r="A502" s="196" t="s">
        <v>351</v>
      </c>
      <c r="B502" s="197">
        <v>41059</v>
      </c>
      <c r="C502" s="196" t="s">
        <v>1740</v>
      </c>
      <c r="D502" s="196">
        <v>54</v>
      </c>
      <c r="E502" s="196" t="s">
        <v>1728</v>
      </c>
      <c r="F502" s="196">
        <v>53.5</v>
      </c>
      <c r="G502" s="196">
        <f t="shared" si="7"/>
        <v>26.75</v>
      </c>
      <c r="H502" s="196">
        <v>1800</v>
      </c>
      <c r="I502" s="196" t="s">
        <v>1801</v>
      </c>
      <c r="J502" s="196"/>
    </row>
    <row r="503" spans="1:10" ht="14.4" hidden="1" outlineLevel="1">
      <c r="A503" s="196" t="s">
        <v>351</v>
      </c>
      <c r="B503" s="197">
        <v>41060</v>
      </c>
      <c r="C503" s="196" t="s">
        <v>1771</v>
      </c>
      <c r="D503" s="196">
        <v>54.5</v>
      </c>
      <c r="E503" s="196" t="s">
        <v>1721</v>
      </c>
      <c r="F503" s="196">
        <v>54</v>
      </c>
      <c r="G503" s="196">
        <f t="shared" si="7"/>
        <v>27</v>
      </c>
      <c r="H503" s="196">
        <v>120</v>
      </c>
      <c r="I503" s="196" t="s">
        <v>1800</v>
      </c>
      <c r="J503" s="196"/>
    </row>
    <row r="504" spans="1:10" ht="14.4" hidden="1" outlineLevel="1">
      <c r="A504" s="196" t="s">
        <v>351</v>
      </c>
      <c r="B504" s="197">
        <v>41061</v>
      </c>
      <c r="C504" s="196" t="s">
        <v>1756</v>
      </c>
      <c r="D504" s="196">
        <v>55</v>
      </c>
      <c r="E504" s="196" t="s">
        <v>1740</v>
      </c>
      <c r="F504" s="196">
        <v>53.9</v>
      </c>
      <c r="G504" s="196">
        <f t="shared" si="7"/>
        <v>26.95</v>
      </c>
      <c r="H504" s="196">
        <v>1201</v>
      </c>
      <c r="I504" s="196" t="s">
        <v>1799</v>
      </c>
      <c r="J504" s="196"/>
    </row>
    <row r="505" spans="1:10" ht="14.4" hidden="1" outlineLevel="1">
      <c r="A505" s="196" t="s">
        <v>351</v>
      </c>
      <c r="B505" s="197">
        <v>41065</v>
      </c>
      <c r="C505" s="196" t="s">
        <v>1721</v>
      </c>
      <c r="D505" s="196">
        <v>54</v>
      </c>
      <c r="E505" s="196" t="s">
        <v>1740</v>
      </c>
      <c r="F505" s="196">
        <v>53.5</v>
      </c>
      <c r="G505" s="196">
        <f t="shared" si="7"/>
        <v>26.75</v>
      </c>
      <c r="H505" s="196">
        <v>1500</v>
      </c>
      <c r="I505" s="196" t="s">
        <v>1798</v>
      </c>
      <c r="J505" s="196"/>
    </row>
    <row r="506" spans="1:10" ht="14.4" hidden="1" outlineLevel="1">
      <c r="A506" s="196" t="s">
        <v>351</v>
      </c>
      <c r="B506" s="197">
        <v>41066</v>
      </c>
      <c r="C506" s="196" t="s">
        <v>1761</v>
      </c>
      <c r="D506" s="196">
        <v>53.1</v>
      </c>
      <c r="E506" s="196" t="s">
        <v>1788</v>
      </c>
      <c r="F506" s="196">
        <v>52.6</v>
      </c>
      <c r="G506" s="196">
        <f t="shared" si="7"/>
        <v>26.3</v>
      </c>
      <c r="H506" s="196">
        <v>1324</v>
      </c>
      <c r="I506" s="196" t="s">
        <v>1797</v>
      </c>
      <c r="J506" s="196"/>
    </row>
    <row r="507" spans="1:10" ht="14.4" hidden="1" outlineLevel="1">
      <c r="A507" s="196" t="s">
        <v>351</v>
      </c>
      <c r="B507" s="197">
        <v>41067</v>
      </c>
      <c r="C507" s="196" t="s">
        <v>1788</v>
      </c>
      <c r="D507" s="196">
        <v>52.6</v>
      </c>
      <c r="E507" s="196" t="s">
        <v>1732</v>
      </c>
      <c r="F507" s="196">
        <v>52.6</v>
      </c>
      <c r="G507" s="196">
        <f t="shared" si="7"/>
        <v>26.3</v>
      </c>
      <c r="H507" s="196">
        <v>8001</v>
      </c>
      <c r="I507" s="196" t="s">
        <v>1796</v>
      </c>
      <c r="J507" s="196"/>
    </row>
    <row r="508" spans="1:10" ht="14.4" hidden="1" outlineLevel="1">
      <c r="A508" s="196" t="s">
        <v>351</v>
      </c>
      <c r="B508" s="197">
        <v>41068</v>
      </c>
      <c r="C508" s="196" t="s">
        <v>1721</v>
      </c>
      <c r="D508" s="196">
        <v>54</v>
      </c>
      <c r="E508" s="196" t="s">
        <v>1721</v>
      </c>
      <c r="F508" s="196">
        <v>54</v>
      </c>
      <c r="G508" s="196">
        <f t="shared" si="7"/>
        <v>27</v>
      </c>
      <c r="H508" s="196">
        <v>2002</v>
      </c>
      <c r="I508" s="196" t="s">
        <v>1795</v>
      </c>
      <c r="J508" s="196"/>
    </row>
    <row r="509" spans="1:10" ht="14.4" hidden="1" outlineLevel="1">
      <c r="A509" s="196" t="s">
        <v>351</v>
      </c>
      <c r="B509" s="197">
        <v>41072</v>
      </c>
      <c r="C509" s="196" t="s">
        <v>1721</v>
      </c>
      <c r="D509" s="196">
        <v>54</v>
      </c>
      <c r="E509" s="196" t="s">
        <v>1788</v>
      </c>
      <c r="F509" s="196">
        <v>52.9</v>
      </c>
      <c r="G509" s="196">
        <f t="shared" si="7"/>
        <v>26.45</v>
      </c>
      <c r="H509" s="196">
        <v>254</v>
      </c>
      <c r="I509" s="196" t="s">
        <v>1794</v>
      </c>
      <c r="J509" s="196"/>
    </row>
    <row r="510" spans="1:10" ht="14.4" hidden="1" outlineLevel="1">
      <c r="A510" s="196" t="s">
        <v>351</v>
      </c>
      <c r="B510" s="197">
        <v>41073</v>
      </c>
      <c r="C510" s="196" t="s">
        <v>1732</v>
      </c>
      <c r="D510" s="196">
        <v>55</v>
      </c>
      <c r="E510" s="196" t="s">
        <v>1732</v>
      </c>
      <c r="F510" s="196">
        <v>55</v>
      </c>
      <c r="G510" s="196">
        <f t="shared" si="7"/>
        <v>27.5</v>
      </c>
      <c r="H510" s="196">
        <v>32799</v>
      </c>
      <c r="I510" s="196" t="s">
        <v>1793</v>
      </c>
      <c r="J510" s="196"/>
    </row>
    <row r="511" spans="1:10" ht="14.4" hidden="1" outlineLevel="1">
      <c r="A511" s="196" t="s">
        <v>351</v>
      </c>
      <c r="B511" s="197">
        <v>41074</v>
      </c>
      <c r="C511" s="196" t="s">
        <v>1732</v>
      </c>
      <c r="D511" s="196">
        <v>56</v>
      </c>
      <c r="E511" s="196" t="s">
        <v>1732</v>
      </c>
      <c r="F511" s="196">
        <v>55.5</v>
      </c>
      <c r="G511" s="196">
        <f t="shared" si="7"/>
        <v>27.75</v>
      </c>
      <c r="H511" s="196">
        <v>21113</v>
      </c>
      <c r="I511" s="196" t="s">
        <v>1792</v>
      </c>
      <c r="J511" s="196"/>
    </row>
    <row r="512" spans="1:10" ht="14.4" hidden="1" outlineLevel="1">
      <c r="A512" s="196" t="s">
        <v>351</v>
      </c>
      <c r="B512" s="197">
        <v>41075</v>
      </c>
      <c r="C512" s="196" t="s">
        <v>484</v>
      </c>
      <c r="D512" s="196">
        <v>58</v>
      </c>
      <c r="E512" s="196" t="s">
        <v>484</v>
      </c>
      <c r="F512" s="196">
        <v>56.4</v>
      </c>
      <c r="G512" s="196">
        <f t="shared" si="7"/>
        <v>28.2</v>
      </c>
      <c r="H512" s="196">
        <v>6261</v>
      </c>
      <c r="I512" s="196" t="s">
        <v>1791</v>
      </c>
      <c r="J512" s="196"/>
    </row>
    <row r="513" spans="1:10" ht="14.4" hidden="1" outlineLevel="1">
      <c r="A513" s="196" t="s">
        <v>351</v>
      </c>
      <c r="B513" s="197">
        <v>41078</v>
      </c>
      <c r="C513" s="196" t="s">
        <v>1756</v>
      </c>
      <c r="D513" s="196">
        <v>55</v>
      </c>
      <c r="E513" s="196" t="s">
        <v>1756</v>
      </c>
      <c r="F513" s="196">
        <v>55</v>
      </c>
      <c r="G513" s="196">
        <f t="shared" si="7"/>
        <v>27.5</v>
      </c>
      <c r="H513" s="196">
        <v>7000</v>
      </c>
      <c r="I513" s="196" t="s">
        <v>1790</v>
      </c>
      <c r="J513" s="196"/>
    </row>
    <row r="514" spans="1:10" ht="14.4" hidden="1" outlineLevel="1">
      <c r="A514" s="196" t="s">
        <v>351</v>
      </c>
      <c r="B514" s="197">
        <v>41079</v>
      </c>
      <c r="C514" s="196" t="s">
        <v>1788</v>
      </c>
      <c r="D514" s="196">
        <v>58</v>
      </c>
      <c r="E514" s="196" t="s">
        <v>1788</v>
      </c>
      <c r="F514" s="196">
        <v>56</v>
      </c>
      <c r="G514" s="196">
        <f t="shared" si="7"/>
        <v>28</v>
      </c>
      <c r="H514" s="196">
        <v>7521</v>
      </c>
      <c r="I514" s="196" t="s">
        <v>1789</v>
      </c>
      <c r="J514" s="196"/>
    </row>
    <row r="515" spans="1:10" ht="14.4" hidden="1" outlineLevel="1">
      <c r="A515" s="196" t="s">
        <v>351</v>
      </c>
      <c r="B515" s="197">
        <v>41080</v>
      </c>
      <c r="C515" s="196" t="s">
        <v>1756</v>
      </c>
      <c r="D515" s="196">
        <v>56</v>
      </c>
      <c r="E515" s="196" t="s">
        <v>1756</v>
      </c>
      <c r="F515" s="196">
        <v>55</v>
      </c>
      <c r="G515" s="196">
        <f t="shared" si="7"/>
        <v>27.5</v>
      </c>
      <c r="H515" s="196">
        <v>21982</v>
      </c>
      <c r="I515" s="196" t="s">
        <v>1787</v>
      </c>
      <c r="J515" s="196"/>
    </row>
    <row r="516" spans="1:10" ht="14.4" hidden="1" outlineLevel="1">
      <c r="A516" s="196" t="s">
        <v>351</v>
      </c>
      <c r="B516" s="197">
        <v>41081</v>
      </c>
      <c r="C516" s="196" t="s">
        <v>484</v>
      </c>
      <c r="D516" s="196">
        <v>56</v>
      </c>
      <c r="E516" s="196" t="s">
        <v>1721</v>
      </c>
      <c r="F516" s="196">
        <v>55.9</v>
      </c>
      <c r="G516" s="196">
        <f t="shared" si="7"/>
        <v>27.95</v>
      </c>
      <c r="H516" s="196">
        <v>13407</v>
      </c>
      <c r="I516" s="196" t="s">
        <v>1786</v>
      </c>
      <c r="J516" s="196"/>
    </row>
    <row r="517" spans="1:10" ht="14.4" hidden="1" outlineLevel="1">
      <c r="A517" s="196" t="s">
        <v>351</v>
      </c>
      <c r="B517" s="197">
        <v>41082</v>
      </c>
      <c r="C517" s="196" t="s">
        <v>484</v>
      </c>
      <c r="D517" s="196">
        <v>56</v>
      </c>
      <c r="E517" s="196" t="s">
        <v>1756</v>
      </c>
      <c r="F517" s="196">
        <v>55</v>
      </c>
      <c r="G517" s="196">
        <f t="shared" ref="G517:G580" si="8">F517/2</f>
        <v>27.5</v>
      </c>
      <c r="H517" s="196">
        <v>2100</v>
      </c>
      <c r="I517" s="196" t="s">
        <v>1785</v>
      </c>
      <c r="J517" s="196"/>
    </row>
    <row r="518" spans="1:10" ht="14.4" hidden="1" outlineLevel="1">
      <c r="A518" s="196" t="s">
        <v>351</v>
      </c>
      <c r="B518" s="197">
        <v>41085</v>
      </c>
      <c r="C518" s="196" t="s">
        <v>1756</v>
      </c>
      <c r="D518" s="196">
        <v>55</v>
      </c>
      <c r="E518" s="196" t="s">
        <v>1721</v>
      </c>
      <c r="F518" s="196">
        <v>55</v>
      </c>
      <c r="G518" s="196">
        <f t="shared" si="8"/>
        <v>27.5</v>
      </c>
      <c r="H518" s="196">
        <v>183400</v>
      </c>
      <c r="I518" s="196" t="s">
        <v>1784</v>
      </c>
      <c r="J518" s="196"/>
    </row>
    <row r="519" spans="1:10" ht="14.4" hidden="1" outlineLevel="1">
      <c r="A519" s="196" t="s">
        <v>351</v>
      </c>
      <c r="B519" s="197">
        <v>41086</v>
      </c>
      <c r="C519" s="196" t="s">
        <v>1756</v>
      </c>
      <c r="D519" s="196">
        <v>55</v>
      </c>
      <c r="E519" s="196" t="s">
        <v>1740</v>
      </c>
      <c r="F519" s="196">
        <v>55</v>
      </c>
      <c r="G519" s="196">
        <f t="shared" si="8"/>
        <v>27.5</v>
      </c>
      <c r="H519" s="196">
        <v>34255</v>
      </c>
      <c r="I519" s="196" t="s">
        <v>1783</v>
      </c>
      <c r="J519" s="196"/>
    </row>
    <row r="520" spans="1:10" ht="14.4" hidden="1" outlineLevel="1">
      <c r="A520" s="196" t="s">
        <v>351</v>
      </c>
      <c r="B520" s="197">
        <v>41087</v>
      </c>
      <c r="C520" s="196" t="s">
        <v>1724</v>
      </c>
      <c r="D520" s="196">
        <v>54.1</v>
      </c>
      <c r="E520" s="196" t="s">
        <v>1724</v>
      </c>
      <c r="F520" s="196">
        <v>54.1</v>
      </c>
      <c r="G520" s="196">
        <f t="shared" si="8"/>
        <v>27.05</v>
      </c>
      <c r="H520" s="196">
        <v>13</v>
      </c>
      <c r="I520" s="196" t="s">
        <v>1782</v>
      </c>
      <c r="J520" s="196"/>
    </row>
    <row r="521" spans="1:10" ht="14.4" hidden="1" outlineLevel="1">
      <c r="A521" s="196" t="s">
        <v>351</v>
      </c>
      <c r="B521" s="197">
        <v>41088</v>
      </c>
      <c r="C521" s="196" t="s">
        <v>1780</v>
      </c>
      <c r="D521" s="196">
        <v>56.3</v>
      </c>
      <c r="E521" s="196" t="s">
        <v>1780</v>
      </c>
      <c r="F521" s="196">
        <v>56.3</v>
      </c>
      <c r="G521" s="196">
        <f t="shared" si="8"/>
        <v>28.15</v>
      </c>
      <c r="H521" s="196">
        <v>20</v>
      </c>
      <c r="I521" s="196" t="s">
        <v>1781</v>
      </c>
      <c r="J521" s="196"/>
    </row>
    <row r="522" spans="1:10" ht="14.4" hidden="1" outlineLevel="1">
      <c r="A522" s="196" t="s">
        <v>351</v>
      </c>
      <c r="B522" s="197">
        <v>41089</v>
      </c>
      <c r="C522" s="196" t="s">
        <v>1778</v>
      </c>
      <c r="D522" s="196">
        <v>57.9</v>
      </c>
      <c r="E522" s="196" t="s">
        <v>1756</v>
      </c>
      <c r="F522" s="196">
        <v>55.3</v>
      </c>
      <c r="G522" s="196">
        <f t="shared" si="8"/>
        <v>27.65</v>
      </c>
      <c r="H522" s="196">
        <v>18</v>
      </c>
      <c r="I522" s="196" t="s">
        <v>1779</v>
      </c>
      <c r="J522" s="196"/>
    </row>
    <row r="523" spans="1:10" ht="14.4" hidden="1" outlineLevel="1">
      <c r="A523" s="196" t="s">
        <v>351</v>
      </c>
      <c r="B523" s="197">
        <v>41092</v>
      </c>
      <c r="C523" s="196" t="s">
        <v>468</v>
      </c>
      <c r="D523" s="196">
        <v>58</v>
      </c>
      <c r="E523" s="196" t="s">
        <v>468</v>
      </c>
      <c r="F523" s="196">
        <v>58</v>
      </c>
      <c r="G523" s="196">
        <f t="shared" si="8"/>
        <v>29</v>
      </c>
      <c r="H523" s="196">
        <v>1</v>
      </c>
      <c r="I523" s="196" t="s">
        <v>1777</v>
      </c>
      <c r="J523" s="196"/>
    </row>
    <row r="524" spans="1:10" ht="14.4" hidden="1" outlineLevel="1">
      <c r="A524" s="196" t="s">
        <v>351</v>
      </c>
      <c r="B524" s="197">
        <v>41094</v>
      </c>
      <c r="C524" s="196" t="s">
        <v>1756</v>
      </c>
      <c r="D524" s="196">
        <v>57.7</v>
      </c>
      <c r="E524" s="196" t="s">
        <v>1756</v>
      </c>
      <c r="F524" s="196">
        <v>55.8</v>
      </c>
      <c r="G524" s="196">
        <f t="shared" si="8"/>
        <v>27.9</v>
      </c>
      <c r="H524" s="196">
        <v>140</v>
      </c>
      <c r="I524" s="196" t="s">
        <v>1776</v>
      </c>
      <c r="J524" s="196"/>
    </row>
    <row r="525" spans="1:10" ht="14.4" hidden="1" outlineLevel="1">
      <c r="A525" s="196" t="s">
        <v>351</v>
      </c>
      <c r="B525" s="197">
        <v>41095</v>
      </c>
      <c r="C525" s="196" t="s">
        <v>1774</v>
      </c>
      <c r="D525" s="196">
        <v>55.8</v>
      </c>
      <c r="E525" s="196" t="s">
        <v>1756</v>
      </c>
      <c r="F525" s="196">
        <v>55</v>
      </c>
      <c r="G525" s="196">
        <f t="shared" si="8"/>
        <v>27.5</v>
      </c>
      <c r="H525" s="196">
        <v>2000</v>
      </c>
      <c r="I525" s="196" t="s">
        <v>1775</v>
      </c>
      <c r="J525" s="196"/>
    </row>
    <row r="526" spans="1:10" ht="14.4" hidden="1" outlineLevel="1">
      <c r="A526" s="196" t="s">
        <v>351</v>
      </c>
      <c r="B526" s="197">
        <v>41096</v>
      </c>
      <c r="C526" s="196" t="s">
        <v>1712</v>
      </c>
      <c r="D526" s="196">
        <v>55.1</v>
      </c>
      <c r="E526" s="196" t="s">
        <v>1756</v>
      </c>
      <c r="F526" s="196">
        <v>55</v>
      </c>
      <c r="G526" s="196">
        <f t="shared" si="8"/>
        <v>27.5</v>
      </c>
      <c r="H526" s="196">
        <v>24900</v>
      </c>
      <c r="I526" s="196" t="s">
        <v>1773</v>
      </c>
      <c r="J526" s="196"/>
    </row>
    <row r="527" spans="1:10" ht="14.4" hidden="1" outlineLevel="1">
      <c r="A527" s="196" t="s">
        <v>351</v>
      </c>
      <c r="B527" s="197">
        <v>41099</v>
      </c>
      <c r="C527" s="196" t="s">
        <v>1771</v>
      </c>
      <c r="D527" s="196">
        <v>54.5</v>
      </c>
      <c r="E527" s="196" t="s">
        <v>1771</v>
      </c>
      <c r="F527" s="196">
        <v>54.5</v>
      </c>
      <c r="G527" s="196">
        <f t="shared" si="8"/>
        <v>27.25</v>
      </c>
      <c r="H527" s="196">
        <v>1500</v>
      </c>
      <c r="I527" s="196" t="s">
        <v>1772</v>
      </c>
      <c r="J527" s="196"/>
    </row>
    <row r="528" spans="1:10" ht="14.4" hidden="1" outlineLevel="1">
      <c r="A528" s="196" t="s">
        <v>351</v>
      </c>
      <c r="B528" s="197">
        <v>41100</v>
      </c>
      <c r="C528" s="196" t="s">
        <v>1769</v>
      </c>
      <c r="D528" s="196">
        <v>54.3</v>
      </c>
      <c r="E528" s="196" t="s">
        <v>1721</v>
      </c>
      <c r="F528" s="196">
        <v>54</v>
      </c>
      <c r="G528" s="196">
        <f t="shared" si="8"/>
        <v>27</v>
      </c>
      <c r="H528" s="196">
        <v>510</v>
      </c>
      <c r="I528" s="196" t="s">
        <v>1770</v>
      </c>
      <c r="J528" s="196"/>
    </row>
    <row r="529" spans="1:10" ht="14.4" hidden="1" outlineLevel="1">
      <c r="A529" s="196" t="s">
        <v>351</v>
      </c>
      <c r="B529" s="197">
        <v>41101</v>
      </c>
      <c r="C529" s="196" t="s">
        <v>1721</v>
      </c>
      <c r="D529" s="196">
        <v>54</v>
      </c>
      <c r="E529" s="196" t="s">
        <v>1721</v>
      </c>
      <c r="F529" s="196">
        <v>54</v>
      </c>
      <c r="G529" s="196">
        <f t="shared" si="8"/>
        <v>27</v>
      </c>
      <c r="H529" s="196">
        <v>600</v>
      </c>
      <c r="I529" s="196" t="s">
        <v>1768</v>
      </c>
      <c r="J529" s="196"/>
    </row>
    <row r="530" spans="1:10" ht="14.4" hidden="1" outlineLevel="1">
      <c r="A530" s="196" t="s">
        <v>351</v>
      </c>
      <c r="B530" s="197">
        <v>41102</v>
      </c>
      <c r="C530" s="196" t="s">
        <v>1766</v>
      </c>
      <c r="D530" s="196">
        <v>55</v>
      </c>
      <c r="E530" s="196" t="s">
        <v>1766</v>
      </c>
      <c r="F530" s="196">
        <v>55</v>
      </c>
      <c r="G530" s="196">
        <f t="shared" si="8"/>
        <v>27.5</v>
      </c>
      <c r="H530" s="196">
        <v>14000</v>
      </c>
      <c r="I530" s="196" t="s">
        <v>1767</v>
      </c>
      <c r="J530" s="196"/>
    </row>
    <row r="531" spans="1:10" ht="14.4" hidden="1" outlineLevel="1">
      <c r="A531" s="196" t="s">
        <v>351</v>
      </c>
      <c r="B531" s="197">
        <v>41103</v>
      </c>
      <c r="C531" s="196" t="s">
        <v>1721</v>
      </c>
      <c r="D531" s="196">
        <v>55</v>
      </c>
      <c r="E531" s="196" t="s">
        <v>1721</v>
      </c>
      <c r="F531" s="196">
        <v>54.2</v>
      </c>
      <c r="G531" s="196">
        <f t="shared" si="8"/>
        <v>27.1</v>
      </c>
      <c r="H531" s="196">
        <v>1237</v>
      </c>
      <c r="I531" s="196" t="s">
        <v>1765</v>
      </c>
      <c r="J531" s="196"/>
    </row>
    <row r="532" spans="1:10" ht="14.4" hidden="1" outlineLevel="1">
      <c r="A532" s="196" t="s">
        <v>351</v>
      </c>
      <c r="B532" s="197">
        <v>41106</v>
      </c>
      <c r="C532" s="196" t="s">
        <v>1756</v>
      </c>
      <c r="D532" s="196">
        <v>55</v>
      </c>
      <c r="E532" s="196" t="s">
        <v>1721</v>
      </c>
      <c r="F532" s="196">
        <v>54</v>
      </c>
      <c r="G532" s="196">
        <f t="shared" si="8"/>
        <v>27</v>
      </c>
      <c r="H532" s="196">
        <v>1523</v>
      </c>
      <c r="I532" s="196" t="s">
        <v>1764</v>
      </c>
      <c r="J532" s="196"/>
    </row>
    <row r="533" spans="1:10" ht="14.4" hidden="1" outlineLevel="1">
      <c r="A533" s="196" t="s">
        <v>351</v>
      </c>
      <c r="B533" s="197">
        <v>41107</v>
      </c>
      <c r="C533" s="196" t="s">
        <v>1757</v>
      </c>
      <c r="D533" s="196">
        <v>55</v>
      </c>
      <c r="E533" s="196" t="s">
        <v>1757</v>
      </c>
      <c r="F533" s="196">
        <v>54</v>
      </c>
      <c r="G533" s="196">
        <f t="shared" si="8"/>
        <v>27</v>
      </c>
      <c r="H533" s="196">
        <v>1700</v>
      </c>
      <c r="I533" s="196" t="s">
        <v>1763</v>
      </c>
      <c r="J533" s="196"/>
    </row>
    <row r="534" spans="1:10" ht="14.4" hidden="1" outlineLevel="1">
      <c r="A534" s="196" t="s">
        <v>351</v>
      </c>
      <c r="B534" s="197">
        <v>41108</v>
      </c>
      <c r="C534" s="196" t="s">
        <v>1761</v>
      </c>
      <c r="D534" s="196">
        <v>53.1</v>
      </c>
      <c r="E534" s="196" t="s">
        <v>1761</v>
      </c>
      <c r="F534" s="196">
        <v>53.1</v>
      </c>
      <c r="G534" s="196">
        <f t="shared" si="8"/>
        <v>26.55</v>
      </c>
      <c r="H534" s="196">
        <v>40</v>
      </c>
      <c r="I534" s="196" t="s">
        <v>1762</v>
      </c>
      <c r="J534" s="196"/>
    </row>
    <row r="535" spans="1:10" ht="14.4" hidden="1" outlineLevel="1">
      <c r="A535" s="196" t="s">
        <v>351</v>
      </c>
      <c r="B535" s="197">
        <v>41109</v>
      </c>
      <c r="C535" s="196" t="s">
        <v>1759</v>
      </c>
      <c r="D535" s="196">
        <v>53.5</v>
      </c>
      <c r="E535" s="196" t="s">
        <v>1759</v>
      </c>
      <c r="F535" s="196">
        <v>53.5</v>
      </c>
      <c r="G535" s="196">
        <f t="shared" si="8"/>
        <v>26.75</v>
      </c>
      <c r="H535" s="196">
        <v>300</v>
      </c>
      <c r="I535" s="196" t="s">
        <v>1760</v>
      </c>
      <c r="J535" s="196"/>
    </row>
    <row r="536" spans="1:10" ht="14.4" hidden="1" outlineLevel="1">
      <c r="A536" s="196" t="s">
        <v>351</v>
      </c>
      <c r="B536" s="197">
        <v>41110</v>
      </c>
      <c r="C536" s="196" t="s">
        <v>1756</v>
      </c>
      <c r="D536" s="196">
        <v>55</v>
      </c>
      <c r="E536" s="196" t="s">
        <v>1757</v>
      </c>
      <c r="F536" s="196">
        <v>53</v>
      </c>
      <c r="G536" s="196">
        <f t="shared" si="8"/>
        <v>26.5</v>
      </c>
      <c r="H536" s="196">
        <v>4851</v>
      </c>
      <c r="I536" s="196" t="s">
        <v>1758</v>
      </c>
      <c r="J536" s="196"/>
    </row>
    <row r="537" spans="1:10" ht="14.4" hidden="1" outlineLevel="1">
      <c r="A537" s="196" t="s">
        <v>351</v>
      </c>
      <c r="B537" s="197">
        <v>41113</v>
      </c>
      <c r="C537" s="196" t="s">
        <v>1754</v>
      </c>
      <c r="D537" s="196">
        <v>51.4</v>
      </c>
      <c r="E537" s="196" t="s">
        <v>1754</v>
      </c>
      <c r="F537" s="196">
        <v>51.4</v>
      </c>
      <c r="G537" s="196">
        <f t="shared" si="8"/>
        <v>25.7</v>
      </c>
      <c r="H537" s="196">
        <v>26</v>
      </c>
      <c r="I537" s="196" t="s">
        <v>1755</v>
      </c>
      <c r="J537" s="196"/>
    </row>
    <row r="538" spans="1:10" ht="14.4" hidden="1" outlineLevel="1">
      <c r="A538" s="196" t="s">
        <v>351</v>
      </c>
      <c r="B538" s="197">
        <v>41114</v>
      </c>
      <c r="C538" s="196" t="s">
        <v>1732</v>
      </c>
      <c r="D538" s="196">
        <v>52</v>
      </c>
      <c r="E538" s="196" t="s">
        <v>1747</v>
      </c>
      <c r="F538" s="196">
        <v>51.8</v>
      </c>
      <c r="G538" s="196">
        <f t="shared" si="8"/>
        <v>25.9</v>
      </c>
      <c r="H538" s="196">
        <v>2850</v>
      </c>
      <c r="I538" s="196" t="s">
        <v>1753</v>
      </c>
      <c r="J538" s="196"/>
    </row>
    <row r="539" spans="1:10" ht="14.4" hidden="1" outlineLevel="1">
      <c r="A539" s="196" t="s">
        <v>351</v>
      </c>
      <c r="B539" s="197">
        <v>41115</v>
      </c>
      <c r="C539" s="196" t="s">
        <v>1741</v>
      </c>
      <c r="D539" s="196">
        <v>52</v>
      </c>
      <c r="E539" s="196" t="s">
        <v>1741</v>
      </c>
      <c r="F539" s="196">
        <v>52</v>
      </c>
      <c r="G539" s="196">
        <f t="shared" si="8"/>
        <v>26</v>
      </c>
      <c r="H539" s="196">
        <v>4700</v>
      </c>
      <c r="I539" s="196" t="s">
        <v>1752</v>
      </c>
      <c r="J539" s="196"/>
    </row>
    <row r="540" spans="1:10" ht="14.4" hidden="1" outlineLevel="1">
      <c r="A540" s="196" t="s">
        <v>351</v>
      </c>
      <c r="B540" s="197">
        <v>41116</v>
      </c>
      <c r="C540" s="196" t="s">
        <v>1747</v>
      </c>
      <c r="D540" s="196">
        <v>52.9</v>
      </c>
      <c r="E540" s="196" t="s">
        <v>1750</v>
      </c>
      <c r="F540" s="196">
        <v>52</v>
      </c>
      <c r="G540" s="196">
        <f t="shared" si="8"/>
        <v>26</v>
      </c>
      <c r="H540" s="196">
        <v>23310</v>
      </c>
      <c r="I540" s="196" t="s">
        <v>1751</v>
      </c>
      <c r="J540" s="196"/>
    </row>
    <row r="541" spans="1:10" ht="14.4" hidden="1" outlineLevel="1">
      <c r="A541" s="196" t="s">
        <v>351</v>
      </c>
      <c r="B541" s="197">
        <v>41117</v>
      </c>
      <c r="C541" s="196" t="s">
        <v>1747</v>
      </c>
      <c r="D541" s="196">
        <v>52</v>
      </c>
      <c r="E541" s="196" t="s">
        <v>1748</v>
      </c>
      <c r="F541" s="196">
        <v>51.7</v>
      </c>
      <c r="G541" s="196">
        <f t="shared" si="8"/>
        <v>25.85</v>
      </c>
      <c r="H541" s="196">
        <v>44130</v>
      </c>
      <c r="I541" s="196" t="s">
        <v>1749</v>
      </c>
      <c r="J541" s="196"/>
    </row>
    <row r="542" spans="1:10" ht="14.4" hidden="1" outlineLevel="1">
      <c r="A542" s="196" t="s">
        <v>351</v>
      </c>
      <c r="B542" s="197">
        <v>41120</v>
      </c>
      <c r="C542" s="196" t="s">
        <v>1732</v>
      </c>
      <c r="D542" s="196">
        <v>55</v>
      </c>
      <c r="E542" s="196" t="s">
        <v>1745</v>
      </c>
      <c r="F542" s="196">
        <v>51.9</v>
      </c>
      <c r="G542" s="196">
        <f t="shared" si="8"/>
        <v>25.95</v>
      </c>
      <c r="H542" s="196">
        <v>211337</v>
      </c>
      <c r="I542" s="196" t="s">
        <v>1746</v>
      </c>
      <c r="J542" s="196"/>
    </row>
    <row r="543" spans="1:10" ht="14.4" hidden="1" outlineLevel="1">
      <c r="A543" s="196" t="s">
        <v>351</v>
      </c>
      <c r="B543" s="197">
        <v>41121</v>
      </c>
      <c r="C543" s="196" t="s">
        <v>1732</v>
      </c>
      <c r="D543" s="196">
        <v>52</v>
      </c>
      <c r="E543" s="196" t="s">
        <v>1743</v>
      </c>
      <c r="F543" s="196">
        <v>51.9</v>
      </c>
      <c r="G543" s="196">
        <f t="shared" si="8"/>
        <v>25.95</v>
      </c>
      <c r="H543" s="196">
        <v>19931</v>
      </c>
      <c r="I543" s="196" t="s">
        <v>1744</v>
      </c>
      <c r="J543" s="196"/>
    </row>
    <row r="544" spans="1:10" ht="14.4" hidden="1" outlineLevel="1">
      <c r="A544" s="196" t="s">
        <v>351</v>
      </c>
      <c r="B544" s="197">
        <v>41123</v>
      </c>
      <c r="C544" s="196" t="s">
        <v>1740</v>
      </c>
      <c r="D544" s="196">
        <v>54</v>
      </c>
      <c r="E544" s="196" t="s">
        <v>1741</v>
      </c>
      <c r="F544" s="196">
        <v>52.8</v>
      </c>
      <c r="G544" s="196">
        <f t="shared" si="8"/>
        <v>26.4</v>
      </c>
      <c r="H544" s="196">
        <v>21720</v>
      </c>
      <c r="I544" s="196" t="s">
        <v>1742</v>
      </c>
      <c r="J544" s="196"/>
    </row>
    <row r="545" spans="1:10" ht="14.4" hidden="1" outlineLevel="1">
      <c r="A545" s="196" t="s">
        <v>351</v>
      </c>
      <c r="B545" s="197">
        <v>41124</v>
      </c>
      <c r="C545" s="196" t="s">
        <v>1727</v>
      </c>
      <c r="D545" s="196">
        <v>54.4</v>
      </c>
      <c r="E545" s="196" t="s">
        <v>1728</v>
      </c>
      <c r="F545" s="196">
        <v>53.5</v>
      </c>
      <c r="G545" s="196">
        <f t="shared" si="8"/>
        <v>26.75</v>
      </c>
      <c r="H545" s="196">
        <v>137095</v>
      </c>
      <c r="I545" s="196" t="s">
        <v>1739</v>
      </c>
      <c r="J545" s="196"/>
    </row>
    <row r="546" spans="1:10" ht="14.4" hidden="1" outlineLevel="1">
      <c r="A546" s="196" t="s">
        <v>351</v>
      </c>
      <c r="B546" s="197">
        <v>41127</v>
      </c>
      <c r="C546" s="196" t="s">
        <v>1736</v>
      </c>
      <c r="D546" s="196">
        <v>54</v>
      </c>
      <c r="E546" s="196" t="s">
        <v>1736</v>
      </c>
      <c r="F546" s="196">
        <v>53.6</v>
      </c>
      <c r="G546" s="196">
        <f t="shared" si="8"/>
        <v>26.8</v>
      </c>
      <c r="H546" s="196">
        <v>175996</v>
      </c>
      <c r="I546" s="196" t="s">
        <v>1738</v>
      </c>
      <c r="J546" s="196"/>
    </row>
    <row r="547" spans="1:10" ht="14.4" hidden="1" outlineLevel="1">
      <c r="A547" s="196" t="s">
        <v>351</v>
      </c>
      <c r="B547" s="197">
        <v>41128</v>
      </c>
      <c r="C547" s="196" t="s">
        <v>1736</v>
      </c>
      <c r="D547" s="196">
        <v>53.6</v>
      </c>
      <c r="E547" s="196" t="s">
        <v>1736</v>
      </c>
      <c r="F547" s="196">
        <v>53.6</v>
      </c>
      <c r="G547" s="196">
        <f t="shared" si="8"/>
        <v>26.8</v>
      </c>
      <c r="H547" s="196">
        <v>1000</v>
      </c>
      <c r="I547" s="196" t="s">
        <v>1737</v>
      </c>
      <c r="J547" s="196"/>
    </row>
    <row r="548" spans="1:10" ht="14.4" hidden="1" outlineLevel="1">
      <c r="A548" s="196" t="s">
        <v>351</v>
      </c>
      <c r="B548" s="197">
        <v>41129</v>
      </c>
      <c r="C548" s="196" t="s">
        <v>1722</v>
      </c>
      <c r="D548" s="196">
        <v>53.9</v>
      </c>
      <c r="E548" s="196" t="s">
        <v>1722</v>
      </c>
      <c r="F548" s="196">
        <v>53.9</v>
      </c>
      <c r="G548" s="196">
        <f t="shared" si="8"/>
        <v>26.95</v>
      </c>
      <c r="H548" s="196">
        <v>10</v>
      </c>
      <c r="I548" s="196" t="s">
        <v>1735</v>
      </c>
      <c r="J548" s="196"/>
    </row>
    <row r="549" spans="1:10" ht="14.4" hidden="1" outlineLevel="1">
      <c r="A549" s="196" t="s">
        <v>351</v>
      </c>
      <c r="B549" s="197">
        <v>41130</v>
      </c>
      <c r="C549" s="196" t="s">
        <v>1722</v>
      </c>
      <c r="D549" s="196">
        <v>53.9</v>
      </c>
      <c r="E549" s="196" t="s">
        <v>1722</v>
      </c>
      <c r="F549" s="196">
        <v>53.9</v>
      </c>
      <c r="G549" s="196">
        <f t="shared" si="8"/>
        <v>26.95</v>
      </c>
      <c r="H549" s="196">
        <v>15</v>
      </c>
      <c r="I549" s="196" t="s">
        <v>1734</v>
      </c>
      <c r="J549" s="196"/>
    </row>
    <row r="550" spans="1:10" ht="14.4" hidden="1" outlineLevel="1">
      <c r="A550" s="196" t="s">
        <v>351</v>
      </c>
      <c r="B550" s="197">
        <v>41131</v>
      </c>
      <c r="C550" s="196" t="s">
        <v>1732</v>
      </c>
      <c r="D550" s="196">
        <v>52.2</v>
      </c>
      <c r="E550" s="196" t="s">
        <v>1732</v>
      </c>
      <c r="F550" s="196">
        <v>52.1</v>
      </c>
      <c r="G550" s="196">
        <f t="shared" si="8"/>
        <v>26.05</v>
      </c>
      <c r="H550" s="196">
        <v>3165</v>
      </c>
      <c r="I550" s="196" t="s">
        <v>1733</v>
      </c>
      <c r="J550" s="196"/>
    </row>
    <row r="551" spans="1:10" ht="14.4" hidden="1" outlineLevel="1">
      <c r="A551" s="196" t="s">
        <v>351</v>
      </c>
      <c r="B551" s="197">
        <v>41134</v>
      </c>
      <c r="C551" s="196" t="s">
        <v>1730</v>
      </c>
      <c r="D551" s="196">
        <v>51.9</v>
      </c>
      <c r="E551" s="196" t="s">
        <v>1730</v>
      </c>
      <c r="F551" s="196">
        <v>51.8</v>
      </c>
      <c r="G551" s="196">
        <f t="shared" si="8"/>
        <v>25.9</v>
      </c>
      <c r="H551" s="196">
        <v>301</v>
      </c>
      <c r="I551" s="196" t="s">
        <v>1731</v>
      </c>
      <c r="J551" s="196"/>
    </row>
    <row r="552" spans="1:10" ht="14.4" hidden="1" outlineLevel="1">
      <c r="A552" s="196" t="s">
        <v>351</v>
      </c>
      <c r="B552" s="197">
        <v>41135</v>
      </c>
      <c r="C552" s="196" t="s">
        <v>1727</v>
      </c>
      <c r="D552" s="196">
        <v>53.9</v>
      </c>
      <c r="E552" s="196" t="s">
        <v>1728</v>
      </c>
      <c r="F552" s="196">
        <v>53</v>
      </c>
      <c r="G552" s="196">
        <f t="shared" si="8"/>
        <v>26.5</v>
      </c>
      <c r="H552" s="196">
        <v>8080</v>
      </c>
      <c r="I552" s="196" t="s">
        <v>1729</v>
      </c>
      <c r="J552" s="196"/>
    </row>
    <row r="553" spans="1:10" ht="14.4" hidden="1" outlineLevel="1">
      <c r="A553" s="196" t="s">
        <v>351</v>
      </c>
      <c r="B553" s="197">
        <v>41136</v>
      </c>
      <c r="C553" s="196" t="s">
        <v>1721</v>
      </c>
      <c r="D553" s="196">
        <v>54</v>
      </c>
      <c r="E553" s="196" t="s">
        <v>1722</v>
      </c>
      <c r="F553" s="196">
        <v>54</v>
      </c>
      <c r="G553" s="196">
        <f t="shared" si="8"/>
        <v>27</v>
      </c>
      <c r="H553" s="196">
        <v>11860</v>
      </c>
      <c r="I553" s="196" t="s">
        <v>1726</v>
      </c>
      <c r="J553" s="196"/>
    </row>
    <row r="554" spans="1:10" ht="14.4" hidden="1" outlineLevel="1">
      <c r="A554" s="196" t="s">
        <v>351</v>
      </c>
      <c r="B554" s="197">
        <v>41137</v>
      </c>
      <c r="C554" s="196" t="s">
        <v>1724</v>
      </c>
      <c r="D554" s="196">
        <v>54.1</v>
      </c>
      <c r="E554" s="196" t="s">
        <v>1721</v>
      </c>
      <c r="F554" s="196">
        <v>54</v>
      </c>
      <c r="G554" s="196">
        <f t="shared" si="8"/>
        <v>27</v>
      </c>
      <c r="H554" s="196">
        <v>8244</v>
      </c>
      <c r="I554" s="196" t="s">
        <v>1725</v>
      </c>
      <c r="J554" s="196"/>
    </row>
    <row r="555" spans="1:10" ht="14.4" hidden="1" outlineLevel="1">
      <c r="A555" s="196" t="s">
        <v>351</v>
      </c>
      <c r="B555" s="197">
        <v>41138</v>
      </c>
      <c r="C555" s="196" t="s">
        <v>1721</v>
      </c>
      <c r="D555" s="196">
        <v>55.1</v>
      </c>
      <c r="E555" s="196" t="s">
        <v>1722</v>
      </c>
      <c r="F555" s="196">
        <v>54.9</v>
      </c>
      <c r="G555" s="196">
        <f t="shared" si="8"/>
        <v>27.45</v>
      </c>
      <c r="H555" s="196">
        <v>11795</v>
      </c>
      <c r="I555" s="196" t="s">
        <v>1723</v>
      </c>
      <c r="J555" s="196"/>
    </row>
    <row r="556" spans="1:10" ht="14.4" hidden="1" outlineLevel="1">
      <c r="A556" s="196" t="s">
        <v>351</v>
      </c>
      <c r="B556" s="197">
        <v>41141</v>
      </c>
      <c r="C556" s="196" t="s">
        <v>1719</v>
      </c>
      <c r="D556" s="196">
        <v>56.6</v>
      </c>
      <c r="E556" s="196" t="s">
        <v>1719</v>
      </c>
      <c r="F556" s="196">
        <v>56</v>
      </c>
      <c r="G556" s="196">
        <f t="shared" si="8"/>
        <v>28</v>
      </c>
      <c r="H556" s="196">
        <v>15201</v>
      </c>
      <c r="I556" s="196" t="s">
        <v>1720</v>
      </c>
      <c r="J556" s="196"/>
    </row>
    <row r="557" spans="1:10" ht="14.4" hidden="1" outlineLevel="1">
      <c r="A557" s="196" t="s">
        <v>351</v>
      </c>
      <c r="B557" s="197">
        <v>41142</v>
      </c>
      <c r="C557" s="196" t="s">
        <v>484</v>
      </c>
      <c r="D557" s="196">
        <v>57.6</v>
      </c>
      <c r="E557" s="196" t="s">
        <v>484</v>
      </c>
      <c r="F557" s="196">
        <v>57</v>
      </c>
      <c r="G557" s="196">
        <f t="shared" si="8"/>
        <v>28.5</v>
      </c>
      <c r="H557" s="196">
        <v>12228</v>
      </c>
      <c r="I557" s="196" t="s">
        <v>1718</v>
      </c>
      <c r="J557" s="196"/>
    </row>
    <row r="558" spans="1:10" ht="14.4" hidden="1" outlineLevel="1">
      <c r="A558" s="196" t="s">
        <v>351</v>
      </c>
      <c r="B558" s="197">
        <v>41143</v>
      </c>
      <c r="C558" s="196" t="s">
        <v>1715</v>
      </c>
      <c r="D558" s="196">
        <v>58.6</v>
      </c>
      <c r="E558" s="196" t="s">
        <v>1716</v>
      </c>
      <c r="F558" s="196">
        <v>58</v>
      </c>
      <c r="G558" s="196">
        <f t="shared" si="8"/>
        <v>29</v>
      </c>
      <c r="H558" s="196">
        <v>195822</v>
      </c>
      <c r="I558" s="196" t="s">
        <v>1717</v>
      </c>
      <c r="J558" s="196"/>
    </row>
    <row r="559" spans="1:10" ht="14.4" hidden="1" outlineLevel="1">
      <c r="A559" s="196" t="s">
        <v>351</v>
      </c>
      <c r="B559" s="197">
        <v>41144</v>
      </c>
      <c r="C559" s="196" t="s">
        <v>468</v>
      </c>
      <c r="D559" s="196">
        <v>58.8</v>
      </c>
      <c r="E559" s="196" t="s">
        <v>469</v>
      </c>
      <c r="F559" s="196">
        <v>58</v>
      </c>
      <c r="G559" s="196">
        <f t="shared" si="8"/>
        <v>29</v>
      </c>
      <c r="H559" s="196">
        <v>40940</v>
      </c>
      <c r="I559" s="196" t="s">
        <v>1714</v>
      </c>
      <c r="J559" s="196"/>
    </row>
    <row r="560" spans="1:10" ht="14.4" hidden="1" outlineLevel="1">
      <c r="A560" s="196" t="s">
        <v>351</v>
      </c>
      <c r="B560" s="197">
        <v>41145</v>
      </c>
      <c r="C560" s="196" t="s">
        <v>1712</v>
      </c>
      <c r="D560" s="196">
        <v>58.5</v>
      </c>
      <c r="E560" s="196" t="s">
        <v>1712</v>
      </c>
      <c r="F560" s="196">
        <v>57.5</v>
      </c>
      <c r="G560" s="196">
        <f t="shared" si="8"/>
        <v>28.75</v>
      </c>
      <c r="H560" s="196">
        <v>25540</v>
      </c>
      <c r="I560" s="196" t="s">
        <v>1713</v>
      </c>
      <c r="J560" s="196"/>
    </row>
    <row r="561" spans="1:10" ht="14.4" hidden="1" outlineLevel="1">
      <c r="A561" s="196" t="s">
        <v>351</v>
      </c>
      <c r="B561" s="197">
        <v>41148</v>
      </c>
      <c r="C561" s="196" t="s">
        <v>468</v>
      </c>
      <c r="D561" s="196">
        <v>59.3</v>
      </c>
      <c r="E561" s="196" t="s">
        <v>468</v>
      </c>
      <c r="F561" s="196">
        <v>58.8</v>
      </c>
      <c r="G561" s="196">
        <f t="shared" si="8"/>
        <v>29.4</v>
      </c>
      <c r="H561" s="196">
        <v>83114</v>
      </c>
      <c r="I561" s="196" t="s">
        <v>1711</v>
      </c>
      <c r="J561" s="196"/>
    </row>
    <row r="562" spans="1:10" ht="14.4" hidden="1" outlineLevel="1">
      <c r="A562" s="196" t="s">
        <v>351</v>
      </c>
      <c r="B562" s="197">
        <v>41149</v>
      </c>
      <c r="C562" s="196" t="s">
        <v>1709</v>
      </c>
      <c r="D562" s="196">
        <v>62.8</v>
      </c>
      <c r="E562" s="196" t="s">
        <v>1709</v>
      </c>
      <c r="F562" s="196">
        <v>61</v>
      </c>
      <c r="G562" s="196">
        <f t="shared" si="8"/>
        <v>30.5</v>
      </c>
      <c r="H562" s="196">
        <v>370630</v>
      </c>
      <c r="I562" s="196" t="s">
        <v>1710</v>
      </c>
      <c r="J562" s="196"/>
    </row>
    <row r="563" spans="1:10" ht="14.4" hidden="1" outlineLevel="1">
      <c r="A563" s="196" t="s">
        <v>351</v>
      </c>
      <c r="B563" s="197">
        <v>41150</v>
      </c>
      <c r="C563" s="196" t="s">
        <v>1315</v>
      </c>
      <c r="D563" s="196">
        <v>61</v>
      </c>
      <c r="E563" s="196" t="s">
        <v>1351</v>
      </c>
      <c r="F563" s="196">
        <v>60.7</v>
      </c>
      <c r="G563" s="196">
        <f t="shared" si="8"/>
        <v>30.35</v>
      </c>
      <c r="H563" s="196">
        <v>71322</v>
      </c>
      <c r="I563" s="196" t="s">
        <v>1708</v>
      </c>
      <c r="J563" s="196"/>
    </row>
    <row r="564" spans="1:10" ht="14.4" hidden="1" outlineLevel="1">
      <c r="A564" s="196" t="s">
        <v>351</v>
      </c>
      <c r="B564" s="197">
        <v>41151</v>
      </c>
      <c r="C564" s="196" t="s">
        <v>1351</v>
      </c>
      <c r="D564" s="196">
        <v>61</v>
      </c>
      <c r="E564" s="196" t="s">
        <v>1351</v>
      </c>
      <c r="F564" s="196">
        <v>60.7</v>
      </c>
      <c r="G564" s="196">
        <f t="shared" si="8"/>
        <v>30.35</v>
      </c>
      <c r="H564" s="196">
        <v>63513</v>
      </c>
      <c r="I564" s="196" t="s">
        <v>1707</v>
      </c>
      <c r="J564" s="196"/>
    </row>
    <row r="565" spans="1:10" ht="14.4" hidden="1" outlineLevel="1">
      <c r="A565" s="196" t="s">
        <v>351</v>
      </c>
      <c r="B565" s="197">
        <v>41155</v>
      </c>
      <c r="C565" s="196" t="s">
        <v>1417</v>
      </c>
      <c r="D565" s="196">
        <v>63.8</v>
      </c>
      <c r="E565" s="196" t="s">
        <v>1310</v>
      </c>
      <c r="F565" s="196">
        <v>63.2</v>
      </c>
      <c r="G565" s="196">
        <f t="shared" si="8"/>
        <v>31.6</v>
      </c>
      <c r="H565" s="196">
        <v>8528</v>
      </c>
      <c r="I565" s="196" t="s">
        <v>1706</v>
      </c>
      <c r="J565" s="196"/>
    </row>
    <row r="566" spans="1:10" ht="14.4" hidden="1" outlineLevel="1">
      <c r="A566" s="196" t="s">
        <v>351</v>
      </c>
      <c r="B566" s="197">
        <v>41156</v>
      </c>
      <c r="C566" s="196" t="s">
        <v>1295</v>
      </c>
      <c r="D566" s="196">
        <v>64.5</v>
      </c>
      <c r="E566" s="196" t="s">
        <v>1343</v>
      </c>
      <c r="F566" s="196">
        <v>63</v>
      </c>
      <c r="G566" s="196">
        <f t="shared" si="8"/>
        <v>31.5</v>
      </c>
      <c r="H566" s="196">
        <v>18872</v>
      </c>
      <c r="I566" s="196" t="s">
        <v>1705</v>
      </c>
      <c r="J566" s="196"/>
    </row>
    <row r="567" spans="1:10" s="192" customFormat="1" ht="14.4" hidden="1" outlineLevel="1">
      <c r="A567" s="196" t="s">
        <v>351</v>
      </c>
      <c r="B567" s="197">
        <v>41157</v>
      </c>
      <c r="C567" s="196" t="s">
        <v>1302</v>
      </c>
      <c r="D567" s="196">
        <v>63</v>
      </c>
      <c r="E567" s="196" t="s">
        <v>1310</v>
      </c>
      <c r="F567" s="196">
        <v>63</v>
      </c>
      <c r="G567" s="196">
        <f t="shared" si="8"/>
        <v>31.5</v>
      </c>
      <c r="H567" s="196">
        <v>240210</v>
      </c>
      <c r="I567" s="196" t="s">
        <v>1704</v>
      </c>
      <c r="J567" s="196"/>
    </row>
    <row r="568" spans="1:10" ht="14.4" hidden="1" outlineLevel="1">
      <c r="A568" s="196" t="s">
        <v>351</v>
      </c>
      <c r="B568" s="197">
        <v>41158</v>
      </c>
      <c r="C568" s="196" t="s">
        <v>1343</v>
      </c>
      <c r="D568" s="196">
        <v>64</v>
      </c>
      <c r="E568" s="196" t="s">
        <v>1310</v>
      </c>
      <c r="F568" s="196">
        <v>63.8</v>
      </c>
      <c r="G568" s="196">
        <f t="shared" si="8"/>
        <v>31.9</v>
      </c>
      <c r="H568" s="196">
        <v>79278</v>
      </c>
      <c r="I568" s="196" t="s">
        <v>1703</v>
      </c>
      <c r="J568" s="196"/>
    </row>
    <row r="569" spans="1:10" ht="14.4" hidden="1" outlineLevel="1">
      <c r="A569" s="196" t="s">
        <v>351</v>
      </c>
      <c r="B569" s="197">
        <v>41159</v>
      </c>
      <c r="C569" s="196" t="s">
        <v>1244</v>
      </c>
      <c r="D569" s="196">
        <v>64.7</v>
      </c>
      <c r="E569" s="196" t="s">
        <v>1253</v>
      </c>
      <c r="F569" s="196">
        <v>64.2</v>
      </c>
      <c r="G569" s="196">
        <f t="shared" si="8"/>
        <v>32.1</v>
      </c>
      <c r="H569" s="196">
        <v>5897</v>
      </c>
      <c r="I569" s="196" t="s">
        <v>1702</v>
      </c>
      <c r="J569" s="196"/>
    </row>
    <row r="570" spans="1:10" ht="14.4" hidden="1" outlineLevel="1">
      <c r="A570" s="196" t="s">
        <v>351</v>
      </c>
      <c r="B570" s="197">
        <v>41162</v>
      </c>
      <c r="C570" s="196" t="s">
        <v>1287</v>
      </c>
      <c r="D570" s="196">
        <v>67</v>
      </c>
      <c r="E570" s="196" t="s">
        <v>1287</v>
      </c>
      <c r="F570" s="196">
        <v>66.7</v>
      </c>
      <c r="G570" s="196">
        <f t="shared" si="8"/>
        <v>33.35</v>
      </c>
      <c r="H570" s="196">
        <v>31032</v>
      </c>
      <c r="I570" s="196" t="s">
        <v>1701</v>
      </c>
      <c r="J570" s="196"/>
    </row>
    <row r="571" spans="1:10" ht="14.4" hidden="1" outlineLevel="1">
      <c r="A571" s="196" t="s">
        <v>351</v>
      </c>
      <c r="B571" s="197">
        <v>41163</v>
      </c>
      <c r="C571" s="196" t="s">
        <v>1222</v>
      </c>
      <c r="D571" s="196">
        <v>72</v>
      </c>
      <c r="E571" s="196" t="s">
        <v>1222</v>
      </c>
      <c r="F571" s="196">
        <v>68.099999999999994</v>
      </c>
      <c r="G571" s="196">
        <f t="shared" si="8"/>
        <v>34.049999999999997</v>
      </c>
      <c r="H571" s="196">
        <v>25352</v>
      </c>
      <c r="I571" s="196" t="s">
        <v>1700</v>
      </c>
      <c r="J571" s="196"/>
    </row>
    <row r="572" spans="1:10" ht="14.4" hidden="1" outlineLevel="1">
      <c r="A572" s="196" t="s">
        <v>351</v>
      </c>
      <c r="B572" s="197">
        <v>41164</v>
      </c>
      <c r="C572" s="196" t="s">
        <v>1498</v>
      </c>
      <c r="D572" s="196">
        <v>68.900000000000006</v>
      </c>
      <c r="E572" s="196" t="s">
        <v>1242</v>
      </c>
      <c r="F572" s="196">
        <v>65</v>
      </c>
      <c r="G572" s="196">
        <f t="shared" si="8"/>
        <v>32.5</v>
      </c>
      <c r="H572" s="196">
        <v>7128</v>
      </c>
      <c r="I572" s="196" t="s">
        <v>1699</v>
      </c>
      <c r="J572" s="196"/>
    </row>
    <row r="573" spans="1:10" ht="14.4" hidden="1" outlineLevel="1">
      <c r="A573" s="196" t="s">
        <v>351</v>
      </c>
      <c r="B573" s="197">
        <v>41165</v>
      </c>
      <c r="C573" s="196" t="s">
        <v>1380</v>
      </c>
      <c r="D573" s="196">
        <v>72</v>
      </c>
      <c r="E573" s="196" t="s">
        <v>1380</v>
      </c>
      <c r="F573" s="196">
        <v>70.3</v>
      </c>
      <c r="G573" s="196">
        <f t="shared" si="8"/>
        <v>35.15</v>
      </c>
      <c r="H573" s="196">
        <v>130776</v>
      </c>
      <c r="I573" s="196" t="s">
        <v>1698</v>
      </c>
      <c r="J573" s="196"/>
    </row>
    <row r="574" spans="1:10" ht="14.4" hidden="1" outlineLevel="1">
      <c r="A574" s="196" t="s">
        <v>351</v>
      </c>
      <c r="B574" s="197">
        <v>41166</v>
      </c>
      <c r="C574" s="196" t="s">
        <v>1161</v>
      </c>
      <c r="D574" s="196">
        <v>73</v>
      </c>
      <c r="E574" s="196" t="s">
        <v>1224</v>
      </c>
      <c r="F574" s="196">
        <v>72.900000000000006</v>
      </c>
      <c r="G574" s="196">
        <f t="shared" si="8"/>
        <v>36.450000000000003</v>
      </c>
      <c r="H574" s="196">
        <v>207453</v>
      </c>
      <c r="I574" s="196" t="s">
        <v>1697</v>
      </c>
      <c r="J574" s="196"/>
    </row>
    <row r="575" spans="1:10" ht="14.4" hidden="1" outlineLevel="1">
      <c r="A575" s="196" t="s">
        <v>351</v>
      </c>
      <c r="B575" s="197">
        <v>41169</v>
      </c>
      <c r="C575" s="196" t="s">
        <v>1376</v>
      </c>
      <c r="D575" s="196">
        <v>75</v>
      </c>
      <c r="E575" s="196" t="s">
        <v>1127</v>
      </c>
      <c r="F575" s="196">
        <v>74.3</v>
      </c>
      <c r="G575" s="196">
        <f t="shared" si="8"/>
        <v>37.15</v>
      </c>
      <c r="H575" s="196">
        <v>69931</v>
      </c>
      <c r="I575" s="196" t="s">
        <v>1696</v>
      </c>
      <c r="J575" s="196"/>
    </row>
    <row r="576" spans="1:10" ht="14.4" hidden="1" outlineLevel="1">
      <c r="A576" s="196" t="s">
        <v>351</v>
      </c>
      <c r="B576" s="197">
        <v>41170</v>
      </c>
      <c r="C576" s="196" t="s">
        <v>1119</v>
      </c>
      <c r="D576" s="196">
        <v>74</v>
      </c>
      <c r="E576" s="196" t="s">
        <v>1183</v>
      </c>
      <c r="F576" s="196">
        <v>73.099999999999994</v>
      </c>
      <c r="G576" s="196">
        <f t="shared" si="8"/>
        <v>36.549999999999997</v>
      </c>
      <c r="H576" s="196">
        <v>65320</v>
      </c>
      <c r="I576" s="196" t="s">
        <v>1695</v>
      </c>
      <c r="J576" s="196"/>
    </row>
    <row r="577" spans="1:10" ht="14.4" hidden="1" outlineLevel="1">
      <c r="A577" s="196" t="s">
        <v>351</v>
      </c>
      <c r="B577" s="197">
        <v>41171</v>
      </c>
      <c r="C577" s="196" t="s">
        <v>1161</v>
      </c>
      <c r="D577" s="196">
        <v>73.5</v>
      </c>
      <c r="E577" s="196" t="s">
        <v>1161</v>
      </c>
      <c r="F577" s="196">
        <v>71.099999999999994</v>
      </c>
      <c r="G577" s="196">
        <f t="shared" si="8"/>
        <v>35.549999999999997</v>
      </c>
      <c r="H577" s="196">
        <v>13201</v>
      </c>
      <c r="I577" s="196" t="s">
        <v>1694</v>
      </c>
      <c r="J577" s="196"/>
    </row>
    <row r="578" spans="1:10" ht="14.4" hidden="1" outlineLevel="1">
      <c r="A578" s="196" t="s">
        <v>351</v>
      </c>
      <c r="B578" s="197">
        <v>41172</v>
      </c>
      <c r="C578" s="196" t="s">
        <v>1161</v>
      </c>
      <c r="D578" s="196">
        <v>73.400000000000006</v>
      </c>
      <c r="E578" s="196" t="s">
        <v>1211</v>
      </c>
      <c r="F578" s="196">
        <v>70.099999999999994</v>
      </c>
      <c r="G578" s="196">
        <f t="shared" si="8"/>
        <v>35.049999999999997</v>
      </c>
      <c r="H578" s="196">
        <v>13625</v>
      </c>
      <c r="I578" s="196" t="s">
        <v>1693</v>
      </c>
      <c r="J578" s="196"/>
    </row>
    <row r="579" spans="1:10" ht="14.4" hidden="1" outlineLevel="1">
      <c r="A579" s="196" t="s">
        <v>351</v>
      </c>
      <c r="B579" s="197">
        <v>41173</v>
      </c>
      <c r="C579" s="196" t="s">
        <v>1211</v>
      </c>
      <c r="D579" s="196">
        <v>72</v>
      </c>
      <c r="E579" s="196" t="s">
        <v>1211</v>
      </c>
      <c r="F579" s="196">
        <v>70</v>
      </c>
      <c r="G579" s="196">
        <f t="shared" si="8"/>
        <v>35</v>
      </c>
      <c r="H579" s="196">
        <v>5701</v>
      </c>
      <c r="I579" s="196" t="s">
        <v>1692</v>
      </c>
      <c r="J579" s="196"/>
    </row>
    <row r="580" spans="1:10" ht="14.4" hidden="1" outlineLevel="1">
      <c r="A580" s="196" t="s">
        <v>351</v>
      </c>
      <c r="B580" s="197">
        <v>41176</v>
      </c>
      <c r="C580" s="196" t="s">
        <v>1169</v>
      </c>
      <c r="D580" s="196">
        <v>72</v>
      </c>
      <c r="E580" s="196" t="s">
        <v>1690</v>
      </c>
      <c r="F580" s="196">
        <v>68.7</v>
      </c>
      <c r="G580" s="196">
        <f t="shared" si="8"/>
        <v>34.35</v>
      </c>
      <c r="H580" s="196">
        <v>23408</v>
      </c>
      <c r="I580" s="196" t="s">
        <v>1691</v>
      </c>
      <c r="J580" s="196"/>
    </row>
    <row r="581" spans="1:10" ht="14.4" hidden="1" outlineLevel="1">
      <c r="A581" s="196" t="s">
        <v>351</v>
      </c>
      <c r="B581" s="197">
        <v>41177</v>
      </c>
      <c r="C581" s="196" t="s">
        <v>1228</v>
      </c>
      <c r="D581" s="196">
        <v>71.5</v>
      </c>
      <c r="E581" s="196" t="s">
        <v>1228</v>
      </c>
      <c r="F581" s="196">
        <v>71.3</v>
      </c>
      <c r="G581" s="196">
        <f t="shared" ref="G581:G644" si="9">F581/2</f>
        <v>35.65</v>
      </c>
      <c r="H581" s="196">
        <v>5460</v>
      </c>
      <c r="I581" s="196" t="s">
        <v>1689</v>
      </c>
      <c r="J581" s="196"/>
    </row>
    <row r="582" spans="1:10" ht="14.4" hidden="1" outlineLevel="1">
      <c r="A582" s="196" t="s">
        <v>351</v>
      </c>
      <c r="B582" s="197">
        <v>41178</v>
      </c>
      <c r="C582" s="196" t="s">
        <v>1164</v>
      </c>
      <c r="D582" s="196">
        <v>75</v>
      </c>
      <c r="E582" s="196" t="s">
        <v>1178</v>
      </c>
      <c r="F582" s="196">
        <v>74.7</v>
      </c>
      <c r="G582" s="196">
        <f t="shared" si="9"/>
        <v>37.35</v>
      </c>
      <c r="H582" s="196">
        <v>223024</v>
      </c>
      <c r="I582" s="196" t="s">
        <v>1688</v>
      </c>
      <c r="J582" s="196"/>
    </row>
    <row r="583" spans="1:10" ht="14.4" hidden="1" outlineLevel="1">
      <c r="A583" s="196" t="s">
        <v>351</v>
      </c>
      <c r="B583" s="197">
        <v>41179</v>
      </c>
      <c r="C583" s="196" t="s">
        <v>972</v>
      </c>
      <c r="D583" s="196">
        <v>76</v>
      </c>
      <c r="E583" s="196" t="s">
        <v>1516</v>
      </c>
      <c r="F583" s="196">
        <v>75</v>
      </c>
      <c r="G583" s="196">
        <f t="shared" si="9"/>
        <v>37.5</v>
      </c>
      <c r="H583" s="196">
        <v>209308</v>
      </c>
      <c r="I583" s="196" t="s">
        <v>1687</v>
      </c>
      <c r="J583" s="196"/>
    </row>
    <row r="584" spans="1:10" ht="14.4" hidden="1" outlineLevel="1">
      <c r="A584" s="196" t="s">
        <v>351</v>
      </c>
      <c r="B584" s="197">
        <v>41180</v>
      </c>
      <c r="C584" s="196" t="s">
        <v>1201</v>
      </c>
      <c r="D584" s="196">
        <v>75</v>
      </c>
      <c r="E584" s="196" t="s">
        <v>1201</v>
      </c>
      <c r="F584" s="196">
        <v>75</v>
      </c>
      <c r="G584" s="196">
        <f t="shared" si="9"/>
        <v>37.5</v>
      </c>
      <c r="H584" s="196">
        <v>208486</v>
      </c>
      <c r="I584" s="196" t="s">
        <v>1686</v>
      </c>
      <c r="J584" s="196"/>
    </row>
    <row r="585" spans="1:10" ht="14.4" hidden="1" outlineLevel="1">
      <c r="A585" s="196" t="s">
        <v>351</v>
      </c>
      <c r="B585" s="197">
        <v>41183</v>
      </c>
      <c r="C585" s="196" t="s">
        <v>1110</v>
      </c>
      <c r="D585" s="196">
        <v>74.900000000000006</v>
      </c>
      <c r="E585" s="196" t="s">
        <v>1127</v>
      </c>
      <c r="F585" s="196">
        <v>72.099999999999994</v>
      </c>
      <c r="G585" s="196">
        <f t="shared" si="9"/>
        <v>36.049999999999997</v>
      </c>
      <c r="H585" s="196">
        <v>9700</v>
      </c>
      <c r="I585" s="196" t="s">
        <v>1685</v>
      </c>
      <c r="J585" s="196"/>
    </row>
    <row r="586" spans="1:10" ht="14.4" hidden="1" outlineLevel="1">
      <c r="A586" s="196" t="s">
        <v>351</v>
      </c>
      <c r="B586" s="197">
        <v>41184</v>
      </c>
      <c r="C586" s="196" t="s">
        <v>1187</v>
      </c>
      <c r="D586" s="196">
        <v>74.8</v>
      </c>
      <c r="E586" s="196" t="s">
        <v>1187</v>
      </c>
      <c r="F586" s="196">
        <v>74.5</v>
      </c>
      <c r="G586" s="196">
        <f t="shared" si="9"/>
        <v>37.25</v>
      </c>
      <c r="H586" s="196">
        <v>1512</v>
      </c>
      <c r="I586" s="196" t="s">
        <v>1684</v>
      </c>
      <c r="J586" s="196"/>
    </row>
    <row r="587" spans="1:10" ht="14.4" hidden="1" outlineLevel="1">
      <c r="A587" s="196" t="s">
        <v>351</v>
      </c>
      <c r="B587" s="197">
        <v>41185</v>
      </c>
      <c r="C587" s="196" t="s">
        <v>1119</v>
      </c>
      <c r="D587" s="196">
        <v>74.5</v>
      </c>
      <c r="E587" s="196" t="s">
        <v>1161</v>
      </c>
      <c r="F587" s="196">
        <v>71.3</v>
      </c>
      <c r="G587" s="196">
        <f t="shared" si="9"/>
        <v>35.65</v>
      </c>
      <c r="H587" s="196">
        <v>26231</v>
      </c>
      <c r="I587" s="196" t="s">
        <v>1683</v>
      </c>
      <c r="J587" s="196"/>
    </row>
    <row r="588" spans="1:10" ht="14.4" hidden="1" outlineLevel="1">
      <c r="A588" s="196" t="s">
        <v>351</v>
      </c>
      <c r="B588" s="197">
        <v>41186</v>
      </c>
      <c r="C588" s="196" t="s">
        <v>1160</v>
      </c>
      <c r="D588" s="196">
        <v>74</v>
      </c>
      <c r="E588" s="196" t="s">
        <v>1160</v>
      </c>
      <c r="F588" s="196">
        <v>71.5</v>
      </c>
      <c r="G588" s="196">
        <f t="shared" si="9"/>
        <v>35.75</v>
      </c>
      <c r="H588" s="196">
        <v>7209</v>
      </c>
      <c r="I588" s="196" t="s">
        <v>1682</v>
      </c>
      <c r="J588" s="196"/>
    </row>
    <row r="589" spans="1:10" ht="14.4" hidden="1" outlineLevel="1">
      <c r="A589" s="196" t="s">
        <v>351</v>
      </c>
      <c r="B589" s="197">
        <v>41187</v>
      </c>
      <c r="C589" s="196" t="s">
        <v>1160</v>
      </c>
      <c r="D589" s="196">
        <v>74</v>
      </c>
      <c r="E589" s="196" t="s">
        <v>1160</v>
      </c>
      <c r="F589" s="196">
        <v>71.5</v>
      </c>
      <c r="G589" s="196">
        <f t="shared" si="9"/>
        <v>35.75</v>
      </c>
      <c r="H589" s="196">
        <v>725</v>
      </c>
      <c r="I589" s="196" t="s">
        <v>1681</v>
      </c>
      <c r="J589" s="196"/>
    </row>
    <row r="590" spans="1:10" ht="14.4" hidden="1" outlineLevel="1">
      <c r="A590" s="196" t="s">
        <v>351</v>
      </c>
      <c r="B590" s="197">
        <v>41190</v>
      </c>
      <c r="C590" s="196" t="s">
        <v>1160</v>
      </c>
      <c r="D590" s="196">
        <v>71.5</v>
      </c>
      <c r="E590" s="196" t="s">
        <v>1160</v>
      </c>
      <c r="F590" s="196">
        <v>71.5</v>
      </c>
      <c r="G590" s="196">
        <f t="shared" si="9"/>
        <v>35.75</v>
      </c>
      <c r="H590" s="196">
        <v>90</v>
      </c>
      <c r="I590" s="196" t="s">
        <v>1680</v>
      </c>
      <c r="J590" s="196"/>
    </row>
    <row r="591" spans="1:10" ht="14.4" hidden="1" outlineLevel="1">
      <c r="A591" s="196" t="s">
        <v>351</v>
      </c>
      <c r="B591" s="197">
        <v>41191</v>
      </c>
      <c r="C591" s="196" t="s">
        <v>1678</v>
      </c>
      <c r="D591" s="196">
        <v>73.8</v>
      </c>
      <c r="E591" s="196" t="s">
        <v>1202</v>
      </c>
      <c r="F591" s="196">
        <v>71.2</v>
      </c>
      <c r="G591" s="196">
        <f t="shared" si="9"/>
        <v>35.6</v>
      </c>
      <c r="H591" s="196">
        <v>24740</v>
      </c>
      <c r="I591" s="196" t="s">
        <v>1679</v>
      </c>
      <c r="J591" s="196"/>
    </row>
    <row r="592" spans="1:10" ht="14.4" hidden="1" outlineLevel="1">
      <c r="A592" s="196" t="s">
        <v>351</v>
      </c>
      <c r="B592" s="197">
        <v>41192</v>
      </c>
      <c r="C592" s="196" t="s">
        <v>1202</v>
      </c>
      <c r="D592" s="196">
        <v>71.400000000000006</v>
      </c>
      <c r="E592" s="196" t="s">
        <v>1211</v>
      </c>
      <c r="F592" s="196">
        <v>70</v>
      </c>
      <c r="G592" s="196">
        <f t="shared" si="9"/>
        <v>35</v>
      </c>
      <c r="H592" s="196">
        <v>6803</v>
      </c>
      <c r="I592" s="196" t="s">
        <v>1677</v>
      </c>
      <c r="J592" s="196"/>
    </row>
    <row r="593" spans="1:10" ht="14.4" hidden="1" outlineLevel="1">
      <c r="A593" s="196" t="s">
        <v>351</v>
      </c>
      <c r="B593" s="197">
        <v>41193</v>
      </c>
      <c r="C593" s="196" t="s">
        <v>1211</v>
      </c>
      <c r="D593" s="196">
        <v>70.099999999999994</v>
      </c>
      <c r="E593" s="196" t="s">
        <v>1211</v>
      </c>
      <c r="F593" s="196">
        <v>70</v>
      </c>
      <c r="G593" s="196">
        <f t="shared" si="9"/>
        <v>35</v>
      </c>
      <c r="H593" s="196">
        <v>15558</v>
      </c>
      <c r="I593" s="196" t="s">
        <v>1676</v>
      </c>
      <c r="J593" s="196"/>
    </row>
    <row r="594" spans="1:10" ht="14.4" hidden="1" outlineLevel="1">
      <c r="A594" s="196" t="s">
        <v>351</v>
      </c>
      <c r="B594" s="197">
        <v>41197</v>
      </c>
      <c r="C594" s="196" t="s">
        <v>1547</v>
      </c>
      <c r="D594" s="196">
        <v>70</v>
      </c>
      <c r="E594" s="196" t="s">
        <v>1366</v>
      </c>
      <c r="F594" s="196">
        <v>69.599999999999994</v>
      </c>
      <c r="G594" s="196">
        <f t="shared" si="9"/>
        <v>34.799999999999997</v>
      </c>
      <c r="H594" s="196">
        <v>800</v>
      </c>
      <c r="I594" s="196" t="s">
        <v>1675</v>
      </c>
      <c r="J594" s="196"/>
    </row>
    <row r="595" spans="1:10" ht="14.4" hidden="1" outlineLevel="1">
      <c r="A595" s="196" t="s">
        <v>351</v>
      </c>
      <c r="B595" s="197">
        <v>41198</v>
      </c>
      <c r="C595" s="196" t="s">
        <v>1216</v>
      </c>
      <c r="D595" s="196">
        <v>71</v>
      </c>
      <c r="E595" s="196" t="s">
        <v>1220</v>
      </c>
      <c r="F595" s="196">
        <v>69</v>
      </c>
      <c r="G595" s="196">
        <f t="shared" si="9"/>
        <v>34.5</v>
      </c>
      <c r="H595" s="196">
        <v>24240</v>
      </c>
      <c r="I595" s="196" t="s">
        <v>1674</v>
      </c>
      <c r="J595" s="196"/>
    </row>
    <row r="596" spans="1:10" ht="14.4" hidden="1" outlineLevel="1">
      <c r="A596" s="196" t="s">
        <v>351</v>
      </c>
      <c r="B596" s="197">
        <v>41199</v>
      </c>
      <c r="C596" s="196" t="s">
        <v>1216</v>
      </c>
      <c r="D596" s="196">
        <v>69</v>
      </c>
      <c r="E596" s="196" t="s">
        <v>1220</v>
      </c>
      <c r="F596" s="196">
        <v>68.5</v>
      </c>
      <c r="G596" s="196">
        <f t="shared" si="9"/>
        <v>34.25</v>
      </c>
      <c r="H596" s="196">
        <v>4563</v>
      </c>
      <c r="I596" s="196" t="s">
        <v>1673</v>
      </c>
      <c r="J596" s="196"/>
    </row>
    <row r="597" spans="1:10" ht="14.4" hidden="1" outlineLevel="1">
      <c r="A597" s="196" t="s">
        <v>351</v>
      </c>
      <c r="B597" s="197">
        <v>41200</v>
      </c>
      <c r="C597" s="196" t="s">
        <v>1220</v>
      </c>
      <c r="D597" s="196">
        <v>69</v>
      </c>
      <c r="E597" s="196" t="s">
        <v>1664</v>
      </c>
      <c r="F597" s="196">
        <v>68.2</v>
      </c>
      <c r="G597" s="196">
        <f t="shared" si="9"/>
        <v>34.1</v>
      </c>
      <c r="H597" s="196">
        <v>3401</v>
      </c>
      <c r="I597" s="196" t="s">
        <v>1672</v>
      </c>
      <c r="J597" s="196"/>
    </row>
    <row r="598" spans="1:10" ht="14.4" hidden="1" outlineLevel="1">
      <c r="A598" s="196" t="s">
        <v>351</v>
      </c>
      <c r="B598" s="197">
        <v>41201</v>
      </c>
      <c r="C598" s="196" t="s">
        <v>1220</v>
      </c>
      <c r="D598" s="196">
        <v>69</v>
      </c>
      <c r="E598" s="196" t="s">
        <v>1220</v>
      </c>
      <c r="F598" s="196">
        <v>69</v>
      </c>
      <c r="G598" s="196">
        <f t="shared" si="9"/>
        <v>34.5</v>
      </c>
      <c r="H598" s="196">
        <v>550</v>
      </c>
      <c r="I598" s="196" t="s">
        <v>1671</v>
      </c>
      <c r="J598" s="196"/>
    </row>
    <row r="599" spans="1:10" ht="14.4" hidden="1" outlineLevel="1">
      <c r="A599" s="196" t="s">
        <v>351</v>
      </c>
      <c r="B599" s="197">
        <v>41204</v>
      </c>
      <c r="C599" s="196" t="s">
        <v>1669</v>
      </c>
      <c r="D599" s="196">
        <v>68.5</v>
      </c>
      <c r="E599" s="196" t="s">
        <v>1224</v>
      </c>
      <c r="F599" s="196">
        <v>68.5</v>
      </c>
      <c r="G599" s="196">
        <f t="shared" si="9"/>
        <v>34.25</v>
      </c>
      <c r="H599" s="196">
        <v>6525</v>
      </c>
      <c r="I599" s="196" t="s">
        <v>1670</v>
      </c>
      <c r="J599" s="196"/>
    </row>
    <row r="600" spans="1:10" ht="14.4" hidden="1" outlineLevel="1">
      <c r="A600" s="196" t="s">
        <v>351</v>
      </c>
      <c r="B600" s="197">
        <v>41205</v>
      </c>
      <c r="C600" s="196" t="s">
        <v>1613</v>
      </c>
      <c r="D600" s="196">
        <v>69.400000000000006</v>
      </c>
      <c r="E600" s="196" t="s">
        <v>1216</v>
      </c>
      <c r="F600" s="196">
        <v>69</v>
      </c>
      <c r="G600" s="196">
        <f t="shared" si="9"/>
        <v>34.5</v>
      </c>
      <c r="H600" s="196">
        <v>4745</v>
      </c>
      <c r="I600" s="196" t="s">
        <v>1668</v>
      </c>
      <c r="J600" s="196"/>
    </row>
    <row r="601" spans="1:10" ht="14.4" hidden="1" outlineLevel="1">
      <c r="A601" s="196" t="s">
        <v>351</v>
      </c>
      <c r="B601" s="197">
        <v>41206</v>
      </c>
      <c r="C601" s="196" t="s">
        <v>1366</v>
      </c>
      <c r="D601" s="196">
        <v>69.5</v>
      </c>
      <c r="E601" s="196" t="s">
        <v>1224</v>
      </c>
      <c r="F601" s="196">
        <v>68.3</v>
      </c>
      <c r="G601" s="196">
        <f t="shared" si="9"/>
        <v>34.15</v>
      </c>
      <c r="H601" s="196">
        <v>2717</v>
      </c>
      <c r="I601" s="196" t="s">
        <v>1667</v>
      </c>
      <c r="J601" s="196"/>
    </row>
    <row r="602" spans="1:10" ht="14.4" hidden="1" outlineLevel="1">
      <c r="A602" s="196" t="s">
        <v>351</v>
      </c>
      <c r="B602" s="197">
        <v>41207</v>
      </c>
      <c r="C602" s="196" t="s">
        <v>1216</v>
      </c>
      <c r="D602" s="196">
        <v>69</v>
      </c>
      <c r="E602" s="196" t="s">
        <v>1216</v>
      </c>
      <c r="F602" s="196">
        <v>69</v>
      </c>
      <c r="G602" s="196">
        <f t="shared" si="9"/>
        <v>34.5</v>
      </c>
      <c r="H602" s="196">
        <v>620</v>
      </c>
      <c r="I602" s="196" t="s">
        <v>1666</v>
      </c>
      <c r="J602" s="196"/>
    </row>
    <row r="603" spans="1:10" ht="14.4" hidden="1" outlineLevel="1">
      <c r="A603" s="196" t="s">
        <v>351</v>
      </c>
      <c r="B603" s="197">
        <v>41208</v>
      </c>
      <c r="C603" s="196" t="s">
        <v>1664</v>
      </c>
      <c r="D603" s="196">
        <v>68.2</v>
      </c>
      <c r="E603" s="196" t="s">
        <v>1224</v>
      </c>
      <c r="F603" s="196">
        <v>68.099999999999994</v>
      </c>
      <c r="G603" s="196">
        <f t="shared" si="9"/>
        <v>34.049999999999997</v>
      </c>
      <c r="H603" s="196">
        <v>1056</v>
      </c>
      <c r="I603" s="196" t="s">
        <v>1665</v>
      </c>
      <c r="J603" s="196"/>
    </row>
    <row r="604" spans="1:10" ht="14.4" hidden="1" outlineLevel="1">
      <c r="A604" s="196" t="s">
        <v>351</v>
      </c>
      <c r="B604" s="197">
        <v>41212</v>
      </c>
      <c r="C604" s="196" t="s">
        <v>1498</v>
      </c>
      <c r="D604" s="196">
        <v>68.099999999999994</v>
      </c>
      <c r="E604" s="196" t="s">
        <v>1224</v>
      </c>
      <c r="F604" s="196">
        <v>68</v>
      </c>
      <c r="G604" s="196">
        <f t="shared" si="9"/>
        <v>34</v>
      </c>
      <c r="H604" s="196">
        <v>2974</v>
      </c>
      <c r="I604" s="196" t="s">
        <v>1663</v>
      </c>
      <c r="J604" s="196"/>
    </row>
    <row r="605" spans="1:10" ht="14.4" hidden="1" outlineLevel="1">
      <c r="A605" s="196" t="s">
        <v>351</v>
      </c>
      <c r="B605" s="197">
        <v>41213</v>
      </c>
      <c r="C605" s="196" t="s">
        <v>1224</v>
      </c>
      <c r="D605" s="196">
        <v>68</v>
      </c>
      <c r="E605" s="196" t="s">
        <v>1224</v>
      </c>
      <c r="F605" s="196">
        <v>68</v>
      </c>
      <c r="G605" s="196">
        <f t="shared" si="9"/>
        <v>34</v>
      </c>
      <c r="H605" s="196">
        <v>1</v>
      </c>
      <c r="I605" s="196" t="s">
        <v>1662</v>
      </c>
      <c r="J605" s="196"/>
    </row>
    <row r="606" spans="1:10" ht="14.4" hidden="1" outlineLevel="1">
      <c r="A606" s="196" t="s">
        <v>351</v>
      </c>
      <c r="B606" s="197">
        <v>41214</v>
      </c>
      <c r="C606" s="196" t="s">
        <v>1225</v>
      </c>
      <c r="D606" s="196">
        <v>68.5</v>
      </c>
      <c r="E606" s="196" t="s">
        <v>1380</v>
      </c>
      <c r="F606" s="196">
        <v>66.5</v>
      </c>
      <c r="G606" s="196">
        <f t="shared" si="9"/>
        <v>33.25</v>
      </c>
      <c r="H606" s="196">
        <v>215</v>
      </c>
      <c r="I606" s="196" t="s">
        <v>1661</v>
      </c>
      <c r="J606" s="196"/>
    </row>
    <row r="607" spans="1:10" ht="14.4" hidden="1" outlineLevel="1">
      <c r="A607" s="196" t="s">
        <v>351</v>
      </c>
      <c r="B607" s="197">
        <v>41215</v>
      </c>
      <c r="C607" s="196" t="s">
        <v>1380</v>
      </c>
      <c r="D607" s="196">
        <v>66.099999999999994</v>
      </c>
      <c r="E607" s="196" t="s">
        <v>1380</v>
      </c>
      <c r="F607" s="196">
        <v>66.099999999999994</v>
      </c>
      <c r="G607" s="196">
        <f t="shared" si="9"/>
        <v>33.049999999999997</v>
      </c>
      <c r="H607" s="196">
        <v>600</v>
      </c>
      <c r="I607" s="196" t="s">
        <v>1660</v>
      </c>
      <c r="J607" s="196"/>
    </row>
    <row r="608" spans="1:10" ht="14.4" hidden="1" outlineLevel="1">
      <c r="A608" s="196" t="s">
        <v>351</v>
      </c>
      <c r="B608" s="197">
        <v>41218</v>
      </c>
      <c r="C608" s="196" t="s">
        <v>1224</v>
      </c>
      <c r="D608" s="196">
        <v>71</v>
      </c>
      <c r="E608" s="196" t="s">
        <v>1224</v>
      </c>
      <c r="F608" s="196">
        <v>68.5</v>
      </c>
      <c r="G608" s="196">
        <f t="shared" si="9"/>
        <v>34.25</v>
      </c>
      <c r="H608" s="196">
        <v>976</v>
      </c>
      <c r="I608" s="196" t="s">
        <v>1659</v>
      </c>
      <c r="J608" s="196"/>
    </row>
    <row r="609" spans="1:10" ht="14.4" hidden="1" outlineLevel="1">
      <c r="A609" s="196" t="s">
        <v>351</v>
      </c>
      <c r="B609" s="197">
        <v>41219</v>
      </c>
      <c r="C609" s="196" t="s">
        <v>1232</v>
      </c>
      <c r="D609" s="196">
        <v>67</v>
      </c>
      <c r="E609" s="196" t="s">
        <v>1232</v>
      </c>
      <c r="F609" s="196">
        <v>67</v>
      </c>
      <c r="G609" s="196">
        <f t="shared" si="9"/>
        <v>33.5</v>
      </c>
      <c r="H609" s="196">
        <v>308</v>
      </c>
      <c r="I609" s="196" t="s">
        <v>1658</v>
      </c>
      <c r="J609" s="196"/>
    </row>
    <row r="610" spans="1:10" ht="14.4" hidden="1" outlineLevel="1">
      <c r="A610" s="196" t="s">
        <v>351</v>
      </c>
      <c r="B610" s="197">
        <v>41220</v>
      </c>
      <c r="C610" s="196" t="s">
        <v>1385</v>
      </c>
      <c r="D610" s="196">
        <v>70</v>
      </c>
      <c r="E610" s="196" t="s">
        <v>1385</v>
      </c>
      <c r="F610" s="196">
        <v>69.5</v>
      </c>
      <c r="G610" s="196">
        <f t="shared" si="9"/>
        <v>34.75</v>
      </c>
      <c r="H610" s="196">
        <v>2330</v>
      </c>
      <c r="I610" s="196" t="s">
        <v>1657</v>
      </c>
      <c r="J610" s="196"/>
    </row>
    <row r="611" spans="1:10" ht="14.4" hidden="1" outlineLevel="1">
      <c r="A611" s="196" t="s">
        <v>351</v>
      </c>
      <c r="B611" s="197">
        <v>41221</v>
      </c>
      <c r="C611" s="196" t="s">
        <v>1229</v>
      </c>
      <c r="D611" s="196">
        <v>69</v>
      </c>
      <c r="E611" s="196" t="s">
        <v>1385</v>
      </c>
      <c r="F611" s="196">
        <v>68.7</v>
      </c>
      <c r="G611" s="196">
        <f t="shared" si="9"/>
        <v>34.35</v>
      </c>
      <c r="H611" s="196">
        <v>3041</v>
      </c>
      <c r="I611" s="196" t="s">
        <v>1656</v>
      </c>
      <c r="J611" s="196"/>
    </row>
    <row r="612" spans="1:10" ht="14.4" hidden="1" outlineLevel="1">
      <c r="A612" s="196" t="s">
        <v>351</v>
      </c>
      <c r="B612" s="197">
        <v>41222</v>
      </c>
      <c r="C612" s="196" t="s">
        <v>1220</v>
      </c>
      <c r="D612" s="196">
        <v>68.5</v>
      </c>
      <c r="E612" s="196" t="s">
        <v>1385</v>
      </c>
      <c r="F612" s="196">
        <v>66.599999999999994</v>
      </c>
      <c r="G612" s="196">
        <f t="shared" si="9"/>
        <v>33.299999999999997</v>
      </c>
      <c r="H612" s="196">
        <v>1201</v>
      </c>
      <c r="I612" s="196" t="s">
        <v>1655</v>
      </c>
      <c r="J612" s="196"/>
    </row>
    <row r="613" spans="1:10" ht="14.4" hidden="1" outlineLevel="1">
      <c r="A613" s="196" t="s">
        <v>351</v>
      </c>
      <c r="B613" s="197">
        <v>41225</v>
      </c>
      <c r="C613" s="196" t="s">
        <v>1214</v>
      </c>
      <c r="D613" s="196">
        <v>69.900000000000006</v>
      </c>
      <c r="E613" s="196" t="s">
        <v>1214</v>
      </c>
      <c r="F613" s="196">
        <v>69.900000000000006</v>
      </c>
      <c r="G613" s="196">
        <f t="shared" si="9"/>
        <v>34.950000000000003</v>
      </c>
      <c r="H613" s="196">
        <v>200</v>
      </c>
      <c r="I613" s="196" t="s">
        <v>1654</v>
      </c>
      <c r="J613" s="196"/>
    </row>
    <row r="614" spans="1:10" ht="14.4" hidden="1" outlineLevel="1">
      <c r="A614" s="196" t="s">
        <v>351</v>
      </c>
      <c r="B614" s="197">
        <v>41228</v>
      </c>
      <c r="C614" s="196" t="s">
        <v>1652</v>
      </c>
      <c r="D614" s="196">
        <v>68</v>
      </c>
      <c r="E614" s="196" t="s">
        <v>1652</v>
      </c>
      <c r="F614" s="196">
        <v>68</v>
      </c>
      <c r="G614" s="196">
        <f t="shared" si="9"/>
        <v>34</v>
      </c>
      <c r="H614" s="196">
        <v>950</v>
      </c>
      <c r="I614" s="196" t="s">
        <v>1653</v>
      </c>
      <c r="J614" s="196"/>
    </row>
    <row r="615" spans="1:10" ht="14.4" hidden="1" outlineLevel="1">
      <c r="A615" s="196" t="s">
        <v>351</v>
      </c>
      <c r="B615" s="197">
        <v>41229</v>
      </c>
      <c r="C615" s="196" t="s">
        <v>1224</v>
      </c>
      <c r="D615" s="196">
        <v>68</v>
      </c>
      <c r="E615" s="196" t="s">
        <v>1224</v>
      </c>
      <c r="F615" s="196">
        <v>68</v>
      </c>
      <c r="G615" s="196">
        <f t="shared" si="9"/>
        <v>34</v>
      </c>
      <c r="H615" s="196">
        <v>2050</v>
      </c>
      <c r="I615" s="196" t="s">
        <v>1651</v>
      </c>
      <c r="J615" s="196"/>
    </row>
    <row r="616" spans="1:10" ht="14.4" hidden="1" outlineLevel="1">
      <c r="A616" s="196" t="s">
        <v>351</v>
      </c>
      <c r="B616" s="197">
        <v>41232</v>
      </c>
      <c r="C616" s="196" t="s">
        <v>1415</v>
      </c>
      <c r="D616" s="196">
        <v>66.900000000000006</v>
      </c>
      <c r="E616" s="196" t="s">
        <v>1237</v>
      </c>
      <c r="F616" s="196">
        <v>66</v>
      </c>
      <c r="G616" s="196">
        <f t="shared" si="9"/>
        <v>33</v>
      </c>
      <c r="H616" s="196">
        <v>1410</v>
      </c>
      <c r="I616" s="196" t="s">
        <v>1650</v>
      </c>
      <c r="J616" s="196"/>
    </row>
    <row r="617" spans="1:10" ht="14.4" hidden="1" outlineLevel="1">
      <c r="A617" s="196" t="s">
        <v>351</v>
      </c>
      <c r="B617" s="197">
        <v>41233</v>
      </c>
      <c r="C617" s="196" t="s">
        <v>1237</v>
      </c>
      <c r="D617" s="196">
        <v>66.099999999999994</v>
      </c>
      <c r="E617" s="196" t="s">
        <v>1240</v>
      </c>
      <c r="F617" s="196">
        <v>65.8</v>
      </c>
      <c r="G617" s="196">
        <f t="shared" si="9"/>
        <v>32.9</v>
      </c>
      <c r="H617" s="196">
        <v>2754</v>
      </c>
      <c r="I617" s="196" t="s">
        <v>1649</v>
      </c>
      <c r="J617" s="196"/>
    </row>
    <row r="618" spans="1:10" ht="14.4" hidden="1" outlineLevel="1">
      <c r="A618" s="196" t="s">
        <v>351</v>
      </c>
      <c r="B618" s="197">
        <v>41234</v>
      </c>
      <c r="C618" s="196" t="s">
        <v>1280</v>
      </c>
      <c r="D618" s="196">
        <v>65.7</v>
      </c>
      <c r="E618" s="196" t="s">
        <v>1242</v>
      </c>
      <c r="F618" s="196">
        <v>65.2</v>
      </c>
      <c r="G618" s="196">
        <f t="shared" si="9"/>
        <v>32.6</v>
      </c>
      <c r="H618" s="196">
        <v>16025</v>
      </c>
      <c r="I618" s="196" t="s">
        <v>1648</v>
      </c>
      <c r="J618" s="196"/>
    </row>
    <row r="619" spans="1:10" ht="14.4" hidden="1" outlineLevel="1">
      <c r="A619" s="196" t="s">
        <v>351</v>
      </c>
      <c r="B619" s="197">
        <v>41235</v>
      </c>
      <c r="C619" s="196" t="s">
        <v>1240</v>
      </c>
      <c r="D619" s="196">
        <v>66.8</v>
      </c>
      <c r="E619" s="196" t="s">
        <v>1242</v>
      </c>
      <c r="F619" s="196">
        <v>65.2</v>
      </c>
      <c r="G619" s="196">
        <f t="shared" si="9"/>
        <v>32.6</v>
      </c>
      <c r="H619" s="196">
        <v>46086</v>
      </c>
      <c r="I619" s="196" t="s">
        <v>1647</v>
      </c>
      <c r="J619" s="196"/>
    </row>
    <row r="620" spans="1:10" ht="14.4" hidden="1" outlineLevel="1">
      <c r="A620" s="196" t="s">
        <v>351</v>
      </c>
      <c r="B620" s="197">
        <v>41239</v>
      </c>
      <c r="C620" s="196" t="s">
        <v>1237</v>
      </c>
      <c r="D620" s="196">
        <v>66</v>
      </c>
      <c r="E620" s="196" t="s">
        <v>1362</v>
      </c>
      <c r="F620" s="196">
        <v>65.099999999999994</v>
      </c>
      <c r="G620" s="196">
        <f t="shared" si="9"/>
        <v>32.549999999999997</v>
      </c>
      <c r="H620" s="196">
        <v>2100</v>
      </c>
      <c r="I620" s="196" t="s">
        <v>1646</v>
      </c>
      <c r="J620" s="196"/>
    </row>
    <row r="621" spans="1:10" ht="14.4" hidden="1" outlineLevel="1">
      <c r="A621" s="196" t="s">
        <v>351</v>
      </c>
      <c r="B621" s="197">
        <v>41241</v>
      </c>
      <c r="C621" s="196" t="s">
        <v>1362</v>
      </c>
      <c r="D621" s="196">
        <v>65.099999999999994</v>
      </c>
      <c r="E621" s="196" t="s">
        <v>1242</v>
      </c>
      <c r="F621" s="196">
        <v>65</v>
      </c>
      <c r="G621" s="196">
        <f t="shared" si="9"/>
        <v>32.5</v>
      </c>
      <c r="H621" s="196">
        <v>4060</v>
      </c>
      <c r="I621" s="196" t="s">
        <v>1645</v>
      </c>
      <c r="J621" s="196"/>
    </row>
    <row r="622" spans="1:10" ht="14.4" hidden="1" outlineLevel="1">
      <c r="A622" s="196" t="s">
        <v>351</v>
      </c>
      <c r="B622" s="197">
        <v>41242</v>
      </c>
      <c r="C622" s="196" t="s">
        <v>1298</v>
      </c>
      <c r="D622" s="196">
        <v>65</v>
      </c>
      <c r="E622" s="196" t="s">
        <v>1343</v>
      </c>
      <c r="F622" s="196">
        <v>65</v>
      </c>
      <c r="G622" s="196">
        <f t="shared" si="9"/>
        <v>32.5</v>
      </c>
      <c r="H622" s="196">
        <v>22020</v>
      </c>
      <c r="I622" s="196" t="s">
        <v>1644</v>
      </c>
      <c r="J622" s="196"/>
    </row>
    <row r="623" spans="1:10" ht="14.4" hidden="1" outlineLevel="1">
      <c r="A623" s="196" t="s">
        <v>351</v>
      </c>
      <c r="B623" s="197">
        <v>41243</v>
      </c>
      <c r="C623" s="196" t="s">
        <v>1237</v>
      </c>
      <c r="D623" s="196">
        <v>66</v>
      </c>
      <c r="E623" s="196" t="s">
        <v>1240</v>
      </c>
      <c r="F623" s="196">
        <v>66</v>
      </c>
      <c r="G623" s="196">
        <f t="shared" si="9"/>
        <v>33</v>
      </c>
      <c r="H623" s="196">
        <v>602</v>
      </c>
      <c r="I623" s="196" t="s">
        <v>1643</v>
      </c>
      <c r="J623" s="196"/>
    </row>
    <row r="624" spans="1:10" ht="14.4" hidden="1" outlineLevel="1">
      <c r="A624" s="196" t="s">
        <v>351</v>
      </c>
      <c r="B624" s="197">
        <v>41246</v>
      </c>
      <c r="C624" s="196" t="s">
        <v>1237</v>
      </c>
      <c r="D624" s="196">
        <v>66</v>
      </c>
      <c r="E624" s="196" t="s">
        <v>1242</v>
      </c>
      <c r="F624" s="196">
        <v>65.2</v>
      </c>
      <c r="G624" s="196">
        <f t="shared" si="9"/>
        <v>32.6</v>
      </c>
      <c r="H624" s="196">
        <v>500</v>
      </c>
      <c r="I624" s="196" t="s">
        <v>1642</v>
      </c>
      <c r="J624" s="196"/>
    </row>
    <row r="625" spans="1:10" ht="14.4" hidden="1" outlineLevel="1">
      <c r="A625" s="196" t="s">
        <v>351</v>
      </c>
      <c r="B625" s="197">
        <v>41248</v>
      </c>
      <c r="C625" s="196" t="s">
        <v>1423</v>
      </c>
      <c r="D625" s="196">
        <v>65.2</v>
      </c>
      <c r="E625" s="196" t="s">
        <v>1242</v>
      </c>
      <c r="F625" s="196">
        <v>65</v>
      </c>
      <c r="G625" s="196">
        <f t="shared" si="9"/>
        <v>32.5</v>
      </c>
      <c r="H625" s="196">
        <v>189040</v>
      </c>
      <c r="I625" s="196" t="s">
        <v>1641</v>
      </c>
      <c r="J625" s="196"/>
    </row>
    <row r="626" spans="1:10" ht="14.4" hidden="1" outlineLevel="1">
      <c r="A626" s="196" t="s">
        <v>351</v>
      </c>
      <c r="B626" s="197">
        <v>41249</v>
      </c>
      <c r="C626" s="196" t="s">
        <v>1240</v>
      </c>
      <c r="D626" s="196">
        <v>65.5</v>
      </c>
      <c r="E626" s="196" t="s">
        <v>1242</v>
      </c>
      <c r="F626" s="196">
        <v>65.3</v>
      </c>
      <c r="G626" s="196">
        <f t="shared" si="9"/>
        <v>32.65</v>
      </c>
      <c r="H626" s="196">
        <v>20</v>
      </c>
      <c r="I626" s="196" t="s">
        <v>1640</v>
      </c>
      <c r="J626" s="196"/>
    </row>
    <row r="627" spans="1:10" ht="14.4" hidden="1" outlineLevel="1">
      <c r="A627" s="196" t="s">
        <v>351</v>
      </c>
      <c r="B627" s="197">
        <v>41250</v>
      </c>
      <c r="C627" s="196" t="s">
        <v>1242</v>
      </c>
      <c r="D627" s="196">
        <v>65</v>
      </c>
      <c r="E627" s="196" t="s">
        <v>1242</v>
      </c>
      <c r="F627" s="196">
        <v>65</v>
      </c>
      <c r="G627" s="196">
        <f t="shared" si="9"/>
        <v>32.5</v>
      </c>
      <c r="H627" s="196">
        <v>6608</v>
      </c>
      <c r="I627" s="196" t="s">
        <v>1639</v>
      </c>
      <c r="J627" s="196"/>
    </row>
    <row r="628" spans="1:10" ht="14.4" hidden="1" outlineLevel="1">
      <c r="A628" s="196" t="s">
        <v>351</v>
      </c>
      <c r="B628" s="197">
        <v>41253</v>
      </c>
      <c r="C628" s="196" t="s">
        <v>1242</v>
      </c>
      <c r="D628" s="196">
        <v>65</v>
      </c>
      <c r="E628" s="196" t="s">
        <v>1242</v>
      </c>
      <c r="F628" s="196">
        <v>65</v>
      </c>
      <c r="G628" s="196">
        <f t="shared" si="9"/>
        <v>32.5</v>
      </c>
      <c r="H628" s="196">
        <v>1660</v>
      </c>
      <c r="I628" s="196" t="s">
        <v>1638</v>
      </c>
      <c r="J628" s="196"/>
    </row>
    <row r="629" spans="1:10" ht="14.4" hidden="1" outlineLevel="1">
      <c r="A629" s="196" t="s">
        <v>351</v>
      </c>
      <c r="B629" s="197">
        <v>41254</v>
      </c>
      <c r="C629" s="196" t="s">
        <v>1237</v>
      </c>
      <c r="D629" s="196">
        <v>66</v>
      </c>
      <c r="E629" s="196" t="s">
        <v>1237</v>
      </c>
      <c r="F629" s="196">
        <v>66</v>
      </c>
      <c r="G629" s="196">
        <f t="shared" si="9"/>
        <v>33</v>
      </c>
      <c r="H629" s="196">
        <v>1000</v>
      </c>
      <c r="I629" s="196" t="s">
        <v>1637</v>
      </c>
      <c r="J629" s="196"/>
    </row>
    <row r="630" spans="1:10" ht="14.4" hidden="1" outlineLevel="1">
      <c r="A630" s="196" t="s">
        <v>351</v>
      </c>
      <c r="B630" s="197">
        <v>41255</v>
      </c>
      <c r="C630" s="196" t="s">
        <v>1237</v>
      </c>
      <c r="D630" s="196">
        <v>68</v>
      </c>
      <c r="E630" s="196" t="s">
        <v>1237</v>
      </c>
      <c r="F630" s="196">
        <v>67</v>
      </c>
      <c r="G630" s="196">
        <f t="shared" si="9"/>
        <v>33.5</v>
      </c>
      <c r="H630" s="196">
        <v>5057</v>
      </c>
      <c r="I630" s="196" t="s">
        <v>1636</v>
      </c>
      <c r="J630" s="196"/>
    </row>
    <row r="631" spans="1:10" ht="14.4" hidden="1" outlineLevel="1">
      <c r="A631" s="196" t="s">
        <v>351</v>
      </c>
      <c r="B631" s="197">
        <v>41256</v>
      </c>
      <c r="C631" s="196" t="s">
        <v>1498</v>
      </c>
      <c r="D631" s="196">
        <v>68.400000000000006</v>
      </c>
      <c r="E631" s="196" t="s">
        <v>1225</v>
      </c>
      <c r="F631" s="196">
        <v>67</v>
      </c>
      <c r="G631" s="196">
        <f t="shared" si="9"/>
        <v>33.5</v>
      </c>
      <c r="H631" s="196">
        <v>2103</v>
      </c>
      <c r="I631" s="196" t="s">
        <v>1635</v>
      </c>
      <c r="J631" s="196"/>
    </row>
    <row r="632" spans="1:10" ht="14.4" hidden="1" outlineLevel="1">
      <c r="A632" s="196" t="s">
        <v>351</v>
      </c>
      <c r="B632" s="197">
        <v>41257</v>
      </c>
      <c r="C632" s="196" t="s">
        <v>1237</v>
      </c>
      <c r="D632" s="196">
        <v>67</v>
      </c>
      <c r="E632" s="196" t="s">
        <v>1242</v>
      </c>
      <c r="F632" s="196">
        <v>65.099999999999994</v>
      </c>
      <c r="G632" s="196">
        <f t="shared" si="9"/>
        <v>32.549999999999997</v>
      </c>
      <c r="H632" s="196">
        <v>2610</v>
      </c>
      <c r="I632" s="196" t="s">
        <v>1634</v>
      </c>
      <c r="J632" s="196"/>
    </row>
    <row r="633" spans="1:10" ht="14.4" hidden="1" outlineLevel="1">
      <c r="A633" s="196" t="s">
        <v>351</v>
      </c>
      <c r="B633" s="197">
        <v>41260</v>
      </c>
      <c r="C633" s="196" t="s">
        <v>1362</v>
      </c>
      <c r="D633" s="196">
        <v>65.099999999999994</v>
      </c>
      <c r="E633" s="196" t="s">
        <v>1242</v>
      </c>
      <c r="F633" s="196">
        <v>65.099999999999994</v>
      </c>
      <c r="G633" s="196">
        <f t="shared" si="9"/>
        <v>32.549999999999997</v>
      </c>
      <c r="H633" s="196">
        <v>608</v>
      </c>
      <c r="I633" s="196" t="s">
        <v>1633</v>
      </c>
      <c r="J633" s="196"/>
    </row>
    <row r="634" spans="1:10" ht="14.4" hidden="1" outlineLevel="1">
      <c r="A634" s="196" t="s">
        <v>351</v>
      </c>
      <c r="B634" s="197">
        <v>41262</v>
      </c>
      <c r="C634" s="196" t="s">
        <v>1298</v>
      </c>
      <c r="D634" s="196">
        <v>65</v>
      </c>
      <c r="E634" s="196" t="s">
        <v>1298</v>
      </c>
      <c r="F634" s="196">
        <v>65</v>
      </c>
      <c r="G634" s="196">
        <f t="shared" si="9"/>
        <v>32.5</v>
      </c>
      <c r="H634" s="196">
        <v>204</v>
      </c>
      <c r="I634" s="196" t="s">
        <v>1632</v>
      </c>
      <c r="J634" s="196"/>
    </row>
    <row r="635" spans="1:10" ht="14.4" hidden="1" outlineLevel="1">
      <c r="A635" s="196" t="s">
        <v>351</v>
      </c>
      <c r="B635" s="197">
        <v>41263</v>
      </c>
      <c r="C635" s="196" t="s">
        <v>1242</v>
      </c>
      <c r="D635" s="196">
        <v>65</v>
      </c>
      <c r="E635" s="196" t="s">
        <v>1242</v>
      </c>
      <c r="F635" s="196">
        <v>65</v>
      </c>
      <c r="G635" s="196">
        <f t="shared" si="9"/>
        <v>32.5</v>
      </c>
      <c r="H635" s="196">
        <v>800</v>
      </c>
      <c r="I635" s="196" t="s">
        <v>1631</v>
      </c>
      <c r="J635" s="196"/>
    </row>
    <row r="636" spans="1:10" ht="14.4" hidden="1" outlineLevel="1">
      <c r="A636" s="196" t="s">
        <v>351</v>
      </c>
      <c r="B636" s="197">
        <v>41264</v>
      </c>
      <c r="C636" s="196" t="s">
        <v>1242</v>
      </c>
      <c r="D636" s="196">
        <v>65</v>
      </c>
      <c r="E636" s="196" t="s">
        <v>1242</v>
      </c>
      <c r="F636" s="196">
        <v>65</v>
      </c>
      <c r="G636" s="196">
        <f t="shared" si="9"/>
        <v>32.5</v>
      </c>
      <c r="H636" s="196">
        <v>4000</v>
      </c>
      <c r="I636" s="196" t="s">
        <v>1630</v>
      </c>
      <c r="J636" s="196"/>
    </row>
    <row r="637" spans="1:10" ht="14.4" hidden="1" outlineLevel="1">
      <c r="A637" s="196" t="s">
        <v>351</v>
      </c>
      <c r="B637" s="197">
        <v>41267</v>
      </c>
      <c r="C637" s="196" t="s">
        <v>1244</v>
      </c>
      <c r="D637" s="196">
        <v>64.8</v>
      </c>
      <c r="E637" s="196" t="s">
        <v>1244</v>
      </c>
      <c r="F637" s="196">
        <v>64.599999999999994</v>
      </c>
      <c r="G637" s="196">
        <f t="shared" si="9"/>
        <v>32.299999999999997</v>
      </c>
      <c r="H637" s="196">
        <v>1200</v>
      </c>
      <c r="I637" s="196" t="s">
        <v>1629</v>
      </c>
      <c r="J637" s="196"/>
    </row>
    <row r="638" spans="1:10" ht="14.4" hidden="1" outlineLevel="1">
      <c r="A638" s="196" t="s">
        <v>351</v>
      </c>
      <c r="B638" s="197">
        <v>41269</v>
      </c>
      <c r="C638" s="196" t="s">
        <v>1573</v>
      </c>
      <c r="D638" s="196">
        <v>68</v>
      </c>
      <c r="E638" s="196" t="s">
        <v>1573</v>
      </c>
      <c r="F638" s="196">
        <v>67.5</v>
      </c>
      <c r="G638" s="196">
        <f t="shared" si="9"/>
        <v>33.75</v>
      </c>
      <c r="H638" s="196">
        <v>377</v>
      </c>
      <c r="I638" s="196" t="s">
        <v>1628</v>
      </c>
      <c r="J638" s="196"/>
    </row>
    <row r="639" spans="1:10" ht="14.4" hidden="1" outlineLevel="1">
      <c r="A639" s="196" t="s">
        <v>351</v>
      </c>
      <c r="B639" s="197">
        <v>41274</v>
      </c>
      <c r="C639" s="196" t="s">
        <v>1573</v>
      </c>
      <c r="D639" s="196">
        <v>67.400000000000006</v>
      </c>
      <c r="E639" s="196" t="s">
        <v>1573</v>
      </c>
      <c r="F639" s="196">
        <v>67.400000000000006</v>
      </c>
      <c r="G639" s="196">
        <f t="shared" si="9"/>
        <v>33.700000000000003</v>
      </c>
      <c r="H639" s="196">
        <v>5</v>
      </c>
      <c r="I639" s="196" t="s">
        <v>1627</v>
      </c>
      <c r="J639" s="196"/>
    </row>
    <row r="640" spans="1:10" ht="14.4" hidden="1" outlineLevel="1">
      <c r="A640" s="196" t="s">
        <v>351</v>
      </c>
      <c r="B640" s="197">
        <v>41276</v>
      </c>
      <c r="C640" s="196" t="s">
        <v>1225</v>
      </c>
      <c r="D640" s="196">
        <v>67.5</v>
      </c>
      <c r="E640" s="196" t="s">
        <v>1225</v>
      </c>
      <c r="F640" s="196">
        <v>67.5</v>
      </c>
      <c r="G640" s="196">
        <f t="shared" si="9"/>
        <v>33.75</v>
      </c>
      <c r="H640" s="196">
        <v>11500</v>
      </c>
      <c r="I640" s="196" t="s">
        <v>1626</v>
      </c>
      <c r="J640" s="196"/>
    </row>
    <row r="641" spans="1:10" ht="14.4" hidden="1" outlineLevel="1">
      <c r="A641" s="196" t="s">
        <v>351</v>
      </c>
      <c r="B641" s="197">
        <v>41277</v>
      </c>
      <c r="C641" s="196" t="s">
        <v>1225</v>
      </c>
      <c r="D641" s="196">
        <v>68</v>
      </c>
      <c r="E641" s="196" t="s">
        <v>1225</v>
      </c>
      <c r="F641" s="196">
        <v>67.599999999999994</v>
      </c>
      <c r="G641" s="196">
        <f t="shared" si="9"/>
        <v>33.799999999999997</v>
      </c>
      <c r="H641" s="196">
        <v>4952</v>
      </c>
      <c r="I641" s="196" t="s">
        <v>1625</v>
      </c>
      <c r="J641" s="196"/>
    </row>
    <row r="642" spans="1:10" ht="14.4" hidden="1" outlineLevel="1">
      <c r="A642" s="196" t="s">
        <v>351</v>
      </c>
      <c r="B642" s="197">
        <v>41278</v>
      </c>
      <c r="C642" s="196" t="s">
        <v>1498</v>
      </c>
      <c r="D642" s="196">
        <v>68.5</v>
      </c>
      <c r="E642" s="196" t="s">
        <v>1498</v>
      </c>
      <c r="F642" s="196">
        <v>68.2</v>
      </c>
      <c r="G642" s="196">
        <f t="shared" si="9"/>
        <v>34.1</v>
      </c>
      <c r="H642" s="196">
        <v>3200</v>
      </c>
      <c r="I642" s="196" t="s">
        <v>1624</v>
      </c>
      <c r="J642" s="196"/>
    </row>
    <row r="643" spans="1:10" ht="14.4" hidden="1" outlineLevel="1">
      <c r="A643" s="196" t="s">
        <v>351</v>
      </c>
      <c r="B643" s="197">
        <v>41281</v>
      </c>
      <c r="C643" s="196" t="s">
        <v>88</v>
      </c>
      <c r="D643" s="196" t="s">
        <v>88</v>
      </c>
      <c r="E643" s="196" t="s">
        <v>88</v>
      </c>
      <c r="F643" s="196">
        <v>68.2</v>
      </c>
      <c r="G643" s="196">
        <f t="shared" si="9"/>
        <v>34.1</v>
      </c>
      <c r="H643" s="196">
        <v>0</v>
      </c>
      <c r="I643" s="196" t="s">
        <v>611</v>
      </c>
      <c r="J643" s="196"/>
    </row>
    <row r="644" spans="1:10" ht="14.4" hidden="1" outlineLevel="1">
      <c r="A644" s="196" t="s">
        <v>351</v>
      </c>
      <c r="B644" s="197">
        <v>41282</v>
      </c>
      <c r="C644" s="196" t="s">
        <v>88</v>
      </c>
      <c r="D644" s="196" t="s">
        <v>88</v>
      </c>
      <c r="E644" s="196" t="s">
        <v>88</v>
      </c>
      <c r="F644" s="196">
        <v>68.2</v>
      </c>
      <c r="G644" s="196">
        <f t="shared" si="9"/>
        <v>34.1</v>
      </c>
      <c r="H644" s="196">
        <v>0</v>
      </c>
      <c r="I644" s="196" t="s">
        <v>611</v>
      </c>
      <c r="J644" s="196"/>
    </row>
    <row r="645" spans="1:10" ht="14.4" hidden="1" outlineLevel="1">
      <c r="A645" s="196" t="s">
        <v>351</v>
      </c>
      <c r="B645" s="197">
        <v>41283</v>
      </c>
      <c r="C645" s="196" t="s">
        <v>1385</v>
      </c>
      <c r="D645" s="196">
        <v>68</v>
      </c>
      <c r="E645" s="196" t="s">
        <v>1385</v>
      </c>
      <c r="F645" s="196">
        <v>68</v>
      </c>
      <c r="G645" s="196">
        <f t="shared" ref="G645:G708" si="10">F645/2</f>
        <v>34</v>
      </c>
      <c r="H645" s="196">
        <v>125600</v>
      </c>
      <c r="I645" s="196" t="s">
        <v>1623</v>
      </c>
      <c r="J645" s="196"/>
    </row>
    <row r="646" spans="1:10" ht="14.4" hidden="1" outlineLevel="1">
      <c r="A646" s="196" t="s">
        <v>351</v>
      </c>
      <c r="B646" s="197">
        <v>41284</v>
      </c>
      <c r="C646" s="196" t="s">
        <v>1224</v>
      </c>
      <c r="D646" s="196">
        <v>68.8</v>
      </c>
      <c r="E646" s="196" t="s">
        <v>1224</v>
      </c>
      <c r="F646" s="196">
        <v>68.5</v>
      </c>
      <c r="G646" s="196">
        <f t="shared" si="10"/>
        <v>34.25</v>
      </c>
      <c r="H646" s="196">
        <v>67265</v>
      </c>
      <c r="I646" s="196" t="s">
        <v>1622</v>
      </c>
      <c r="J646" s="196"/>
    </row>
    <row r="647" spans="1:10" ht="14.4" hidden="1" outlineLevel="1">
      <c r="A647" s="196" t="s">
        <v>351</v>
      </c>
      <c r="B647" s="197">
        <v>41285</v>
      </c>
      <c r="C647" s="196" t="s">
        <v>1463</v>
      </c>
      <c r="D647" s="196">
        <v>68.900000000000006</v>
      </c>
      <c r="E647" s="196" t="s">
        <v>1463</v>
      </c>
      <c r="F647" s="196">
        <v>68.5</v>
      </c>
      <c r="G647" s="196">
        <f t="shared" si="10"/>
        <v>34.25</v>
      </c>
      <c r="H647" s="196">
        <v>2103</v>
      </c>
      <c r="I647" s="196" t="s">
        <v>1621</v>
      </c>
      <c r="J647" s="196"/>
    </row>
    <row r="648" spans="1:10" ht="14.4" hidden="1" outlineLevel="1">
      <c r="A648" s="196" t="s">
        <v>351</v>
      </c>
      <c r="B648" s="197">
        <v>41289</v>
      </c>
      <c r="C648" s="196" t="s">
        <v>1211</v>
      </c>
      <c r="D648" s="196">
        <v>72.8</v>
      </c>
      <c r="E648" s="196" t="s">
        <v>1211</v>
      </c>
      <c r="F648" s="196">
        <v>72.599999999999994</v>
      </c>
      <c r="G648" s="196">
        <f t="shared" si="10"/>
        <v>36.299999999999997</v>
      </c>
      <c r="H648" s="196">
        <v>1655</v>
      </c>
      <c r="I648" s="196" t="s">
        <v>1620</v>
      </c>
      <c r="J648" s="196"/>
    </row>
    <row r="649" spans="1:10" ht="14.4" hidden="1" outlineLevel="1">
      <c r="A649" s="196" t="s">
        <v>351</v>
      </c>
      <c r="B649" s="197">
        <v>41290</v>
      </c>
      <c r="C649" s="196" t="s">
        <v>1127</v>
      </c>
      <c r="D649" s="196">
        <v>72</v>
      </c>
      <c r="E649" s="196" t="s">
        <v>1216</v>
      </c>
      <c r="F649" s="196">
        <v>69</v>
      </c>
      <c r="G649" s="196">
        <f t="shared" si="10"/>
        <v>34.5</v>
      </c>
      <c r="H649" s="196">
        <v>700</v>
      </c>
      <c r="I649" s="196" t="s">
        <v>1619</v>
      </c>
      <c r="J649" s="196"/>
    </row>
    <row r="650" spans="1:10" ht="14.4" hidden="1" outlineLevel="1">
      <c r="A650" s="196" t="s">
        <v>351</v>
      </c>
      <c r="B650" s="197">
        <v>41291</v>
      </c>
      <c r="C650" s="196" t="s">
        <v>1500</v>
      </c>
      <c r="D650" s="196">
        <v>71.900000000000006</v>
      </c>
      <c r="E650" s="196" t="s">
        <v>1216</v>
      </c>
      <c r="F650" s="196">
        <v>71.900000000000006</v>
      </c>
      <c r="G650" s="196">
        <f t="shared" si="10"/>
        <v>35.950000000000003</v>
      </c>
      <c r="H650" s="196">
        <v>5402</v>
      </c>
      <c r="I650" s="196" t="s">
        <v>1618</v>
      </c>
      <c r="J650" s="196"/>
    </row>
    <row r="651" spans="1:10" ht="14.4" hidden="1" outlineLevel="1">
      <c r="A651" s="196" t="s">
        <v>351</v>
      </c>
      <c r="B651" s="197">
        <v>41292</v>
      </c>
      <c r="C651" s="196" t="s">
        <v>1160</v>
      </c>
      <c r="D651" s="196">
        <v>72</v>
      </c>
      <c r="E651" s="196" t="s">
        <v>1161</v>
      </c>
      <c r="F651" s="196">
        <v>71</v>
      </c>
      <c r="G651" s="196">
        <f t="shared" si="10"/>
        <v>35.5</v>
      </c>
      <c r="H651" s="196">
        <v>68822</v>
      </c>
      <c r="I651" s="196" t="s">
        <v>1617</v>
      </c>
      <c r="J651" s="196"/>
    </row>
    <row r="652" spans="1:10" ht="14.4" hidden="1" outlineLevel="1">
      <c r="A652" s="196" t="s">
        <v>351</v>
      </c>
      <c r="B652" s="197">
        <v>41295</v>
      </c>
      <c r="C652" s="196" t="s">
        <v>1161</v>
      </c>
      <c r="D652" s="196">
        <v>71</v>
      </c>
      <c r="E652" s="196" t="s">
        <v>1169</v>
      </c>
      <c r="F652" s="196">
        <v>70.5</v>
      </c>
      <c r="G652" s="196">
        <f t="shared" si="10"/>
        <v>35.25</v>
      </c>
      <c r="H652" s="196">
        <v>12240</v>
      </c>
      <c r="I652" s="196" t="s">
        <v>1616</v>
      </c>
      <c r="J652" s="196"/>
    </row>
    <row r="653" spans="1:10" ht="14.4" hidden="1" outlineLevel="1">
      <c r="A653" s="196" t="s">
        <v>351</v>
      </c>
      <c r="B653" s="197">
        <v>41296</v>
      </c>
      <c r="C653" s="196" t="s">
        <v>1169</v>
      </c>
      <c r="D653" s="196">
        <v>70.5</v>
      </c>
      <c r="E653" s="196" t="s">
        <v>1216</v>
      </c>
      <c r="F653" s="196">
        <v>69.400000000000006</v>
      </c>
      <c r="G653" s="196">
        <f t="shared" si="10"/>
        <v>34.700000000000003</v>
      </c>
      <c r="H653" s="196">
        <v>847</v>
      </c>
      <c r="I653" s="196" t="s">
        <v>1615</v>
      </c>
      <c r="J653" s="196"/>
    </row>
    <row r="654" spans="1:10" ht="14.4" hidden="1" outlineLevel="1">
      <c r="A654" s="196" t="s">
        <v>351</v>
      </c>
      <c r="B654" s="197">
        <v>41297</v>
      </c>
      <c r="C654" s="196" t="s">
        <v>1613</v>
      </c>
      <c r="D654" s="196">
        <v>69.400000000000006</v>
      </c>
      <c r="E654" s="196" t="s">
        <v>1613</v>
      </c>
      <c r="F654" s="196">
        <v>69.400000000000006</v>
      </c>
      <c r="G654" s="196">
        <f t="shared" si="10"/>
        <v>34.700000000000003</v>
      </c>
      <c r="H654" s="196">
        <v>1500</v>
      </c>
      <c r="I654" s="196" t="s">
        <v>1614</v>
      </c>
      <c r="J654" s="196"/>
    </row>
    <row r="655" spans="1:10" ht="14.4" hidden="1" outlineLevel="1">
      <c r="A655" s="196" t="s">
        <v>351</v>
      </c>
      <c r="B655" s="197">
        <v>41298</v>
      </c>
      <c r="C655" s="196" t="s">
        <v>1216</v>
      </c>
      <c r="D655" s="196">
        <v>69</v>
      </c>
      <c r="E655" s="196" t="s">
        <v>1225</v>
      </c>
      <c r="F655" s="196">
        <v>67</v>
      </c>
      <c r="G655" s="196">
        <f t="shared" si="10"/>
        <v>33.5</v>
      </c>
      <c r="H655" s="196">
        <v>102078</v>
      </c>
      <c r="I655" s="196" t="s">
        <v>1612</v>
      </c>
      <c r="J655" s="196"/>
    </row>
    <row r="656" spans="1:10" ht="14.4" hidden="1" outlineLevel="1">
      <c r="A656" s="196" t="s">
        <v>351</v>
      </c>
      <c r="B656" s="197">
        <v>41302</v>
      </c>
      <c r="C656" s="196" t="s">
        <v>1225</v>
      </c>
      <c r="D656" s="196">
        <v>67.099999999999994</v>
      </c>
      <c r="E656" s="196" t="s">
        <v>1225</v>
      </c>
      <c r="F656" s="196">
        <v>67.099999999999994</v>
      </c>
      <c r="G656" s="196">
        <f t="shared" si="10"/>
        <v>33.549999999999997</v>
      </c>
      <c r="H656" s="196">
        <v>11699</v>
      </c>
      <c r="I656" s="196" t="s">
        <v>1611</v>
      </c>
      <c r="J656" s="196"/>
    </row>
    <row r="657" spans="1:10" ht="14.4" hidden="1" outlineLevel="1">
      <c r="A657" s="196" t="s">
        <v>351</v>
      </c>
      <c r="B657" s="197">
        <v>41303</v>
      </c>
      <c r="C657" s="196" t="s">
        <v>1225</v>
      </c>
      <c r="D657" s="196">
        <v>67</v>
      </c>
      <c r="E657" s="196" t="s">
        <v>1385</v>
      </c>
      <c r="F657" s="196">
        <v>66.5</v>
      </c>
      <c r="G657" s="196">
        <f t="shared" si="10"/>
        <v>33.25</v>
      </c>
      <c r="H657" s="196">
        <v>76519</v>
      </c>
      <c r="I657" s="196" t="s">
        <v>1610</v>
      </c>
      <c r="J657" s="196"/>
    </row>
    <row r="658" spans="1:10" ht="14.4" hidden="1" outlineLevel="1">
      <c r="A658" s="196" t="s">
        <v>351</v>
      </c>
      <c r="B658" s="197">
        <v>41304</v>
      </c>
      <c r="C658" s="196" t="s">
        <v>1225</v>
      </c>
      <c r="D658" s="196">
        <v>69.2</v>
      </c>
      <c r="E658" s="196" t="s">
        <v>1385</v>
      </c>
      <c r="F658" s="196">
        <v>66.599999999999994</v>
      </c>
      <c r="G658" s="196">
        <f t="shared" si="10"/>
        <v>33.299999999999997</v>
      </c>
      <c r="H658" s="196">
        <v>182370</v>
      </c>
      <c r="I658" s="196" t="s">
        <v>1609</v>
      </c>
      <c r="J658" s="196"/>
    </row>
    <row r="659" spans="1:10" ht="14.4" hidden="1" outlineLevel="1">
      <c r="A659" s="196" t="s">
        <v>351</v>
      </c>
      <c r="B659" s="197">
        <v>41305</v>
      </c>
      <c r="C659" s="196" t="s">
        <v>1225</v>
      </c>
      <c r="D659" s="196">
        <v>67</v>
      </c>
      <c r="E659" s="196" t="s">
        <v>1225</v>
      </c>
      <c r="F659" s="196">
        <v>67</v>
      </c>
      <c r="G659" s="196">
        <f t="shared" si="10"/>
        <v>33.5</v>
      </c>
      <c r="H659" s="196">
        <v>100</v>
      </c>
      <c r="I659" s="196" t="s">
        <v>1608</v>
      </c>
      <c r="J659" s="196"/>
    </row>
    <row r="660" spans="1:10" ht="14.4" hidden="1" outlineLevel="1">
      <c r="A660" s="196" t="s">
        <v>351</v>
      </c>
      <c r="B660" s="197">
        <v>41306</v>
      </c>
      <c r="C660" s="196" t="s">
        <v>1224</v>
      </c>
      <c r="D660" s="196">
        <v>68</v>
      </c>
      <c r="E660" s="196" t="s">
        <v>1224</v>
      </c>
      <c r="F660" s="196">
        <v>68</v>
      </c>
      <c r="G660" s="196">
        <f t="shared" si="10"/>
        <v>34</v>
      </c>
      <c r="H660" s="196">
        <v>107</v>
      </c>
      <c r="I660" s="196" t="s">
        <v>1607</v>
      </c>
      <c r="J660" s="196"/>
    </row>
    <row r="661" spans="1:10" ht="14.4" hidden="1" outlineLevel="1">
      <c r="A661" s="196" t="s">
        <v>351</v>
      </c>
      <c r="B661" s="197">
        <v>41310</v>
      </c>
      <c r="C661" s="196" t="s">
        <v>1224</v>
      </c>
      <c r="D661" s="196">
        <v>68</v>
      </c>
      <c r="E661" s="196" t="s">
        <v>1225</v>
      </c>
      <c r="F661" s="196">
        <v>67</v>
      </c>
      <c r="G661" s="196">
        <f t="shared" si="10"/>
        <v>33.5</v>
      </c>
      <c r="H661" s="196">
        <v>150</v>
      </c>
      <c r="I661" s="196" t="s">
        <v>1606</v>
      </c>
      <c r="J661" s="196"/>
    </row>
    <row r="662" spans="1:10" ht="14.4" hidden="1" outlineLevel="1">
      <c r="A662" s="196" t="s">
        <v>351</v>
      </c>
      <c r="B662" s="197">
        <v>41311</v>
      </c>
      <c r="C662" s="196" t="s">
        <v>1225</v>
      </c>
      <c r="D662" s="196">
        <v>67</v>
      </c>
      <c r="E662" s="196" t="s">
        <v>1225</v>
      </c>
      <c r="F662" s="196">
        <v>67</v>
      </c>
      <c r="G662" s="196">
        <f t="shared" si="10"/>
        <v>33.5</v>
      </c>
      <c r="H662" s="196">
        <v>90</v>
      </c>
      <c r="I662" s="196" t="s">
        <v>1605</v>
      </c>
      <c r="J662" s="196"/>
    </row>
    <row r="663" spans="1:10" ht="14.4" hidden="1" outlineLevel="1">
      <c r="A663" s="196" t="s">
        <v>351</v>
      </c>
      <c r="B663" s="197">
        <v>41312</v>
      </c>
      <c r="C663" s="196" t="s">
        <v>1225</v>
      </c>
      <c r="D663" s="196">
        <v>67.3</v>
      </c>
      <c r="E663" s="196" t="s">
        <v>1385</v>
      </c>
      <c r="F663" s="196">
        <v>66.7</v>
      </c>
      <c r="G663" s="196">
        <f t="shared" si="10"/>
        <v>33.35</v>
      </c>
      <c r="H663" s="196">
        <v>10013</v>
      </c>
      <c r="I663" s="196" t="s">
        <v>1604</v>
      </c>
      <c r="J663" s="196"/>
    </row>
    <row r="664" spans="1:10" ht="14.4" hidden="1" outlineLevel="1">
      <c r="A664" s="196" t="s">
        <v>351</v>
      </c>
      <c r="B664" s="197">
        <v>41313</v>
      </c>
      <c r="C664" s="196" t="s">
        <v>1385</v>
      </c>
      <c r="D664" s="196">
        <v>66.5</v>
      </c>
      <c r="E664" s="196" t="s">
        <v>1237</v>
      </c>
      <c r="F664" s="196">
        <v>66</v>
      </c>
      <c r="G664" s="196">
        <f t="shared" si="10"/>
        <v>33</v>
      </c>
      <c r="H664" s="196">
        <v>100</v>
      </c>
      <c r="I664" s="196" t="s">
        <v>1603</v>
      </c>
      <c r="J664" s="196"/>
    </row>
    <row r="665" spans="1:10" ht="14.4" hidden="1" outlineLevel="1">
      <c r="A665" s="196" t="s">
        <v>351</v>
      </c>
      <c r="B665" s="197">
        <v>41316</v>
      </c>
      <c r="C665" s="196" t="s">
        <v>1225</v>
      </c>
      <c r="D665" s="196">
        <v>67</v>
      </c>
      <c r="E665" s="196" t="s">
        <v>1225</v>
      </c>
      <c r="F665" s="196">
        <v>67</v>
      </c>
      <c r="G665" s="196">
        <f t="shared" si="10"/>
        <v>33.5</v>
      </c>
      <c r="H665" s="196">
        <v>10</v>
      </c>
      <c r="I665" s="196" t="s">
        <v>1602</v>
      </c>
      <c r="J665" s="196"/>
    </row>
    <row r="666" spans="1:10" ht="14.4" hidden="1" outlineLevel="1">
      <c r="A666" s="196" t="s">
        <v>351</v>
      </c>
      <c r="B666" s="197">
        <v>41317</v>
      </c>
      <c r="C666" s="196" t="s">
        <v>1220</v>
      </c>
      <c r="D666" s="196">
        <v>68.5</v>
      </c>
      <c r="E666" s="196" t="s">
        <v>1220</v>
      </c>
      <c r="F666" s="196">
        <v>68.5</v>
      </c>
      <c r="G666" s="196">
        <f t="shared" si="10"/>
        <v>34.25</v>
      </c>
      <c r="H666" s="196">
        <v>100</v>
      </c>
      <c r="I666" s="196" t="s">
        <v>1601</v>
      </c>
      <c r="J666" s="196"/>
    </row>
    <row r="667" spans="1:10" ht="14.4" hidden="1" outlineLevel="1">
      <c r="A667" s="196" t="s">
        <v>351</v>
      </c>
      <c r="B667" s="197">
        <v>41318</v>
      </c>
      <c r="C667" s="196" t="s">
        <v>1224</v>
      </c>
      <c r="D667" s="196">
        <v>68</v>
      </c>
      <c r="E667" s="196" t="s">
        <v>1224</v>
      </c>
      <c r="F667" s="196">
        <v>68</v>
      </c>
      <c r="G667" s="196">
        <f t="shared" si="10"/>
        <v>34</v>
      </c>
      <c r="H667" s="196">
        <v>3775</v>
      </c>
      <c r="I667" s="196" t="s">
        <v>1600</v>
      </c>
      <c r="J667" s="196"/>
    </row>
    <row r="668" spans="1:10" ht="14.4" hidden="1" outlineLevel="1">
      <c r="A668" s="196" t="s">
        <v>351</v>
      </c>
      <c r="B668" s="197">
        <v>41319</v>
      </c>
      <c r="C668" s="196" t="s">
        <v>1224</v>
      </c>
      <c r="D668" s="196">
        <v>68</v>
      </c>
      <c r="E668" s="196" t="s">
        <v>1224</v>
      </c>
      <c r="F668" s="196">
        <v>68</v>
      </c>
      <c r="G668" s="196">
        <f t="shared" si="10"/>
        <v>34</v>
      </c>
      <c r="H668" s="196">
        <v>1440</v>
      </c>
      <c r="I668" s="196" t="s">
        <v>1599</v>
      </c>
      <c r="J668" s="196"/>
    </row>
    <row r="669" spans="1:10" ht="14.4" hidden="1" outlineLevel="1">
      <c r="A669" s="196" t="s">
        <v>351</v>
      </c>
      <c r="B669" s="197">
        <v>41320</v>
      </c>
      <c r="C669" s="196" t="s">
        <v>1225</v>
      </c>
      <c r="D669" s="196">
        <v>67</v>
      </c>
      <c r="E669" s="196" t="s">
        <v>1225</v>
      </c>
      <c r="F669" s="196">
        <v>67</v>
      </c>
      <c r="G669" s="196">
        <f t="shared" si="10"/>
        <v>33.5</v>
      </c>
      <c r="H669" s="196">
        <v>20</v>
      </c>
      <c r="I669" s="196" t="s">
        <v>1598</v>
      </c>
      <c r="J669" s="196"/>
    </row>
    <row r="670" spans="1:10" ht="14.4" hidden="1" outlineLevel="1">
      <c r="A670" s="196" t="s">
        <v>351</v>
      </c>
      <c r="B670" s="197">
        <v>41323</v>
      </c>
      <c r="C670" s="196" t="s">
        <v>1242</v>
      </c>
      <c r="D670" s="196">
        <v>68.900000000000006</v>
      </c>
      <c r="E670" s="196" t="s">
        <v>1351</v>
      </c>
      <c r="F670" s="196">
        <v>0</v>
      </c>
      <c r="G670" s="196">
        <f t="shared" si="10"/>
        <v>0</v>
      </c>
      <c r="H670" s="196">
        <v>1700</v>
      </c>
      <c r="I670" s="196" t="s">
        <v>1597</v>
      </c>
      <c r="J670" s="196"/>
    </row>
    <row r="671" spans="1:10" ht="14.4" hidden="1" outlineLevel="1">
      <c r="A671" s="196" t="s">
        <v>351</v>
      </c>
      <c r="B671" s="197">
        <v>41324</v>
      </c>
      <c r="C671" s="196" t="s">
        <v>1224</v>
      </c>
      <c r="D671" s="196">
        <v>68.5</v>
      </c>
      <c r="E671" s="196" t="s">
        <v>1224</v>
      </c>
      <c r="F671" s="196">
        <v>0</v>
      </c>
      <c r="G671" s="196">
        <f t="shared" si="10"/>
        <v>0</v>
      </c>
      <c r="H671" s="196">
        <v>1505</v>
      </c>
      <c r="I671" s="196" t="s">
        <v>1596</v>
      </c>
      <c r="J671" s="196"/>
    </row>
    <row r="672" spans="1:10" ht="14.4" hidden="1" outlineLevel="1">
      <c r="A672" s="196" t="s">
        <v>351</v>
      </c>
      <c r="B672" s="197">
        <v>41325</v>
      </c>
      <c r="C672" s="196" t="s">
        <v>1225</v>
      </c>
      <c r="D672" s="196">
        <v>67</v>
      </c>
      <c r="E672" s="196" t="s">
        <v>1225</v>
      </c>
      <c r="F672" s="196">
        <v>67</v>
      </c>
      <c r="G672" s="196">
        <f t="shared" si="10"/>
        <v>33.5</v>
      </c>
      <c r="H672" s="196">
        <v>3000</v>
      </c>
      <c r="I672" s="196" t="s">
        <v>1595</v>
      </c>
      <c r="J672" s="196"/>
    </row>
    <row r="673" spans="1:10" ht="14.4" hidden="1" outlineLevel="1">
      <c r="A673" s="196" t="s">
        <v>351</v>
      </c>
      <c r="B673" s="197">
        <v>41326</v>
      </c>
      <c r="C673" s="196" t="s">
        <v>1225</v>
      </c>
      <c r="D673" s="196">
        <v>67</v>
      </c>
      <c r="E673" s="196" t="s">
        <v>1237</v>
      </c>
      <c r="F673" s="196">
        <v>66</v>
      </c>
      <c r="G673" s="196">
        <f t="shared" si="10"/>
        <v>33</v>
      </c>
      <c r="H673" s="196">
        <v>2020</v>
      </c>
      <c r="I673" s="196" t="s">
        <v>1594</v>
      </c>
      <c r="J673" s="196"/>
    </row>
    <row r="674" spans="1:10" ht="14.4" hidden="1" outlineLevel="1">
      <c r="A674" s="196" t="s">
        <v>351</v>
      </c>
      <c r="B674" s="197">
        <v>41327</v>
      </c>
      <c r="C674" s="196" t="s">
        <v>1225</v>
      </c>
      <c r="D674" s="196">
        <v>67</v>
      </c>
      <c r="E674" s="196" t="s">
        <v>1237</v>
      </c>
      <c r="F674" s="196">
        <v>66</v>
      </c>
      <c r="G674" s="196">
        <f t="shared" si="10"/>
        <v>33</v>
      </c>
      <c r="H674" s="196">
        <v>24779</v>
      </c>
      <c r="I674" s="196" t="s">
        <v>1593</v>
      </c>
      <c r="J674" s="196"/>
    </row>
    <row r="675" spans="1:10" ht="14.4" hidden="1" outlineLevel="1">
      <c r="A675" s="196" t="s">
        <v>351</v>
      </c>
      <c r="B675" s="197">
        <v>41331</v>
      </c>
      <c r="C675" s="196" t="s">
        <v>1237</v>
      </c>
      <c r="D675" s="196">
        <v>66</v>
      </c>
      <c r="E675" s="196" t="s">
        <v>1253</v>
      </c>
      <c r="F675" s="196">
        <v>64.7</v>
      </c>
      <c r="G675" s="196">
        <f t="shared" si="10"/>
        <v>32.35</v>
      </c>
      <c r="H675" s="196">
        <v>2895</v>
      </c>
      <c r="I675" s="196" t="s">
        <v>1592</v>
      </c>
      <c r="J675" s="196"/>
    </row>
    <row r="676" spans="1:10" ht="14.4" hidden="1" outlineLevel="1">
      <c r="A676" s="196" t="s">
        <v>351</v>
      </c>
      <c r="B676" s="197">
        <v>41332</v>
      </c>
      <c r="C676" s="196" t="s">
        <v>1274</v>
      </c>
      <c r="D676" s="196">
        <v>64.099999999999994</v>
      </c>
      <c r="E676" s="196" t="s">
        <v>1274</v>
      </c>
      <c r="F676" s="196">
        <v>64.099999999999994</v>
      </c>
      <c r="G676" s="196">
        <f t="shared" si="10"/>
        <v>32.049999999999997</v>
      </c>
      <c r="H676" s="196">
        <v>1</v>
      </c>
      <c r="I676" s="196" t="s">
        <v>1591</v>
      </c>
      <c r="J676" s="196"/>
    </row>
    <row r="677" spans="1:10" ht="14.4" hidden="1" outlineLevel="1">
      <c r="A677" s="196" t="s">
        <v>351</v>
      </c>
      <c r="B677" s="197">
        <v>41333</v>
      </c>
      <c r="C677" s="196" t="s">
        <v>1287</v>
      </c>
      <c r="D677" s="196">
        <v>64.900000000000006</v>
      </c>
      <c r="E677" s="196" t="s">
        <v>1287</v>
      </c>
      <c r="F677" s="196">
        <v>64.900000000000006</v>
      </c>
      <c r="G677" s="196">
        <f t="shared" si="10"/>
        <v>32.450000000000003</v>
      </c>
      <c r="H677" s="196">
        <v>100</v>
      </c>
      <c r="I677" s="196" t="s">
        <v>1590</v>
      </c>
      <c r="J677" s="196"/>
    </row>
    <row r="678" spans="1:10" ht="14.4" hidden="1" outlineLevel="1">
      <c r="A678" s="196" t="s">
        <v>351</v>
      </c>
      <c r="B678" s="197">
        <v>41334</v>
      </c>
      <c r="C678" s="196" t="s">
        <v>1287</v>
      </c>
      <c r="D678" s="196">
        <v>65</v>
      </c>
      <c r="E678" s="196" t="s">
        <v>1287</v>
      </c>
      <c r="F678" s="196">
        <v>64.900000000000006</v>
      </c>
      <c r="G678" s="196">
        <f t="shared" si="10"/>
        <v>32.450000000000003</v>
      </c>
      <c r="H678" s="196">
        <v>615</v>
      </c>
      <c r="I678" s="196" t="s">
        <v>1589</v>
      </c>
      <c r="J678" s="196"/>
    </row>
    <row r="679" spans="1:10" ht="14.4" hidden="1" outlineLevel="1">
      <c r="A679" s="196" t="s">
        <v>351</v>
      </c>
      <c r="B679" s="197">
        <v>41337</v>
      </c>
      <c r="C679" s="196" t="s">
        <v>1242</v>
      </c>
      <c r="D679" s="196">
        <v>65</v>
      </c>
      <c r="E679" s="196" t="s">
        <v>1242</v>
      </c>
      <c r="F679" s="196">
        <v>65</v>
      </c>
      <c r="G679" s="196">
        <f t="shared" si="10"/>
        <v>32.5</v>
      </c>
      <c r="H679" s="196">
        <v>3516</v>
      </c>
      <c r="I679" s="196" t="s">
        <v>1588</v>
      </c>
      <c r="J679" s="196"/>
    </row>
    <row r="680" spans="1:10" ht="14.4" hidden="1" outlineLevel="1">
      <c r="A680" s="196" t="s">
        <v>351</v>
      </c>
      <c r="B680" s="197">
        <v>41338</v>
      </c>
      <c r="C680" s="196" t="s">
        <v>1423</v>
      </c>
      <c r="D680" s="196">
        <v>66</v>
      </c>
      <c r="E680" s="196" t="s">
        <v>1242</v>
      </c>
      <c r="F680" s="196">
        <v>66</v>
      </c>
      <c r="G680" s="196">
        <f t="shared" si="10"/>
        <v>33</v>
      </c>
      <c r="H680" s="196">
        <v>9697</v>
      </c>
      <c r="I680" s="196" t="s">
        <v>1587</v>
      </c>
      <c r="J680" s="196"/>
    </row>
    <row r="681" spans="1:10" ht="14.4" hidden="1" outlineLevel="1">
      <c r="A681" s="196" t="s">
        <v>351</v>
      </c>
      <c r="B681" s="197">
        <v>41339</v>
      </c>
      <c r="C681" s="196" t="s">
        <v>1385</v>
      </c>
      <c r="D681" s="196">
        <v>66.5</v>
      </c>
      <c r="E681" s="196" t="s">
        <v>1385</v>
      </c>
      <c r="F681" s="196">
        <v>66.5</v>
      </c>
      <c r="G681" s="196">
        <f t="shared" si="10"/>
        <v>33.25</v>
      </c>
      <c r="H681" s="196">
        <v>21</v>
      </c>
      <c r="I681" s="196" t="s">
        <v>1586</v>
      </c>
      <c r="J681" s="196"/>
    </row>
    <row r="682" spans="1:10" ht="14.4" hidden="1" outlineLevel="1">
      <c r="A682" s="196" t="s">
        <v>351</v>
      </c>
      <c r="B682" s="197">
        <v>41340</v>
      </c>
      <c r="C682" s="196" t="s">
        <v>1216</v>
      </c>
      <c r="D682" s="196">
        <v>75</v>
      </c>
      <c r="E682" s="196" t="s">
        <v>1231</v>
      </c>
      <c r="F682" s="196">
        <v>69.599999999999994</v>
      </c>
      <c r="G682" s="196">
        <f t="shared" si="10"/>
        <v>34.799999999999997</v>
      </c>
      <c r="H682" s="196">
        <v>49564</v>
      </c>
      <c r="I682" s="196" t="s">
        <v>1585</v>
      </c>
      <c r="J682" s="196"/>
    </row>
    <row r="683" spans="1:10" ht="14.4" hidden="1" outlineLevel="1">
      <c r="A683" s="196" t="s">
        <v>351</v>
      </c>
      <c r="B683" s="197">
        <v>41341</v>
      </c>
      <c r="C683" s="196" t="s">
        <v>1127</v>
      </c>
      <c r="D683" s="196">
        <v>72</v>
      </c>
      <c r="E683" s="196" t="s">
        <v>1214</v>
      </c>
      <c r="F683" s="196">
        <v>69.900000000000006</v>
      </c>
      <c r="G683" s="196">
        <f t="shared" si="10"/>
        <v>34.950000000000003</v>
      </c>
      <c r="H683" s="196">
        <v>60800</v>
      </c>
      <c r="I683" s="196" t="s">
        <v>1584</v>
      </c>
      <c r="J683" s="196"/>
    </row>
    <row r="684" spans="1:10" ht="14.4" hidden="1" outlineLevel="1">
      <c r="A684" s="196" t="s">
        <v>351</v>
      </c>
      <c r="B684" s="197">
        <v>41344</v>
      </c>
      <c r="C684" s="196" t="s">
        <v>88</v>
      </c>
      <c r="D684" s="196" t="s">
        <v>88</v>
      </c>
      <c r="E684" s="196" t="s">
        <v>88</v>
      </c>
      <c r="F684" s="196">
        <v>69.900000000000006</v>
      </c>
      <c r="G684" s="196">
        <f t="shared" si="10"/>
        <v>34.950000000000003</v>
      </c>
      <c r="H684" s="196">
        <v>0</v>
      </c>
      <c r="I684" s="196" t="s">
        <v>611</v>
      </c>
      <c r="J684" s="196"/>
    </row>
    <row r="685" spans="1:10" ht="14.4" hidden="1" outlineLevel="1">
      <c r="A685" s="196" t="s">
        <v>351</v>
      </c>
      <c r="B685" s="197">
        <v>41345</v>
      </c>
      <c r="C685" s="196" t="s">
        <v>1222</v>
      </c>
      <c r="D685" s="196">
        <v>68</v>
      </c>
      <c r="E685" s="196" t="s">
        <v>1225</v>
      </c>
      <c r="F685" s="196">
        <v>67.3</v>
      </c>
      <c r="G685" s="196">
        <f t="shared" si="10"/>
        <v>33.65</v>
      </c>
      <c r="H685" s="196">
        <v>1500</v>
      </c>
      <c r="I685" s="196" t="s">
        <v>1583</v>
      </c>
      <c r="J685" s="196"/>
    </row>
    <row r="686" spans="1:10" ht="14.4" hidden="1" outlineLevel="1">
      <c r="A686" s="196" t="s">
        <v>351</v>
      </c>
      <c r="B686" s="197">
        <v>41346</v>
      </c>
      <c r="C686" s="196" t="s">
        <v>1225</v>
      </c>
      <c r="D686" s="196">
        <v>69</v>
      </c>
      <c r="E686" s="196" t="s">
        <v>1225</v>
      </c>
      <c r="F686" s="196">
        <v>67</v>
      </c>
      <c r="G686" s="196">
        <f t="shared" si="10"/>
        <v>33.5</v>
      </c>
      <c r="H686" s="196">
        <v>10824</v>
      </c>
      <c r="I686" s="196" t="s">
        <v>1582</v>
      </c>
      <c r="J686" s="196"/>
    </row>
    <row r="687" spans="1:10" ht="14.4" hidden="1" outlineLevel="1">
      <c r="A687" s="196" t="s">
        <v>351</v>
      </c>
      <c r="B687" s="197">
        <v>41347</v>
      </c>
      <c r="C687" s="196" t="s">
        <v>1225</v>
      </c>
      <c r="D687" s="196">
        <v>67.5</v>
      </c>
      <c r="E687" s="196" t="s">
        <v>1225</v>
      </c>
      <c r="F687" s="196">
        <v>67</v>
      </c>
      <c r="G687" s="196">
        <f t="shared" si="10"/>
        <v>33.5</v>
      </c>
      <c r="H687" s="196">
        <v>10541</v>
      </c>
      <c r="I687" s="196" t="s">
        <v>1581</v>
      </c>
      <c r="J687" s="196"/>
    </row>
    <row r="688" spans="1:10" ht="14.4" hidden="1" outlineLevel="1">
      <c r="A688" s="196" t="s">
        <v>351</v>
      </c>
      <c r="B688" s="197">
        <v>41348</v>
      </c>
      <c r="C688" s="196" t="s">
        <v>1224</v>
      </c>
      <c r="D688" s="196">
        <v>70</v>
      </c>
      <c r="E688" s="196" t="s">
        <v>1224</v>
      </c>
      <c r="F688" s="196">
        <v>68</v>
      </c>
      <c r="G688" s="196">
        <f t="shared" si="10"/>
        <v>34</v>
      </c>
      <c r="H688" s="196">
        <v>315</v>
      </c>
      <c r="I688" s="196" t="s">
        <v>1580</v>
      </c>
      <c r="J688" s="196"/>
    </row>
    <row r="689" spans="1:10" ht="14.4" hidden="1" outlineLevel="1">
      <c r="A689" s="196" t="s">
        <v>351</v>
      </c>
      <c r="B689" s="197">
        <v>41351</v>
      </c>
      <c r="C689" s="196" t="s">
        <v>88</v>
      </c>
      <c r="D689" s="196" t="s">
        <v>88</v>
      </c>
      <c r="E689" s="196" t="s">
        <v>88</v>
      </c>
      <c r="F689" s="196">
        <v>68</v>
      </c>
      <c r="G689" s="196">
        <f t="shared" si="10"/>
        <v>34</v>
      </c>
      <c r="H689" s="196">
        <v>0</v>
      </c>
      <c r="I689" s="196" t="s">
        <v>611</v>
      </c>
      <c r="J689" s="196"/>
    </row>
    <row r="690" spans="1:10" ht="14.4" hidden="1" outlineLevel="1">
      <c r="A690" s="196" t="s">
        <v>351</v>
      </c>
      <c r="B690" s="197">
        <v>41352</v>
      </c>
      <c r="C690" s="196" t="s">
        <v>1216</v>
      </c>
      <c r="D690" s="196">
        <v>69</v>
      </c>
      <c r="E690" s="196" t="s">
        <v>1555</v>
      </c>
      <c r="F690" s="196">
        <v>67.8</v>
      </c>
      <c r="G690" s="196">
        <f t="shared" si="10"/>
        <v>33.9</v>
      </c>
      <c r="H690" s="196">
        <v>3200</v>
      </c>
      <c r="I690" s="196" t="s">
        <v>1579</v>
      </c>
      <c r="J690" s="196"/>
    </row>
    <row r="691" spans="1:10" ht="14.4" hidden="1" outlineLevel="1">
      <c r="A691" s="196" t="s">
        <v>351</v>
      </c>
      <c r="B691" s="197">
        <v>41353</v>
      </c>
      <c r="C691" s="196" t="s">
        <v>1463</v>
      </c>
      <c r="D691" s="196">
        <v>69</v>
      </c>
      <c r="E691" s="196" t="s">
        <v>1463</v>
      </c>
      <c r="F691" s="196">
        <v>68.900000000000006</v>
      </c>
      <c r="G691" s="196">
        <f t="shared" si="10"/>
        <v>34.450000000000003</v>
      </c>
      <c r="H691" s="196">
        <v>720</v>
      </c>
      <c r="I691" s="196" t="s">
        <v>1578</v>
      </c>
      <c r="J691" s="196"/>
    </row>
    <row r="692" spans="1:10" ht="14.4" hidden="1" outlineLevel="1">
      <c r="A692" s="196" t="s">
        <v>351</v>
      </c>
      <c r="B692" s="197">
        <v>41354</v>
      </c>
      <c r="C692" s="196" t="s">
        <v>1576</v>
      </c>
      <c r="D692" s="196">
        <v>69.3</v>
      </c>
      <c r="E692" s="196" t="s">
        <v>1555</v>
      </c>
      <c r="F692" s="196">
        <v>67.8</v>
      </c>
      <c r="G692" s="196">
        <f t="shared" si="10"/>
        <v>33.9</v>
      </c>
      <c r="H692" s="196">
        <v>4752</v>
      </c>
      <c r="I692" s="196" t="s">
        <v>1577</v>
      </c>
      <c r="J692" s="196"/>
    </row>
    <row r="693" spans="1:10" ht="14.4" hidden="1" outlineLevel="1">
      <c r="A693" s="196" t="s">
        <v>351</v>
      </c>
      <c r="B693" s="197">
        <v>41355</v>
      </c>
      <c r="C693" s="196" t="s">
        <v>1555</v>
      </c>
      <c r="D693" s="196">
        <v>67.900000000000006</v>
      </c>
      <c r="E693" s="196" t="s">
        <v>1555</v>
      </c>
      <c r="F693" s="196">
        <v>67.900000000000006</v>
      </c>
      <c r="G693" s="196">
        <f t="shared" si="10"/>
        <v>33.950000000000003</v>
      </c>
      <c r="H693" s="196">
        <v>21</v>
      </c>
      <c r="I693" s="196" t="s">
        <v>1575</v>
      </c>
      <c r="J693" s="196"/>
    </row>
    <row r="694" spans="1:10" ht="14.4" hidden="1" outlineLevel="1">
      <c r="A694" s="196" t="s">
        <v>351</v>
      </c>
      <c r="B694" s="197">
        <v>41358</v>
      </c>
      <c r="C694" s="196" t="s">
        <v>1573</v>
      </c>
      <c r="D694" s="196">
        <v>67.900000000000006</v>
      </c>
      <c r="E694" s="196" t="s">
        <v>1573</v>
      </c>
      <c r="F694" s="196">
        <v>67.900000000000006</v>
      </c>
      <c r="G694" s="196">
        <f t="shared" si="10"/>
        <v>33.950000000000003</v>
      </c>
      <c r="H694" s="196">
        <v>5020</v>
      </c>
      <c r="I694" s="196" t="s">
        <v>1574</v>
      </c>
      <c r="J694" s="196"/>
    </row>
    <row r="695" spans="1:10" ht="14.4" hidden="1" outlineLevel="1">
      <c r="A695" s="196" t="s">
        <v>351</v>
      </c>
      <c r="B695" s="197">
        <v>41360</v>
      </c>
      <c r="C695" s="196" t="s">
        <v>1225</v>
      </c>
      <c r="D695" s="196">
        <v>67.5</v>
      </c>
      <c r="E695" s="196" t="s">
        <v>1225</v>
      </c>
      <c r="F695" s="196">
        <v>67</v>
      </c>
      <c r="G695" s="196">
        <f t="shared" si="10"/>
        <v>33.5</v>
      </c>
      <c r="H695" s="196">
        <v>15810</v>
      </c>
      <c r="I695" s="196" t="s">
        <v>1572</v>
      </c>
      <c r="J695" s="196"/>
    </row>
    <row r="696" spans="1:10" ht="14.4" hidden="1" outlineLevel="1">
      <c r="A696" s="196" t="s">
        <v>351</v>
      </c>
      <c r="B696" s="197">
        <v>41361</v>
      </c>
      <c r="C696" s="196" t="s">
        <v>1237</v>
      </c>
      <c r="D696" s="196">
        <v>67</v>
      </c>
      <c r="E696" s="196" t="s">
        <v>1240</v>
      </c>
      <c r="F696" s="196">
        <v>65.5</v>
      </c>
      <c r="G696" s="196">
        <f t="shared" si="10"/>
        <v>32.75</v>
      </c>
      <c r="H696" s="196">
        <v>3170</v>
      </c>
      <c r="I696" s="196" t="s">
        <v>1571</v>
      </c>
    </row>
    <row r="697" spans="1:10" s="192" customFormat="1" ht="14.4" hidden="1" outlineLevel="1">
      <c r="A697" s="198" t="s">
        <v>351</v>
      </c>
      <c r="B697" s="199">
        <v>41365</v>
      </c>
      <c r="C697" s="198" t="s">
        <v>1225</v>
      </c>
      <c r="D697" s="198">
        <v>67</v>
      </c>
      <c r="E697" s="198" t="s">
        <v>1362</v>
      </c>
      <c r="F697" s="198">
        <v>65.599999999999994</v>
      </c>
      <c r="G697" s="198">
        <f t="shared" si="10"/>
        <v>32.799999999999997</v>
      </c>
      <c r="H697" s="198">
        <v>11685</v>
      </c>
      <c r="I697" s="198" t="s">
        <v>1570</v>
      </c>
      <c r="J697" s="198">
        <f>AVERAGE(G697:G939)</f>
        <v>33.502263374485587</v>
      </c>
    </row>
    <row r="698" spans="1:10" ht="14.4" hidden="1" outlineLevel="1">
      <c r="A698" s="196" t="s">
        <v>351</v>
      </c>
      <c r="B698" s="197">
        <v>41366</v>
      </c>
      <c r="C698" s="196" t="s">
        <v>1427</v>
      </c>
      <c r="D698" s="196">
        <v>65.599999999999994</v>
      </c>
      <c r="E698" s="196" t="s">
        <v>1362</v>
      </c>
      <c r="F698" s="196">
        <v>65.099999999999994</v>
      </c>
      <c r="G698" s="196">
        <f t="shared" si="10"/>
        <v>32.549999999999997</v>
      </c>
      <c r="H698" s="196">
        <v>3141</v>
      </c>
      <c r="I698" s="196" t="s">
        <v>1569</v>
      </c>
      <c r="J698" s="196"/>
    </row>
    <row r="699" spans="1:10" ht="14.4" hidden="1" outlineLevel="1">
      <c r="A699" s="196" t="s">
        <v>351</v>
      </c>
      <c r="B699" s="197">
        <v>41367</v>
      </c>
      <c r="C699" s="196" t="s">
        <v>1415</v>
      </c>
      <c r="D699" s="196">
        <v>66.900000000000006</v>
      </c>
      <c r="E699" s="196" t="s">
        <v>1415</v>
      </c>
      <c r="F699" s="196">
        <v>66.900000000000006</v>
      </c>
      <c r="G699" s="196">
        <f t="shared" si="10"/>
        <v>33.450000000000003</v>
      </c>
      <c r="H699" s="196">
        <v>100</v>
      </c>
      <c r="I699" s="196" t="s">
        <v>1568</v>
      </c>
      <c r="J699" s="196"/>
    </row>
    <row r="700" spans="1:10" ht="14.4" hidden="1" outlineLevel="1">
      <c r="A700" s="196" t="s">
        <v>351</v>
      </c>
      <c r="B700" s="197">
        <v>41368</v>
      </c>
      <c r="C700" s="196" t="s">
        <v>1250</v>
      </c>
      <c r="D700" s="196">
        <v>65.400000000000006</v>
      </c>
      <c r="E700" s="196" t="s">
        <v>1423</v>
      </c>
      <c r="F700" s="196">
        <v>65.2</v>
      </c>
      <c r="G700" s="196">
        <f t="shared" si="10"/>
        <v>32.6</v>
      </c>
      <c r="H700" s="196">
        <v>400</v>
      </c>
      <c r="I700" s="196" t="s">
        <v>1567</v>
      </c>
      <c r="J700" s="196"/>
    </row>
    <row r="701" spans="1:10" ht="14.4" hidden="1" outlineLevel="1">
      <c r="A701" s="196" t="s">
        <v>351</v>
      </c>
      <c r="B701" s="197">
        <v>41369</v>
      </c>
      <c r="C701" s="196" t="s">
        <v>1423</v>
      </c>
      <c r="D701" s="196">
        <v>65.900000000000006</v>
      </c>
      <c r="E701" s="196" t="s">
        <v>1242</v>
      </c>
      <c r="F701" s="196">
        <v>65.7</v>
      </c>
      <c r="G701" s="196">
        <f t="shared" si="10"/>
        <v>32.85</v>
      </c>
      <c r="H701" s="196">
        <v>820</v>
      </c>
      <c r="I701" s="196" t="s">
        <v>1566</v>
      </c>
      <c r="J701" s="196"/>
    </row>
    <row r="702" spans="1:10" ht="14.4" hidden="1" outlineLevel="1">
      <c r="A702" s="196" t="s">
        <v>351</v>
      </c>
      <c r="B702" s="197">
        <v>41372</v>
      </c>
      <c r="C702" s="196" t="s">
        <v>1237</v>
      </c>
      <c r="D702" s="196">
        <v>66</v>
      </c>
      <c r="E702" s="196" t="s">
        <v>1237</v>
      </c>
      <c r="F702" s="196">
        <v>66</v>
      </c>
      <c r="G702" s="196">
        <f t="shared" si="10"/>
        <v>33</v>
      </c>
      <c r="H702" s="196">
        <v>20108</v>
      </c>
      <c r="I702" s="196" t="s">
        <v>1565</v>
      </c>
      <c r="J702" s="196"/>
    </row>
    <row r="703" spans="1:10" ht="14.4" hidden="1" outlineLevel="1">
      <c r="A703" s="196" t="s">
        <v>351</v>
      </c>
      <c r="B703" s="197">
        <v>41373</v>
      </c>
      <c r="C703" s="196" t="s">
        <v>1242</v>
      </c>
      <c r="D703" s="196">
        <v>65</v>
      </c>
      <c r="E703" s="196" t="s">
        <v>1242</v>
      </c>
      <c r="F703" s="196">
        <v>65</v>
      </c>
      <c r="G703" s="196">
        <f t="shared" si="10"/>
        <v>32.5</v>
      </c>
      <c r="H703" s="196">
        <v>200</v>
      </c>
      <c r="I703" s="196" t="s">
        <v>1255</v>
      </c>
      <c r="J703" s="196"/>
    </row>
    <row r="704" spans="1:10" ht="14.4" hidden="1" outlineLevel="1">
      <c r="A704" s="196" t="s">
        <v>351</v>
      </c>
      <c r="B704" s="197">
        <v>41374</v>
      </c>
      <c r="C704" s="196" t="s">
        <v>1242</v>
      </c>
      <c r="D704" s="196">
        <v>65</v>
      </c>
      <c r="E704" s="196" t="s">
        <v>1242</v>
      </c>
      <c r="F704" s="196">
        <v>65</v>
      </c>
      <c r="G704" s="196">
        <f t="shared" si="10"/>
        <v>32.5</v>
      </c>
      <c r="H704" s="196">
        <v>3000</v>
      </c>
      <c r="I704" s="196" t="s">
        <v>1564</v>
      </c>
      <c r="J704" s="196"/>
    </row>
    <row r="705" spans="1:10" ht="14.4" hidden="1" outlineLevel="1">
      <c r="A705" s="196" t="s">
        <v>351</v>
      </c>
      <c r="B705" s="197">
        <v>41375</v>
      </c>
      <c r="C705" s="196" t="s">
        <v>1242</v>
      </c>
      <c r="D705" s="196">
        <v>65</v>
      </c>
      <c r="E705" s="196" t="s">
        <v>1242</v>
      </c>
      <c r="F705" s="196">
        <v>65</v>
      </c>
      <c r="G705" s="196">
        <f t="shared" si="10"/>
        <v>32.5</v>
      </c>
      <c r="H705" s="196">
        <v>400</v>
      </c>
      <c r="I705" s="196" t="s">
        <v>1412</v>
      </c>
      <c r="J705" s="196"/>
    </row>
    <row r="706" spans="1:10" ht="14.4" hidden="1" outlineLevel="1">
      <c r="A706" s="196" t="s">
        <v>351</v>
      </c>
      <c r="B706" s="197">
        <v>41376</v>
      </c>
      <c r="C706" s="196" t="s">
        <v>1242</v>
      </c>
      <c r="D706" s="196">
        <v>65.099999999999994</v>
      </c>
      <c r="E706" s="196" t="s">
        <v>1242</v>
      </c>
      <c r="F706" s="196">
        <v>65.099999999999994</v>
      </c>
      <c r="G706" s="196">
        <f t="shared" si="10"/>
        <v>32.549999999999997</v>
      </c>
      <c r="H706" s="196">
        <v>9092</v>
      </c>
      <c r="I706" s="196" t="s">
        <v>1563</v>
      </c>
      <c r="J706" s="196"/>
    </row>
    <row r="707" spans="1:10" ht="14.4" hidden="1" outlineLevel="1">
      <c r="A707" s="196" t="s">
        <v>351</v>
      </c>
      <c r="B707" s="197">
        <v>41380</v>
      </c>
      <c r="C707" s="196" t="s">
        <v>1240</v>
      </c>
      <c r="D707" s="196">
        <v>65.5</v>
      </c>
      <c r="E707" s="196" t="s">
        <v>1423</v>
      </c>
      <c r="F707" s="196">
        <v>65.2</v>
      </c>
      <c r="G707" s="196">
        <f t="shared" si="10"/>
        <v>32.6</v>
      </c>
      <c r="H707" s="196">
        <v>10521</v>
      </c>
      <c r="I707" s="196" t="s">
        <v>1562</v>
      </c>
      <c r="J707" s="196"/>
    </row>
    <row r="708" spans="1:10" ht="14.4" hidden="1" outlineLevel="1">
      <c r="A708" s="196" t="s">
        <v>351</v>
      </c>
      <c r="B708" s="197">
        <v>41381</v>
      </c>
      <c r="C708" s="196" t="s">
        <v>1224</v>
      </c>
      <c r="D708" s="196">
        <v>68</v>
      </c>
      <c r="E708" s="196" t="s">
        <v>1237</v>
      </c>
      <c r="F708" s="196">
        <v>66</v>
      </c>
      <c r="G708" s="196">
        <f t="shared" si="10"/>
        <v>33</v>
      </c>
      <c r="H708" s="196">
        <v>22888</v>
      </c>
      <c r="I708" s="196" t="s">
        <v>1561</v>
      </c>
      <c r="J708" s="196"/>
    </row>
    <row r="709" spans="1:10" ht="14.4" hidden="1" outlineLevel="1">
      <c r="A709" s="196" t="s">
        <v>351</v>
      </c>
      <c r="B709" s="197">
        <v>41382</v>
      </c>
      <c r="C709" s="196" t="s">
        <v>1224</v>
      </c>
      <c r="D709" s="196">
        <v>69.900000000000006</v>
      </c>
      <c r="E709" s="196" t="s">
        <v>1224</v>
      </c>
      <c r="F709" s="196">
        <v>69.8</v>
      </c>
      <c r="G709" s="196">
        <f t="shared" ref="G709:G772" si="11">F709/2</f>
        <v>34.9</v>
      </c>
      <c r="H709" s="196">
        <v>6219</v>
      </c>
      <c r="I709" s="196" t="s">
        <v>1560</v>
      </c>
      <c r="J709" s="196"/>
    </row>
    <row r="710" spans="1:10" ht="14.4" hidden="1" outlineLevel="1">
      <c r="A710" s="196" t="s">
        <v>351</v>
      </c>
      <c r="B710" s="197">
        <v>41383</v>
      </c>
      <c r="C710" s="196" t="s">
        <v>88</v>
      </c>
      <c r="D710" s="196" t="s">
        <v>88</v>
      </c>
      <c r="E710" s="196" t="s">
        <v>88</v>
      </c>
      <c r="F710" s="196">
        <v>69.8</v>
      </c>
      <c r="G710" s="196">
        <f t="shared" si="11"/>
        <v>34.9</v>
      </c>
      <c r="H710" s="196">
        <v>0</v>
      </c>
      <c r="I710" s="196" t="s">
        <v>611</v>
      </c>
      <c r="J710" s="196"/>
    </row>
    <row r="711" spans="1:10" ht="14.4" hidden="1" outlineLevel="1">
      <c r="A711" s="196" t="s">
        <v>351</v>
      </c>
      <c r="B711" s="197">
        <v>41386</v>
      </c>
      <c r="C711" s="196" t="s">
        <v>1225</v>
      </c>
      <c r="D711" s="196">
        <v>67</v>
      </c>
      <c r="E711" s="196" t="s">
        <v>1225</v>
      </c>
      <c r="F711" s="196">
        <v>67</v>
      </c>
      <c r="G711" s="196">
        <f t="shared" si="11"/>
        <v>33.5</v>
      </c>
      <c r="H711" s="196">
        <v>500</v>
      </c>
      <c r="I711" s="196" t="s">
        <v>1559</v>
      </c>
      <c r="J711" s="196"/>
    </row>
    <row r="712" spans="1:10" ht="14.4" hidden="1" outlineLevel="1">
      <c r="A712" s="196" t="s">
        <v>351</v>
      </c>
      <c r="B712" s="197">
        <v>41387</v>
      </c>
      <c r="C712" s="196" t="s">
        <v>1216</v>
      </c>
      <c r="D712" s="196">
        <v>70</v>
      </c>
      <c r="E712" s="196" t="s">
        <v>1216</v>
      </c>
      <c r="F712" s="196">
        <v>69.3</v>
      </c>
      <c r="G712" s="196">
        <f t="shared" si="11"/>
        <v>34.65</v>
      </c>
      <c r="H712" s="196">
        <v>724</v>
      </c>
      <c r="I712" s="196" t="s">
        <v>1558</v>
      </c>
      <c r="J712" s="196"/>
    </row>
    <row r="713" spans="1:10" ht="14.4" hidden="1" outlineLevel="1">
      <c r="A713" s="196" t="s">
        <v>351</v>
      </c>
      <c r="B713" s="197">
        <v>41388</v>
      </c>
      <c r="C713" s="196" t="s">
        <v>1476</v>
      </c>
      <c r="D713" s="196">
        <v>69.5</v>
      </c>
      <c r="E713" s="196" t="s">
        <v>1476</v>
      </c>
      <c r="F713" s="196">
        <v>69.099999999999994</v>
      </c>
      <c r="G713" s="196">
        <f t="shared" si="11"/>
        <v>34.549999999999997</v>
      </c>
      <c r="H713" s="196">
        <v>28386</v>
      </c>
      <c r="I713" s="196" t="s">
        <v>1557</v>
      </c>
      <c r="J713" s="196"/>
    </row>
    <row r="714" spans="1:10" ht="14.4" hidden="1" outlineLevel="1">
      <c r="A714" s="196" t="s">
        <v>351</v>
      </c>
      <c r="B714" s="197">
        <v>41390</v>
      </c>
      <c r="C714" s="196" t="s">
        <v>1224</v>
      </c>
      <c r="D714" s="196">
        <v>69</v>
      </c>
      <c r="E714" s="196" t="s">
        <v>1555</v>
      </c>
      <c r="F714" s="196">
        <v>67.900000000000006</v>
      </c>
      <c r="G714" s="196">
        <f t="shared" si="11"/>
        <v>33.950000000000003</v>
      </c>
      <c r="H714" s="196">
        <v>22221</v>
      </c>
      <c r="I714" s="196" t="s">
        <v>1556</v>
      </c>
      <c r="J714" s="196"/>
    </row>
    <row r="715" spans="1:10" ht="14.4" hidden="1" outlineLevel="1">
      <c r="A715" s="196" t="s">
        <v>351</v>
      </c>
      <c r="B715" s="197">
        <v>41393</v>
      </c>
      <c r="C715" s="196" t="s">
        <v>1553</v>
      </c>
      <c r="D715" s="196">
        <v>70</v>
      </c>
      <c r="E715" s="196" t="s">
        <v>1553</v>
      </c>
      <c r="F715" s="196">
        <v>69.099999999999994</v>
      </c>
      <c r="G715" s="196">
        <f t="shared" si="11"/>
        <v>34.549999999999997</v>
      </c>
      <c r="H715" s="196">
        <v>13309</v>
      </c>
      <c r="I715" s="196" t="s">
        <v>1554</v>
      </c>
      <c r="J715" s="196"/>
    </row>
    <row r="716" spans="1:10" ht="14.4" hidden="1" outlineLevel="1">
      <c r="A716" s="196" t="s">
        <v>351</v>
      </c>
      <c r="B716" s="197">
        <v>41394</v>
      </c>
      <c r="C716" s="196" t="s">
        <v>1224</v>
      </c>
      <c r="D716" s="196">
        <v>69</v>
      </c>
      <c r="E716" s="196" t="s">
        <v>1224</v>
      </c>
      <c r="F716" s="196">
        <v>69</v>
      </c>
      <c r="G716" s="196">
        <f t="shared" si="11"/>
        <v>34.5</v>
      </c>
      <c r="H716" s="196">
        <v>6451</v>
      </c>
      <c r="I716" s="196" t="s">
        <v>1552</v>
      </c>
      <c r="J716" s="196"/>
    </row>
    <row r="717" spans="1:10" ht="14.4" hidden="1" outlineLevel="1">
      <c r="A717" s="196" t="s">
        <v>351</v>
      </c>
      <c r="B717" s="197">
        <v>41396</v>
      </c>
      <c r="C717" s="196" t="s">
        <v>1216</v>
      </c>
      <c r="D717" s="196">
        <v>69</v>
      </c>
      <c r="E717" s="196" t="s">
        <v>1550</v>
      </c>
      <c r="F717" s="196">
        <v>69</v>
      </c>
      <c r="G717" s="196">
        <f t="shared" si="11"/>
        <v>34.5</v>
      </c>
      <c r="H717" s="196">
        <v>27407</v>
      </c>
      <c r="I717" s="196" t="s">
        <v>1551</v>
      </c>
      <c r="J717" s="196"/>
    </row>
    <row r="718" spans="1:10" ht="14.4" hidden="1" outlineLevel="1">
      <c r="A718" s="196" t="s">
        <v>351</v>
      </c>
      <c r="B718" s="197">
        <v>41397</v>
      </c>
      <c r="C718" s="196" t="s">
        <v>1216</v>
      </c>
      <c r="D718" s="196">
        <v>69.900000000000006</v>
      </c>
      <c r="E718" s="196" t="s">
        <v>1216</v>
      </c>
      <c r="F718" s="196">
        <v>69.900000000000006</v>
      </c>
      <c r="G718" s="196">
        <f t="shared" si="11"/>
        <v>34.950000000000003</v>
      </c>
      <c r="H718" s="196">
        <v>18126</v>
      </c>
      <c r="I718" s="196" t="s">
        <v>1549</v>
      </c>
      <c r="J718" s="196"/>
    </row>
    <row r="719" spans="1:10" ht="14.4" hidden="1" outlineLevel="1">
      <c r="A719" s="196" t="s">
        <v>351</v>
      </c>
      <c r="B719" s="197">
        <v>41400</v>
      </c>
      <c r="C719" s="196" t="s">
        <v>1214</v>
      </c>
      <c r="D719" s="196">
        <v>72.3</v>
      </c>
      <c r="E719" s="196" t="s">
        <v>1547</v>
      </c>
      <c r="F719" s="196">
        <v>71.7</v>
      </c>
      <c r="G719" s="196">
        <f t="shared" si="11"/>
        <v>35.85</v>
      </c>
      <c r="H719" s="196">
        <v>333067</v>
      </c>
      <c r="I719" s="196" t="s">
        <v>1548</v>
      </c>
      <c r="J719" s="196"/>
    </row>
    <row r="720" spans="1:10" ht="14.4" hidden="1" outlineLevel="1">
      <c r="A720" s="196" t="s">
        <v>351</v>
      </c>
      <c r="B720" s="197">
        <v>41401</v>
      </c>
      <c r="C720" s="196" t="s">
        <v>1160</v>
      </c>
      <c r="D720" s="196">
        <v>74</v>
      </c>
      <c r="E720" s="196" t="s">
        <v>1160</v>
      </c>
      <c r="F720" s="196">
        <v>72.900000000000006</v>
      </c>
      <c r="G720" s="196">
        <f t="shared" si="11"/>
        <v>36.450000000000003</v>
      </c>
      <c r="H720" s="196">
        <v>28809</v>
      </c>
      <c r="I720" s="196" t="s">
        <v>1546</v>
      </c>
      <c r="J720" s="196"/>
    </row>
    <row r="721" spans="1:10" ht="14.4" hidden="1" outlineLevel="1">
      <c r="A721" s="196" t="s">
        <v>351</v>
      </c>
      <c r="B721" s="197">
        <v>41402</v>
      </c>
      <c r="C721" s="196" t="s">
        <v>983</v>
      </c>
      <c r="D721" s="196">
        <v>77.5</v>
      </c>
      <c r="E721" s="196" t="s">
        <v>1119</v>
      </c>
      <c r="F721" s="196">
        <v>76.900000000000006</v>
      </c>
      <c r="G721" s="196">
        <f t="shared" si="11"/>
        <v>38.450000000000003</v>
      </c>
      <c r="H721" s="196">
        <v>413247</v>
      </c>
      <c r="I721" s="196" t="s">
        <v>1545</v>
      </c>
      <c r="J721" s="196"/>
    </row>
    <row r="722" spans="1:10" ht="14.4" hidden="1" outlineLevel="1">
      <c r="A722" s="196" t="s">
        <v>351</v>
      </c>
      <c r="B722" s="197">
        <v>41403</v>
      </c>
      <c r="C722" s="196" t="s">
        <v>972</v>
      </c>
      <c r="D722" s="196">
        <v>78.900000000000006</v>
      </c>
      <c r="E722" s="196" t="s">
        <v>972</v>
      </c>
      <c r="F722" s="196">
        <v>77.8</v>
      </c>
      <c r="G722" s="196">
        <f t="shared" si="11"/>
        <v>38.9</v>
      </c>
      <c r="H722" s="196">
        <v>262162</v>
      </c>
      <c r="I722" s="196" t="s">
        <v>1544</v>
      </c>
      <c r="J722" s="196"/>
    </row>
    <row r="723" spans="1:10" ht="14.4" hidden="1" outlineLevel="1">
      <c r="A723" s="196" t="s">
        <v>351</v>
      </c>
      <c r="B723" s="197">
        <v>41404</v>
      </c>
      <c r="C723" s="196" t="s">
        <v>997</v>
      </c>
      <c r="D723" s="196">
        <v>80</v>
      </c>
      <c r="E723" s="196" t="s">
        <v>1072</v>
      </c>
      <c r="F723" s="196">
        <v>77.5</v>
      </c>
      <c r="G723" s="196">
        <f t="shared" si="11"/>
        <v>38.75</v>
      </c>
      <c r="H723" s="196">
        <v>158280</v>
      </c>
      <c r="I723" s="196" t="s">
        <v>1543</v>
      </c>
      <c r="J723" s="196"/>
    </row>
    <row r="724" spans="1:10" ht="14.4" hidden="1" outlineLevel="1">
      <c r="A724" s="196" t="s">
        <v>351</v>
      </c>
      <c r="B724" s="197">
        <v>41407</v>
      </c>
      <c r="C724" s="196" t="s">
        <v>974</v>
      </c>
      <c r="D724" s="196">
        <v>77.5</v>
      </c>
      <c r="E724" s="196" t="s">
        <v>987</v>
      </c>
      <c r="F724" s="196">
        <v>77.3</v>
      </c>
      <c r="G724" s="196">
        <f t="shared" si="11"/>
        <v>38.65</v>
      </c>
      <c r="H724" s="196">
        <v>31141</v>
      </c>
      <c r="I724" s="196" t="s">
        <v>1542</v>
      </c>
      <c r="J724" s="196"/>
    </row>
    <row r="725" spans="1:10" ht="14.4" hidden="1" outlineLevel="1">
      <c r="A725" s="196" t="s">
        <v>351</v>
      </c>
      <c r="B725" s="197">
        <v>41408</v>
      </c>
      <c r="C725" s="196" t="s">
        <v>970</v>
      </c>
      <c r="D725" s="196">
        <v>77.400000000000006</v>
      </c>
      <c r="E725" s="196" t="s">
        <v>1082</v>
      </c>
      <c r="F725" s="196">
        <v>75.400000000000006</v>
      </c>
      <c r="G725" s="196">
        <f t="shared" si="11"/>
        <v>37.700000000000003</v>
      </c>
      <c r="H725" s="196">
        <v>5716</v>
      </c>
      <c r="I725" s="196" t="s">
        <v>1541</v>
      </c>
      <c r="J725" s="196"/>
    </row>
    <row r="726" spans="1:10" ht="14.4" hidden="1" outlineLevel="1">
      <c r="A726" s="196" t="s">
        <v>351</v>
      </c>
      <c r="B726" s="197">
        <v>41409</v>
      </c>
      <c r="C726" s="196" t="s">
        <v>1102</v>
      </c>
      <c r="D726" s="196">
        <v>77.400000000000006</v>
      </c>
      <c r="E726" s="196" t="s">
        <v>1082</v>
      </c>
      <c r="F726" s="196">
        <v>75.5</v>
      </c>
      <c r="G726" s="196">
        <f t="shared" si="11"/>
        <v>37.75</v>
      </c>
      <c r="H726" s="196">
        <v>40060</v>
      </c>
      <c r="I726" s="196" t="s">
        <v>1540</v>
      </c>
      <c r="J726" s="196"/>
    </row>
    <row r="727" spans="1:10" ht="14.4" hidden="1" outlineLevel="1">
      <c r="A727" s="196" t="s">
        <v>351</v>
      </c>
      <c r="B727" s="197">
        <v>41410</v>
      </c>
      <c r="C727" s="196" t="s">
        <v>1102</v>
      </c>
      <c r="D727" s="196">
        <v>77.400000000000006</v>
      </c>
      <c r="E727" s="196" t="s">
        <v>1102</v>
      </c>
      <c r="F727" s="196">
        <v>76.599999999999994</v>
      </c>
      <c r="G727" s="196">
        <f t="shared" si="11"/>
        <v>38.299999999999997</v>
      </c>
      <c r="H727" s="196">
        <v>1940</v>
      </c>
      <c r="I727" s="196" t="s">
        <v>1539</v>
      </c>
      <c r="J727" s="196"/>
    </row>
    <row r="728" spans="1:10" ht="14.4" hidden="1" outlineLevel="1">
      <c r="A728" s="196" t="s">
        <v>351</v>
      </c>
      <c r="B728" s="197">
        <v>41411</v>
      </c>
      <c r="C728" s="196" t="s">
        <v>1536</v>
      </c>
      <c r="D728" s="196">
        <v>78</v>
      </c>
      <c r="E728" s="196" t="s">
        <v>1536</v>
      </c>
      <c r="F728" s="196">
        <v>78</v>
      </c>
      <c r="G728" s="196">
        <f t="shared" si="11"/>
        <v>39</v>
      </c>
      <c r="H728" s="196">
        <v>20993</v>
      </c>
      <c r="I728" s="196" t="s">
        <v>1538</v>
      </c>
      <c r="J728" s="196"/>
    </row>
    <row r="729" spans="1:10" ht="14.4" hidden="1" outlineLevel="1">
      <c r="A729" s="196" t="s">
        <v>351</v>
      </c>
      <c r="B729" s="197">
        <v>41414</v>
      </c>
      <c r="C729" s="196" t="s">
        <v>1536</v>
      </c>
      <c r="D729" s="196">
        <v>78</v>
      </c>
      <c r="E729" s="196" t="s">
        <v>1536</v>
      </c>
      <c r="F729" s="196">
        <v>77.099999999999994</v>
      </c>
      <c r="G729" s="196">
        <f t="shared" si="11"/>
        <v>38.549999999999997</v>
      </c>
      <c r="H729" s="196">
        <v>134383</v>
      </c>
      <c r="I729" s="196" t="s">
        <v>1537</v>
      </c>
      <c r="J729" s="196"/>
    </row>
    <row r="730" spans="1:10" ht="14.4" hidden="1" outlineLevel="1">
      <c r="A730" s="196" t="s">
        <v>351</v>
      </c>
      <c r="B730" s="197">
        <v>41415</v>
      </c>
      <c r="C730" s="196" t="s">
        <v>962</v>
      </c>
      <c r="D730" s="196">
        <v>78</v>
      </c>
      <c r="E730" s="196" t="s">
        <v>995</v>
      </c>
      <c r="F730" s="196">
        <v>77.5</v>
      </c>
      <c r="G730" s="196">
        <f t="shared" si="11"/>
        <v>38.75</v>
      </c>
      <c r="H730" s="196">
        <v>3120</v>
      </c>
      <c r="I730" s="196" t="s">
        <v>1535</v>
      </c>
      <c r="J730" s="196"/>
    </row>
    <row r="731" spans="1:10" ht="14.4" hidden="1" outlineLevel="1">
      <c r="A731" s="196" t="s">
        <v>351</v>
      </c>
      <c r="B731" s="197">
        <v>41416</v>
      </c>
      <c r="C731" s="196" t="s">
        <v>974</v>
      </c>
      <c r="D731" s="196">
        <v>77</v>
      </c>
      <c r="E731" s="196" t="s">
        <v>974</v>
      </c>
      <c r="F731" s="196">
        <v>77</v>
      </c>
      <c r="G731" s="196">
        <f t="shared" si="11"/>
        <v>38.5</v>
      </c>
      <c r="H731" s="196">
        <v>1600</v>
      </c>
      <c r="I731" s="196" t="s">
        <v>1534</v>
      </c>
      <c r="J731" s="196"/>
    </row>
    <row r="732" spans="1:10" ht="14.4" hidden="1" outlineLevel="1">
      <c r="A732" s="196" t="s">
        <v>351</v>
      </c>
      <c r="B732" s="197">
        <v>41417</v>
      </c>
      <c r="C732" s="196" t="s">
        <v>1147</v>
      </c>
      <c r="D732" s="196">
        <v>77</v>
      </c>
      <c r="E732" s="196" t="s">
        <v>980</v>
      </c>
      <c r="F732" s="196">
        <v>75.599999999999994</v>
      </c>
      <c r="G732" s="196">
        <f t="shared" si="11"/>
        <v>37.799999999999997</v>
      </c>
      <c r="H732" s="196">
        <v>1525</v>
      </c>
      <c r="I732" s="196" t="s">
        <v>1533</v>
      </c>
      <c r="J732" s="196"/>
    </row>
    <row r="733" spans="1:10" ht="14.4" hidden="1" outlineLevel="1">
      <c r="A733" s="196" t="s">
        <v>351</v>
      </c>
      <c r="B733" s="197">
        <v>41421</v>
      </c>
      <c r="C733" s="196" t="s">
        <v>1085</v>
      </c>
      <c r="D733" s="196">
        <v>74.5</v>
      </c>
      <c r="E733" s="196" t="s">
        <v>983</v>
      </c>
      <c r="F733" s="196">
        <v>74.099999999999994</v>
      </c>
      <c r="G733" s="196">
        <f t="shared" si="11"/>
        <v>37.049999999999997</v>
      </c>
      <c r="H733" s="196">
        <v>1300</v>
      </c>
      <c r="I733" s="196" t="s">
        <v>1532</v>
      </c>
      <c r="J733" s="196"/>
    </row>
    <row r="734" spans="1:10" ht="14.4" hidden="1" outlineLevel="1">
      <c r="A734" s="196" t="s">
        <v>351</v>
      </c>
      <c r="B734" s="197">
        <v>41422</v>
      </c>
      <c r="C734" s="196" t="s">
        <v>1151</v>
      </c>
      <c r="D734" s="196">
        <v>74.400000000000006</v>
      </c>
      <c r="E734" s="196" t="s">
        <v>1151</v>
      </c>
      <c r="F734" s="196">
        <v>74.400000000000006</v>
      </c>
      <c r="G734" s="196">
        <f t="shared" si="11"/>
        <v>37.200000000000003</v>
      </c>
      <c r="H734" s="196">
        <v>8500</v>
      </c>
      <c r="I734" s="196" t="s">
        <v>1531</v>
      </c>
      <c r="J734" s="196"/>
    </row>
    <row r="735" spans="1:10" ht="14.4" hidden="1" outlineLevel="1">
      <c r="A735" s="196" t="s">
        <v>351</v>
      </c>
      <c r="B735" s="197">
        <v>41423</v>
      </c>
      <c r="C735" s="196" t="s">
        <v>983</v>
      </c>
      <c r="D735" s="196">
        <v>74</v>
      </c>
      <c r="E735" s="196" t="s">
        <v>983</v>
      </c>
      <c r="F735" s="196">
        <v>74</v>
      </c>
      <c r="G735" s="196">
        <f t="shared" si="11"/>
        <v>37</v>
      </c>
      <c r="H735" s="196">
        <v>8</v>
      </c>
      <c r="I735" s="196" t="s">
        <v>1530</v>
      </c>
      <c r="J735" s="196"/>
    </row>
    <row r="736" spans="1:10" ht="14.4" hidden="1" outlineLevel="1">
      <c r="A736" s="196" t="s">
        <v>351</v>
      </c>
      <c r="B736" s="197">
        <v>41424</v>
      </c>
      <c r="C736" s="196" t="s">
        <v>980</v>
      </c>
      <c r="D736" s="196">
        <v>75.900000000000006</v>
      </c>
      <c r="E736" s="196" t="s">
        <v>1119</v>
      </c>
      <c r="F736" s="196">
        <v>73</v>
      </c>
      <c r="G736" s="196">
        <f t="shared" si="11"/>
        <v>36.5</v>
      </c>
      <c r="H736" s="196">
        <v>4513</v>
      </c>
      <c r="I736" s="196" t="s">
        <v>1529</v>
      </c>
      <c r="J736" s="196"/>
    </row>
    <row r="737" spans="1:10" ht="14.4" hidden="1" outlineLevel="1">
      <c r="A737" s="196" t="s">
        <v>351</v>
      </c>
      <c r="B737" s="197">
        <v>41425</v>
      </c>
      <c r="C737" s="196" t="s">
        <v>1147</v>
      </c>
      <c r="D737" s="196">
        <v>76.900000000000006</v>
      </c>
      <c r="E737" s="196" t="s">
        <v>1147</v>
      </c>
      <c r="F737" s="196">
        <v>76.8</v>
      </c>
      <c r="G737" s="196">
        <f t="shared" si="11"/>
        <v>38.4</v>
      </c>
      <c r="H737" s="196">
        <v>100</v>
      </c>
      <c r="I737" s="196" t="s">
        <v>1528</v>
      </c>
      <c r="J737" s="196"/>
    </row>
    <row r="738" spans="1:10" ht="14.4" hidden="1" outlineLevel="1">
      <c r="A738" s="196" t="s">
        <v>351</v>
      </c>
      <c r="B738" s="197">
        <v>41428</v>
      </c>
      <c r="C738" s="196" t="s">
        <v>88</v>
      </c>
      <c r="D738" s="196" t="s">
        <v>88</v>
      </c>
      <c r="E738" s="196" t="s">
        <v>88</v>
      </c>
      <c r="F738" s="196">
        <v>76.8</v>
      </c>
      <c r="G738" s="196">
        <f t="shared" si="11"/>
        <v>38.4</v>
      </c>
      <c r="H738" s="196">
        <v>0</v>
      </c>
      <c r="I738" s="196" t="s">
        <v>611</v>
      </c>
      <c r="J738" s="196"/>
    </row>
    <row r="739" spans="1:10" ht="14.4" hidden="1" outlineLevel="1">
      <c r="A739" s="196" t="s">
        <v>351</v>
      </c>
      <c r="B739" s="197">
        <v>41429</v>
      </c>
      <c r="C739" s="196" t="s">
        <v>1526</v>
      </c>
      <c r="D739" s="196">
        <v>75.900000000000006</v>
      </c>
      <c r="E739" s="196" t="s">
        <v>983</v>
      </c>
      <c r="F739" s="196">
        <v>75.400000000000006</v>
      </c>
      <c r="G739" s="196">
        <f t="shared" si="11"/>
        <v>37.700000000000003</v>
      </c>
      <c r="H739" s="196">
        <v>4016</v>
      </c>
      <c r="I739" s="196" t="s">
        <v>1527</v>
      </c>
      <c r="J739" s="196"/>
    </row>
    <row r="740" spans="1:10" ht="14.4" hidden="1" outlineLevel="1">
      <c r="A740" s="196" t="s">
        <v>351</v>
      </c>
      <c r="B740" s="197">
        <v>41430</v>
      </c>
      <c r="C740" s="196" t="s">
        <v>987</v>
      </c>
      <c r="D740" s="196">
        <v>75.400000000000006</v>
      </c>
      <c r="E740" s="196" t="s">
        <v>983</v>
      </c>
      <c r="F740" s="196">
        <v>74.2</v>
      </c>
      <c r="G740" s="196">
        <f t="shared" si="11"/>
        <v>37.1</v>
      </c>
      <c r="H740" s="196">
        <v>5836</v>
      </c>
      <c r="I740" s="196" t="s">
        <v>1525</v>
      </c>
      <c r="J740" s="196"/>
    </row>
    <row r="741" spans="1:10" ht="14.4" hidden="1" outlineLevel="1">
      <c r="A741" s="196" t="s">
        <v>351</v>
      </c>
      <c r="B741" s="197">
        <v>41431</v>
      </c>
      <c r="C741" s="196" t="s">
        <v>1511</v>
      </c>
      <c r="D741" s="196">
        <v>73.5</v>
      </c>
      <c r="E741" s="196" t="s">
        <v>1119</v>
      </c>
      <c r="F741" s="196">
        <v>73</v>
      </c>
      <c r="G741" s="196">
        <f t="shared" si="11"/>
        <v>36.5</v>
      </c>
      <c r="H741" s="196">
        <v>37600</v>
      </c>
      <c r="I741" s="196" t="s">
        <v>1524</v>
      </c>
      <c r="J741" s="196"/>
    </row>
    <row r="742" spans="1:10" ht="14.4" hidden="1" outlineLevel="1">
      <c r="A742" s="196" t="s">
        <v>351</v>
      </c>
      <c r="B742" s="197">
        <v>41432</v>
      </c>
      <c r="C742" s="196" t="s">
        <v>1127</v>
      </c>
      <c r="D742" s="196">
        <v>73</v>
      </c>
      <c r="E742" s="196" t="s">
        <v>1161</v>
      </c>
      <c r="F742" s="196">
        <v>71.5</v>
      </c>
      <c r="G742" s="196">
        <f t="shared" si="11"/>
        <v>35.75</v>
      </c>
      <c r="H742" s="196">
        <v>25615</v>
      </c>
      <c r="I742" s="196" t="s">
        <v>1523</v>
      </c>
      <c r="J742" s="196"/>
    </row>
    <row r="743" spans="1:10" ht="14.4" hidden="1" outlineLevel="1">
      <c r="A743" s="196" t="s">
        <v>351</v>
      </c>
      <c r="B743" s="197">
        <v>41435</v>
      </c>
      <c r="C743" s="196" t="s">
        <v>1516</v>
      </c>
      <c r="D743" s="196">
        <v>71.5</v>
      </c>
      <c r="E743" s="196" t="s">
        <v>1516</v>
      </c>
      <c r="F743" s="196">
        <v>71.099999999999994</v>
      </c>
      <c r="G743" s="196">
        <f t="shared" si="11"/>
        <v>35.549999999999997</v>
      </c>
      <c r="H743" s="196">
        <v>1678</v>
      </c>
      <c r="I743" s="196" t="s">
        <v>1522</v>
      </c>
      <c r="J743" s="196"/>
    </row>
    <row r="744" spans="1:10" ht="14.4" hidden="1" outlineLevel="1">
      <c r="A744" s="196" t="s">
        <v>351</v>
      </c>
      <c r="B744" s="197">
        <v>41436</v>
      </c>
      <c r="C744" s="196" t="s">
        <v>1516</v>
      </c>
      <c r="D744" s="196">
        <v>72.5</v>
      </c>
      <c r="E744" s="196" t="s">
        <v>1161</v>
      </c>
      <c r="F744" s="196">
        <v>71</v>
      </c>
      <c r="G744" s="196">
        <f t="shared" si="11"/>
        <v>35.5</v>
      </c>
      <c r="H744" s="196">
        <v>23765</v>
      </c>
      <c r="I744" s="196" t="s">
        <v>1521</v>
      </c>
      <c r="J744" s="196"/>
    </row>
    <row r="745" spans="1:10" ht="14.4" hidden="1" outlineLevel="1">
      <c r="A745" s="196" t="s">
        <v>351</v>
      </c>
      <c r="B745" s="197">
        <v>41437</v>
      </c>
      <c r="C745" s="196" t="s">
        <v>1519</v>
      </c>
      <c r="D745" s="196">
        <v>70.400000000000006</v>
      </c>
      <c r="E745" s="196" t="s">
        <v>1185</v>
      </c>
      <c r="F745" s="196">
        <v>70.099999999999994</v>
      </c>
      <c r="G745" s="196">
        <f t="shared" si="11"/>
        <v>35.049999999999997</v>
      </c>
      <c r="H745" s="196">
        <v>5635</v>
      </c>
      <c r="I745" s="196" t="s">
        <v>1520</v>
      </c>
      <c r="J745" s="196"/>
    </row>
    <row r="746" spans="1:10" ht="14.4" hidden="1" outlineLevel="1">
      <c r="A746" s="196" t="s">
        <v>351</v>
      </c>
      <c r="B746" s="197">
        <v>41438</v>
      </c>
      <c r="C746" s="196" t="s">
        <v>1178</v>
      </c>
      <c r="D746" s="196">
        <v>72.5</v>
      </c>
      <c r="E746" s="196" t="s">
        <v>1211</v>
      </c>
      <c r="F746" s="196">
        <v>71</v>
      </c>
      <c r="G746" s="196">
        <f t="shared" si="11"/>
        <v>35.5</v>
      </c>
      <c r="H746" s="196">
        <v>20401</v>
      </c>
      <c r="I746" s="196" t="s">
        <v>1518</v>
      </c>
      <c r="J746" s="196"/>
    </row>
    <row r="747" spans="1:10" ht="14.4" hidden="1" outlineLevel="1">
      <c r="A747" s="196" t="s">
        <v>351</v>
      </c>
      <c r="B747" s="197">
        <v>41439</v>
      </c>
      <c r="C747" s="196" t="s">
        <v>1127</v>
      </c>
      <c r="D747" s="196">
        <v>72.400000000000006</v>
      </c>
      <c r="E747" s="196" t="s">
        <v>1516</v>
      </c>
      <c r="F747" s="196">
        <v>71.099999999999994</v>
      </c>
      <c r="G747" s="196">
        <f t="shared" si="11"/>
        <v>35.549999999999997</v>
      </c>
      <c r="H747" s="196">
        <v>2904</v>
      </c>
      <c r="I747" s="196" t="s">
        <v>1517</v>
      </c>
      <c r="J747" s="196"/>
    </row>
    <row r="748" spans="1:10" ht="14.4" hidden="1" outlineLevel="1">
      <c r="A748" s="196" t="s">
        <v>351</v>
      </c>
      <c r="B748" s="197">
        <v>41442</v>
      </c>
      <c r="C748" s="196" t="s">
        <v>1161</v>
      </c>
      <c r="D748" s="196">
        <v>71</v>
      </c>
      <c r="E748" s="196" t="s">
        <v>1161</v>
      </c>
      <c r="F748" s="196">
        <v>71</v>
      </c>
      <c r="G748" s="196">
        <f t="shared" si="11"/>
        <v>35.5</v>
      </c>
      <c r="H748" s="196">
        <v>7</v>
      </c>
      <c r="I748" s="196" t="s">
        <v>1515</v>
      </c>
      <c r="J748" s="196"/>
    </row>
    <row r="749" spans="1:10" ht="14.4" hidden="1" outlineLevel="1">
      <c r="A749" s="196" t="s">
        <v>351</v>
      </c>
      <c r="B749" s="197">
        <v>41443</v>
      </c>
      <c r="C749" s="196" t="s">
        <v>1161</v>
      </c>
      <c r="D749" s="196">
        <v>71.2</v>
      </c>
      <c r="E749" s="196" t="s">
        <v>1161</v>
      </c>
      <c r="F749" s="196">
        <v>71</v>
      </c>
      <c r="G749" s="196">
        <f t="shared" si="11"/>
        <v>35.5</v>
      </c>
      <c r="H749" s="196">
        <v>3360</v>
      </c>
      <c r="I749" s="196" t="s">
        <v>1514</v>
      </c>
      <c r="J749" s="196"/>
    </row>
    <row r="750" spans="1:10" ht="14.4" hidden="1" outlineLevel="1">
      <c r="A750" s="196" t="s">
        <v>351</v>
      </c>
      <c r="B750" s="197">
        <v>41444</v>
      </c>
      <c r="C750" s="196" t="s">
        <v>1161</v>
      </c>
      <c r="D750" s="196">
        <v>71</v>
      </c>
      <c r="E750" s="196" t="s">
        <v>1175</v>
      </c>
      <c r="F750" s="196">
        <v>70.900000000000006</v>
      </c>
      <c r="G750" s="196">
        <f t="shared" si="11"/>
        <v>35.450000000000003</v>
      </c>
      <c r="H750" s="196">
        <v>8457</v>
      </c>
      <c r="I750" s="196" t="s">
        <v>1513</v>
      </c>
      <c r="J750" s="196"/>
    </row>
    <row r="751" spans="1:10" ht="14.4" hidden="1" outlineLevel="1">
      <c r="A751" s="196" t="s">
        <v>351</v>
      </c>
      <c r="B751" s="197">
        <v>41445</v>
      </c>
      <c r="C751" s="196" t="s">
        <v>1511</v>
      </c>
      <c r="D751" s="196">
        <v>73.5</v>
      </c>
      <c r="E751" s="196" t="s">
        <v>1211</v>
      </c>
      <c r="F751" s="196">
        <v>70.2</v>
      </c>
      <c r="G751" s="196">
        <f t="shared" si="11"/>
        <v>35.1</v>
      </c>
      <c r="H751" s="196">
        <v>13431</v>
      </c>
      <c r="I751" s="196" t="s">
        <v>1512</v>
      </c>
      <c r="J751" s="196"/>
    </row>
    <row r="752" spans="1:10" ht="14.4" hidden="1" outlineLevel="1">
      <c r="A752" s="196" t="s">
        <v>351</v>
      </c>
      <c r="B752" s="197">
        <v>41446</v>
      </c>
      <c r="C752" s="196" t="s">
        <v>1211</v>
      </c>
      <c r="D752" s="196">
        <v>71</v>
      </c>
      <c r="E752" s="196" t="s">
        <v>1225</v>
      </c>
      <c r="F752" s="196">
        <v>67.8</v>
      </c>
      <c r="G752" s="196">
        <f t="shared" si="11"/>
        <v>33.9</v>
      </c>
      <c r="H752" s="196">
        <v>19483</v>
      </c>
      <c r="I752" s="196" t="s">
        <v>1510</v>
      </c>
      <c r="J752" s="196"/>
    </row>
    <row r="753" spans="1:10" ht="14.4" hidden="1" outlineLevel="1">
      <c r="A753" s="196" t="s">
        <v>351</v>
      </c>
      <c r="B753" s="197">
        <v>41449</v>
      </c>
      <c r="C753" s="196" t="s">
        <v>88</v>
      </c>
      <c r="D753" s="196" t="s">
        <v>88</v>
      </c>
      <c r="E753" s="196" t="s">
        <v>88</v>
      </c>
      <c r="F753" s="196">
        <v>67.8</v>
      </c>
      <c r="G753" s="196">
        <f t="shared" si="11"/>
        <v>33.9</v>
      </c>
      <c r="H753" s="196">
        <v>0</v>
      </c>
      <c r="I753" s="196" t="s">
        <v>611</v>
      </c>
      <c r="J753" s="196"/>
    </row>
    <row r="754" spans="1:10" ht="14.4" hidden="1" outlineLevel="1">
      <c r="A754" s="196" t="s">
        <v>351</v>
      </c>
      <c r="B754" s="197">
        <v>41450</v>
      </c>
      <c r="C754" s="196" t="s">
        <v>88</v>
      </c>
      <c r="D754" s="196" t="s">
        <v>88</v>
      </c>
      <c r="E754" s="196" t="s">
        <v>88</v>
      </c>
      <c r="F754" s="196">
        <v>67.8</v>
      </c>
      <c r="G754" s="196">
        <f t="shared" si="11"/>
        <v>33.9</v>
      </c>
      <c r="H754" s="196">
        <v>0</v>
      </c>
      <c r="I754" s="196" t="s">
        <v>611</v>
      </c>
      <c r="J754" s="196"/>
    </row>
    <row r="755" spans="1:10" ht="14.4" hidden="1" outlineLevel="1">
      <c r="A755" s="196" t="s">
        <v>351</v>
      </c>
      <c r="B755" s="197">
        <v>41451</v>
      </c>
      <c r="C755" s="196" t="s">
        <v>1508</v>
      </c>
      <c r="D755" s="196">
        <v>69.900000000000006</v>
      </c>
      <c r="E755" s="196" t="s">
        <v>1231</v>
      </c>
      <c r="F755" s="196">
        <v>67.5</v>
      </c>
      <c r="G755" s="196">
        <f t="shared" si="11"/>
        <v>33.75</v>
      </c>
      <c r="H755" s="196">
        <v>28870</v>
      </c>
      <c r="I755" s="196" t="s">
        <v>1509</v>
      </c>
      <c r="J755" s="196"/>
    </row>
    <row r="756" spans="1:10" ht="14.4" hidden="1" outlineLevel="1">
      <c r="A756" s="196" t="s">
        <v>351</v>
      </c>
      <c r="B756" s="197">
        <v>41452</v>
      </c>
      <c r="C756" s="196" t="s">
        <v>1224</v>
      </c>
      <c r="D756" s="196">
        <v>68</v>
      </c>
      <c r="E756" s="196" t="s">
        <v>1224</v>
      </c>
      <c r="F756" s="196">
        <v>68</v>
      </c>
      <c r="G756" s="196">
        <f t="shared" si="11"/>
        <v>34</v>
      </c>
      <c r="H756" s="196">
        <v>10007</v>
      </c>
      <c r="I756" s="196" t="s">
        <v>1507</v>
      </c>
      <c r="J756" s="196"/>
    </row>
    <row r="757" spans="1:10" ht="14.4" hidden="1" outlineLevel="1">
      <c r="A757" s="196" t="s">
        <v>351</v>
      </c>
      <c r="B757" s="197">
        <v>41453</v>
      </c>
      <c r="C757" s="196" t="s">
        <v>1220</v>
      </c>
      <c r="D757" s="196">
        <v>68.5</v>
      </c>
      <c r="E757" s="196" t="s">
        <v>1220</v>
      </c>
      <c r="F757" s="196">
        <v>68.5</v>
      </c>
      <c r="G757" s="196">
        <f t="shared" si="11"/>
        <v>34.25</v>
      </c>
      <c r="H757" s="196">
        <v>200</v>
      </c>
      <c r="I757" s="196" t="s">
        <v>1506</v>
      </c>
      <c r="J757" s="196"/>
    </row>
    <row r="758" spans="1:10" ht="14.4" hidden="1" outlineLevel="1">
      <c r="A758" s="196" t="s">
        <v>351</v>
      </c>
      <c r="B758" s="197">
        <v>41456</v>
      </c>
      <c r="C758" s="196" t="s">
        <v>1504</v>
      </c>
      <c r="D758" s="196">
        <v>69.900000000000006</v>
      </c>
      <c r="E758" s="196" t="s">
        <v>1220</v>
      </c>
      <c r="F758" s="196">
        <v>69.8</v>
      </c>
      <c r="G758" s="196">
        <f t="shared" si="11"/>
        <v>34.9</v>
      </c>
      <c r="H758" s="196">
        <v>44409</v>
      </c>
      <c r="I758" s="196" t="s">
        <v>1505</v>
      </c>
      <c r="J758" s="196"/>
    </row>
    <row r="759" spans="1:10" ht="14.4" hidden="1" outlineLevel="1">
      <c r="A759" s="196" t="s">
        <v>351</v>
      </c>
      <c r="B759" s="197">
        <v>41457</v>
      </c>
      <c r="C759" s="196" t="s">
        <v>1500</v>
      </c>
      <c r="D759" s="196">
        <v>70</v>
      </c>
      <c r="E759" s="196" t="s">
        <v>1500</v>
      </c>
      <c r="F759" s="196">
        <v>70</v>
      </c>
      <c r="G759" s="196">
        <f t="shared" si="11"/>
        <v>35</v>
      </c>
      <c r="H759" s="196">
        <v>57287</v>
      </c>
      <c r="I759" s="196" t="s">
        <v>1503</v>
      </c>
      <c r="J759" s="196"/>
    </row>
    <row r="760" spans="1:10" ht="14.4" hidden="1" outlineLevel="1">
      <c r="A760" s="196" t="s">
        <v>351</v>
      </c>
      <c r="B760" s="197">
        <v>41458</v>
      </c>
      <c r="C760" s="196" t="s">
        <v>1211</v>
      </c>
      <c r="D760" s="196">
        <v>70</v>
      </c>
      <c r="E760" s="196" t="s">
        <v>1211</v>
      </c>
      <c r="F760" s="196">
        <v>70</v>
      </c>
      <c r="G760" s="196">
        <f t="shared" si="11"/>
        <v>35</v>
      </c>
      <c r="H760" s="196">
        <v>1100</v>
      </c>
      <c r="I760" s="196" t="s">
        <v>1502</v>
      </c>
      <c r="J760" s="196"/>
    </row>
    <row r="761" spans="1:10" ht="14.4" hidden="1" outlineLevel="1">
      <c r="A761" s="196" t="s">
        <v>351</v>
      </c>
      <c r="B761" s="197">
        <v>41459</v>
      </c>
      <c r="C761" s="196" t="s">
        <v>88</v>
      </c>
      <c r="D761" s="196" t="s">
        <v>88</v>
      </c>
      <c r="E761" s="196" t="s">
        <v>88</v>
      </c>
      <c r="F761" s="196">
        <v>70</v>
      </c>
      <c r="G761" s="196">
        <f t="shared" si="11"/>
        <v>35</v>
      </c>
      <c r="H761" s="196">
        <v>0</v>
      </c>
      <c r="I761" s="196" t="s">
        <v>611</v>
      </c>
      <c r="J761" s="196"/>
    </row>
    <row r="762" spans="1:10" ht="14.4" hidden="1" outlineLevel="1">
      <c r="A762" s="196" t="s">
        <v>351</v>
      </c>
      <c r="B762" s="197">
        <v>41460</v>
      </c>
      <c r="C762" s="196" t="s">
        <v>1366</v>
      </c>
      <c r="D762" s="196">
        <v>69.5</v>
      </c>
      <c r="E762" s="196" t="s">
        <v>1500</v>
      </c>
      <c r="F762" s="196">
        <v>69.400000000000006</v>
      </c>
      <c r="G762" s="196">
        <f t="shared" si="11"/>
        <v>34.700000000000003</v>
      </c>
      <c r="H762" s="196">
        <v>2490</v>
      </c>
      <c r="I762" s="196" t="s">
        <v>1501</v>
      </c>
      <c r="J762" s="196"/>
    </row>
    <row r="763" spans="1:10" ht="14.4" hidden="1" outlineLevel="1">
      <c r="A763" s="196" t="s">
        <v>351</v>
      </c>
      <c r="B763" s="197">
        <v>41463</v>
      </c>
      <c r="C763" s="196" t="s">
        <v>1216</v>
      </c>
      <c r="D763" s="196">
        <v>70</v>
      </c>
      <c r="E763" s="196" t="s">
        <v>1498</v>
      </c>
      <c r="F763" s="196">
        <v>70</v>
      </c>
      <c r="G763" s="196">
        <f t="shared" si="11"/>
        <v>35</v>
      </c>
      <c r="H763" s="196">
        <v>52904</v>
      </c>
      <c r="I763" s="196" t="s">
        <v>1499</v>
      </c>
      <c r="J763" s="196"/>
    </row>
    <row r="764" spans="1:10" ht="14.4" hidden="1" outlineLevel="1">
      <c r="A764" s="196" t="s">
        <v>351</v>
      </c>
      <c r="B764" s="197">
        <v>41464</v>
      </c>
      <c r="C764" s="196" t="s">
        <v>1211</v>
      </c>
      <c r="D764" s="196">
        <v>70</v>
      </c>
      <c r="E764" s="196" t="s">
        <v>1211</v>
      </c>
      <c r="F764" s="196">
        <v>70</v>
      </c>
      <c r="G764" s="196">
        <f t="shared" si="11"/>
        <v>35</v>
      </c>
      <c r="H764" s="196">
        <v>19000</v>
      </c>
      <c r="I764" s="196" t="s">
        <v>1497</v>
      </c>
      <c r="J764" s="196"/>
    </row>
    <row r="765" spans="1:10" ht="14.4" hidden="1" outlineLevel="1">
      <c r="A765" s="196" t="s">
        <v>351</v>
      </c>
      <c r="B765" s="197">
        <v>41465</v>
      </c>
      <c r="C765" s="196" t="s">
        <v>1211</v>
      </c>
      <c r="D765" s="196">
        <v>70</v>
      </c>
      <c r="E765" s="196" t="s">
        <v>1214</v>
      </c>
      <c r="F765" s="196">
        <v>69.900000000000006</v>
      </c>
      <c r="G765" s="196">
        <f t="shared" si="11"/>
        <v>34.950000000000003</v>
      </c>
      <c r="H765" s="196">
        <v>250</v>
      </c>
      <c r="I765" s="196" t="s">
        <v>1496</v>
      </c>
      <c r="J765" s="196"/>
    </row>
    <row r="766" spans="1:10" ht="14.4" hidden="1" outlineLevel="1">
      <c r="A766" s="196" t="s">
        <v>351</v>
      </c>
      <c r="B766" s="197">
        <v>41466</v>
      </c>
      <c r="C766" s="196" t="s">
        <v>88</v>
      </c>
      <c r="D766" s="196" t="s">
        <v>88</v>
      </c>
      <c r="E766" s="196" t="s">
        <v>88</v>
      </c>
      <c r="F766" s="196">
        <v>69.900000000000006</v>
      </c>
      <c r="G766" s="196">
        <f t="shared" si="11"/>
        <v>34.950000000000003</v>
      </c>
      <c r="H766" s="196">
        <v>0</v>
      </c>
      <c r="I766" s="196" t="s">
        <v>611</v>
      </c>
      <c r="J766" s="196"/>
    </row>
    <row r="767" spans="1:10" ht="14.4" hidden="1" outlineLevel="1">
      <c r="A767" s="196" t="s">
        <v>351</v>
      </c>
      <c r="B767" s="197">
        <v>41467</v>
      </c>
      <c r="C767" s="196" t="s">
        <v>88</v>
      </c>
      <c r="D767" s="196" t="s">
        <v>88</v>
      </c>
      <c r="E767" s="196" t="s">
        <v>88</v>
      </c>
      <c r="F767" s="196">
        <v>69.900000000000006</v>
      </c>
      <c r="G767" s="196">
        <f t="shared" si="11"/>
        <v>34.950000000000003</v>
      </c>
      <c r="H767" s="196">
        <v>0</v>
      </c>
      <c r="I767" s="196" t="s">
        <v>611</v>
      </c>
      <c r="J767" s="196"/>
    </row>
    <row r="768" spans="1:10" ht="14.4" hidden="1" outlineLevel="1">
      <c r="A768" s="196" t="s">
        <v>351</v>
      </c>
      <c r="B768" s="197">
        <v>41470</v>
      </c>
      <c r="C768" s="196" t="s">
        <v>1478</v>
      </c>
      <c r="D768" s="196">
        <v>67.5</v>
      </c>
      <c r="E768" s="196" t="s">
        <v>1225</v>
      </c>
      <c r="F768" s="196">
        <v>67.400000000000006</v>
      </c>
      <c r="G768" s="196">
        <f t="shared" si="11"/>
        <v>33.700000000000003</v>
      </c>
      <c r="H768" s="196">
        <v>1700</v>
      </c>
      <c r="I768" s="196" t="s">
        <v>1495</v>
      </c>
      <c r="J768" s="196"/>
    </row>
    <row r="769" spans="1:10" ht="14.4" hidden="1" outlineLevel="1">
      <c r="A769" s="196" t="s">
        <v>351</v>
      </c>
      <c r="B769" s="197">
        <v>41471</v>
      </c>
      <c r="C769" s="196" t="s">
        <v>88</v>
      </c>
      <c r="D769" s="196" t="s">
        <v>88</v>
      </c>
      <c r="E769" s="196" t="s">
        <v>88</v>
      </c>
      <c r="F769" s="196">
        <v>67.400000000000006</v>
      </c>
      <c r="G769" s="196">
        <f t="shared" si="11"/>
        <v>33.700000000000003</v>
      </c>
      <c r="H769" s="196">
        <v>0</v>
      </c>
      <c r="I769" s="196" t="s">
        <v>611</v>
      </c>
      <c r="J769" s="196"/>
    </row>
    <row r="770" spans="1:10" ht="14.4" hidden="1" outlineLevel="1">
      <c r="A770" s="196" t="s">
        <v>351</v>
      </c>
      <c r="B770" s="197">
        <v>41472</v>
      </c>
      <c r="C770" s="196" t="s">
        <v>1225</v>
      </c>
      <c r="D770" s="196">
        <v>67</v>
      </c>
      <c r="E770" s="196" t="s">
        <v>1225</v>
      </c>
      <c r="F770" s="196">
        <v>67</v>
      </c>
      <c r="G770" s="196">
        <f t="shared" si="11"/>
        <v>33.5</v>
      </c>
      <c r="H770" s="196">
        <v>200</v>
      </c>
      <c r="I770" s="196" t="s">
        <v>1486</v>
      </c>
      <c r="J770" s="196"/>
    </row>
    <row r="771" spans="1:10" ht="14.4" hidden="1" outlineLevel="1">
      <c r="A771" s="196" t="s">
        <v>351</v>
      </c>
      <c r="B771" s="197">
        <v>41473</v>
      </c>
      <c r="C771" s="196" t="s">
        <v>1231</v>
      </c>
      <c r="D771" s="196">
        <v>67.5</v>
      </c>
      <c r="E771" s="196" t="s">
        <v>1231</v>
      </c>
      <c r="F771" s="196">
        <v>67.5</v>
      </c>
      <c r="G771" s="196">
        <f t="shared" si="11"/>
        <v>33.75</v>
      </c>
      <c r="H771" s="196">
        <v>150</v>
      </c>
      <c r="I771" s="196" t="s">
        <v>1494</v>
      </c>
      <c r="J771" s="196"/>
    </row>
    <row r="772" spans="1:10" ht="14.4" hidden="1" outlineLevel="1">
      <c r="A772" s="196" t="s">
        <v>351</v>
      </c>
      <c r="B772" s="197">
        <v>41474</v>
      </c>
      <c r="C772" s="196" t="s">
        <v>1231</v>
      </c>
      <c r="D772" s="196">
        <v>69.900000000000006</v>
      </c>
      <c r="E772" s="196" t="s">
        <v>1231</v>
      </c>
      <c r="F772" s="196">
        <v>69.900000000000006</v>
      </c>
      <c r="G772" s="196">
        <f t="shared" si="11"/>
        <v>34.950000000000003</v>
      </c>
      <c r="H772" s="196">
        <v>246</v>
      </c>
      <c r="I772" s="196" t="s">
        <v>1493</v>
      </c>
      <c r="J772" s="196"/>
    </row>
    <row r="773" spans="1:10" ht="14.4" hidden="1" outlineLevel="1">
      <c r="A773" s="196" t="s">
        <v>351</v>
      </c>
      <c r="B773" s="197">
        <v>41478</v>
      </c>
      <c r="C773" s="196" t="s">
        <v>1488</v>
      </c>
      <c r="D773" s="196">
        <v>69.7</v>
      </c>
      <c r="E773" s="196" t="s">
        <v>1488</v>
      </c>
      <c r="F773" s="196">
        <v>69.7</v>
      </c>
      <c r="G773" s="196">
        <f t="shared" ref="G773:G836" si="12">F773/2</f>
        <v>34.85</v>
      </c>
      <c r="H773" s="196">
        <v>65</v>
      </c>
      <c r="I773" s="196" t="s">
        <v>1492</v>
      </c>
      <c r="J773" s="196"/>
    </row>
    <row r="774" spans="1:10" ht="14.4" hidden="1" outlineLevel="1">
      <c r="A774" s="196" t="s">
        <v>351</v>
      </c>
      <c r="B774" s="197">
        <v>41479</v>
      </c>
      <c r="C774" s="196" t="s">
        <v>1222</v>
      </c>
      <c r="D774" s="196">
        <v>67.099999999999994</v>
      </c>
      <c r="E774" s="196" t="s">
        <v>1232</v>
      </c>
      <c r="F774" s="196">
        <v>66.7</v>
      </c>
      <c r="G774" s="196">
        <f t="shared" si="12"/>
        <v>33.35</v>
      </c>
      <c r="H774" s="196">
        <v>3810</v>
      </c>
      <c r="I774" s="196" t="s">
        <v>1491</v>
      </c>
      <c r="J774" s="196"/>
    </row>
    <row r="775" spans="1:10" ht="14.4" hidden="1" outlineLevel="1">
      <c r="A775" s="196" t="s">
        <v>351</v>
      </c>
      <c r="B775" s="197">
        <v>41480</v>
      </c>
      <c r="C775" s="196" t="s">
        <v>1231</v>
      </c>
      <c r="D775" s="196">
        <v>67.599999999999994</v>
      </c>
      <c r="E775" s="196" t="s">
        <v>1231</v>
      </c>
      <c r="F775" s="196">
        <v>67.5</v>
      </c>
      <c r="G775" s="196">
        <f t="shared" si="12"/>
        <v>33.75</v>
      </c>
      <c r="H775" s="196">
        <v>950</v>
      </c>
      <c r="I775" s="196" t="s">
        <v>1490</v>
      </c>
      <c r="J775" s="196"/>
    </row>
    <row r="776" spans="1:10" ht="14.4" hidden="1" outlineLevel="1">
      <c r="A776" s="196" t="s">
        <v>351</v>
      </c>
      <c r="B776" s="197">
        <v>41481</v>
      </c>
      <c r="C776" s="196" t="s">
        <v>1488</v>
      </c>
      <c r="D776" s="196">
        <v>69.7</v>
      </c>
      <c r="E776" s="196" t="s">
        <v>1231</v>
      </c>
      <c r="F776" s="196">
        <v>69.7</v>
      </c>
      <c r="G776" s="196">
        <f t="shared" si="12"/>
        <v>34.85</v>
      </c>
      <c r="H776" s="196">
        <v>5580</v>
      </c>
      <c r="I776" s="196" t="s">
        <v>1489</v>
      </c>
      <c r="J776" s="196"/>
    </row>
    <row r="777" spans="1:10" ht="14.4" hidden="1" outlineLevel="1">
      <c r="A777" s="196" t="s">
        <v>351</v>
      </c>
      <c r="B777" s="197">
        <v>41484</v>
      </c>
      <c r="C777" s="196" t="s">
        <v>1216</v>
      </c>
      <c r="D777" s="196">
        <v>69</v>
      </c>
      <c r="E777" s="196" t="s">
        <v>1225</v>
      </c>
      <c r="F777" s="196">
        <v>67.5</v>
      </c>
      <c r="G777" s="196">
        <f t="shared" si="12"/>
        <v>33.75</v>
      </c>
      <c r="H777" s="196">
        <v>4702</v>
      </c>
      <c r="I777" s="196" t="s">
        <v>1487</v>
      </c>
      <c r="J777" s="196"/>
    </row>
    <row r="778" spans="1:10" ht="14.4" hidden="1" outlineLevel="1">
      <c r="A778" s="196" t="s">
        <v>351</v>
      </c>
      <c r="B778" s="197">
        <v>41485</v>
      </c>
      <c r="C778" s="196" t="s">
        <v>88</v>
      </c>
      <c r="D778" s="196" t="s">
        <v>88</v>
      </c>
      <c r="E778" s="196" t="s">
        <v>88</v>
      </c>
      <c r="F778" s="196">
        <v>67.5</v>
      </c>
      <c r="G778" s="196">
        <f t="shared" si="12"/>
        <v>33.75</v>
      </c>
      <c r="H778" s="196">
        <v>0</v>
      </c>
      <c r="I778" s="196" t="s">
        <v>611</v>
      </c>
      <c r="J778" s="196"/>
    </row>
    <row r="779" spans="1:10" ht="14.4" hidden="1" outlineLevel="1">
      <c r="A779" s="196" t="s">
        <v>351</v>
      </c>
      <c r="B779" s="197">
        <v>41486</v>
      </c>
      <c r="C779" s="196" t="s">
        <v>1225</v>
      </c>
      <c r="D779" s="196">
        <v>67</v>
      </c>
      <c r="E779" s="196" t="s">
        <v>1225</v>
      </c>
      <c r="F779" s="196">
        <v>67</v>
      </c>
      <c r="G779" s="196">
        <f t="shared" si="12"/>
        <v>33.5</v>
      </c>
      <c r="H779" s="196">
        <v>200</v>
      </c>
      <c r="I779" s="196" t="s">
        <v>1486</v>
      </c>
      <c r="J779" s="196"/>
    </row>
    <row r="780" spans="1:10" ht="14.4" hidden="1" outlineLevel="1">
      <c r="A780" s="196" t="s">
        <v>351</v>
      </c>
      <c r="B780" s="197">
        <v>41487</v>
      </c>
      <c r="C780" s="196" t="s">
        <v>1216</v>
      </c>
      <c r="D780" s="196">
        <v>69</v>
      </c>
      <c r="E780" s="196" t="s">
        <v>1216</v>
      </c>
      <c r="F780" s="196">
        <v>69</v>
      </c>
      <c r="G780" s="196">
        <f t="shared" si="12"/>
        <v>34.5</v>
      </c>
      <c r="H780" s="196">
        <v>300</v>
      </c>
      <c r="I780" s="196" t="s">
        <v>1485</v>
      </c>
      <c r="J780" s="196"/>
    </row>
    <row r="781" spans="1:10" ht="14.4" hidden="1" outlineLevel="1">
      <c r="A781" s="196" t="s">
        <v>351</v>
      </c>
      <c r="B781" s="197">
        <v>41488</v>
      </c>
      <c r="C781" s="196" t="s">
        <v>1222</v>
      </c>
      <c r="D781" s="196">
        <v>67.5</v>
      </c>
      <c r="E781" s="196" t="s">
        <v>1225</v>
      </c>
      <c r="F781" s="196">
        <v>67.099999999999994</v>
      </c>
      <c r="G781" s="196">
        <f t="shared" si="12"/>
        <v>33.549999999999997</v>
      </c>
      <c r="H781" s="196">
        <v>8422</v>
      </c>
      <c r="I781" s="196" t="s">
        <v>1484</v>
      </c>
      <c r="J781" s="196"/>
    </row>
    <row r="782" spans="1:10" ht="14.4" hidden="1" outlineLevel="1">
      <c r="A782" s="196" t="s">
        <v>351</v>
      </c>
      <c r="B782" s="197">
        <v>41491</v>
      </c>
      <c r="C782" s="196" t="s">
        <v>1222</v>
      </c>
      <c r="D782" s="196">
        <v>67.099999999999994</v>
      </c>
      <c r="E782" s="196" t="s">
        <v>1222</v>
      </c>
      <c r="F782" s="196">
        <v>67.099999999999994</v>
      </c>
      <c r="G782" s="196">
        <f t="shared" si="12"/>
        <v>33.549999999999997</v>
      </c>
      <c r="H782" s="196">
        <v>11722</v>
      </c>
      <c r="I782" s="196" t="s">
        <v>1483</v>
      </c>
      <c r="J782" s="196"/>
    </row>
    <row r="783" spans="1:10" ht="14.4" hidden="1" outlineLevel="1">
      <c r="A783" s="196" t="s">
        <v>351</v>
      </c>
      <c r="B783" s="197">
        <v>41492</v>
      </c>
      <c r="C783" s="196" t="s">
        <v>1222</v>
      </c>
      <c r="D783" s="196">
        <v>67.5</v>
      </c>
      <c r="E783" s="196" t="s">
        <v>1225</v>
      </c>
      <c r="F783" s="196">
        <v>67</v>
      </c>
      <c r="G783" s="196">
        <f t="shared" si="12"/>
        <v>33.5</v>
      </c>
      <c r="H783" s="196">
        <v>28760</v>
      </c>
      <c r="I783" s="196" t="s">
        <v>1482</v>
      </c>
      <c r="J783" s="196"/>
    </row>
    <row r="784" spans="1:10" ht="14.4" hidden="1" outlineLevel="1">
      <c r="A784" s="196" t="s">
        <v>351</v>
      </c>
      <c r="B784" s="197">
        <v>41493</v>
      </c>
      <c r="C784" s="196" t="s">
        <v>1222</v>
      </c>
      <c r="D784" s="196">
        <v>67.2</v>
      </c>
      <c r="E784" s="196" t="s">
        <v>1222</v>
      </c>
      <c r="F784" s="196">
        <v>67.099999999999994</v>
      </c>
      <c r="G784" s="196">
        <f t="shared" si="12"/>
        <v>33.549999999999997</v>
      </c>
      <c r="H784" s="196">
        <v>29878</v>
      </c>
      <c r="I784" s="196" t="s">
        <v>1481</v>
      </c>
      <c r="J784" s="196"/>
    </row>
    <row r="785" spans="1:10" ht="14.4" hidden="1" outlineLevel="1">
      <c r="A785" s="196" t="s">
        <v>351</v>
      </c>
      <c r="B785" s="197">
        <v>41494</v>
      </c>
      <c r="C785" s="196" t="s">
        <v>1224</v>
      </c>
      <c r="D785" s="196">
        <v>68</v>
      </c>
      <c r="E785" s="196" t="s">
        <v>1222</v>
      </c>
      <c r="F785" s="196">
        <v>67.2</v>
      </c>
      <c r="G785" s="196">
        <f t="shared" si="12"/>
        <v>33.6</v>
      </c>
      <c r="H785" s="196">
        <v>2189</v>
      </c>
      <c r="I785" s="196" t="s">
        <v>1480</v>
      </c>
      <c r="J785" s="196"/>
    </row>
    <row r="786" spans="1:10" ht="14.4" hidden="1" outlineLevel="1">
      <c r="A786" s="196" t="s">
        <v>351</v>
      </c>
      <c r="B786" s="197">
        <v>41498</v>
      </c>
      <c r="C786" s="196" t="s">
        <v>1478</v>
      </c>
      <c r="D786" s="196">
        <v>67.3</v>
      </c>
      <c r="E786" s="196" t="s">
        <v>1225</v>
      </c>
      <c r="F786" s="196">
        <v>67.2</v>
      </c>
      <c r="G786" s="196">
        <f t="shared" si="12"/>
        <v>33.6</v>
      </c>
      <c r="H786" s="196">
        <v>22685</v>
      </c>
      <c r="I786" s="196" t="s">
        <v>1479</v>
      </c>
      <c r="J786" s="196"/>
    </row>
    <row r="787" spans="1:10" ht="14.4" hidden="1" outlineLevel="1">
      <c r="A787" s="196" t="s">
        <v>351</v>
      </c>
      <c r="B787" s="197">
        <v>41499</v>
      </c>
      <c r="C787" s="196" t="s">
        <v>1476</v>
      </c>
      <c r="D787" s="196">
        <v>67.2</v>
      </c>
      <c r="E787" s="196" t="s">
        <v>1476</v>
      </c>
      <c r="F787" s="196">
        <v>67.2</v>
      </c>
      <c r="G787" s="196">
        <f t="shared" si="12"/>
        <v>33.6</v>
      </c>
      <c r="H787" s="196">
        <v>4500</v>
      </c>
      <c r="I787" s="196" t="s">
        <v>1477</v>
      </c>
      <c r="J787" s="196"/>
    </row>
    <row r="788" spans="1:10" ht="14.4" hidden="1" outlineLevel="1">
      <c r="A788" s="196" t="s">
        <v>351</v>
      </c>
      <c r="B788" s="197">
        <v>41500</v>
      </c>
      <c r="C788" s="196" t="s">
        <v>1222</v>
      </c>
      <c r="D788" s="196">
        <v>67.099999999999994</v>
      </c>
      <c r="E788" s="196" t="s">
        <v>1222</v>
      </c>
      <c r="F788" s="196">
        <v>67.099999999999994</v>
      </c>
      <c r="G788" s="196">
        <f t="shared" si="12"/>
        <v>33.549999999999997</v>
      </c>
      <c r="H788" s="196">
        <v>1000</v>
      </c>
      <c r="I788" s="196" t="s">
        <v>1475</v>
      </c>
      <c r="J788" s="196"/>
    </row>
    <row r="789" spans="1:10" ht="14.4" hidden="1" outlineLevel="1">
      <c r="A789" s="196" t="s">
        <v>351</v>
      </c>
      <c r="B789" s="197">
        <v>41501</v>
      </c>
      <c r="C789" s="196" t="s">
        <v>1222</v>
      </c>
      <c r="D789" s="196">
        <v>67.099999999999994</v>
      </c>
      <c r="E789" s="196" t="s">
        <v>1225</v>
      </c>
      <c r="F789" s="196">
        <v>67</v>
      </c>
      <c r="G789" s="196">
        <f t="shared" si="12"/>
        <v>33.5</v>
      </c>
      <c r="H789" s="196">
        <v>1295</v>
      </c>
      <c r="I789" s="196" t="s">
        <v>1474</v>
      </c>
      <c r="J789" s="196"/>
    </row>
    <row r="790" spans="1:10" ht="14.4" hidden="1" outlineLevel="1">
      <c r="A790" s="196" t="s">
        <v>351</v>
      </c>
      <c r="B790" s="197">
        <v>41502</v>
      </c>
      <c r="C790" s="196" t="s">
        <v>1216</v>
      </c>
      <c r="D790" s="196">
        <v>69</v>
      </c>
      <c r="E790" s="196" t="s">
        <v>1216</v>
      </c>
      <c r="F790" s="196">
        <v>69</v>
      </c>
      <c r="G790" s="196">
        <f t="shared" si="12"/>
        <v>34.5</v>
      </c>
      <c r="H790" s="196">
        <v>1</v>
      </c>
      <c r="I790" s="196" t="s">
        <v>1473</v>
      </c>
      <c r="J790" s="196"/>
    </row>
    <row r="791" spans="1:10" ht="14.4" hidden="1" outlineLevel="1">
      <c r="A791" s="196" t="s">
        <v>351</v>
      </c>
      <c r="B791" s="197">
        <v>41505</v>
      </c>
      <c r="C791" s="196" t="s">
        <v>88</v>
      </c>
      <c r="D791" s="196" t="s">
        <v>88</v>
      </c>
      <c r="E791" s="196" t="s">
        <v>88</v>
      </c>
      <c r="F791" s="196">
        <v>69</v>
      </c>
      <c r="G791" s="196">
        <f t="shared" si="12"/>
        <v>34.5</v>
      </c>
      <c r="H791" s="196">
        <v>0</v>
      </c>
      <c r="I791" s="196" t="s">
        <v>611</v>
      </c>
      <c r="J791" s="196"/>
    </row>
    <row r="792" spans="1:10" ht="14.4" hidden="1" outlineLevel="1">
      <c r="A792" s="196" t="s">
        <v>351</v>
      </c>
      <c r="B792" s="197">
        <v>41507</v>
      </c>
      <c r="C792" s="196" t="s">
        <v>1220</v>
      </c>
      <c r="D792" s="196">
        <v>68.5</v>
      </c>
      <c r="E792" s="196" t="s">
        <v>1220</v>
      </c>
      <c r="F792" s="196">
        <v>68.5</v>
      </c>
      <c r="G792" s="196">
        <f t="shared" si="12"/>
        <v>34.25</v>
      </c>
      <c r="H792" s="196">
        <v>1</v>
      </c>
      <c r="I792" s="196" t="s">
        <v>1472</v>
      </c>
      <c r="J792" s="196"/>
    </row>
    <row r="793" spans="1:10" ht="14.4" hidden="1" outlineLevel="1">
      <c r="A793" s="196" t="s">
        <v>351</v>
      </c>
      <c r="B793" s="197">
        <v>41508</v>
      </c>
      <c r="C793" s="196" t="s">
        <v>1225</v>
      </c>
      <c r="D793" s="196">
        <v>68</v>
      </c>
      <c r="E793" s="196" t="s">
        <v>1225</v>
      </c>
      <c r="F793" s="196">
        <v>68</v>
      </c>
      <c r="G793" s="196">
        <f t="shared" si="12"/>
        <v>34</v>
      </c>
      <c r="H793" s="196">
        <v>3670</v>
      </c>
      <c r="I793" s="196" t="s">
        <v>1471</v>
      </c>
      <c r="J793" s="196"/>
    </row>
    <row r="794" spans="1:10" ht="14.4" hidden="1" outlineLevel="1">
      <c r="A794" s="196" t="s">
        <v>351</v>
      </c>
      <c r="B794" s="197">
        <v>41509</v>
      </c>
      <c r="C794" s="196" t="s">
        <v>1423</v>
      </c>
      <c r="D794" s="196">
        <v>65.3</v>
      </c>
      <c r="E794" s="196" t="s">
        <v>1423</v>
      </c>
      <c r="F794" s="196">
        <v>65.3</v>
      </c>
      <c r="G794" s="196">
        <f t="shared" si="12"/>
        <v>32.65</v>
      </c>
      <c r="H794" s="196">
        <v>1052</v>
      </c>
      <c r="I794" s="196" t="s">
        <v>1470</v>
      </c>
      <c r="J794" s="196"/>
    </row>
    <row r="795" spans="1:10" ht="14.4" hidden="1" outlineLevel="1">
      <c r="A795" s="196" t="s">
        <v>351</v>
      </c>
      <c r="B795" s="197">
        <v>41512</v>
      </c>
      <c r="C795" s="196" t="s">
        <v>1423</v>
      </c>
      <c r="D795" s="196">
        <v>68.5</v>
      </c>
      <c r="E795" s="196" t="s">
        <v>1423</v>
      </c>
      <c r="F795" s="196">
        <v>65.900000000000006</v>
      </c>
      <c r="G795" s="196">
        <f t="shared" si="12"/>
        <v>32.950000000000003</v>
      </c>
      <c r="H795" s="196">
        <v>501</v>
      </c>
      <c r="I795" s="196" t="s">
        <v>1469</v>
      </c>
      <c r="J795" s="196"/>
    </row>
    <row r="796" spans="1:10" ht="14.4" hidden="1" outlineLevel="1">
      <c r="A796" s="196" t="s">
        <v>351</v>
      </c>
      <c r="B796" s="197">
        <v>41513</v>
      </c>
      <c r="C796" s="196" t="s">
        <v>1431</v>
      </c>
      <c r="D796" s="196">
        <v>65.3</v>
      </c>
      <c r="E796" s="196" t="s">
        <v>1253</v>
      </c>
      <c r="F796" s="196">
        <v>64.2</v>
      </c>
      <c r="G796" s="196">
        <f t="shared" si="12"/>
        <v>32.1</v>
      </c>
      <c r="H796" s="196">
        <v>30400</v>
      </c>
      <c r="I796" s="196" t="s">
        <v>1468</v>
      </c>
      <c r="J796" s="196"/>
    </row>
    <row r="797" spans="1:10" ht="14.4" hidden="1" outlineLevel="1">
      <c r="A797" s="196" t="s">
        <v>351</v>
      </c>
      <c r="B797" s="197">
        <v>41514</v>
      </c>
      <c r="C797" s="196" t="s">
        <v>1298</v>
      </c>
      <c r="D797" s="196">
        <v>65</v>
      </c>
      <c r="E797" s="196" t="s">
        <v>1343</v>
      </c>
      <c r="F797" s="196">
        <v>64</v>
      </c>
      <c r="G797" s="196">
        <f t="shared" si="12"/>
        <v>32</v>
      </c>
      <c r="H797" s="196">
        <v>1241</v>
      </c>
      <c r="I797" s="196" t="s">
        <v>1467</v>
      </c>
      <c r="J797" s="196"/>
    </row>
    <row r="798" spans="1:10" ht="14.4" hidden="1" outlineLevel="1">
      <c r="A798" s="196" t="s">
        <v>351</v>
      </c>
      <c r="B798" s="197">
        <v>41515</v>
      </c>
      <c r="C798" s="196" t="s">
        <v>1253</v>
      </c>
      <c r="D798" s="196">
        <v>64</v>
      </c>
      <c r="E798" s="196" t="s">
        <v>1343</v>
      </c>
      <c r="F798" s="196">
        <v>63</v>
      </c>
      <c r="G798" s="196">
        <f t="shared" si="12"/>
        <v>31.5</v>
      </c>
      <c r="H798" s="196">
        <v>8100</v>
      </c>
      <c r="I798" s="196" t="s">
        <v>1466</v>
      </c>
      <c r="J798" s="196"/>
    </row>
    <row r="799" spans="1:10" ht="14.4" hidden="1" outlineLevel="1">
      <c r="A799" s="196" t="s">
        <v>351</v>
      </c>
      <c r="B799" s="197">
        <v>41516</v>
      </c>
      <c r="C799" s="196" t="s">
        <v>1463</v>
      </c>
      <c r="D799" s="196">
        <v>69</v>
      </c>
      <c r="E799" s="196" t="s">
        <v>1463</v>
      </c>
      <c r="F799" s="196">
        <v>68.400000000000006</v>
      </c>
      <c r="G799" s="196">
        <f t="shared" si="12"/>
        <v>34.200000000000003</v>
      </c>
      <c r="H799" s="196">
        <v>46</v>
      </c>
      <c r="I799" s="196" t="s">
        <v>1465</v>
      </c>
      <c r="J799" s="196"/>
    </row>
    <row r="800" spans="1:10" ht="14.4" hidden="1" outlineLevel="1">
      <c r="A800" s="196" t="s">
        <v>351</v>
      </c>
      <c r="B800" s="197">
        <v>41519</v>
      </c>
      <c r="C800" s="196" t="s">
        <v>88</v>
      </c>
      <c r="D800" s="196" t="s">
        <v>88</v>
      </c>
      <c r="E800" s="196" t="s">
        <v>88</v>
      </c>
      <c r="F800" s="196">
        <v>68.400000000000006</v>
      </c>
      <c r="G800" s="196">
        <f t="shared" si="12"/>
        <v>34.200000000000003</v>
      </c>
      <c r="H800" s="196">
        <v>0</v>
      </c>
      <c r="I800" s="196" t="s">
        <v>611</v>
      </c>
      <c r="J800" s="196"/>
    </row>
    <row r="801" spans="1:10" ht="14.4" hidden="1" outlineLevel="1">
      <c r="A801" s="196" t="s">
        <v>351</v>
      </c>
      <c r="B801" s="197">
        <v>41520</v>
      </c>
      <c r="C801" s="196" t="s">
        <v>1463</v>
      </c>
      <c r="D801" s="196">
        <v>68.400000000000006</v>
      </c>
      <c r="E801" s="196" t="s">
        <v>1242</v>
      </c>
      <c r="F801" s="196">
        <v>66.5</v>
      </c>
      <c r="G801" s="196">
        <f t="shared" si="12"/>
        <v>33.25</v>
      </c>
      <c r="H801" s="196">
        <v>1045</v>
      </c>
      <c r="I801" s="196" t="s">
        <v>1464</v>
      </c>
      <c r="J801" s="196"/>
    </row>
    <row r="802" spans="1:10" ht="14.4" hidden="1" outlineLevel="1">
      <c r="A802" s="196" t="s">
        <v>351</v>
      </c>
      <c r="B802" s="197">
        <v>41521</v>
      </c>
      <c r="C802" s="196" t="s">
        <v>1242</v>
      </c>
      <c r="D802" s="196">
        <v>68.900000000000006</v>
      </c>
      <c r="E802" s="196" t="s">
        <v>1242</v>
      </c>
      <c r="F802" s="196">
        <v>65</v>
      </c>
      <c r="G802" s="196">
        <f t="shared" si="12"/>
        <v>32.5</v>
      </c>
      <c r="H802" s="196">
        <v>23802</v>
      </c>
      <c r="I802" s="196" t="s">
        <v>1462</v>
      </c>
      <c r="J802" s="196"/>
    </row>
    <row r="803" spans="1:10" ht="14.4" hidden="1" outlineLevel="1">
      <c r="A803" s="196" t="s">
        <v>351</v>
      </c>
      <c r="B803" s="197">
        <v>41522</v>
      </c>
      <c r="C803" s="196" t="s">
        <v>1242</v>
      </c>
      <c r="D803" s="196">
        <v>65</v>
      </c>
      <c r="E803" s="196" t="s">
        <v>1343</v>
      </c>
      <c r="F803" s="196">
        <v>63</v>
      </c>
      <c r="G803" s="196">
        <f t="shared" si="12"/>
        <v>31.5</v>
      </c>
      <c r="H803" s="196">
        <v>6751</v>
      </c>
      <c r="I803" s="196" t="s">
        <v>1461</v>
      </c>
      <c r="J803" s="196"/>
    </row>
    <row r="804" spans="1:10" ht="14.4" hidden="1" outlineLevel="1">
      <c r="A804" s="196" t="s">
        <v>351</v>
      </c>
      <c r="B804" s="197">
        <v>41523</v>
      </c>
      <c r="C804" s="196" t="s">
        <v>88</v>
      </c>
      <c r="D804" s="196" t="s">
        <v>88</v>
      </c>
      <c r="E804" s="196" t="s">
        <v>88</v>
      </c>
      <c r="F804" s="196">
        <v>63</v>
      </c>
      <c r="G804" s="196">
        <f t="shared" si="12"/>
        <v>31.5</v>
      </c>
      <c r="H804" s="196">
        <v>0</v>
      </c>
      <c r="I804" s="196" t="s">
        <v>611</v>
      </c>
      <c r="J804" s="196"/>
    </row>
    <row r="805" spans="1:10" ht="14.4" hidden="1" outlineLevel="1">
      <c r="A805" s="196" t="s">
        <v>351</v>
      </c>
      <c r="B805" s="197">
        <v>41526</v>
      </c>
      <c r="C805" s="196" t="s">
        <v>1343</v>
      </c>
      <c r="D805" s="196">
        <v>63</v>
      </c>
      <c r="E805" s="196" t="s">
        <v>1343</v>
      </c>
      <c r="F805" s="196">
        <v>63</v>
      </c>
      <c r="G805" s="196">
        <f t="shared" si="12"/>
        <v>31.5</v>
      </c>
      <c r="H805" s="196">
        <v>7527</v>
      </c>
      <c r="I805" s="196" t="s">
        <v>1460</v>
      </c>
      <c r="J805" s="196"/>
    </row>
    <row r="806" spans="1:10" ht="14.4" hidden="1" outlineLevel="1">
      <c r="A806" s="196" t="s">
        <v>351</v>
      </c>
      <c r="B806" s="197">
        <v>41527</v>
      </c>
      <c r="C806" s="196" t="s">
        <v>1343</v>
      </c>
      <c r="D806" s="196">
        <v>63</v>
      </c>
      <c r="E806" s="196" t="s">
        <v>1343</v>
      </c>
      <c r="F806" s="196">
        <v>63</v>
      </c>
      <c r="G806" s="196">
        <f t="shared" si="12"/>
        <v>31.5</v>
      </c>
      <c r="H806" s="196">
        <v>500</v>
      </c>
      <c r="I806" s="196" t="s">
        <v>1459</v>
      </c>
      <c r="J806" s="196"/>
    </row>
    <row r="807" spans="1:10" ht="14.4" hidden="1" outlineLevel="1">
      <c r="A807" s="196" t="s">
        <v>351</v>
      </c>
      <c r="B807" s="197">
        <v>41528</v>
      </c>
      <c r="C807" s="196" t="s">
        <v>1423</v>
      </c>
      <c r="D807" s="196">
        <v>66.2</v>
      </c>
      <c r="E807" s="196" t="s">
        <v>1423</v>
      </c>
      <c r="F807" s="196">
        <v>66</v>
      </c>
      <c r="G807" s="196">
        <f t="shared" si="12"/>
        <v>33</v>
      </c>
      <c r="H807" s="196">
        <v>1012</v>
      </c>
      <c r="I807" s="196" t="s">
        <v>1458</v>
      </c>
      <c r="J807" s="196"/>
    </row>
    <row r="808" spans="1:10" ht="14.4" hidden="1" outlineLevel="1">
      <c r="A808" s="196" t="s">
        <v>351</v>
      </c>
      <c r="B808" s="197">
        <v>41529</v>
      </c>
      <c r="C808" s="196" t="s">
        <v>1415</v>
      </c>
      <c r="D808" s="196">
        <v>66.900000000000006</v>
      </c>
      <c r="E808" s="196" t="s">
        <v>1415</v>
      </c>
      <c r="F808" s="196">
        <v>66.900000000000006</v>
      </c>
      <c r="G808" s="196">
        <f t="shared" si="12"/>
        <v>33.450000000000003</v>
      </c>
      <c r="H808" s="196">
        <v>5</v>
      </c>
      <c r="I808" s="196" t="s">
        <v>1457</v>
      </c>
      <c r="J808" s="196"/>
    </row>
    <row r="809" spans="1:10" ht="14.4" hidden="1" outlineLevel="1">
      <c r="A809" s="196" t="s">
        <v>351</v>
      </c>
      <c r="B809" s="197">
        <v>41530</v>
      </c>
      <c r="C809" s="196" t="s">
        <v>1225</v>
      </c>
      <c r="D809" s="196">
        <v>67</v>
      </c>
      <c r="E809" s="196" t="s">
        <v>1237</v>
      </c>
      <c r="F809" s="196">
        <v>66</v>
      </c>
      <c r="G809" s="196">
        <f t="shared" si="12"/>
        <v>33</v>
      </c>
      <c r="H809" s="196">
        <v>515</v>
      </c>
      <c r="I809" s="196" t="s">
        <v>1456</v>
      </c>
      <c r="J809" s="196"/>
    </row>
    <row r="810" spans="1:10" ht="14.4" hidden="1" outlineLevel="1">
      <c r="A810" s="196" t="s">
        <v>351</v>
      </c>
      <c r="B810" s="197">
        <v>41533</v>
      </c>
      <c r="C810" s="196" t="s">
        <v>1237</v>
      </c>
      <c r="D810" s="196">
        <v>66</v>
      </c>
      <c r="E810" s="196" t="s">
        <v>1343</v>
      </c>
      <c r="F810" s="196">
        <v>63</v>
      </c>
      <c r="G810" s="196">
        <f t="shared" si="12"/>
        <v>31.5</v>
      </c>
      <c r="H810" s="196">
        <v>252</v>
      </c>
      <c r="I810" s="196" t="s">
        <v>1455</v>
      </c>
      <c r="J810" s="196"/>
    </row>
    <row r="811" spans="1:10" ht="14.4" hidden="1" outlineLevel="1">
      <c r="A811" s="196" t="s">
        <v>351</v>
      </c>
      <c r="B811" s="197">
        <v>41534</v>
      </c>
      <c r="C811" s="196" t="s">
        <v>1238</v>
      </c>
      <c r="D811" s="196">
        <v>65.8</v>
      </c>
      <c r="E811" s="196" t="s">
        <v>1262</v>
      </c>
      <c r="F811" s="196">
        <v>63.4</v>
      </c>
      <c r="G811" s="196">
        <f t="shared" si="12"/>
        <v>31.7</v>
      </c>
      <c r="H811" s="196">
        <v>1201</v>
      </c>
      <c r="I811" s="196" t="s">
        <v>1454</v>
      </c>
      <c r="J811" s="196"/>
    </row>
    <row r="812" spans="1:10" ht="14.4" hidden="1" outlineLevel="1">
      <c r="A812" s="196" t="s">
        <v>351</v>
      </c>
      <c r="B812" s="197">
        <v>41535</v>
      </c>
      <c r="C812" s="196" t="s">
        <v>88</v>
      </c>
      <c r="D812" s="196" t="s">
        <v>88</v>
      </c>
      <c r="E812" s="196" t="s">
        <v>88</v>
      </c>
      <c r="F812" s="196">
        <v>63.4</v>
      </c>
      <c r="G812" s="196">
        <f t="shared" si="12"/>
        <v>31.7</v>
      </c>
      <c r="H812" s="196">
        <v>0</v>
      </c>
      <c r="I812" s="196" t="s">
        <v>611</v>
      </c>
      <c r="J812" s="196"/>
    </row>
    <row r="813" spans="1:10" ht="14.4" hidden="1" outlineLevel="1">
      <c r="A813" s="196" t="s">
        <v>351</v>
      </c>
      <c r="B813" s="197">
        <v>41537</v>
      </c>
      <c r="C813" s="196" t="s">
        <v>1242</v>
      </c>
      <c r="D813" s="196">
        <v>66</v>
      </c>
      <c r="E813" s="196" t="s">
        <v>1242</v>
      </c>
      <c r="F813" s="196">
        <v>66</v>
      </c>
      <c r="G813" s="196">
        <f t="shared" si="12"/>
        <v>33</v>
      </c>
      <c r="H813" s="196">
        <v>31961</v>
      </c>
      <c r="I813" s="196" t="s">
        <v>1453</v>
      </c>
      <c r="J813" s="196"/>
    </row>
    <row r="814" spans="1:10" ht="14.4" hidden="1" outlineLevel="1">
      <c r="A814" s="196" t="s">
        <v>351</v>
      </c>
      <c r="B814" s="197">
        <v>41540</v>
      </c>
      <c r="C814" s="196" t="s">
        <v>1237</v>
      </c>
      <c r="D814" s="196">
        <v>66</v>
      </c>
      <c r="E814" s="196" t="s">
        <v>1237</v>
      </c>
      <c r="F814" s="196">
        <v>66</v>
      </c>
      <c r="G814" s="196">
        <f t="shared" si="12"/>
        <v>33</v>
      </c>
      <c r="H814" s="196">
        <v>12765</v>
      </c>
      <c r="I814" s="196" t="s">
        <v>1452</v>
      </c>
      <c r="J814" s="196"/>
    </row>
    <row r="815" spans="1:10" ht="14.4" hidden="1" outlineLevel="1">
      <c r="A815" s="196" t="s">
        <v>351</v>
      </c>
      <c r="B815" s="197">
        <v>41541</v>
      </c>
      <c r="C815" s="196" t="s">
        <v>1242</v>
      </c>
      <c r="D815" s="196">
        <v>66</v>
      </c>
      <c r="E815" s="196" t="s">
        <v>1242</v>
      </c>
      <c r="F815" s="196">
        <v>65</v>
      </c>
      <c r="G815" s="196">
        <f t="shared" si="12"/>
        <v>32.5</v>
      </c>
      <c r="H815" s="196">
        <v>1008</v>
      </c>
      <c r="I815" s="196" t="s">
        <v>1451</v>
      </c>
      <c r="J815" s="196"/>
    </row>
    <row r="816" spans="1:10" ht="14.4" hidden="1" outlineLevel="1">
      <c r="A816" s="196" t="s">
        <v>351</v>
      </c>
      <c r="B816" s="197">
        <v>41542</v>
      </c>
      <c r="C816" s="196" t="s">
        <v>1237</v>
      </c>
      <c r="D816" s="196">
        <v>66</v>
      </c>
      <c r="E816" s="196" t="s">
        <v>1242</v>
      </c>
      <c r="F816" s="196">
        <v>65</v>
      </c>
      <c r="G816" s="196">
        <f t="shared" si="12"/>
        <v>32.5</v>
      </c>
      <c r="H816" s="196">
        <v>2389</v>
      </c>
      <c r="I816" s="196" t="s">
        <v>1450</v>
      </c>
      <c r="J816" s="196"/>
    </row>
    <row r="817" spans="1:10" ht="14.4" hidden="1" outlineLevel="1">
      <c r="A817" s="196" t="s">
        <v>351</v>
      </c>
      <c r="B817" s="197">
        <v>41543</v>
      </c>
      <c r="C817" s="196" t="s">
        <v>1256</v>
      </c>
      <c r="D817" s="196">
        <v>63.2</v>
      </c>
      <c r="E817" s="196" t="s">
        <v>1343</v>
      </c>
      <c r="F817" s="196">
        <v>63</v>
      </c>
      <c r="G817" s="196">
        <f t="shared" si="12"/>
        <v>31.5</v>
      </c>
      <c r="H817" s="196">
        <v>4264</v>
      </c>
      <c r="I817" s="196" t="s">
        <v>1449</v>
      </c>
      <c r="J817" s="196"/>
    </row>
    <row r="818" spans="1:10" ht="14.4" hidden="1" outlineLevel="1">
      <c r="A818" s="196" t="s">
        <v>351</v>
      </c>
      <c r="B818" s="197">
        <v>41544</v>
      </c>
      <c r="C818" s="196" t="s">
        <v>1244</v>
      </c>
      <c r="D818" s="196">
        <v>67</v>
      </c>
      <c r="E818" s="196" t="s">
        <v>1253</v>
      </c>
      <c r="F818" s="196">
        <v>67</v>
      </c>
      <c r="G818" s="196">
        <f t="shared" si="12"/>
        <v>33.5</v>
      </c>
      <c r="H818" s="196">
        <v>8012</v>
      </c>
      <c r="I818" s="196" t="s">
        <v>1448</v>
      </c>
      <c r="J818" s="196"/>
    </row>
    <row r="819" spans="1:10" ht="14.4" hidden="1" outlineLevel="1">
      <c r="A819" s="196" t="s">
        <v>351</v>
      </c>
      <c r="B819" s="197">
        <v>41547</v>
      </c>
      <c r="C819" s="196" t="s">
        <v>1259</v>
      </c>
      <c r="D819" s="196">
        <v>65.8</v>
      </c>
      <c r="E819" s="196" t="s">
        <v>1256</v>
      </c>
      <c r="F819" s="196">
        <v>65.2</v>
      </c>
      <c r="G819" s="196">
        <f t="shared" si="12"/>
        <v>32.6</v>
      </c>
      <c r="H819" s="196">
        <v>1319</v>
      </c>
      <c r="I819" s="196" t="s">
        <v>1447</v>
      </c>
      <c r="J819" s="196"/>
    </row>
    <row r="820" spans="1:10" ht="14.4" hidden="1" outlineLevel="1">
      <c r="A820" s="196" t="s">
        <v>351</v>
      </c>
      <c r="B820" s="197">
        <v>41548</v>
      </c>
      <c r="C820" s="196" t="s">
        <v>1259</v>
      </c>
      <c r="D820" s="196">
        <v>63.3</v>
      </c>
      <c r="E820" s="196" t="s">
        <v>1343</v>
      </c>
      <c r="F820" s="196">
        <v>63.1</v>
      </c>
      <c r="G820" s="196">
        <f t="shared" si="12"/>
        <v>31.55</v>
      </c>
      <c r="H820" s="196">
        <v>1640</v>
      </c>
      <c r="I820" s="196" t="s">
        <v>1446</v>
      </c>
      <c r="J820" s="196"/>
    </row>
    <row r="821" spans="1:10" ht="14.4" hidden="1" outlineLevel="1">
      <c r="A821" s="196" t="s">
        <v>351</v>
      </c>
      <c r="B821" s="197">
        <v>41549</v>
      </c>
      <c r="C821" s="196" t="s">
        <v>1298</v>
      </c>
      <c r="D821" s="196">
        <v>63.1</v>
      </c>
      <c r="E821" s="196" t="s">
        <v>1298</v>
      </c>
      <c r="F821" s="196">
        <v>63.1</v>
      </c>
      <c r="G821" s="196">
        <f t="shared" si="12"/>
        <v>31.55</v>
      </c>
      <c r="H821" s="196">
        <v>568</v>
      </c>
      <c r="I821" s="196" t="s">
        <v>1445</v>
      </c>
      <c r="J821" s="196"/>
    </row>
    <row r="822" spans="1:10" ht="14.4" hidden="1" outlineLevel="1">
      <c r="A822" s="196" t="s">
        <v>351</v>
      </c>
      <c r="B822" s="197">
        <v>41550</v>
      </c>
      <c r="C822" s="196" t="s">
        <v>1259</v>
      </c>
      <c r="D822" s="196">
        <v>64</v>
      </c>
      <c r="E822" s="196" t="s">
        <v>1259</v>
      </c>
      <c r="F822" s="196">
        <v>63.5</v>
      </c>
      <c r="G822" s="196">
        <f t="shared" si="12"/>
        <v>31.75</v>
      </c>
      <c r="H822" s="196">
        <v>3700</v>
      </c>
      <c r="I822" s="196" t="s">
        <v>1444</v>
      </c>
      <c r="J822" s="196"/>
    </row>
    <row r="823" spans="1:10" ht="14.4" hidden="1" outlineLevel="1">
      <c r="A823" s="196" t="s">
        <v>351</v>
      </c>
      <c r="B823" s="197">
        <v>41551</v>
      </c>
      <c r="C823" s="196" t="s">
        <v>1259</v>
      </c>
      <c r="D823" s="196">
        <v>63.4</v>
      </c>
      <c r="E823" s="196" t="s">
        <v>1259</v>
      </c>
      <c r="F823" s="196">
        <v>63.3</v>
      </c>
      <c r="G823" s="196">
        <f t="shared" si="12"/>
        <v>31.65</v>
      </c>
      <c r="H823" s="196">
        <v>1088</v>
      </c>
      <c r="I823" s="196" t="s">
        <v>1443</v>
      </c>
      <c r="J823" s="196"/>
    </row>
    <row r="824" spans="1:10" ht="14.4" hidden="1" outlineLevel="1">
      <c r="A824" s="196" t="s">
        <v>351</v>
      </c>
      <c r="B824" s="197">
        <v>41554</v>
      </c>
      <c r="C824" s="196" t="s">
        <v>1262</v>
      </c>
      <c r="D824" s="196">
        <v>63.4</v>
      </c>
      <c r="E824" s="196" t="s">
        <v>1262</v>
      </c>
      <c r="F824" s="196">
        <v>63.4</v>
      </c>
      <c r="G824" s="196">
        <f t="shared" si="12"/>
        <v>31.7</v>
      </c>
      <c r="H824" s="196">
        <v>1000</v>
      </c>
      <c r="I824" s="196" t="s">
        <v>1442</v>
      </c>
      <c r="J824" s="196"/>
    </row>
    <row r="825" spans="1:10" ht="14.4" hidden="1" outlineLevel="1">
      <c r="A825" s="196" t="s">
        <v>351</v>
      </c>
      <c r="B825" s="197">
        <v>41555</v>
      </c>
      <c r="C825" s="196" t="s">
        <v>88</v>
      </c>
      <c r="D825" s="196" t="s">
        <v>88</v>
      </c>
      <c r="E825" s="196" t="s">
        <v>88</v>
      </c>
      <c r="F825" s="196">
        <v>63.4</v>
      </c>
      <c r="G825" s="196">
        <f t="shared" si="12"/>
        <v>31.7</v>
      </c>
      <c r="H825" s="196">
        <v>0</v>
      </c>
      <c r="I825" s="196" t="s">
        <v>611</v>
      </c>
      <c r="J825" s="196"/>
    </row>
    <row r="826" spans="1:10" ht="14.4" hidden="1" outlineLevel="1">
      <c r="A826" s="196" t="s">
        <v>351</v>
      </c>
      <c r="B826" s="197">
        <v>41556</v>
      </c>
      <c r="C826" s="196" t="s">
        <v>1224</v>
      </c>
      <c r="D826" s="196">
        <v>68</v>
      </c>
      <c r="E826" s="196" t="s">
        <v>1224</v>
      </c>
      <c r="F826" s="196">
        <v>68</v>
      </c>
      <c r="G826" s="196">
        <f t="shared" si="12"/>
        <v>34</v>
      </c>
      <c r="H826" s="196">
        <v>43</v>
      </c>
      <c r="I826" s="196" t="s">
        <v>1441</v>
      </c>
      <c r="J826" s="196"/>
    </row>
    <row r="827" spans="1:10" ht="14.4" hidden="1" outlineLevel="1">
      <c r="A827" s="196" t="s">
        <v>351</v>
      </c>
      <c r="B827" s="197">
        <v>41557</v>
      </c>
      <c r="C827" s="196" t="s">
        <v>88</v>
      </c>
      <c r="D827" s="196" t="s">
        <v>88</v>
      </c>
      <c r="E827" s="196" t="s">
        <v>88</v>
      </c>
      <c r="F827" s="196">
        <v>68</v>
      </c>
      <c r="G827" s="196">
        <f t="shared" si="12"/>
        <v>34</v>
      </c>
      <c r="H827" s="196">
        <v>0</v>
      </c>
      <c r="I827" s="196" t="s">
        <v>611</v>
      </c>
      <c r="J827" s="196"/>
    </row>
    <row r="828" spans="1:10" ht="14.4" hidden="1" outlineLevel="1">
      <c r="A828" s="196" t="s">
        <v>351</v>
      </c>
      <c r="B828" s="197">
        <v>41558</v>
      </c>
      <c r="C828" s="196" t="s">
        <v>1362</v>
      </c>
      <c r="D828" s="196">
        <v>65.099999999999994</v>
      </c>
      <c r="E828" s="196" t="s">
        <v>1362</v>
      </c>
      <c r="F828" s="196">
        <v>65.099999999999994</v>
      </c>
      <c r="G828" s="196">
        <f t="shared" si="12"/>
        <v>32.549999999999997</v>
      </c>
      <c r="H828" s="196">
        <v>1593</v>
      </c>
      <c r="I828" s="196" t="s">
        <v>1440</v>
      </c>
      <c r="J828" s="196"/>
    </row>
    <row r="829" spans="1:10" ht="14.4" hidden="1" outlineLevel="1">
      <c r="A829" s="196" t="s">
        <v>351</v>
      </c>
      <c r="B829" s="197">
        <v>41561</v>
      </c>
      <c r="C829" s="196" t="s">
        <v>88</v>
      </c>
      <c r="D829" s="196" t="s">
        <v>88</v>
      </c>
      <c r="E829" s="196" t="s">
        <v>88</v>
      </c>
      <c r="F829" s="196">
        <v>65.099999999999994</v>
      </c>
      <c r="G829" s="196">
        <f t="shared" si="12"/>
        <v>32.549999999999997</v>
      </c>
      <c r="H829" s="196">
        <v>0</v>
      </c>
      <c r="I829" s="196" t="s">
        <v>611</v>
      </c>
      <c r="J829" s="196"/>
    </row>
    <row r="830" spans="1:10" ht="14.4" hidden="1" outlineLevel="1">
      <c r="A830" s="196" t="s">
        <v>351</v>
      </c>
      <c r="B830" s="197">
        <v>41562</v>
      </c>
      <c r="C830" s="196" t="s">
        <v>1225</v>
      </c>
      <c r="D830" s="196">
        <v>67.5</v>
      </c>
      <c r="E830" s="196" t="s">
        <v>1242</v>
      </c>
      <c r="F830" s="196">
        <v>65.099999999999994</v>
      </c>
      <c r="G830" s="196">
        <f t="shared" si="12"/>
        <v>32.549999999999997</v>
      </c>
      <c r="H830" s="196">
        <v>8866</v>
      </c>
      <c r="I830" s="196" t="s">
        <v>1439</v>
      </c>
      <c r="J830" s="196"/>
    </row>
    <row r="831" spans="1:10" ht="14.4" hidden="1" outlineLevel="1">
      <c r="A831" s="196" t="s">
        <v>351</v>
      </c>
      <c r="B831" s="197">
        <v>41564</v>
      </c>
      <c r="C831" s="196" t="s">
        <v>1237</v>
      </c>
      <c r="D831" s="196">
        <v>66</v>
      </c>
      <c r="E831" s="196" t="s">
        <v>1237</v>
      </c>
      <c r="F831" s="196">
        <v>66</v>
      </c>
      <c r="G831" s="196">
        <f t="shared" si="12"/>
        <v>33</v>
      </c>
      <c r="H831" s="196">
        <v>1</v>
      </c>
      <c r="I831" s="196" t="s">
        <v>1438</v>
      </c>
      <c r="J831" s="196"/>
    </row>
    <row r="832" spans="1:10" ht="14.4" hidden="1" outlineLevel="1">
      <c r="A832" s="196" t="s">
        <v>351</v>
      </c>
      <c r="B832" s="197">
        <v>41568</v>
      </c>
      <c r="C832" s="196" t="s">
        <v>1238</v>
      </c>
      <c r="D832" s="196">
        <v>66</v>
      </c>
      <c r="E832" s="196" t="s">
        <v>1362</v>
      </c>
      <c r="F832" s="196">
        <v>65.2</v>
      </c>
      <c r="G832" s="196">
        <f t="shared" si="12"/>
        <v>32.6</v>
      </c>
      <c r="H832" s="196">
        <v>2030</v>
      </c>
      <c r="I832" s="196" t="s">
        <v>1437</v>
      </c>
      <c r="J832" s="196"/>
    </row>
    <row r="833" spans="1:10" ht="14.4" hidden="1" outlineLevel="1">
      <c r="A833" s="196" t="s">
        <v>351</v>
      </c>
      <c r="B833" s="197">
        <v>41569</v>
      </c>
      <c r="C833" s="196" t="s">
        <v>1423</v>
      </c>
      <c r="D833" s="196">
        <v>65.2</v>
      </c>
      <c r="E833" s="196" t="s">
        <v>1242</v>
      </c>
      <c r="F833" s="196">
        <v>65</v>
      </c>
      <c r="G833" s="196">
        <f t="shared" si="12"/>
        <v>32.5</v>
      </c>
      <c r="H833" s="196">
        <v>31000</v>
      </c>
      <c r="I833" s="196" t="s">
        <v>1436</v>
      </c>
      <c r="J833" s="196"/>
    </row>
    <row r="834" spans="1:10" ht="14.4" hidden="1" outlineLevel="1">
      <c r="A834" s="196" t="s">
        <v>351</v>
      </c>
      <c r="B834" s="197">
        <v>41570</v>
      </c>
      <c r="C834" s="196" t="s">
        <v>1362</v>
      </c>
      <c r="D834" s="196">
        <v>66.5</v>
      </c>
      <c r="E834" s="196" t="s">
        <v>1242</v>
      </c>
      <c r="F834" s="196">
        <v>65.099999999999994</v>
      </c>
      <c r="G834" s="196">
        <f t="shared" si="12"/>
        <v>32.549999999999997</v>
      </c>
      <c r="H834" s="196">
        <v>11481</v>
      </c>
      <c r="I834" s="196" t="s">
        <v>1435</v>
      </c>
      <c r="J834" s="196"/>
    </row>
    <row r="835" spans="1:10" ht="14.4" hidden="1" outlineLevel="1">
      <c r="A835" s="196" t="s">
        <v>351</v>
      </c>
      <c r="B835" s="197">
        <v>41571</v>
      </c>
      <c r="C835" s="196" t="s">
        <v>88</v>
      </c>
      <c r="D835" s="196" t="s">
        <v>88</v>
      </c>
      <c r="E835" s="196" t="s">
        <v>88</v>
      </c>
      <c r="F835" s="196">
        <v>65.099999999999994</v>
      </c>
      <c r="G835" s="196">
        <f t="shared" si="12"/>
        <v>32.549999999999997</v>
      </c>
      <c r="H835" s="196">
        <v>0</v>
      </c>
      <c r="I835" s="196" t="s">
        <v>611</v>
      </c>
      <c r="J835" s="196"/>
    </row>
    <row r="836" spans="1:10" ht="14.4" hidden="1" outlineLevel="1">
      <c r="A836" s="196" t="s">
        <v>351</v>
      </c>
      <c r="B836" s="197">
        <v>41572</v>
      </c>
      <c r="C836" s="196" t="s">
        <v>1242</v>
      </c>
      <c r="D836" s="196">
        <v>65</v>
      </c>
      <c r="E836" s="196" t="s">
        <v>1242</v>
      </c>
      <c r="F836" s="196">
        <v>65</v>
      </c>
      <c r="G836" s="196">
        <f t="shared" si="12"/>
        <v>32.5</v>
      </c>
      <c r="H836" s="196">
        <v>2000</v>
      </c>
      <c r="I836" s="196" t="s">
        <v>1359</v>
      </c>
      <c r="J836" s="196"/>
    </row>
    <row r="837" spans="1:10" ht="14.4" hidden="1" outlineLevel="1">
      <c r="A837" s="196" t="s">
        <v>351</v>
      </c>
      <c r="B837" s="197">
        <v>41575</v>
      </c>
      <c r="C837" s="196" t="s">
        <v>1242</v>
      </c>
      <c r="D837" s="196">
        <v>66.5</v>
      </c>
      <c r="E837" s="196" t="s">
        <v>1242</v>
      </c>
      <c r="F837" s="196">
        <v>65.5</v>
      </c>
      <c r="G837" s="196">
        <f t="shared" ref="G837:G900" si="13">F837/2</f>
        <v>32.75</v>
      </c>
      <c r="H837" s="196">
        <v>10665</v>
      </c>
      <c r="I837" s="196" t="s">
        <v>1434</v>
      </c>
      <c r="J837" s="196"/>
    </row>
    <row r="838" spans="1:10" ht="14.4" hidden="1" outlineLevel="1">
      <c r="A838" s="196" t="s">
        <v>351</v>
      </c>
      <c r="B838" s="197">
        <v>41576</v>
      </c>
      <c r="C838" s="196" t="s">
        <v>1423</v>
      </c>
      <c r="D838" s="196">
        <v>69</v>
      </c>
      <c r="E838" s="196" t="s">
        <v>1362</v>
      </c>
      <c r="F838" s="196">
        <v>66.5</v>
      </c>
      <c r="G838" s="196">
        <f t="shared" si="13"/>
        <v>33.25</v>
      </c>
      <c r="H838" s="196">
        <v>3072</v>
      </c>
      <c r="I838" s="196" t="s">
        <v>1433</v>
      </c>
      <c r="J838" s="196"/>
    </row>
    <row r="839" spans="1:10" ht="14.4" hidden="1" outlineLevel="1">
      <c r="A839" s="196" t="s">
        <v>351</v>
      </c>
      <c r="B839" s="197">
        <v>41577</v>
      </c>
      <c r="C839" s="196" t="s">
        <v>1431</v>
      </c>
      <c r="D839" s="196">
        <v>65.3</v>
      </c>
      <c r="E839" s="196" t="s">
        <v>1431</v>
      </c>
      <c r="F839" s="196">
        <v>65.3</v>
      </c>
      <c r="G839" s="196">
        <f t="shared" si="13"/>
        <v>32.65</v>
      </c>
      <c r="H839" s="196">
        <v>500</v>
      </c>
      <c r="I839" s="196" t="s">
        <v>1432</v>
      </c>
      <c r="J839" s="196"/>
    </row>
    <row r="840" spans="1:10" ht="14.4" hidden="1" outlineLevel="1">
      <c r="A840" s="196" t="s">
        <v>351</v>
      </c>
      <c r="B840" s="197">
        <v>41578</v>
      </c>
      <c r="C840" s="196" t="s">
        <v>1362</v>
      </c>
      <c r="D840" s="196">
        <v>68.8</v>
      </c>
      <c r="E840" s="196" t="s">
        <v>1362</v>
      </c>
      <c r="F840" s="196">
        <v>68.8</v>
      </c>
      <c r="G840" s="196">
        <f t="shared" si="13"/>
        <v>34.4</v>
      </c>
      <c r="H840" s="196">
        <v>1762</v>
      </c>
      <c r="I840" s="196" t="s">
        <v>1430</v>
      </c>
      <c r="J840" s="196"/>
    </row>
    <row r="841" spans="1:10" ht="14.4" hidden="1" outlineLevel="1">
      <c r="A841" s="196" t="s">
        <v>351</v>
      </c>
      <c r="B841" s="197">
        <v>41579</v>
      </c>
      <c r="C841" s="196" t="s">
        <v>1240</v>
      </c>
      <c r="D841" s="196">
        <v>65.5</v>
      </c>
      <c r="E841" s="196" t="s">
        <v>1240</v>
      </c>
      <c r="F841" s="196">
        <v>65.5</v>
      </c>
      <c r="G841" s="196">
        <f t="shared" si="13"/>
        <v>32.75</v>
      </c>
      <c r="H841" s="196">
        <v>15</v>
      </c>
      <c r="I841" s="196" t="s">
        <v>1429</v>
      </c>
      <c r="J841" s="196"/>
    </row>
    <row r="842" spans="1:10" ht="14.4" hidden="1" outlineLevel="1">
      <c r="A842" s="196" t="s">
        <v>351</v>
      </c>
      <c r="B842" s="197">
        <v>41582</v>
      </c>
      <c r="C842" s="196" t="s">
        <v>1427</v>
      </c>
      <c r="D842" s="196">
        <v>68.8</v>
      </c>
      <c r="E842" s="196" t="s">
        <v>1423</v>
      </c>
      <c r="F842" s="196">
        <v>68.7</v>
      </c>
      <c r="G842" s="196">
        <f t="shared" si="13"/>
        <v>34.35</v>
      </c>
      <c r="H842" s="196">
        <v>54332</v>
      </c>
      <c r="I842" s="196" t="s">
        <v>1428</v>
      </c>
      <c r="J842" s="196"/>
    </row>
    <row r="843" spans="1:10" ht="14.4" hidden="1" outlineLevel="1">
      <c r="A843" s="196" t="s">
        <v>351</v>
      </c>
      <c r="B843" s="197">
        <v>41583</v>
      </c>
      <c r="C843" s="196" t="s">
        <v>1220</v>
      </c>
      <c r="D843" s="196">
        <v>68.900000000000006</v>
      </c>
      <c r="E843" s="196" t="s">
        <v>1220</v>
      </c>
      <c r="F843" s="196">
        <v>68.5</v>
      </c>
      <c r="G843" s="196">
        <f t="shared" si="13"/>
        <v>34.25</v>
      </c>
      <c r="H843" s="196">
        <v>4082</v>
      </c>
      <c r="I843" s="196" t="s">
        <v>1426</v>
      </c>
      <c r="J843" s="196"/>
    </row>
    <row r="844" spans="1:10" ht="14.4" hidden="1" outlineLevel="1">
      <c r="A844" s="196" t="s">
        <v>351</v>
      </c>
      <c r="B844" s="197">
        <v>41584</v>
      </c>
      <c r="C844" s="196" t="s">
        <v>88</v>
      </c>
      <c r="D844" s="196" t="s">
        <v>88</v>
      </c>
      <c r="E844" s="196" t="s">
        <v>88</v>
      </c>
      <c r="F844" s="196">
        <v>68.5</v>
      </c>
      <c r="G844" s="196">
        <f t="shared" si="13"/>
        <v>34.25</v>
      </c>
      <c r="H844" s="196">
        <v>0</v>
      </c>
      <c r="I844" s="196" t="s">
        <v>611</v>
      </c>
      <c r="J844" s="196"/>
    </row>
    <row r="845" spans="1:10" ht="14.4" hidden="1" outlineLevel="1">
      <c r="A845" s="196" t="s">
        <v>351</v>
      </c>
      <c r="B845" s="197">
        <v>41585</v>
      </c>
      <c r="C845" s="196" t="s">
        <v>1240</v>
      </c>
      <c r="D845" s="196">
        <v>65.5</v>
      </c>
      <c r="E845" s="196" t="s">
        <v>1423</v>
      </c>
      <c r="F845" s="196">
        <v>65.2</v>
      </c>
      <c r="G845" s="196">
        <f t="shared" si="13"/>
        <v>32.6</v>
      </c>
      <c r="H845" s="196">
        <v>5400</v>
      </c>
      <c r="I845" s="196" t="s">
        <v>1425</v>
      </c>
      <c r="J845" s="196"/>
    </row>
    <row r="846" spans="1:10" ht="14.4" hidden="1" outlineLevel="1">
      <c r="A846" s="196" t="s">
        <v>351</v>
      </c>
      <c r="B846" s="197">
        <v>41586</v>
      </c>
      <c r="C846" s="196" t="s">
        <v>1423</v>
      </c>
      <c r="D846" s="196">
        <v>65.2</v>
      </c>
      <c r="E846" s="196" t="s">
        <v>1272</v>
      </c>
      <c r="F846" s="196">
        <v>63.7</v>
      </c>
      <c r="G846" s="196">
        <f t="shared" si="13"/>
        <v>31.85</v>
      </c>
      <c r="H846" s="196">
        <v>41812</v>
      </c>
      <c r="I846" s="196" t="s">
        <v>1424</v>
      </c>
      <c r="J846" s="196"/>
    </row>
    <row r="847" spans="1:10" ht="14.4" hidden="1" outlineLevel="1">
      <c r="A847" s="196" t="s">
        <v>351</v>
      </c>
      <c r="B847" s="197">
        <v>41589</v>
      </c>
      <c r="C847" s="196" t="s">
        <v>1295</v>
      </c>
      <c r="D847" s="196">
        <v>63.9</v>
      </c>
      <c r="E847" s="196" t="s">
        <v>1421</v>
      </c>
      <c r="F847" s="196">
        <v>63.8</v>
      </c>
      <c r="G847" s="196">
        <f t="shared" si="13"/>
        <v>31.9</v>
      </c>
      <c r="H847" s="196">
        <v>20000</v>
      </c>
      <c r="I847" s="196" t="s">
        <v>1422</v>
      </c>
      <c r="J847" s="196"/>
    </row>
    <row r="848" spans="1:10" ht="14.4" hidden="1" outlineLevel="1">
      <c r="A848" s="196" t="s">
        <v>351</v>
      </c>
      <c r="B848" s="197">
        <v>41590</v>
      </c>
      <c r="C848" s="196" t="s">
        <v>1272</v>
      </c>
      <c r="D848" s="196">
        <v>63.7</v>
      </c>
      <c r="E848" s="196" t="s">
        <v>1261</v>
      </c>
      <c r="F848" s="196">
        <v>63.5</v>
      </c>
      <c r="G848" s="196">
        <f t="shared" si="13"/>
        <v>31.75</v>
      </c>
      <c r="H848" s="196">
        <v>14922</v>
      </c>
      <c r="I848" s="196" t="s">
        <v>1420</v>
      </c>
      <c r="J848" s="196"/>
    </row>
    <row r="849" spans="1:10" ht="14.4" hidden="1" outlineLevel="1">
      <c r="A849" s="196" t="s">
        <v>351</v>
      </c>
      <c r="B849" s="197">
        <v>41591</v>
      </c>
      <c r="C849" s="196" t="s">
        <v>1346</v>
      </c>
      <c r="D849" s="196">
        <v>65</v>
      </c>
      <c r="E849" s="196" t="s">
        <v>1346</v>
      </c>
      <c r="F849" s="196">
        <v>65</v>
      </c>
      <c r="G849" s="196">
        <f t="shared" si="13"/>
        <v>32.5</v>
      </c>
      <c r="H849" s="196">
        <v>20005</v>
      </c>
      <c r="I849" s="196" t="s">
        <v>1419</v>
      </c>
      <c r="J849" s="196"/>
    </row>
    <row r="850" spans="1:10" ht="14.4" hidden="1" outlineLevel="1">
      <c r="A850" s="196" t="s">
        <v>351</v>
      </c>
      <c r="B850" s="197">
        <v>41592</v>
      </c>
      <c r="C850" s="196" t="s">
        <v>1417</v>
      </c>
      <c r="D850" s="196">
        <v>65</v>
      </c>
      <c r="E850" s="196" t="s">
        <v>1417</v>
      </c>
      <c r="F850" s="196">
        <v>65</v>
      </c>
      <c r="G850" s="196">
        <f t="shared" si="13"/>
        <v>32.5</v>
      </c>
      <c r="H850" s="196">
        <v>21</v>
      </c>
      <c r="I850" s="196" t="s">
        <v>1418</v>
      </c>
      <c r="J850" s="196"/>
    </row>
    <row r="851" spans="1:10" ht="14.4" hidden="1" outlineLevel="1">
      <c r="A851" s="196" t="s">
        <v>351</v>
      </c>
      <c r="B851" s="197">
        <v>41593</v>
      </c>
      <c r="C851" s="196" t="s">
        <v>88</v>
      </c>
      <c r="D851" s="196" t="s">
        <v>88</v>
      </c>
      <c r="E851" s="196" t="s">
        <v>88</v>
      </c>
      <c r="F851" s="196">
        <v>65</v>
      </c>
      <c r="G851" s="196">
        <f t="shared" si="13"/>
        <v>32.5</v>
      </c>
      <c r="H851" s="196">
        <v>0</v>
      </c>
      <c r="I851" s="196" t="s">
        <v>611</v>
      </c>
      <c r="J851" s="196"/>
    </row>
    <row r="852" spans="1:10" ht="14.4" hidden="1" outlineLevel="1">
      <c r="A852" s="196" t="s">
        <v>351</v>
      </c>
      <c r="B852" s="197">
        <v>41596</v>
      </c>
      <c r="C852" s="196" t="s">
        <v>1415</v>
      </c>
      <c r="D852" s="196">
        <v>68</v>
      </c>
      <c r="E852" s="196" t="s">
        <v>1415</v>
      </c>
      <c r="F852" s="196">
        <v>67</v>
      </c>
      <c r="G852" s="196">
        <f t="shared" si="13"/>
        <v>33.5</v>
      </c>
      <c r="H852" s="196">
        <v>141</v>
      </c>
      <c r="I852" s="196" t="s">
        <v>1416</v>
      </c>
      <c r="J852" s="196"/>
    </row>
    <row r="853" spans="1:10" ht="14.4" hidden="1" outlineLevel="1">
      <c r="A853" s="196" t="s">
        <v>351</v>
      </c>
      <c r="B853" s="197">
        <v>41597</v>
      </c>
      <c r="C853" s="196" t="s">
        <v>1253</v>
      </c>
      <c r="D853" s="196">
        <v>64</v>
      </c>
      <c r="E853" s="196" t="s">
        <v>1261</v>
      </c>
      <c r="F853" s="196">
        <v>63.5</v>
      </c>
      <c r="G853" s="196">
        <f t="shared" si="13"/>
        <v>31.75</v>
      </c>
      <c r="H853" s="196">
        <v>3294</v>
      </c>
      <c r="I853" s="196" t="s">
        <v>1414</v>
      </c>
      <c r="J853" s="196"/>
    </row>
    <row r="854" spans="1:10" ht="14.4" hidden="1" outlineLevel="1">
      <c r="A854" s="196" t="s">
        <v>351</v>
      </c>
      <c r="B854" s="197">
        <v>41598</v>
      </c>
      <c r="C854" s="196" t="s">
        <v>1343</v>
      </c>
      <c r="D854" s="196">
        <v>63</v>
      </c>
      <c r="E854" s="196" t="s">
        <v>1343</v>
      </c>
      <c r="F854" s="196">
        <v>63</v>
      </c>
      <c r="G854" s="196">
        <f t="shared" si="13"/>
        <v>31.5</v>
      </c>
      <c r="H854" s="196">
        <v>100</v>
      </c>
      <c r="I854" s="196" t="s">
        <v>1413</v>
      </c>
      <c r="J854" s="196"/>
    </row>
    <row r="855" spans="1:10" ht="14.4" hidden="1" outlineLevel="1">
      <c r="A855" s="196" t="s">
        <v>351</v>
      </c>
      <c r="B855" s="197">
        <v>41599</v>
      </c>
      <c r="C855" s="196" t="s">
        <v>1242</v>
      </c>
      <c r="D855" s="196">
        <v>65</v>
      </c>
      <c r="E855" s="196" t="s">
        <v>1242</v>
      </c>
      <c r="F855" s="196">
        <v>65</v>
      </c>
      <c r="G855" s="196">
        <f t="shared" si="13"/>
        <v>32.5</v>
      </c>
      <c r="H855" s="196">
        <v>400</v>
      </c>
      <c r="I855" s="196" t="s">
        <v>1412</v>
      </c>
      <c r="J855" s="196"/>
    </row>
    <row r="856" spans="1:10" ht="14.4" hidden="1" outlineLevel="1">
      <c r="A856" s="196" t="s">
        <v>351</v>
      </c>
      <c r="B856" s="197">
        <v>41600</v>
      </c>
      <c r="C856" s="196" t="s">
        <v>1242</v>
      </c>
      <c r="D856" s="196">
        <v>68</v>
      </c>
      <c r="E856" s="196" t="s">
        <v>1268</v>
      </c>
      <c r="F856" s="196">
        <v>63.6</v>
      </c>
      <c r="G856" s="196">
        <f t="shared" si="13"/>
        <v>31.8</v>
      </c>
      <c r="H856" s="196">
        <v>2538</v>
      </c>
      <c r="I856" s="196" t="s">
        <v>1411</v>
      </c>
      <c r="J856" s="196"/>
    </row>
    <row r="857" spans="1:10" ht="14.4" hidden="1" outlineLevel="1">
      <c r="A857" s="196" t="s">
        <v>351</v>
      </c>
      <c r="B857" s="197">
        <v>41603</v>
      </c>
      <c r="C857" s="196" t="s">
        <v>1224</v>
      </c>
      <c r="D857" s="196">
        <v>68</v>
      </c>
      <c r="E857" s="196" t="s">
        <v>1224</v>
      </c>
      <c r="F857" s="196">
        <v>68</v>
      </c>
      <c r="G857" s="196">
        <f t="shared" si="13"/>
        <v>34</v>
      </c>
      <c r="H857" s="196">
        <v>100</v>
      </c>
      <c r="I857" s="196" t="s">
        <v>1410</v>
      </c>
      <c r="J857" s="196"/>
    </row>
    <row r="858" spans="1:10" ht="14.4" hidden="1" outlineLevel="1">
      <c r="A858" s="196" t="s">
        <v>351</v>
      </c>
      <c r="B858" s="197">
        <v>41604</v>
      </c>
      <c r="C858" s="196" t="s">
        <v>1242</v>
      </c>
      <c r="D858" s="196">
        <v>65</v>
      </c>
      <c r="E858" s="196" t="s">
        <v>1253</v>
      </c>
      <c r="F858" s="196">
        <v>64</v>
      </c>
      <c r="G858" s="196">
        <f t="shared" si="13"/>
        <v>32</v>
      </c>
      <c r="H858" s="196">
        <v>5505</v>
      </c>
      <c r="I858" s="196" t="s">
        <v>1409</v>
      </c>
      <c r="J858" s="196"/>
    </row>
    <row r="859" spans="1:10" ht="14.4" hidden="1" outlineLevel="1">
      <c r="A859" s="196" t="s">
        <v>351</v>
      </c>
      <c r="B859" s="197">
        <v>41605</v>
      </c>
      <c r="C859" s="196" t="s">
        <v>1253</v>
      </c>
      <c r="D859" s="196">
        <v>64.5</v>
      </c>
      <c r="E859" s="196" t="s">
        <v>1310</v>
      </c>
      <c r="F859" s="196">
        <v>62</v>
      </c>
      <c r="G859" s="196">
        <f t="shared" si="13"/>
        <v>31</v>
      </c>
      <c r="H859" s="196">
        <v>7428</v>
      </c>
      <c r="I859" s="196" t="s">
        <v>1408</v>
      </c>
      <c r="J859" s="196"/>
    </row>
    <row r="860" spans="1:10" ht="14.4" hidden="1" outlineLevel="1">
      <c r="A860" s="196" t="s">
        <v>351</v>
      </c>
      <c r="B860" s="197">
        <v>41606</v>
      </c>
      <c r="C860" s="196" t="s">
        <v>1253</v>
      </c>
      <c r="D860" s="196">
        <v>64</v>
      </c>
      <c r="E860" s="196" t="s">
        <v>1310</v>
      </c>
      <c r="F860" s="196">
        <v>62</v>
      </c>
      <c r="G860" s="196">
        <f t="shared" si="13"/>
        <v>31</v>
      </c>
      <c r="H860" s="196">
        <v>2090</v>
      </c>
      <c r="I860" s="196" t="s">
        <v>1407</v>
      </c>
      <c r="J860" s="196"/>
    </row>
    <row r="861" spans="1:10" ht="14.4" hidden="1" outlineLevel="1">
      <c r="A861" s="196" t="s">
        <v>351</v>
      </c>
      <c r="B861" s="197">
        <v>41607</v>
      </c>
      <c r="C861" s="196" t="s">
        <v>88</v>
      </c>
      <c r="D861" s="196" t="s">
        <v>88</v>
      </c>
      <c r="E861" s="196" t="s">
        <v>88</v>
      </c>
      <c r="F861" s="196">
        <v>62</v>
      </c>
      <c r="G861" s="196">
        <f t="shared" si="13"/>
        <v>31</v>
      </c>
      <c r="H861" s="196">
        <v>0</v>
      </c>
      <c r="I861" s="196" t="s">
        <v>611</v>
      </c>
      <c r="J861" s="196"/>
    </row>
    <row r="862" spans="1:10" ht="14.4" hidden="1" outlineLevel="1">
      <c r="A862" s="196" t="s">
        <v>351</v>
      </c>
      <c r="B862" s="197">
        <v>41610</v>
      </c>
      <c r="C862" s="196" t="s">
        <v>1287</v>
      </c>
      <c r="D862" s="196">
        <v>65</v>
      </c>
      <c r="E862" s="196" t="s">
        <v>1343</v>
      </c>
      <c r="F862" s="196">
        <v>64.3</v>
      </c>
      <c r="G862" s="196">
        <f t="shared" si="13"/>
        <v>32.15</v>
      </c>
      <c r="H862" s="196">
        <v>3177</v>
      </c>
      <c r="I862" s="196" t="s">
        <v>1406</v>
      </c>
      <c r="J862" s="196"/>
    </row>
    <row r="863" spans="1:10" ht="14.4" hidden="1" outlineLevel="1">
      <c r="A863" s="196" t="s">
        <v>351</v>
      </c>
      <c r="B863" s="197">
        <v>41611</v>
      </c>
      <c r="C863" s="196" t="s">
        <v>1343</v>
      </c>
      <c r="D863" s="196">
        <v>65</v>
      </c>
      <c r="E863" s="196" t="s">
        <v>1343</v>
      </c>
      <c r="F863" s="196">
        <v>64.900000000000006</v>
      </c>
      <c r="G863" s="196">
        <f t="shared" si="13"/>
        <v>32.450000000000003</v>
      </c>
      <c r="H863" s="196">
        <v>1330</v>
      </c>
      <c r="I863" s="196" t="s">
        <v>1405</v>
      </c>
      <c r="J863" s="196"/>
    </row>
    <row r="864" spans="1:10" ht="14.4" hidden="1" outlineLevel="1">
      <c r="A864" s="196" t="s">
        <v>351</v>
      </c>
      <c r="B864" s="197">
        <v>41612</v>
      </c>
      <c r="C864" s="196" t="s">
        <v>88</v>
      </c>
      <c r="D864" s="196" t="s">
        <v>88</v>
      </c>
      <c r="E864" s="196" t="s">
        <v>88</v>
      </c>
      <c r="F864" s="196">
        <v>64.900000000000006</v>
      </c>
      <c r="G864" s="196">
        <f t="shared" si="13"/>
        <v>32.450000000000003</v>
      </c>
      <c r="H864" s="196">
        <v>0</v>
      </c>
      <c r="I864" s="196" t="s">
        <v>611</v>
      </c>
      <c r="J864" s="196"/>
    </row>
    <row r="865" spans="1:10" ht="14.4" hidden="1" outlineLevel="1">
      <c r="A865" s="196" t="s">
        <v>351</v>
      </c>
      <c r="B865" s="197">
        <v>41613</v>
      </c>
      <c r="C865" s="196" t="s">
        <v>1287</v>
      </c>
      <c r="D865" s="196">
        <v>65</v>
      </c>
      <c r="E865" s="196" t="s">
        <v>1261</v>
      </c>
      <c r="F865" s="196">
        <v>63.5</v>
      </c>
      <c r="G865" s="196">
        <f t="shared" si="13"/>
        <v>31.75</v>
      </c>
      <c r="H865" s="196">
        <v>57894</v>
      </c>
      <c r="I865" s="196" t="s">
        <v>1404</v>
      </c>
      <c r="J865" s="196"/>
    </row>
    <row r="866" spans="1:10" ht="14.4" hidden="1" outlineLevel="1">
      <c r="A866" s="196" t="s">
        <v>351</v>
      </c>
      <c r="B866" s="197">
        <v>41614</v>
      </c>
      <c r="C866" s="196" t="s">
        <v>1261</v>
      </c>
      <c r="D866" s="196">
        <v>63.5</v>
      </c>
      <c r="E866" s="196" t="s">
        <v>1261</v>
      </c>
      <c r="F866" s="196">
        <v>63.5</v>
      </c>
      <c r="G866" s="196">
        <f t="shared" si="13"/>
        <v>31.75</v>
      </c>
      <c r="H866" s="196">
        <v>2</v>
      </c>
      <c r="I866" s="196" t="s">
        <v>1403</v>
      </c>
      <c r="J866" s="196"/>
    </row>
    <row r="867" spans="1:10" ht="14.4" hidden="1" outlineLevel="1">
      <c r="A867" s="196" t="s">
        <v>351</v>
      </c>
      <c r="B867" s="197">
        <v>41617</v>
      </c>
      <c r="C867" s="196" t="s">
        <v>1242</v>
      </c>
      <c r="D867" s="196">
        <v>65</v>
      </c>
      <c r="E867" s="196" t="s">
        <v>1242</v>
      </c>
      <c r="F867" s="196">
        <v>65</v>
      </c>
      <c r="G867" s="196">
        <f t="shared" si="13"/>
        <v>32.5</v>
      </c>
      <c r="H867" s="196">
        <v>8395</v>
      </c>
      <c r="I867" s="196" t="s">
        <v>1402</v>
      </c>
      <c r="J867" s="196"/>
    </row>
    <row r="868" spans="1:10" ht="14.4" hidden="1" outlineLevel="1">
      <c r="A868" s="196" t="s">
        <v>351</v>
      </c>
      <c r="B868" s="197">
        <v>41618</v>
      </c>
      <c r="C868" s="196" t="s">
        <v>88</v>
      </c>
      <c r="D868" s="196" t="s">
        <v>88</v>
      </c>
      <c r="E868" s="196" t="s">
        <v>88</v>
      </c>
      <c r="F868" s="196">
        <v>65</v>
      </c>
      <c r="G868" s="196">
        <f t="shared" si="13"/>
        <v>32.5</v>
      </c>
      <c r="H868" s="196">
        <v>0</v>
      </c>
      <c r="I868" s="196" t="s">
        <v>611</v>
      </c>
      <c r="J868" s="196"/>
    </row>
    <row r="869" spans="1:10" ht="14.4" hidden="1" outlineLevel="1">
      <c r="A869" s="196" t="s">
        <v>351</v>
      </c>
      <c r="B869" s="197">
        <v>41619</v>
      </c>
      <c r="C869" s="196" t="s">
        <v>1268</v>
      </c>
      <c r="D869" s="196">
        <v>63.6</v>
      </c>
      <c r="E869" s="196" t="s">
        <v>1268</v>
      </c>
      <c r="F869" s="196">
        <v>63.6</v>
      </c>
      <c r="G869" s="196">
        <f t="shared" si="13"/>
        <v>31.8</v>
      </c>
      <c r="H869" s="196">
        <v>100</v>
      </c>
      <c r="I869" s="196" t="s">
        <v>1401</v>
      </c>
      <c r="J869" s="196"/>
    </row>
    <row r="870" spans="1:10" ht="14.4" hidden="1" outlineLevel="1">
      <c r="A870" s="196" t="s">
        <v>351</v>
      </c>
      <c r="B870" s="197">
        <v>41620</v>
      </c>
      <c r="C870" s="196" t="s">
        <v>1242</v>
      </c>
      <c r="D870" s="196">
        <v>65</v>
      </c>
      <c r="E870" s="196" t="s">
        <v>1242</v>
      </c>
      <c r="F870" s="196">
        <v>65</v>
      </c>
      <c r="G870" s="196">
        <f t="shared" si="13"/>
        <v>32.5</v>
      </c>
      <c r="H870" s="196">
        <v>100</v>
      </c>
      <c r="I870" s="196" t="s">
        <v>1400</v>
      </c>
      <c r="J870" s="196"/>
    </row>
    <row r="871" spans="1:10" ht="14.4" hidden="1" outlineLevel="1">
      <c r="A871" s="196" t="s">
        <v>351</v>
      </c>
      <c r="B871" s="197">
        <v>41621</v>
      </c>
      <c r="C871" s="196" t="s">
        <v>1272</v>
      </c>
      <c r="D871" s="196">
        <v>65</v>
      </c>
      <c r="E871" s="196" t="s">
        <v>1272</v>
      </c>
      <c r="F871" s="196">
        <v>65</v>
      </c>
      <c r="G871" s="196">
        <f t="shared" si="13"/>
        <v>32.5</v>
      </c>
      <c r="H871" s="196">
        <v>101</v>
      </c>
      <c r="I871" s="196" t="s">
        <v>1399</v>
      </c>
      <c r="J871" s="196"/>
    </row>
    <row r="872" spans="1:10" ht="14.4" hidden="1" outlineLevel="1">
      <c r="A872" s="196" t="s">
        <v>351</v>
      </c>
      <c r="B872" s="197">
        <v>41625</v>
      </c>
      <c r="C872" s="196" t="s">
        <v>88</v>
      </c>
      <c r="D872" s="196" t="s">
        <v>88</v>
      </c>
      <c r="E872" s="196" t="s">
        <v>88</v>
      </c>
      <c r="F872" s="196">
        <v>65</v>
      </c>
      <c r="G872" s="196">
        <f t="shared" si="13"/>
        <v>32.5</v>
      </c>
      <c r="H872" s="196">
        <v>0</v>
      </c>
      <c r="I872" s="196" t="s">
        <v>611</v>
      </c>
      <c r="J872" s="196"/>
    </row>
    <row r="873" spans="1:10" ht="14.4" hidden="1" outlineLevel="1">
      <c r="A873" s="196" t="s">
        <v>351</v>
      </c>
      <c r="B873" s="197">
        <v>41626</v>
      </c>
      <c r="C873" s="196" t="s">
        <v>1242</v>
      </c>
      <c r="D873" s="196">
        <v>65</v>
      </c>
      <c r="E873" s="196" t="s">
        <v>1242</v>
      </c>
      <c r="F873" s="196">
        <v>65</v>
      </c>
      <c r="G873" s="196">
        <f t="shared" si="13"/>
        <v>32.5</v>
      </c>
      <c r="H873" s="196">
        <v>137</v>
      </c>
      <c r="I873" s="196" t="s">
        <v>1398</v>
      </c>
      <c r="J873" s="196"/>
    </row>
    <row r="874" spans="1:10" ht="14.4" hidden="1" outlineLevel="1">
      <c r="A874" s="196" t="s">
        <v>351</v>
      </c>
      <c r="B874" s="197">
        <v>41627</v>
      </c>
      <c r="C874" s="196" t="s">
        <v>1242</v>
      </c>
      <c r="D874" s="196">
        <v>65</v>
      </c>
      <c r="E874" s="196" t="s">
        <v>1242</v>
      </c>
      <c r="F874" s="196">
        <v>65</v>
      </c>
      <c r="G874" s="196">
        <f t="shared" si="13"/>
        <v>32.5</v>
      </c>
      <c r="H874" s="196">
        <v>2</v>
      </c>
      <c r="I874" s="196" t="s">
        <v>1397</v>
      </c>
      <c r="J874" s="196"/>
    </row>
    <row r="875" spans="1:10" ht="14.4" hidden="1" outlineLevel="1">
      <c r="A875" s="196" t="s">
        <v>351</v>
      </c>
      <c r="B875" s="197">
        <v>41628</v>
      </c>
      <c r="C875" s="196" t="s">
        <v>88</v>
      </c>
      <c r="D875" s="196" t="s">
        <v>88</v>
      </c>
      <c r="E875" s="196" t="s">
        <v>88</v>
      </c>
      <c r="F875" s="196">
        <v>65</v>
      </c>
      <c r="G875" s="196">
        <f t="shared" si="13"/>
        <v>32.5</v>
      </c>
      <c r="H875" s="196">
        <v>0</v>
      </c>
      <c r="I875" s="196" t="s">
        <v>611</v>
      </c>
      <c r="J875" s="196"/>
    </row>
    <row r="876" spans="1:10" ht="14.4" hidden="1" outlineLevel="1">
      <c r="A876" s="196" t="s">
        <v>351</v>
      </c>
      <c r="B876" s="197">
        <v>41631</v>
      </c>
      <c r="C876" s="196" t="s">
        <v>1343</v>
      </c>
      <c r="D876" s="196">
        <v>63</v>
      </c>
      <c r="E876" s="196" t="s">
        <v>1343</v>
      </c>
      <c r="F876" s="196">
        <v>63</v>
      </c>
      <c r="G876" s="196">
        <f t="shared" si="13"/>
        <v>31.5</v>
      </c>
      <c r="H876" s="196">
        <v>2100</v>
      </c>
      <c r="I876" s="196" t="s">
        <v>1396</v>
      </c>
      <c r="J876" s="196"/>
    </row>
    <row r="877" spans="1:10" ht="14.4" hidden="1" outlineLevel="1">
      <c r="A877" s="196" t="s">
        <v>351</v>
      </c>
      <c r="B877" s="197">
        <v>41632</v>
      </c>
      <c r="C877" s="196" t="s">
        <v>1343</v>
      </c>
      <c r="D877" s="196">
        <v>63</v>
      </c>
      <c r="E877" s="196" t="s">
        <v>1343</v>
      </c>
      <c r="F877" s="196">
        <v>63</v>
      </c>
      <c r="G877" s="196">
        <f t="shared" si="13"/>
        <v>31.5</v>
      </c>
      <c r="H877" s="196">
        <v>150</v>
      </c>
      <c r="I877" s="196" t="s">
        <v>1395</v>
      </c>
      <c r="J877" s="196"/>
    </row>
    <row r="878" spans="1:10" ht="14.4" hidden="1" outlineLevel="1">
      <c r="A878" s="196" t="s">
        <v>351</v>
      </c>
      <c r="B878" s="197">
        <v>41634</v>
      </c>
      <c r="C878" s="196" t="s">
        <v>1259</v>
      </c>
      <c r="D878" s="196">
        <v>67</v>
      </c>
      <c r="E878" s="196" t="s">
        <v>1259</v>
      </c>
      <c r="F878" s="196">
        <v>67</v>
      </c>
      <c r="G878" s="196">
        <f t="shared" si="13"/>
        <v>33.5</v>
      </c>
      <c r="H878" s="196">
        <v>3</v>
      </c>
      <c r="I878" s="196" t="s">
        <v>1394</v>
      </c>
      <c r="J878" s="196"/>
    </row>
    <row r="879" spans="1:10" ht="14.4" hidden="1" outlineLevel="1">
      <c r="A879" s="196" t="s">
        <v>351</v>
      </c>
      <c r="B879" s="197">
        <v>41635</v>
      </c>
      <c r="C879" s="196" t="s">
        <v>1225</v>
      </c>
      <c r="D879" s="196">
        <v>67</v>
      </c>
      <c r="E879" s="196" t="s">
        <v>1262</v>
      </c>
      <c r="F879" s="196">
        <v>65</v>
      </c>
      <c r="G879" s="196">
        <f t="shared" si="13"/>
        <v>32.5</v>
      </c>
      <c r="H879" s="196">
        <v>2620</v>
      </c>
      <c r="I879" s="196" t="s">
        <v>1393</v>
      </c>
      <c r="J879" s="196"/>
    </row>
    <row r="880" spans="1:10" ht="14.4" hidden="1" outlineLevel="1">
      <c r="A880" s="196" t="s">
        <v>351</v>
      </c>
      <c r="B880" s="197">
        <v>41638</v>
      </c>
      <c r="C880" s="196" t="s">
        <v>88</v>
      </c>
      <c r="D880" s="196" t="s">
        <v>88</v>
      </c>
      <c r="E880" s="196" t="s">
        <v>88</v>
      </c>
      <c r="F880" s="196">
        <v>65</v>
      </c>
      <c r="G880" s="196">
        <f t="shared" si="13"/>
        <v>32.5</v>
      </c>
      <c r="H880" s="196">
        <v>0</v>
      </c>
      <c r="I880" s="196" t="s">
        <v>611</v>
      </c>
      <c r="J880" s="196"/>
    </row>
    <row r="881" spans="1:10" ht="14.4" hidden="1" outlineLevel="1">
      <c r="A881" s="196" t="s">
        <v>351</v>
      </c>
      <c r="B881" s="197">
        <v>41639</v>
      </c>
      <c r="C881" s="196" t="s">
        <v>1237</v>
      </c>
      <c r="D881" s="196">
        <v>66</v>
      </c>
      <c r="E881" s="196" t="s">
        <v>1261</v>
      </c>
      <c r="F881" s="196">
        <v>64.900000000000006</v>
      </c>
      <c r="G881" s="196">
        <f t="shared" si="13"/>
        <v>32.450000000000003</v>
      </c>
      <c r="H881" s="196">
        <v>216483</v>
      </c>
      <c r="I881" s="196" t="s">
        <v>1392</v>
      </c>
      <c r="J881" s="196"/>
    </row>
    <row r="882" spans="1:10" ht="14.4" hidden="1" outlineLevel="1">
      <c r="A882" s="196" t="s">
        <v>351</v>
      </c>
      <c r="B882" s="197">
        <v>41641</v>
      </c>
      <c r="C882" s="196" t="s">
        <v>1237</v>
      </c>
      <c r="D882" s="196">
        <v>67</v>
      </c>
      <c r="E882" s="196" t="s">
        <v>1242</v>
      </c>
      <c r="F882" s="196">
        <v>65</v>
      </c>
      <c r="G882" s="196">
        <f t="shared" si="13"/>
        <v>32.5</v>
      </c>
      <c r="H882" s="196">
        <v>2201</v>
      </c>
      <c r="I882" s="196" t="s">
        <v>1391</v>
      </c>
      <c r="J882" s="196"/>
    </row>
    <row r="883" spans="1:10" ht="14.4" hidden="1" outlineLevel="1">
      <c r="A883" s="196" t="s">
        <v>351</v>
      </c>
      <c r="B883" s="197">
        <v>41642</v>
      </c>
      <c r="C883" s="196" t="s">
        <v>1237</v>
      </c>
      <c r="D883" s="196">
        <v>66</v>
      </c>
      <c r="E883" s="196" t="s">
        <v>1242</v>
      </c>
      <c r="F883" s="196">
        <v>65</v>
      </c>
      <c r="G883" s="196">
        <f t="shared" si="13"/>
        <v>32.5</v>
      </c>
      <c r="H883" s="196">
        <v>120388</v>
      </c>
      <c r="I883" s="196" t="s">
        <v>1390</v>
      </c>
      <c r="J883" s="196"/>
    </row>
    <row r="884" spans="1:10" ht="14.4" hidden="1" outlineLevel="1">
      <c r="A884" s="196" t="s">
        <v>351</v>
      </c>
      <c r="B884" s="197">
        <v>41645</v>
      </c>
      <c r="C884" s="196" t="s">
        <v>1242</v>
      </c>
      <c r="D884" s="196">
        <v>65</v>
      </c>
      <c r="E884" s="196" t="s">
        <v>1253</v>
      </c>
      <c r="F884" s="196">
        <v>64.8</v>
      </c>
      <c r="G884" s="196">
        <f t="shared" si="13"/>
        <v>32.4</v>
      </c>
      <c r="H884" s="196">
        <v>26286</v>
      </c>
      <c r="I884" s="196" t="s">
        <v>1389</v>
      </c>
      <c r="J884" s="196"/>
    </row>
    <row r="885" spans="1:10" ht="14.4" hidden="1" outlineLevel="1">
      <c r="A885" s="196" t="s">
        <v>351</v>
      </c>
      <c r="B885" s="197">
        <v>41646</v>
      </c>
      <c r="C885" s="196" t="s">
        <v>1274</v>
      </c>
      <c r="D885" s="196">
        <v>66.900000000000006</v>
      </c>
      <c r="E885" s="196" t="s">
        <v>1274</v>
      </c>
      <c r="F885" s="196">
        <v>66</v>
      </c>
      <c r="G885" s="196">
        <f t="shared" si="13"/>
        <v>33</v>
      </c>
      <c r="H885" s="196">
        <v>54074</v>
      </c>
      <c r="I885" s="196" t="s">
        <v>1388</v>
      </c>
      <c r="J885" s="196"/>
    </row>
    <row r="886" spans="1:10" ht="14.4" hidden="1" outlineLevel="1">
      <c r="A886" s="196" t="s">
        <v>351</v>
      </c>
      <c r="B886" s="197">
        <v>41647</v>
      </c>
      <c r="C886" s="196" t="s">
        <v>1385</v>
      </c>
      <c r="D886" s="196">
        <v>66.5</v>
      </c>
      <c r="E886" s="196" t="s">
        <v>1385</v>
      </c>
      <c r="F886" s="196">
        <v>66.5</v>
      </c>
      <c r="G886" s="196">
        <f t="shared" si="13"/>
        <v>33.25</v>
      </c>
      <c r="H886" s="196">
        <v>523</v>
      </c>
      <c r="I886" s="196" t="s">
        <v>1387</v>
      </c>
      <c r="J886" s="196"/>
    </row>
    <row r="887" spans="1:10" ht="14.4" hidden="1" outlineLevel="1">
      <c r="A887" s="196" t="s">
        <v>351</v>
      </c>
      <c r="B887" s="197">
        <v>41648</v>
      </c>
      <c r="C887" s="196" t="s">
        <v>1385</v>
      </c>
      <c r="D887" s="196">
        <v>67</v>
      </c>
      <c r="E887" s="196" t="s">
        <v>1385</v>
      </c>
      <c r="F887" s="196">
        <v>67</v>
      </c>
      <c r="G887" s="196">
        <f t="shared" si="13"/>
        <v>33.5</v>
      </c>
      <c r="H887" s="196">
        <v>3353</v>
      </c>
      <c r="I887" s="196" t="s">
        <v>1386</v>
      </c>
      <c r="J887" s="196"/>
    </row>
    <row r="888" spans="1:10" ht="14.4" hidden="1" outlineLevel="1">
      <c r="A888" s="196" t="s">
        <v>351</v>
      </c>
      <c r="B888" s="197">
        <v>41649</v>
      </c>
      <c r="C888" s="196" t="s">
        <v>1225</v>
      </c>
      <c r="D888" s="196">
        <v>69.900000000000006</v>
      </c>
      <c r="E888" s="196" t="s">
        <v>1225</v>
      </c>
      <c r="F888" s="196">
        <v>69.3</v>
      </c>
      <c r="G888" s="196">
        <f t="shared" si="13"/>
        <v>34.65</v>
      </c>
      <c r="H888" s="196">
        <v>45895</v>
      </c>
      <c r="I888" s="196" t="s">
        <v>1384</v>
      </c>
      <c r="J888" s="196"/>
    </row>
    <row r="889" spans="1:10" ht="14.4" hidden="1" outlineLevel="1">
      <c r="A889" s="196" t="s">
        <v>351</v>
      </c>
      <c r="B889" s="197">
        <v>41652</v>
      </c>
      <c r="C889" s="196" t="s">
        <v>1214</v>
      </c>
      <c r="D889" s="196">
        <v>70</v>
      </c>
      <c r="E889" s="196" t="s">
        <v>1216</v>
      </c>
      <c r="F889" s="196">
        <v>69</v>
      </c>
      <c r="G889" s="196">
        <f t="shared" si="13"/>
        <v>34.5</v>
      </c>
      <c r="H889" s="196">
        <v>30202</v>
      </c>
      <c r="I889" s="196" t="s">
        <v>1383</v>
      </c>
      <c r="J889" s="196"/>
    </row>
    <row r="890" spans="1:10" ht="14.4" hidden="1" outlineLevel="1">
      <c r="A890" s="196" t="s">
        <v>351</v>
      </c>
      <c r="B890" s="197">
        <v>41655</v>
      </c>
      <c r="C890" s="196" t="s">
        <v>1211</v>
      </c>
      <c r="D890" s="196">
        <v>70</v>
      </c>
      <c r="E890" s="196" t="s">
        <v>1216</v>
      </c>
      <c r="F890" s="196">
        <v>69</v>
      </c>
      <c r="G890" s="196">
        <f t="shared" si="13"/>
        <v>34.5</v>
      </c>
      <c r="H890" s="196">
        <v>15800</v>
      </c>
      <c r="I890" s="196" t="s">
        <v>1382</v>
      </c>
      <c r="J890" s="196"/>
    </row>
    <row r="891" spans="1:10" ht="14.4" hidden="1" outlineLevel="1">
      <c r="A891" s="196" t="s">
        <v>351</v>
      </c>
      <c r="B891" s="197">
        <v>41656</v>
      </c>
      <c r="C891" s="196" t="s">
        <v>1216</v>
      </c>
      <c r="D891" s="196">
        <v>70</v>
      </c>
      <c r="E891" s="196" t="s">
        <v>1380</v>
      </c>
      <c r="F891" s="196">
        <v>70</v>
      </c>
      <c r="G891" s="196">
        <f t="shared" si="13"/>
        <v>35</v>
      </c>
      <c r="H891" s="196">
        <v>21103</v>
      </c>
      <c r="I891" s="196" t="s">
        <v>1381</v>
      </c>
      <c r="J891" s="196"/>
    </row>
    <row r="892" spans="1:10" ht="14.4" hidden="1" outlineLevel="1">
      <c r="A892" s="196" t="s">
        <v>351</v>
      </c>
      <c r="B892" s="197">
        <v>41659</v>
      </c>
      <c r="C892" s="196" t="s">
        <v>1224</v>
      </c>
      <c r="D892" s="196">
        <v>68</v>
      </c>
      <c r="E892" s="196" t="s">
        <v>1224</v>
      </c>
      <c r="F892" s="196">
        <v>68</v>
      </c>
      <c r="G892" s="196">
        <f t="shared" si="13"/>
        <v>34</v>
      </c>
      <c r="H892" s="196">
        <v>300</v>
      </c>
      <c r="I892" s="196" t="s">
        <v>1379</v>
      </c>
      <c r="J892" s="196"/>
    </row>
    <row r="893" spans="1:10" ht="14.4" hidden="1" outlineLevel="1">
      <c r="A893" s="196" t="s">
        <v>351</v>
      </c>
      <c r="B893" s="197">
        <v>41660</v>
      </c>
      <c r="C893" s="196" t="s">
        <v>88</v>
      </c>
      <c r="D893" s="196" t="s">
        <v>88</v>
      </c>
      <c r="E893" s="196" t="s">
        <v>88</v>
      </c>
      <c r="F893" s="196">
        <v>68</v>
      </c>
      <c r="G893" s="196">
        <f t="shared" si="13"/>
        <v>34</v>
      </c>
      <c r="H893" s="196">
        <v>0</v>
      </c>
      <c r="I893" s="196" t="s">
        <v>611</v>
      </c>
      <c r="J893" s="196"/>
    </row>
    <row r="894" spans="1:10" ht="14.4" hidden="1" outlineLevel="1">
      <c r="A894" s="196" t="s">
        <v>351</v>
      </c>
      <c r="B894" s="197">
        <v>41661</v>
      </c>
      <c r="C894" s="196" t="s">
        <v>1224</v>
      </c>
      <c r="D894" s="196">
        <v>74</v>
      </c>
      <c r="E894" s="196" t="s">
        <v>1224</v>
      </c>
      <c r="F894" s="196">
        <v>73.099999999999994</v>
      </c>
      <c r="G894" s="196">
        <f t="shared" si="13"/>
        <v>36.549999999999997</v>
      </c>
      <c r="H894" s="196">
        <v>48020</v>
      </c>
      <c r="I894" s="196" t="s">
        <v>1378</v>
      </c>
      <c r="J894" s="196"/>
    </row>
    <row r="895" spans="1:10" ht="14.4" hidden="1" outlineLevel="1">
      <c r="A895" s="196" t="s">
        <v>351</v>
      </c>
      <c r="B895" s="197">
        <v>41662</v>
      </c>
      <c r="C895" s="196" t="s">
        <v>1376</v>
      </c>
      <c r="D895" s="196">
        <v>73.900000000000006</v>
      </c>
      <c r="E895" s="196" t="s">
        <v>1376</v>
      </c>
      <c r="F895" s="196">
        <v>73.8</v>
      </c>
      <c r="G895" s="196">
        <f t="shared" si="13"/>
        <v>36.9</v>
      </c>
      <c r="H895" s="196">
        <v>1000</v>
      </c>
      <c r="I895" s="196" t="s">
        <v>1377</v>
      </c>
      <c r="J895" s="196"/>
    </row>
    <row r="896" spans="1:10" ht="14.4" hidden="1" outlineLevel="1">
      <c r="A896" s="196" t="s">
        <v>351</v>
      </c>
      <c r="B896" s="197">
        <v>41663</v>
      </c>
      <c r="C896" s="196" t="s">
        <v>1196</v>
      </c>
      <c r="D896" s="196">
        <v>73</v>
      </c>
      <c r="E896" s="196" t="s">
        <v>1374</v>
      </c>
      <c r="F896" s="196">
        <v>72.7</v>
      </c>
      <c r="G896" s="196">
        <f t="shared" si="13"/>
        <v>36.35</v>
      </c>
      <c r="H896" s="196">
        <v>48190</v>
      </c>
      <c r="I896" s="196" t="s">
        <v>1375</v>
      </c>
      <c r="J896" s="196"/>
    </row>
    <row r="897" spans="1:10" ht="14.4" hidden="1" outlineLevel="1">
      <c r="A897" s="196" t="s">
        <v>351</v>
      </c>
      <c r="B897" s="197">
        <v>41666</v>
      </c>
      <c r="C897" s="196" t="s">
        <v>1178</v>
      </c>
      <c r="D897" s="196">
        <v>70.2</v>
      </c>
      <c r="E897" s="196" t="s">
        <v>1211</v>
      </c>
      <c r="F897" s="196">
        <v>70.099999999999994</v>
      </c>
      <c r="G897" s="196">
        <f t="shared" si="13"/>
        <v>35.049999999999997</v>
      </c>
      <c r="H897" s="196">
        <v>1698</v>
      </c>
      <c r="I897" s="196" t="s">
        <v>1373</v>
      </c>
      <c r="J897" s="196"/>
    </row>
    <row r="898" spans="1:10" ht="14.4" hidden="1" outlineLevel="1">
      <c r="A898" s="196" t="s">
        <v>351</v>
      </c>
      <c r="B898" s="197">
        <v>41667</v>
      </c>
      <c r="C898" s="196" t="s">
        <v>1371</v>
      </c>
      <c r="D898" s="196">
        <v>71.5</v>
      </c>
      <c r="E898" s="196" t="s">
        <v>1371</v>
      </c>
      <c r="F898" s="196">
        <v>71.5</v>
      </c>
      <c r="G898" s="196">
        <f t="shared" si="13"/>
        <v>35.75</v>
      </c>
      <c r="H898" s="196">
        <v>809</v>
      </c>
      <c r="I898" s="196" t="s">
        <v>1372</v>
      </c>
      <c r="J898" s="196"/>
    </row>
    <row r="899" spans="1:10" ht="14.4" hidden="1" outlineLevel="1">
      <c r="A899" s="196" t="s">
        <v>351</v>
      </c>
      <c r="B899" s="197">
        <v>41668</v>
      </c>
      <c r="C899" s="196" t="s">
        <v>1161</v>
      </c>
      <c r="D899" s="196">
        <v>71</v>
      </c>
      <c r="E899" s="196" t="s">
        <v>1161</v>
      </c>
      <c r="F899" s="196">
        <v>71</v>
      </c>
      <c r="G899" s="196">
        <f t="shared" si="13"/>
        <v>35.5</v>
      </c>
      <c r="H899" s="196">
        <v>15800</v>
      </c>
      <c r="I899" s="196" t="s">
        <v>1370</v>
      </c>
      <c r="J899" s="196"/>
    </row>
    <row r="900" spans="1:10" ht="14.4" hidden="1" outlineLevel="1">
      <c r="A900" s="196" t="s">
        <v>351</v>
      </c>
      <c r="B900" s="197">
        <v>41669</v>
      </c>
      <c r="C900" s="196" t="s">
        <v>1211</v>
      </c>
      <c r="D900" s="196">
        <v>70</v>
      </c>
      <c r="E900" s="196" t="s">
        <v>1211</v>
      </c>
      <c r="F900" s="196">
        <v>70</v>
      </c>
      <c r="G900" s="196">
        <f t="shared" si="13"/>
        <v>35</v>
      </c>
      <c r="H900" s="196">
        <v>100</v>
      </c>
      <c r="I900" s="196" t="s">
        <v>1369</v>
      </c>
      <c r="J900" s="196"/>
    </row>
    <row r="901" spans="1:10" ht="14.4" hidden="1" outlineLevel="1">
      <c r="A901" s="196" t="s">
        <v>351</v>
      </c>
      <c r="B901" s="197">
        <v>41670</v>
      </c>
      <c r="C901" s="196" t="s">
        <v>1211</v>
      </c>
      <c r="D901" s="196">
        <v>70</v>
      </c>
      <c r="E901" s="196" t="s">
        <v>1216</v>
      </c>
      <c r="F901" s="196">
        <v>69</v>
      </c>
      <c r="G901" s="196">
        <f t="shared" ref="G901:G964" si="14">F901/2</f>
        <v>34.5</v>
      </c>
      <c r="H901" s="196">
        <v>11101</v>
      </c>
      <c r="I901" s="196" t="s">
        <v>1368</v>
      </c>
      <c r="J901" s="196"/>
    </row>
    <row r="902" spans="1:10" ht="14.4" hidden="1" outlineLevel="1">
      <c r="A902" s="196" t="s">
        <v>351</v>
      </c>
      <c r="B902" s="197">
        <v>41673</v>
      </c>
      <c r="C902" s="196" t="s">
        <v>1366</v>
      </c>
      <c r="D902" s="196">
        <v>69.5</v>
      </c>
      <c r="E902" s="196" t="s">
        <v>1366</v>
      </c>
      <c r="F902" s="196">
        <v>69.5</v>
      </c>
      <c r="G902" s="196">
        <f t="shared" si="14"/>
        <v>34.75</v>
      </c>
      <c r="H902" s="196">
        <v>800</v>
      </c>
      <c r="I902" s="196" t="s">
        <v>1367</v>
      </c>
      <c r="J902" s="196"/>
    </row>
    <row r="903" spans="1:10" ht="14.4" hidden="1" outlineLevel="1">
      <c r="A903" s="196" t="s">
        <v>351</v>
      </c>
      <c r="B903" s="197">
        <v>41675</v>
      </c>
      <c r="C903" s="196" t="s">
        <v>1216</v>
      </c>
      <c r="D903" s="196">
        <v>69</v>
      </c>
      <c r="E903" s="196" t="s">
        <v>1216</v>
      </c>
      <c r="F903" s="196">
        <v>69</v>
      </c>
      <c r="G903" s="196">
        <f t="shared" si="14"/>
        <v>34.5</v>
      </c>
      <c r="H903" s="196">
        <v>1205</v>
      </c>
      <c r="I903" s="196" t="s">
        <v>1365</v>
      </c>
      <c r="J903" s="196"/>
    </row>
    <row r="904" spans="1:10" ht="14.4" hidden="1" outlineLevel="1">
      <c r="A904" s="196" t="s">
        <v>351</v>
      </c>
      <c r="B904" s="197">
        <v>41676</v>
      </c>
      <c r="C904" s="196" t="s">
        <v>1224</v>
      </c>
      <c r="D904" s="196">
        <v>69</v>
      </c>
      <c r="E904" s="196" t="s">
        <v>1224</v>
      </c>
      <c r="F904" s="196">
        <v>68</v>
      </c>
      <c r="G904" s="196">
        <f t="shared" si="14"/>
        <v>34</v>
      </c>
      <c r="H904" s="196">
        <v>1528</v>
      </c>
      <c r="I904" s="196" t="s">
        <v>1364</v>
      </c>
      <c r="J904" s="196"/>
    </row>
    <row r="905" spans="1:10" ht="14.4" hidden="1" outlineLevel="1">
      <c r="A905" s="196" t="s">
        <v>351</v>
      </c>
      <c r="B905" s="197">
        <v>41677</v>
      </c>
      <c r="C905" s="196" t="s">
        <v>88</v>
      </c>
      <c r="D905" s="196" t="s">
        <v>88</v>
      </c>
      <c r="E905" s="196" t="s">
        <v>88</v>
      </c>
      <c r="F905" s="196">
        <v>68</v>
      </c>
      <c r="G905" s="196">
        <f t="shared" si="14"/>
        <v>34</v>
      </c>
      <c r="H905" s="196">
        <v>0</v>
      </c>
      <c r="I905" s="196" t="s">
        <v>611</v>
      </c>
      <c r="J905" s="196"/>
    </row>
    <row r="906" spans="1:10" ht="14.4" hidden="1" outlineLevel="1">
      <c r="A906" s="196" t="s">
        <v>351</v>
      </c>
      <c r="B906" s="197">
        <v>41680</v>
      </c>
      <c r="C906" s="196" t="s">
        <v>1362</v>
      </c>
      <c r="D906" s="196">
        <v>65.5</v>
      </c>
      <c r="E906" s="196" t="s">
        <v>1362</v>
      </c>
      <c r="F906" s="196">
        <v>65.5</v>
      </c>
      <c r="G906" s="196">
        <f t="shared" si="14"/>
        <v>32.75</v>
      </c>
      <c r="H906" s="196">
        <v>10027</v>
      </c>
      <c r="I906" s="196" t="s">
        <v>1363</v>
      </c>
      <c r="J906" s="196"/>
    </row>
    <row r="907" spans="1:10" ht="14.4" hidden="1" outlineLevel="1">
      <c r="A907" s="196" t="s">
        <v>351</v>
      </c>
      <c r="B907" s="197">
        <v>41681</v>
      </c>
      <c r="C907" s="196" t="s">
        <v>88</v>
      </c>
      <c r="D907" s="196" t="s">
        <v>88</v>
      </c>
      <c r="E907" s="196" t="s">
        <v>88</v>
      </c>
      <c r="F907" s="196">
        <v>65.5</v>
      </c>
      <c r="G907" s="196">
        <f t="shared" si="14"/>
        <v>32.75</v>
      </c>
      <c r="H907" s="196">
        <v>0</v>
      </c>
      <c r="I907" s="196" t="s">
        <v>611</v>
      </c>
      <c r="J907" s="196"/>
    </row>
    <row r="908" spans="1:10" ht="14.4" hidden="1" outlineLevel="1">
      <c r="A908" s="196" t="s">
        <v>351</v>
      </c>
      <c r="B908" s="197">
        <v>41682</v>
      </c>
      <c r="C908" s="196" t="s">
        <v>1360</v>
      </c>
      <c r="D908" s="196">
        <v>65</v>
      </c>
      <c r="E908" s="196" t="s">
        <v>1360</v>
      </c>
      <c r="F908" s="196">
        <v>64.8</v>
      </c>
      <c r="G908" s="196">
        <f t="shared" si="14"/>
        <v>32.4</v>
      </c>
      <c r="H908" s="196">
        <v>3020</v>
      </c>
      <c r="I908" s="196" t="s">
        <v>1361</v>
      </c>
      <c r="J908" s="196"/>
    </row>
    <row r="909" spans="1:10" ht="14.4" hidden="1" outlineLevel="1">
      <c r="A909" s="196" t="s">
        <v>351</v>
      </c>
      <c r="B909" s="197">
        <v>41683</v>
      </c>
      <c r="C909" s="196" t="s">
        <v>1242</v>
      </c>
      <c r="D909" s="196">
        <v>65</v>
      </c>
      <c r="E909" s="196" t="s">
        <v>1242</v>
      </c>
      <c r="F909" s="196">
        <v>65</v>
      </c>
      <c r="G909" s="196">
        <f t="shared" si="14"/>
        <v>32.5</v>
      </c>
      <c r="H909" s="196">
        <v>2000</v>
      </c>
      <c r="I909" s="196" t="s">
        <v>1359</v>
      </c>
      <c r="J909" s="196"/>
    </row>
    <row r="910" spans="1:10" ht="14.4" hidden="1" outlineLevel="1">
      <c r="A910" s="196" t="s">
        <v>351</v>
      </c>
      <c r="B910" s="197">
        <v>41687</v>
      </c>
      <c r="C910" s="196" t="s">
        <v>1242</v>
      </c>
      <c r="D910" s="196">
        <v>65</v>
      </c>
      <c r="E910" s="196" t="s">
        <v>1244</v>
      </c>
      <c r="F910" s="196">
        <v>64.5</v>
      </c>
      <c r="G910" s="196">
        <f t="shared" si="14"/>
        <v>32.25</v>
      </c>
      <c r="H910" s="196">
        <v>5200</v>
      </c>
      <c r="I910" s="196" t="s">
        <v>1358</v>
      </c>
      <c r="J910" s="196"/>
    </row>
    <row r="911" spans="1:10" ht="14.4" hidden="1" outlineLevel="1">
      <c r="A911" s="196" t="s">
        <v>351</v>
      </c>
      <c r="B911" s="197">
        <v>41688</v>
      </c>
      <c r="C911" s="196" t="s">
        <v>88</v>
      </c>
      <c r="D911" s="196" t="s">
        <v>88</v>
      </c>
      <c r="E911" s="196" t="s">
        <v>88</v>
      </c>
      <c r="F911" s="196">
        <v>64.5</v>
      </c>
      <c r="G911" s="196">
        <f t="shared" si="14"/>
        <v>32.25</v>
      </c>
      <c r="H911" s="196">
        <v>0</v>
      </c>
      <c r="I911" s="196" t="s">
        <v>611</v>
      </c>
      <c r="J911" s="196"/>
    </row>
    <row r="912" spans="1:10" ht="14.4" hidden="1" outlineLevel="1">
      <c r="A912" s="196" t="s">
        <v>351</v>
      </c>
      <c r="B912" s="197">
        <v>41689</v>
      </c>
      <c r="C912" s="196" t="s">
        <v>1253</v>
      </c>
      <c r="D912" s="196">
        <v>64</v>
      </c>
      <c r="E912" s="196" t="s">
        <v>1298</v>
      </c>
      <c r="F912" s="196">
        <v>64</v>
      </c>
      <c r="G912" s="196">
        <f t="shared" si="14"/>
        <v>32</v>
      </c>
      <c r="H912" s="196">
        <v>6801</v>
      </c>
      <c r="I912" s="196" t="s">
        <v>1357</v>
      </c>
      <c r="J912" s="196"/>
    </row>
    <row r="913" spans="1:10" ht="14.4" hidden="1" outlineLevel="1">
      <c r="A913" s="196" t="s">
        <v>351</v>
      </c>
      <c r="B913" s="197">
        <v>41690</v>
      </c>
      <c r="C913" s="196" t="s">
        <v>1298</v>
      </c>
      <c r="D913" s="196">
        <v>64</v>
      </c>
      <c r="E913" s="196" t="s">
        <v>1298</v>
      </c>
      <c r="F913" s="196">
        <v>64</v>
      </c>
      <c r="G913" s="196">
        <f t="shared" si="14"/>
        <v>32</v>
      </c>
      <c r="H913" s="196">
        <v>108</v>
      </c>
      <c r="I913" s="196" t="s">
        <v>1356</v>
      </c>
      <c r="J913" s="196"/>
    </row>
    <row r="914" spans="1:10" ht="14.4" hidden="1" outlineLevel="1">
      <c r="A914" s="196" t="s">
        <v>351</v>
      </c>
      <c r="B914" s="197">
        <v>41691</v>
      </c>
      <c r="C914" s="196" t="s">
        <v>1268</v>
      </c>
      <c r="D914" s="196">
        <v>64</v>
      </c>
      <c r="E914" s="196" t="s">
        <v>1343</v>
      </c>
      <c r="F914" s="196">
        <v>64</v>
      </c>
      <c r="G914" s="196">
        <f t="shared" si="14"/>
        <v>32</v>
      </c>
      <c r="H914" s="196">
        <v>59070</v>
      </c>
      <c r="I914" s="196" t="s">
        <v>1355</v>
      </c>
      <c r="J914" s="196"/>
    </row>
    <row r="915" spans="1:10" ht="14.4" hidden="1" outlineLevel="1">
      <c r="A915" s="196" t="s">
        <v>351</v>
      </c>
      <c r="B915" s="197">
        <v>41694</v>
      </c>
      <c r="C915" s="196" t="s">
        <v>1302</v>
      </c>
      <c r="D915" s="196">
        <v>64.5</v>
      </c>
      <c r="E915" s="196" t="s">
        <v>1310</v>
      </c>
      <c r="F915" s="196">
        <v>62</v>
      </c>
      <c r="G915" s="196">
        <f t="shared" si="14"/>
        <v>31</v>
      </c>
      <c r="H915" s="196">
        <v>34610</v>
      </c>
      <c r="I915" s="196" t="s">
        <v>1354</v>
      </c>
      <c r="J915" s="196"/>
    </row>
    <row r="916" spans="1:10" ht="14.4" hidden="1" outlineLevel="1">
      <c r="A916" s="196" t="s">
        <v>351</v>
      </c>
      <c r="B916" s="197">
        <v>41695</v>
      </c>
      <c r="C916" s="196" t="s">
        <v>1310</v>
      </c>
      <c r="D916" s="196">
        <v>62</v>
      </c>
      <c r="E916" s="196" t="s">
        <v>1351</v>
      </c>
      <c r="F916" s="196">
        <v>60.1</v>
      </c>
      <c r="G916" s="196">
        <f t="shared" si="14"/>
        <v>30.05</v>
      </c>
      <c r="H916" s="196">
        <v>136749</v>
      </c>
      <c r="I916" s="196" t="s">
        <v>1353</v>
      </c>
      <c r="J916" s="196"/>
    </row>
    <row r="917" spans="1:10" ht="14.4" hidden="1" outlineLevel="1">
      <c r="A917" s="196" t="s">
        <v>351</v>
      </c>
      <c r="B917" s="197">
        <v>41696</v>
      </c>
      <c r="C917" s="196" t="s">
        <v>1351</v>
      </c>
      <c r="D917" s="196">
        <v>64.400000000000006</v>
      </c>
      <c r="E917" s="196" t="s">
        <v>1351</v>
      </c>
      <c r="F917" s="196">
        <v>60.1</v>
      </c>
      <c r="G917" s="196">
        <f t="shared" si="14"/>
        <v>30.05</v>
      </c>
      <c r="H917" s="196">
        <v>37443</v>
      </c>
      <c r="I917" s="196" t="s">
        <v>1352</v>
      </c>
      <c r="J917" s="196"/>
    </row>
    <row r="918" spans="1:10" ht="14.4" hidden="1" outlineLevel="1">
      <c r="A918" s="196" t="s">
        <v>351</v>
      </c>
      <c r="B918" s="197">
        <v>41698</v>
      </c>
      <c r="C918" s="196" t="s">
        <v>1346</v>
      </c>
      <c r="D918" s="196">
        <v>63.9</v>
      </c>
      <c r="E918" s="196" t="s">
        <v>1346</v>
      </c>
      <c r="F918" s="196">
        <v>63.9</v>
      </c>
      <c r="G918" s="196">
        <f t="shared" si="14"/>
        <v>31.95</v>
      </c>
      <c r="H918" s="196">
        <v>2520</v>
      </c>
      <c r="I918" s="196" t="s">
        <v>1350</v>
      </c>
      <c r="J918" s="196"/>
    </row>
    <row r="919" spans="1:10" ht="14.4" hidden="1" outlineLevel="1">
      <c r="A919" s="196" t="s">
        <v>351</v>
      </c>
      <c r="B919" s="197">
        <v>41701</v>
      </c>
      <c r="C919" s="196" t="s">
        <v>1346</v>
      </c>
      <c r="D919" s="196">
        <v>62.5</v>
      </c>
      <c r="E919" s="196" t="s">
        <v>1346</v>
      </c>
      <c r="F919" s="196">
        <v>62.5</v>
      </c>
      <c r="G919" s="196">
        <f t="shared" si="14"/>
        <v>31.25</v>
      </c>
      <c r="H919" s="196">
        <v>300</v>
      </c>
      <c r="I919" s="196" t="s">
        <v>1349</v>
      </c>
      <c r="J919" s="196"/>
    </row>
    <row r="920" spans="1:10" ht="14.4" hidden="1" outlineLevel="1">
      <c r="A920" s="196" t="s">
        <v>351</v>
      </c>
      <c r="B920" s="197">
        <v>41702</v>
      </c>
      <c r="C920" s="196" t="s">
        <v>1346</v>
      </c>
      <c r="D920" s="196">
        <v>62.5</v>
      </c>
      <c r="E920" s="196" t="s">
        <v>1346</v>
      </c>
      <c r="F920" s="196">
        <v>62.5</v>
      </c>
      <c r="G920" s="196">
        <f t="shared" si="14"/>
        <v>31.25</v>
      </c>
      <c r="H920" s="196">
        <v>2200</v>
      </c>
      <c r="I920" s="196" t="s">
        <v>1348</v>
      </c>
      <c r="J920" s="196"/>
    </row>
    <row r="921" spans="1:10" ht="14.4" hidden="1" outlineLevel="1">
      <c r="A921" s="196" t="s">
        <v>351</v>
      </c>
      <c r="B921" s="197">
        <v>41703</v>
      </c>
      <c r="C921" s="196" t="s">
        <v>1346</v>
      </c>
      <c r="D921" s="196">
        <v>62.5</v>
      </c>
      <c r="E921" s="196" t="s">
        <v>1346</v>
      </c>
      <c r="F921" s="196">
        <v>62.5</v>
      </c>
      <c r="G921" s="196">
        <f t="shared" si="14"/>
        <v>31.25</v>
      </c>
      <c r="H921" s="196">
        <v>100</v>
      </c>
      <c r="I921" s="196" t="s">
        <v>1347</v>
      </c>
      <c r="J921" s="196"/>
    </row>
    <row r="922" spans="1:10" ht="14.4" hidden="1" outlineLevel="1">
      <c r="A922" s="196" t="s">
        <v>351</v>
      </c>
      <c r="B922" s="197">
        <v>41704</v>
      </c>
      <c r="C922" s="196" t="s">
        <v>88</v>
      </c>
      <c r="D922" s="196" t="s">
        <v>88</v>
      </c>
      <c r="E922" s="196" t="s">
        <v>88</v>
      </c>
      <c r="F922" s="196">
        <v>62.5</v>
      </c>
      <c r="G922" s="196">
        <f t="shared" si="14"/>
        <v>31.25</v>
      </c>
      <c r="H922" s="196">
        <v>0</v>
      </c>
      <c r="I922" s="196" t="s">
        <v>611</v>
      </c>
      <c r="J922" s="196"/>
    </row>
    <row r="923" spans="1:10" ht="14.4" hidden="1" outlineLevel="1">
      <c r="A923" s="196" t="s">
        <v>351</v>
      </c>
      <c r="B923" s="197">
        <v>41705</v>
      </c>
      <c r="C923" s="196" t="s">
        <v>1310</v>
      </c>
      <c r="D923" s="196">
        <v>63</v>
      </c>
      <c r="E923" s="196" t="s">
        <v>1310</v>
      </c>
      <c r="F923" s="196">
        <v>63</v>
      </c>
      <c r="G923" s="196">
        <f t="shared" si="14"/>
        <v>31.5</v>
      </c>
      <c r="H923" s="196">
        <v>67355</v>
      </c>
      <c r="I923" s="196" t="s">
        <v>1345</v>
      </c>
      <c r="J923" s="196"/>
    </row>
    <row r="924" spans="1:10" ht="14.4" hidden="1" outlineLevel="1">
      <c r="A924" s="196" t="s">
        <v>351</v>
      </c>
      <c r="B924" s="197">
        <v>41708</v>
      </c>
      <c r="C924" s="196" t="s">
        <v>1343</v>
      </c>
      <c r="D924" s="196">
        <v>63</v>
      </c>
      <c r="E924" s="196" t="s">
        <v>1310</v>
      </c>
      <c r="F924" s="196">
        <v>62.1</v>
      </c>
      <c r="G924" s="196">
        <f t="shared" si="14"/>
        <v>31.05</v>
      </c>
      <c r="H924" s="196">
        <v>500</v>
      </c>
      <c r="I924" s="196" t="s">
        <v>1344</v>
      </c>
      <c r="J924" s="196"/>
    </row>
    <row r="925" spans="1:10" ht="14.4" hidden="1" outlineLevel="1">
      <c r="A925" s="196" t="s">
        <v>351</v>
      </c>
      <c r="B925" s="197">
        <v>41709</v>
      </c>
      <c r="C925" s="196" t="s">
        <v>1310</v>
      </c>
      <c r="D925" s="196">
        <v>62</v>
      </c>
      <c r="E925" s="196" t="s">
        <v>1341</v>
      </c>
      <c r="F925" s="196">
        <v>60.3</v>
      </c>
      <c r="G925" s="196">
        <f t="shared" si="14"/>
        <v>30.15</v>
      </c>
      <c r="H925" s="196">
        <v>7825</v>
      </c>
      <c r="I925" s="196" t="s">
        <v>1342</v>
      </c>
      <c r="J925" s="196"/>
    </row>
    <row r="926" spans="1:10" ht="14.4" hidden="1" outlineLevel="1">
      <c r="A926" s="196" t="s">
        <v>351</v>
      </c>
      <c r="B926" s="197">
        <v>41710</v>
      </c>
      <c r="C926" s="196" t="s">
        <v>1310</v>
      </c>
      <c r="D926" s="196">
        <v>62</v>
      </c>
      <c r="E926" s="196" t="s">
        <v>1339</v>
      </c>
      <c r="F926" s="196">
        <v>60.5</v>
      </c>
      <c r="G926" s="196">
        <f t="shared" si="14"/>
        <v>30.25</v>
      </c>
      <c r="H926" s="196">
        <v>49</v>
      </c>
      <c r="I926" s="196" t="s">
        <v>1340</v>
      </c>
      <c r="J926" s="196"/>
    </row>
    <row r="927" spans="1:10" ht="14.4" hidden="1" outlineLevel="1">
      <c r="A927" s="196" t="s">
        <v>351</v>
      </c>
      <c r="B927" s="197">
        <v>41711</v>
      </c>
      <c r="C927" s="196" t="s">
        <v>1310</v>
      </c>
      <c r="D927" s="196">
        <v>62</v>
      </c>
      <c r="E927" s="196" t="s">
        <v>1315</v>
      </c>
      <c r="F927" s="196">
        <v>61.7</v>
      </c>
      <c r="G927" s="196">
        <f t="shared" si="14"/>
        <v>30.85</v>
      </c>
      <c r="H927" s="196">
        <v>2256</v>
      </c>
      <c r="I927" s="196" t="s">
        <v>1338</v>
      </c>
      <c r="J927" s="196"/>
    </row>
    <row r="928" spans="1:10" ht="14.4" hidden="1" outlineLevel="1">
      <c r="A928" s="196" t="s">
        <v>351</v>
      </c>
      <c r="B928" s="197">
        <v>41712</v>
      </c>
      <c r="C928" s="196" t="s">
        <v>1315</v>
      </c>
      <c r="D928" s="196">
        <v>61.1</v>
      </c>
      <c r="E928" s="196" t="s">
        <v>1315</v>
      </c>
      <c r="F928" s="196">
        <v>61.1</v>
      </c>
      <c r="G928" s="196">
        <f t="shared" si="14"/>
        <v>30.55</v>
      </c>
      <c r="H928" s="196">
        <v>1241</v>
      </c>
      <c r="I928" s="196" t="s">
        <v>1337</v>
      </c>
      <c r="J928" s="196"/>
    </row>
    <row r="929" spans="1:10" ht="14.4" hidden="1" outlineLevel="1">
      <c r="A929" s="196" t="s">
        <v>351</v>
      </c>
      <c r="B929" s="197">
        <v>41715</v>
      </c>
      <c r="C929" s="196" t="s">
        <v>1315</v>
      </c>
      <c r="D929" s="196">
        <v>61.7</v>
      </c>
      <c r="E929" s="196" t="s">
        <v>1315</v>
      </c>
      <c r="F929" s="196">
        <v>61.7</v>
      </c>
      <c r="G929" s="196">
        <f t="shared" si="14"/>
        <v>30.85</v>
      </c>
      <c r="H929" s="196">
        <v>1020</v>
      </c>
      <c r="I929" s="196" t="s">
        <v>1336</v>
      </c>
      <c r="J929" s="196"/>
    </row>
    <row r="930" spans="1:10" ht="14.4" hidden="1" outlineLevel="1">
      <c r="A930" s="196" t="s">
        <v>351</v>
      </c>
      <c r="B930" s="197">
        <v>41716</v>
      </c>
      <c r="C930" s="196" t="s">
        <v>1310</v>
      </c>
      <c r="D930" s="196">
        <v>63.8</v>
      </c>
      <c r="E930" s="196" t="s">
        <v>1310</v>
      </c>
      <c r="F930" s="196">
        <v>63.8</v>
      </c>
      <c r="G930" s="196">
        <f t="shared" si="14"/>
        <v>31.9</v>
      </c>
      <c r="H930" s="196">
        <v>1660</v>
      </c>
      <c r="I930" s="196" t="s">
        <v>1335</v>
      </c>
      <c r="J930" s="196"/>
    </row>
    <row r="931" spans="1:10" ht="14.4" hidden="1" outlineLevel="1">
      <c r="A931" s="196" t="s">
        <v>351</v>
      </c>
      <c r="B931" s="197">
        <v>41717</v>
      </c>
      <c r="C931" s="196" t="s">
        <v>1333</v>
      </c>
      <c r="D931" s="196">
        <v>63</v>
      </c>
      <c r="E931" s="196" t="s">
        <v>1327</v>
      </c>
      <c r="F931" s="196">
        <v>61.4</v>
      </c>
      <c r="G931" s="196">
        <f t="shared" si="14"/>
        <v>30.7</v>
      </c>
      <c r="H931" s="196">
        <v>8257</v>
      </c>
      <c r="I931" s="196" t="s">
        <v>1334</v>
      </c>
      <c r="J931" s="196"/>
    </row>
    <row r="932" spans="1:10" ht="14.4" hidden="1" outlineLevel="1">
      <c r="A932" s="196" t="s">
        <v>351</v>
      </c>
      <c r="B932" s="197">
        <v>41718</v>
      </c>
      <c r="C932" s="196" t="s">
        <v>1310</v>
      </c>
      <c r="D932" s="196">
        <v>62</v>
      </c>
      <c r="E932" s="196" t="s">
        <v>1331</v>
      </c>
      <c r="F932" s="196">
        <v>61.9</v>
      </c>
      <c r="G932" s="196">
        <f t="shared" si="14"/>
        <v>30.95</v>
      </c>
      <c r="H932" s="196">
        <v>3479</v>
      </c>
      <c r="I932" s="196" t="s">
        <v>1332</v>
      </c>
      <c r="J932" s="196"/>
    </row>
    <row r="933" spans="1:10" ht="14.4" hidden="1" outlineLevel="1">
      <c r="A933" s="196" t="s">
        <v>351</v>
      </c>
      <c r="B933" s="197">
        <v>41719</v>
      </c>
      <c r="C933" s="196" t="s">
        <v>1310</v>
      </c>
      <c r="D933" s="196">
        <v>62</v>
      </c>
      <c r="E933" s="196" t="s">
        <v>1310</v>
      </c>
      <c r="F933" s="196">
        <v>62</v>
      </c>
      <c r="G933" s="196">
        <f t="shared" si="14"/>
        <v>31</v>
      </c>
      <c r="H933" s="196">
        <v>10700</v>
      </c>
      <c r="I933" s="196" t="s">
        <v>1330</v>
      </c>
      <c r="J933" s="196"/>
    </row>
    <row r="934" spans="1:10" ht="14.4" hidden="1" outlineLevel="1">
      <c r="A934" s="196" t="s">
        <v>351</v>
      </c>
      <c r="B934" s="197">
        <v>41722</v>
      </c>
      <c r="C934" s="196" t="s">
        <v>1314</v>
      </c>
      <c r="D934" s="196">
        <v>61.5</v>
      </c>
      <c r="E934" s="196" t="s">
        <v>1314</v>
      </c>
      <c r="F934" s="196">
        <v>61.5</v>
      </c>
      <c r="G934" s="196">
        <f t="shared" si="14"/>
        <v>30.75</v>
      </c>
      <c r="H934" s="196">
        <v>550</v>
      </c>
      <c r="I934" s="196" t="s">
        <v>1329</v>
      </c>
      <c r="J934" s="196"/>
    </row>
    <row r="935" spans="1:10" ht="14.4" hidden="1" outlineLevel="1">
      <c r="A935" s="196" t="s">
        <v>351</v>
      </c>
      <c r="B935" s="197">
        <v>41723</v>
      </c>
      <c r="C935" s="196" t="s">
        <v>1310</v>
      </c>
      <c r="D935" s="196">
        <v>62</v>
      </c>
      <c r="E935" s="196" t="s">
        <v>1310</v>
      </c>
      <c r="F935" s="196">
        <v>62</v>
      </c>
      <c r="G935" s="196">
        <f t="shared" si="14"/>
        <v>31</v>
      </c>
      <c r="H935" s="196">
        <v>2000</v>
      </c>
      <c r="I935" s="196" t="s">
        <v>1318</v>
      </c>
      <c r="J935" s="196"/>
    </row>
    <row r="936" spans="1:10" ht="14.4" hidden="1" outlineLevel="1">
      <c r="A936" s="196" t="s">
        <v>351</v>
      </c>
      <c r="B936" s="197">
        <v>41724</v>
      </c>
      <c r="C936" s="196" t="s">
        <v>1327</v>
      </c>
      <c r="D936" s="196">
        <v>61.1</v>
      </c>
      <c r="E936" s="196" t="s">
        <v>1324</v>
      </c>
      <c r="F936" s="196">
        <v>60.9</v>
      </c>
      <c r="G936" s="196">
        <f t="shared" si="14"/>
        <v>30.45</v>
      </c>
      <c r="H936" s="196">
        <v>11788</v>
      </c>
      <c r="I936" s="196" t="s">
        <v>1328</v>
      </c>
      <c r="J936" s="196"/>
    </row>
    <row r="937" spans="1:10" ht="14.4" hidden="1" outlineLevel="1">
      <c r="A937" s="196" t="s">
        <v>351</v>
      </c>
      <c r="B937" s="197">
        <v>41725</v>
      </c>
      <c r="C937" s="196" t="s">
        <v>1315</v>
      </c>
      <c r="D937" s="196">
        <v>61</v>
      </c>
      <c r="E937" s="196" t="s">
        <v>1315</v>
      </c>
      <c r="F937" s="196">
        <v>61</v>
      </c>
      <c r="G937" s="196">
        <f t="shared" si="14"/>
        <v>30.5</v>
      </c>
      <c r="H937" s="196">
        <v>3472</v>
      </c>
      <c r="I937" s="196" t="s">
        <v>1326</v>
      </c>
      <c r="J937" s="196"/>
    </row>
    <row r="938" spans="1:10" ht="14.4" hidden="1" outlineLevel="1">
      <c r="A938" s="196" t="s">
        <v>351</v>
      </c>
      <c r="B938" s="197">
        <v>41726</v>
      </c>
      <c r="C938" s="196" t="s">
        <v>1315</v>
      </c>
      <c r="D938" s="196">
        <v>61</v>
      </c>
      <c r="E938" s="196" t="s">
        <v>1324</v>
      </c>
      <c r="F938" s="196">
        <v>61</v>
      </c>
      <c r="G938" s="196">
        <f t="shared" si="14"/>
        <v>30.5</v>
      </c>
      <c r="H938" s="196">
        <v>2212</v>
      </c>
      <c r="I938" s="196" t="s">
        <v>1325</v>
      </c>
      <c r="J938" s="196"/>
    </row>
    <row r="939" spans="1:10" ht="14.4" hidden="1" outlineLevel="1">
      <c r="A939" s="196" t="s">
        <v>351</v>
      </c>
      <c r="B939" s="197">
        <v>41729</v>
      </c>
      <c r="C939" s="196" t="s">
        <v>1315</v>
      </c>
      <c r="D939" s="196">
        <v>61</v>
      </c>
      <c r="E939" s="196" t="s">
        <v>1322</v>
      </c>
      <c r="F939" s="196">
        <v>61</v>
      </c>
      <c r="G939" s="196">
        <f t="shared" si="14"/>
        <v>30.5</v>
      </c>
      <c r="H939" s="196">
        <v>2088</v>
      </c>
      <c r="I939" s="196" t="s">
        <v>1323</v>
      </c>
      <c r="J939" s="196"/>
    </row>
    <row r="940" spans="1:10" s="192" customFormat="1" ht="14.4" hidden="1" outlineLevel="1">
      <c r="A940" s="198" t="s">
        <v>351</v>
      </c>
      <c r="B940" s="199">
        <v>41730</v>
      </c>
      <c r="C940" s="198" t="s">
        <v>1315</v>
      </c>
      <c r="D940" s="198">
        <v>61</v>
      </c>
      <c r="E940" s="198" t="s">
        <v>1315</v>
      </c>
      <c r="F940" s="198">
        <v>61</v>
      </c>
      <c r="G940" s="198">
        <f t="shared" si="14"/>
        <v>30.5</v>
      </c>
      <c r="H940" s="198">
        <v>2000</v>
      </c>
      <c r="I940" s="198" t="s">
        <v>1321</v>
      </c>
      <c r="J940" s="198">
        <f>AVERAGE(G940:G1179)</f>
        <v>36.134374999999984</v>
      </c>
    </row>
    <row r="941" spans="1:10" ht="14.4" hidden="1" outlineLevel="1">
      <c r="A941" s="196" t="s">
        <v>351</v>
      </c>
      <c r="B941" s="197">
        <v>41731</v>
      </c>
      <c r="C941" s="196" t="s">
        <v>1319</v>
      </c>
      <c r="D941" s="196">
        <v>62</v>
      </c>
      <c r="E941" s="196" t="s">
        <v>1319</v>
      </c>
      <c r="F941" s="196">
        <v>62</v>
      </c>
      <c r="G941" s="196">
        <f t="shared" si="14"/>
        <v>31</v>
      </c>
      <c r="H941" s="196">
        <v>640</v>
      </c>
      <c r="I941" s="196" t="s">
        <v>1320</v>
      </c>
      <c r="J941" s="196"/>
    </row>
    <row r="942" spans="1:10" ht="14.4" hidden="1" outlineLevel="1">
      <c r="A942" s="196" t="s">
        <v>351</v>
      </c>
      <c r="B942" s="197">
        <v>41732</v>
      </c>
      <c r="C942" s="196" t="s">
        <v>1310</v>
      </c>
      <c r="D942" s="196">
        <v>62</v>
      </c>
      <c r="E942" s="196" t="s">
        <v>1310</v>
      </c>
      <c r="F942" s="196">
        <v>62</v>
      </c>
      <c r="G942" s="196">
        <f t="shared" si="14"/>
        <v>31</v>
      </c>
      <c r="H942" s="196">
        <v>2000</v>
      </c>
      <c r="I942" s="196" t="s">
        <v>1318</v>
      </c>
      <c r="J942" s="196"/>
    </row>
    <row r="943" spans="1:10" ht="14.4" hidden="1" outlineLevel="1">
      <c r="A943" s="196" t="s">
        <v>351</v>
      </c>
      <c r="B943" s="197">
        <v>41733</v>
      </c>
      <c r="C943" s="196" t="s">
        <v>1310</v>
      </c>
      <c r="D943" s="196">
        <v>62</v>
      </c>
      <c r="E943" s="196" t="s">
        <v>1310</v>
      </c>
      <c r="F943" s="196">
        <v>62</v>
      </c>
      <c r="G943" s="196">
        <f t="shared" si="14"/>
        <v>31</v>
      </c>
      <c r="H943" s="196">
        <v>3200</v>
      </c>
      <c r="I943" s="196" t="s">
        <v>1317</v>
      </c>
      <c r="J943" s="196"/>
    </row>
    <row r="944" spans="1:10" ht="14.4" hidden="1" outlineLevel="1">
      <c r="A944" s="196" t="s">
        <v>351</v>
      </c>
      <c r="B944" s="197">
        <v>41736</v>
      </c>
      <c r="C944" s="196" t="s">
        <v>1314</v>
      </c>
      <c r="D944" s="196">
        <v>62</v>
      </c>
      <c r="E944" s="196" t="s">
        <v>1315</v>
      </c>
      <c r="F944" s="196">
        <v>62</v>
      </c>
      <c r="G944" s="196">
        <f t="shared" si="14"/>
        <v>31</v>
      </c>
      <c r="H944" s="196">
        <v>9825</v>
      </c>
      <c r="I944" s="196" t="s">
        <v>1316</v>
      </c>
      <c r="J944" s="196"/>
    </row>
    <row r="945" spans="1:10" ht="14.4" hidden="1" outlineLevel="1">
      <c r="A945" s="196" t="s">
        <v>351</v>
      </c>
      <c r="B945" s="197">
        <v>41737</v>
      </c>
      <c r="C945" s="196" t="s">
        <v>1310</v>
      </c>
      <c r="D945" s="196">
        <v>62</v>
      </c>
      <c r="E945" s="196" t="s">
        <v>1310</v>
      </c>
      <c r="F945" s="196">
        <v>62</v>
      </c>
      <c r="G945" s="196">
        <f t="shared" si="14"/>
        <v>31</v>
      </c>
      <c r="H945" s="196">
        <v>1000</v>
      </c>
      <c r="I945" s="196" t="s">
        <v>1313</v>
      </c>
      <c r="J945" s="196"/>
    </row>
    <row r="946" spans="1:10" ht="14.4" hidden="1" outlineLevel="1">
      <c r="A946" s="196" t="s">
        <v>351</v>
      </c>
      <c r="B946" s="197">
        <v>41738</v>
      </c>
      <c r="C946" s="196" t="s">
        <v>1310</v>
      </c>
      <c r="D946" s="196">
        <v>62</v>
      </c>
      <c r="E946" s="196" t="s">
        <v>1310</v>
      </c>
      <c r="F946" s="196">
        <v>62</v>
      </c>
      <c r="G946" s="196">
        <f t="shared" si="14"/>
        <v>31</v>
      </c>
      <c r="H946" s="196">
        <v>2860</v>
      </c>
      <c r="I946" s="196" t="s">
        <v>1312</v>
      </c>
      <c r="J946" s="196"/>
    </row>
    <row r="947" spans="1:10" ht="14.4" hidden="1" outlineLevel="1">
      <c r="A947" s="196" t="s">
        <v>351</v>
      </c>
      <c r="B947" s="197">
        <v>41739</v>
      </c>
      <c r="C947" s="196" t="s">
        <v>88</v>
      </c>
      <c r="D947" s="196" t="s">
        <v>88</v>
      </c>
      <c r="E947" s="196" t="s">
        <v>88</v>
      </c>
      <c r="F947" s="196">
        <v>62</v>
      </c>
      <c r="G947" s="196">
        <f t="shared" si="14"/>
        <v>31</v>
      </c>
      <c r="H947" s="196">
        <v>0</v>
      </c>
      <c r="I947" s="196" t="s">
        <v>611</v>
      </c>
      <c r="J947" s="196"/>
    </row>
    <row r="948" spans="1:10" ht="14.4" hidden="1" outlineLevel="1">
      <c r="A948" s="196" t="s">
        <v>351</v>
      </c>
      <c r="B948" s="197">
        <v>41740</v>
      </c>
      <c r="C948" s="196" t="s">
        <v>1310</v>
      </c>
      <c r="D948" s="196">
        <v>63</v>
      </c>
      <c r="E948" s="196" t="s">
        <v>1310</v>
      </c>
      <c r="F948" s="196">
        <v>62.8</v>
      </c>
      <c r="G948" s="196">
        <f t="shared" si="14"/>
        <v>31.4</v>
      </c>
      <c r="H948" s="196">
        <v>6665</v>
      </c>
      <c r="I948" s="196" t="s">
        <v>1311</v>
      </c>
      <c r="J948" s="196"/>
    </row>
    <row r="949" spans="1:10" ht="14.4" hidden="1" outlineLevel="1">
      <c r="A949" s="196" t="s">
        <v>351</v>
      </c>
      <c r="B949" s="197">
        <v>41745</v>
      </c>
      <c r="C949" s="196" t="s">
        <v>1308</v>
      </c>
      <c r="D949" s="196">
        <v>63.5</v>
      </c>
      <c r="E949" s="196" t="s">
        <v>1308</v>
      </c>
      <c r="F949" s="196">
        <v>63.2</v>
      </c>
      <c r="G949" s="196">
        <f t="shared" si="14"/>
        <v>31.6</v>
      </c>
      <c r="H949" s="196">
        <v>29573</v>
      </c>
      <c r="I949" s="196" t="s">
        <v>1309</v>
      </c>
      <c r="J949" s="196"/>
    </row>
    <row r="950" spans="1:10" ht="14.4" hidden="1" outlineLevel="1">
      <c r="A950" s="196" t="s">
        <v>351</v>
      </c>
      <c r="B950" s="197">
        <v>41746</v>
      </c>
      <c r="C950" s="196" t="s">
        <v>1268</v>
      </c>
      <c r="D950" s="196">
        <v>64.5</v>
      </c>
      <c r="E950" s="196" t="s">
        <v>1268</v>
      </c>
      <c r="F950" s="196">
        <v>64</v>
      </c>
      <c r="G950" s="196">
        <f t="shared" si="14"/>
        <v>32</v>
      </c>
      <c r="H950" s="196">
        <v>7460</v>
      </c>
      <c r="I950" s="196" t="s">
        <v>1307</v>
      </c>
      <c r="J950" s="196"/>
    </row>
    <row r="951" spans="1:10" ht="14.4" hidden="1" outlineLevel="1">
      <c r="A951" s="196" t="s">
        <v>351</v>
      </c>
      <c r="B951" s="197">
        <v>41750</v>
      </c>
      <c r="C951" s="196" t="s">
        <v>1287</v>
      </c>
      <c r="D951" s="196">
        <v>64.900000000000006</v>
      </c>
      <c r="E951" s="196" t="s">
        <v>1253</v>
      </c>
      <c r="F951" s="196">
        <v>64</v>
      </c>
      <c r="G951" s="196">
        <f t="shared" si="14"/>
        <v>32</v>
      </c>
      <c r="H951" s="196">
        <v>1906</v>
      </c>
      <c r="I951" s="196" t="s">
        <v>1306</v>
      </c>
      <c r="J951" s="196"/>
    </row>
    <row r="952" spans="1:10" ht="14.4" hidden="1" outlineLevel="1">
      <c r="A952" s="196" t="s">
        <v>351</v>
      </c>
      <c r="B952" s="197">
        <v>41751</v>
      </c>
      <c r="C952" s="196" t="s">
        <v>1274</v>
      </c>
      <c r="D952" s="196">
        <v>64.400000000000006</v>
      </c>
      <c r="E952" s="196" t="s">
        <v>1253</v>
      </c>
      <c r="F952" s="196">
        <v>64.099999999999994</v>
      </c>
      <c r="G952" s="196">
        <f t="shared" si="14"/>
        <v>32.049999999999997</v>
      </c>
      <c r="H952" s="196">
        <v>4389</v>
      </c>
      <c r="I952" s="196" t="s">
        <v>1305</v>
      </c>
      <c r="J952" s="196"/>
    </row>
    <row r="953" spans="1:10" ht="14.4" hidden="1" outlineLevel="1">
      <c r="A953" s="196" t="s">
        <v>351</v>
      </c>
      <c r="B953" s="197">
        <v>41752</v>
      </c>
      <c r="C953" s="196" t="s">
        <v>1253</v>
      </c>
      <c r="D953" s="196">
        <v>64</v>
      </c>
      <c r="E953" s="196" t="s">
        <v>1253</v>
      </c>
      <c r="F953" s="196">
        <v>64</v>
      </c>
      <c r="G953" s="196">
        <f t="shared" si="14"/>
        <v>32</v>
      </c>
      <c r="H953" s="196">
        <v>3800</v>
      </c>
      <c r="I953" s="196" t="s">
        <v>1304</v>
      </c>
      <c r="J953" s="196"/>
    </row>
    <row r="954" spans="1:10" ht="14.4" hidden="1" outlineLevel="1">
      <c r="A954" s="196" t="s">
        <v>351</v>
      </c>
      <c r="B954" s="197">
        <v>41753</v>
      </c>
      <c r="C954" s="196" t="s">
        <v>88</v>
      </c>
      <c r="D954" s="196" t="s">
        <v>88</v>
      </c>
      <c r="E954" s="196" t="s">
        <v>88</v>
      </c>
      <c r="F954" s="196">
        <v>64</v>
      </c>
      <c r="G954" s="196">
        <f t="shared" si="14"/>
        <v>32</v>
      </c>
      <c r="H954" s="196">
        <v>0</v>
      </c>
      <c r="I954" s="196" t="s">
        <v>611</v>
      </c>
      <c r="J954" s="196"/>
    </row>
    <row r="955" spans="1:10" ht="14.4" hidden="1" outlineLevel="1">
      <c r="A955" s="196" t="s">
        <v>351</v>
      </c>
      <c r="B955" s="197">
        <v>41754</v>
      </c>
      <c r="C955" s="196" t="s">
        <v>1253</v>
      </c>
      <c r="D955" s="196">
        <v>64</v>
      </c>
      <c r="E955" s="196" t="s">
        <v>1302</v>
      </c>
      <c r="F955" s="196">
        <v>62.7</v>
      </c>
      <c r="G955" s="196">
        <f t="shared" si="14"/>
        <v>31.35</v>
      </c>
      <c r="H955" s="196">
        <v>6800</v>
      </c>
      <c r="I955" s="196" t="s">
        <v>1303</v>
      </c>
      <c r="J955" s="196"/>
    </row>
    <row r="956" spans="1:10" ht="14.4" hidden="1" outlineLevel="1">
      <c r="A956" s="196" t="s">
        <v>351</v>
      </c>
      <c r="B956" s="197">
        <v>41757</v>
      </c>
      <c r="C956" s="196" t="s">
        <v>88</v>
      </c>
      <c r="D956" s="196" t="s">
        <v>88</v>
      </c>
      <c r="E956" s="196" t="s">
        <v>88</v>
      </c>
      <c r="F956" s="196">
        <v>62.7</v>
      </c>
      <c r="G956" s="196">
        <f t="shared" si="14"/>
        <v>31.35</v>
      </c>
      <c r="H956" s="196">
        <v>0</v>
      </c>
      <c r="I956" s="196" t="s">
        <v>611</v>
      </c>
      <c r="J956" s="196"/>
    </row>
    <row r="957" spans="1:10" ht="14.4" hidden="1" outlineLevel="1">
      <c r="A957" s="196" t="s">
        <v>351</v>
      </c>
      <c r="B957" s="197">
        <v>41758</v>
      </c>
      <c r="C957" s="196" t="s">
        <v>1295</v>
      </c>
      <c r="D957" s="196">
        <v>63.9</v>
      </c>
      <c r="E957" s="196" t="s">
        <v>1300</v>
      </c>
      <c r="F957" s="196">
        <v>63.7</v>
      </c>
      <c r="G957" s="196">
        <f t="shared" si="14"/>
        <v>31.85</v>
      </c>
      <c r="H957" s="196">
        <v>6</v>
      </c>
      <c r="I957" s="196" t="s">
        <v>1301</v>
      </c>
      <c r="J957" s="196"/>
    </row>
    <row r="958" spans="1:10" ht="14.4" hidden="1" outlineLevel="1">
      <c r="A958" s="196" t="s">
        <v>351</v>
      </c>
      <c r="B958" s="197">
        <v>41759</v>
      </c>
      <c r="C958" s="196" t="s">
        <v>1298</v>
      </c>
      <c r="D958" s="196">
        <v>64.5</v>
      </c>
      <c r="E958" s="196" t="s">
        <v>1298</v>
      </c>
      <c r="F958" s="196">
        <v>64.5</v>
      </c>
      <c r="G958" s="196">
        <f t="shared" si="14"/>
        <v>32.25</v>
      </c>
      <c r="H958" s="196">
        <v>3892</v>
      </c>
      <c r="I958" s="196" t="s">
        <v>1299</v>
      </c>
      <c r="J958" s="196"/>
    </row>
    <row r="959" spans="1:10" ht="14.4" hidden="1" outlineLevel="1">
      <c r="A959" s="196" t="s">
        <v>351</v>
      </c>
      <c r="B959" s="197">
        <v>41761</v>
      </c>
      <c r="C959" s="196" t="s">
        <v>1253</v>
      </c>
      <c r="D959" s="196">
        <v>64</v>
      </c>
      <c r="E959" s="196" t="s">
        <v>1253</v>
      </c>
      <c r="F959" s="196">
        <v>64</v>
      </c>
      <c r="G959" s="196">
        <f t="shared" si="14"/>
        <v>32</v>
      </c>
      <c r="H959" s="196">
        <v>2340</v>
      </c>
      <c r="I959" s="196" t="s">
        <v>1297</v>
      </c>
      <c r="J959" s="196"/>
    </row>
    <row r="960" spans="1:10" ht="14.4" hidden="1" outlineLevel="1">
      <c r="A960" s="196" t="s">
        <v>351</v>
      </c>
      <c r="B960" s="197">
        <v>41764</v>
      </c>
      <c r="C960" s="196" t="s">
        <v>1245</v>
      </c>
      <c r="D960" s="196">
        <v>64.2</v>
      </c>
      <c r="E960" s="196" t="s">
        <v>1295</v>
      </c>
      <c r="F960" s="196">
        <v>64</v>
      </c>
      <c r="G960" s="196">
        <f t="shared" si="14"/>
        <v>32</v>
      </c>
      <c r="H960" s="196">
        <v>2615</v>
      </c>
      <c r="I960" s="196" t="s">
        <v>1296</v>
      </c>
      <c r="J960" s="196"/>
    </row>
    <row r="961" spans="1:10" ht="14.4" hidden="1" outlineLevel="1">
      <c r="A961" s="196" t="s">
        <v>351</v>
      </c>
      <c r="B961" s="197">
        <v>41765</v>
      </c>
      <c r="C961" s="196" t="s">
        <v>1261</v>
      </c>
      <c r="D961" s="196">
        <v>64.7</v>
      </c>
      <c r="E961" s="196" t="s">
        <v>1262</v>
      </c>
      <c r="F961" s="196">
        <v>63.6</v>
      </c>
      <c r="G961" s="196">
        <f t="shared" si="14"/>
        <v>31.8</v>
      </c>
      <c r="H961" s="196">
        <v>11100</v>
      </c>
      <c r="I961" s="196" t="s">
        <v>1294</v>
      </c>
      <c r="J961" s="196"/>
    </row>
    <row r="962" spans="1:10" ht="14.4" hidden="1" outlineLevel="1">
      <c r="A962" s="196" t="s">
        <v>351</v>
      </c>
      <c r="B962" s="197">
        <v>41766</v>
      </c>
      <c r="C962" s="196" t="s">
        <v>1292</v>
      </c>
      <c r="D962" s="196">
        <v>68</v>
      </c>
      <c r="E962" s="196" t="s">
        <v>1292</v>
      </c>
      <c r="F962" s="196">
        <v>66.5</v>
      </c>
      <c r="G962" s="196">
        <f t="shared" si="14"/>
        <v>33.25</v>
      </c>
      <c r="H962" s="196">
        <v>2126</v>
      </c>
      <c r="I962" s="196" t="s">
        <v>1293</v>
      </c>
      <c r="J962" s="196"/>
    </row>
    <row r="963" spans="1:10" ht="14.4" hidden="1" outlineLevel="1">
      <c r="A963" s="196" t="s">
        <v>351</v>
      </c>
      <c r="B963" s="197">
        <v>41767</v>
      </c>
      <c r="C963" s="196" t="s">
        <v>1242</v>
      </c>
      <c r="D963" s="196">
        <v>65</v>
      </c>
      <c r="E963" s="196" t="s">
        <v>1242</v>
      </c>
      <c r="F963" s="196">
        <v>65</v>
      </c>
      <c r="G963" s="196">
        <f t="shared" si="14"/>
        <v>32.5</v>
      </c>
      <c r="H963" s="196">
        <v>1000</v>
      </c>
      <c r="I963" s="196" t="s">
        <v>1291</v>
      </c>
      <c r="J963" s="196"/>
    </row>
    <row r="964" spans="1:10" ht="14.4" hidden="1" outlineLevel="1">
      <c r="A964" s="196" t="s">
        <v>351</v>
      </c>
      <c r="B964" s="197">
        <v>41768</v>
      </c>
      <c r="C964" s="196" t="s">
        <v>1256</v>
      </c>
      <c r="D964" s="196">
        <v>65</v>
      </c>
      <c r="E964" s="196" t="s">
        <v>1256</v>
      </c>
      <c r="F964" s="196">
        <v>63.3</v>
      </c>
      <c r="G964" s="196">
        <f t="shared" si="14"/>
        <v>31.65</v>
      </c>
      <c r="H964" s="196">
        <v>21</v>
      </c>
      <c r="I964" s="196" t="s">
        <v>1290</v>
      </c>
      <c r="J964" s="196"/>
    </row>
    <row r="965" spans="1:10" ht="14.4" hidden="1" outlineLevel="1">
      <c r="A965" s="196" t="s">
        <v>351</v>
      </c>
      <c r="B965" s="197">
        <v>41771</v>
      </c>
      <c r="C965" s="196" t="s">
        <v>1287</v>
      </c>
      <c r="D965" s="196">
        <v>65</v>
      </c>
      <c r="E965" s="196" t="s">
        <v>1253</v>
      </c>
      <c r="F965" s="196">
        <v>64</v>
      </c>
      <c r="G965" s="196">
        <f t="shared" ref="G965:G1028" si="15">F965/2</f>
        <v>32</v>
      </c>
      <c r="H965" s="196">
        <v>1530</v>
      </c>
      <c r="I965" s="196" t="s">
        <v>1289</v>
      </c>
      <c r="J965" s="196"/>
    </row>
    <row r="966" spans="1:10" ht="14.4" hidden="1" outlineLevel="1">
      <c r="A966" s="196" t="s">
        <v>351</v>
      </c>
      <c r="B966" s="197">
        <v>41772</v>
      </c>
      <c r="C966" s="196" t="s">
        <v>1242</v>
      </c>
      <c r="D966" s="196">
        <v>65</v>
      </c>
      <c r="E966" s="196" t="s">
        <v>1287</v>
      </c>
      <c r="F966" s="196">
        <v>65</v>
      </c>
      <c r="G966" s="196">
        <f t="shared" si="15"/>
        <v>32.5</v>
      </c>
      <c r="H966" s="196">
        <v>26289</v>
      </c>
      <c r="I966" s="196" t="s">
        <v>1288</v>
      </c>
      <c r="J966" s="196"/>
    </row>
    <row r="967" spans="1:10" ht="14.4" hidden="1" outlineLevel="1">
      <c r="A967" s="196" t="s">
        <v>351</v>
      </c>
      <c r="B967" s="197">
        <v>41775</v>
      </c>
      <c r="C967" s="196" t="s">
        <v>1242</v>
      </c>
      <c r="D967" s="196">
        <v>65.3</v>
      </c>
      <c r="E967" s="196" t="s">
        <v>1242</v>
      </c>
      <c r="F967" s="196">
        <v>65.3</v>
      </c>
      <c r="G967" s="196">
        <f t="shared" si="15"/>
        <v>32.65</v>
      </c>
      <c r="H967" s="196">
        <v>15718</v>
      </c>
      <c r="I967" s="196" t="s">
        <v>1286</v>
      </c>
      <c r="J967" s="196"/>
    </row>
    <row r="968" spans="1:10" ht="14.4" hidden="1" outlineLevel="1">
      <c r="A968" s="196" t="s">
        <v>351</v>
      </c>
      <c r="B968" s="197">
        <v>41778</v>
      </c>
      <c r="C968" s="196" t="s">
        <v>1250</v>
      </c>
      <c r="D968" s="196">
        <v>65.400000000000006</v>
      </c>
      <c r="E968" s="196" t="s">
        <v>1242</v>
      </c>
      <c r="F968" s="196">
        <v>65.2</v>
      </c>
      <c r="G968" s="196">
        <f t="shared" si="15"/>
        <v>32.6</v>
      </c>
      <c r="H968" s="196">
        <v>14813</v>
      </c>
      <c r="I968" s="196" t="s">
        <v>1285</v>
      </c>
      <c r="J968" s="196"/>
    </row>
    <row r="969" spans="1:10" ht="14.4" hidden="1" outlineLevel="1">
      <c r="A969" s="196" t="s">
        <v>351</v>
      </c>
      <c r="B969" s="197">
        <v>41779</v>
      </c>
      <c r="C969" s="196" t="s">
        <v>1244</v>
      </c>
      <c r="D969" s="196">
        <v>64.5</v>
      </c>
      <c r="E969" s="196" t="s">
        <v>1244</v>
      </c>
      <c r="F969" s="196">
        <v>64.5</v>
      </c>
      <c r="G969" s="196">
        <f t="shared" si="15"/>
        <v>32.25</v>
      </c>
      <c r="H969" s="196">
        <v>710</v>
      </c>
      <c r="I969" s="196" t="s">
        <v>1284</v>
      </c>
      <c r="J969" s="196"/>
    </row>
    <row r="970" spans="1:10" ht="14.4" hidden="1" outlineLevel="1">
      <c r="A970" s="196" t="s">
        <v>351</v>
      </c>
      <c r="B970" s="197">
        <v>41780</v>
      </c>
      <c r="C970" s="196" t="s">
        <v>1245</v>
      </c>
      <c r="D970" s="196">
        <v>65</v>
      </c>
      <c r="E970" s="196" t="s">
        <v>1245</v>
      </c>
      <c r="F970" s="196">
        <v>65</v>
      </c>
      <c r="G970" s="196">
        <f t="shared" si="15"/>
        <v>32.5</v>
      </c>
      <c r="H970" s="196">
        <v>5298</v>
      </c>
      <c r="I970" s="196" t="s">
        <v>1283</v>
      </c>
      <c r="J970" s="196"/>
    </row>
    <row r="971" spans="1:10" ht="14.4" hidden="1" outlineLevel="1">
      <c r="A971" s="196" t="s">
        <v>351</v>
      </c>
      <c r="B971" s="197">
        <v>41781</v>
      </c>
      <c r="C971" s="196" t="s">
        <v>1244</v>
      </c>
      <c r="D971" s="196">
        <v>64.5</v>
      </c>
      <c r="E971" s="196" t="s">
        <v>1274</v>
      </c>
      <c r="F971" s="196">
        <v>64.3</v>
      </c>
      <c r="G971" s="196">
        <f t="shared" si="15"/>
        <v>32.15</v>
      </c>
      <c r="H971" s="196">
        <v>4800</v>
      </c>
      <c r="I971" s="196" t="s">
        <v>1282</v>
      </c>
      <c r="J971" s="196"/>
    </row>
    <row r="972" spans="1:10" ht="14.4" hidden="1" outlineLevel="1">
      <c r="A972" s="196" t="s">
        <v>351</v>
      </c>
      <c r="B972" s="197">
        <v>41782</v>
      </c>
      <c r="C972" s="196" t="s">
        <v>1280</v>
      </c>
      <c r="D972" s="196">
        <v>66</v>
      </c>
      <c r="E972" s="196" t="s">
        <v>1278</v>
      </c>
      <c r="F972" s="196">
        <v>64.3</v>
      </c>
      <c r="G972" s="196">
        <f t="shared" si="15"/>
        <v>32.15</v>
      </c>
      <c r="H972" s="196">
        <v>2509</v>
      </c>
      <c r="I972" s="196" t="s">
        <v>1281</v>
      </c>
      <c r="J972" s="196"/>
    </row>
    <row r="973" spans="1:10" ht="14.4" hidden="1" outlineLevel="1">
      <c r="A973" s="196" t="s">
        <v>351</v>
      </c>
      <c r="B973" s="197">
        <v>41785</v>
      </c>
      <c r="C973" s="196" t="s">
        <v>1237</v>
      </c>
      <c r="D973" s="196">
        <v>66</v>
      </c>
      <c r="E973" s="196" t="s">
        <v>1278</v>
      </c>
      <c r="F973" s="196">
        <v>64.3</v>
      </c>
      <c r="G973" s="196">
        <f t="shared" si="15"/>
        <v>32.15</v>
      </c>
      <c r="H973" s="196">
        <v>102</v>
      </c>
      <c r="I973" s="196" t="s">
        <v>1279</v>
      </c>
      <c r="J973" s="196"/>
    </row>
    <row r="974" spans="1:10" ht="14.4" hidden="1" outlineLevel="1">
      <c r="A974" s="196" t="s">
        <v>351</v>
      </c>
      <c r="B974" s="197">
        <v>41786</v>
      </c>
      <c r="C974" s="196" t="s">
        <v>1264</v>
      </c>
      <c r="D974" s="196">
        <v>64.400000000000006</v>
      </c>
      <c r="E974" s="196" t="s">
        <v>1245</v>
      </c>
      <c r="F974" s="196">
        <v>64.400000000000006</v>
      </c>
      <c r="G974" s="196">
        <f t="shared" si="15"/>
        <v>32.200000000000003</v>
      </c>
      <c r="H974" s="196">
        <v>17500</v>
      </c>
      <c r="I974" s="196" t="s">
        <v>1277</v>
      </c>
      <c r="J974" s="196"/>
    </row>
    <row r="975" spans="1:10" ht="14.4" hidden="1" outlineLevel="1">
      <c r="A975" s="196" t="s">
        <v>351</v>
      </c>
      <c r="B975" s="197">
        <v>41787</v>
      </c>
      <c r="C975" s="196" t="s">
        <v>1245</v>
      </c>
      <c r="D975" s="196">
        <v>64.2</v>
      </c>
      <c r="E975" s="196" t="s">
        <v>1274</v>
      </c>
      <c r="F975" s="196">
        <v>64.099999999999994</v>
      </c>
      <c r="G975" s="196">
        <f t="shared" si="15"/>
        <v>32.049999999999997</v>
      </c>
      <c r="H975" s="196">
        <v>2033</v>
      </c>
      <c r="I975" s="196" t="s">
        <v>1276</v>
      </c>
      <c r="J975" s="196"/>
    </row>
    <row r="976" spans="1:10" ht="14.4" hidden="1" outlineLevel="1">
      <c r="A976" s="196" t="s">
        <v>351</v>
      </c>
      <c r="B976" s="197">
        <v>41788</v>
      </c>
      <c r="C976" s="196" t="s">
        <v>1274</v>
      </c>
      <c r="D976" s="196">
        <v>64.099999999999994</v>
      </c>
      <c r="E976" s="196" t="s">
        <v>1272</v>
      </c>
      <c r="F976" s="196">
        <v>63.9</v>
      </c>
      <c r="G976" s="196">
        <f t="shared" si="15"/>
        <v>31.95</v>
      </c>
      <c r="H976" s="196">
        <v>600</v>
      </c>
      <c r="I976" s="196" t="s">
        <v>1275</v>
      </c>
      <c r="J976" s="196"/>
    </row>
    <row r="977" spans="1:10" ht="14.4" hidden="1" outlineLevel="1">
      <c r="A977" s="196" t="s">
        <v>351</v>
      </c>
      <c r="B977" s="197">
        <v>41789</v>
      </c>
      <c r="C977" s="196" t="s">
        <v>1272</v>
      </c>
      <c r="D977" s="196">
        <v>64.8</v>
      </c>
      <c r="E977" s="196" t="s">
        <v>1268</v>
      </c>
      <c r="F977" s="196">
        <v>64.8</v>
      </c>
      <c r="G977" s="196">
        <f t="shared" si="15"/>
        <v>32.4</v>
      </c>
      <c r="H977" s="196">
        <v>2596</v>
      </c>
      <c r="I977" s="196" t="s">
        <v>1273</v>
      </c>
      <c r="J977" s="196"/>
    </row>
    <row r="978" spans="1:10" ht="14.4" hidden="1" outlineLevel="1">
      <c r="A978" s="196" t="s">
        <v>351</v>
      </c>
      <c r="B978" s="197">
        <v>41792</v>
      </c>
      <c r="C978" s="196" t="s">
        <v>1268</v>
      </c>
      <c r="D978" s="196">
        <v>63.6</v>
      </c>
      <c r="E978" s="196" t="s">
        <v>1261</v>
      </c>
      <c r="F978" s="196">
        <v>63.6</v>
      </c>
      <c r="G978" s="196">
        <f t="shared" si="15"/>
        <v>31.8</v>
      </c>
      <c r="H978" s="196">
        <v>225</v>
      </c>
      <c r="I978" s="196" t="s">
        <v>1271</v>
      </c>
      <c r="J978" s="196"/>
    </row>
    <row r="979" spans="1:10" ht="14.4" hidden="1" outlineLevel="1">
      <c r="A979" s="196" t="s">
        <v>351</v>
      </c>
      <c r="B979" s="197">
        <v>41793</v>
      </c>
      <c r="C979" s="196" t="s">
        <v>1268</v>
      </c>
      <c r="D979" s="196">
        <v>63.6</v>
      </c>
      <c r="E979" s="196" t="s">
        <v>1261</v>
      </c>
      <c r="F979" s="196">
        <v>63.5</v>
      </c>
      <c r="G979" s="196">
        <f t="shared" si="15"/>
        <v>31.75</v>
      </c>
      <c r="H979" s="196">
        <v>640</v>
      </c>
      <c r="I979" s="196" t="s">
        <v>1270</v>
      </c>
      <c r="J979" s="196"/>
    </row>
    <row r="980" spans="1:10" ht="14.4" hidden="1" outlineLevel="1">
      <c r="A980" s="196" t="s">
        <v>351</v>
      </c>
      <c r="B980" s="197">
        <v>41794</v>
      </c>
      <c r="C980" s="196" t="s">
        <v>1268</v>
      </c>
      <c r="D980" s="196">
        <v>63.6</v>
      </c>
      <c r="E980" s="196" t="s">
        <v>1261</v>
      </c>
      <c r="F980" s="196">
        <v>63.6</v>
      </c>
      <c r="G980" s="196">
        <f t="shared" si="15"/>
        <v>31.8</v>
      </c>
      <c r="H980" s="196">
        <v>4800</v>
      </c>
      <c r="I980" s="196" t="s">
        <v>1269</v>
      </c>
      <c r="J980" s="196"/>
    </row>
    <row r="981" spans="1:10" ht="14.4" hidden="1" outlineLevel="1">
      <c r="A981" s="196" t="s">
        <v>351</v>
      </c>
      <c r="B981" s="197">
        <v>41795</v>
      </c>
      <c r="C981" s="196" t="s">
        <v>1244</v>
      </c>
      <c r="D981" s="196">
        <v>64.5</v>
      </c>
      <c r="E981" s="196" t="s">
        <v>1261</v>
      </c>
      <c r="F981" s="196">
        <v>63.5</v>
      </c>
      <c r="G981" s="196">
        <f t="shared" si="15"/>
        <v>31.75</v>
      </c>
      <c r="H981" s="196">
        <v>2996</v>
      </c>
      <c r="I981" s="196" t="s">
        <v>1267</v>
      </c>
      <c r="J981" s="196"/>
    </row>
    <row r="982" spans="1:10" ht="14.4" hidden="1" outlineLevel="1">
      <c r="A982" s="196" t="s">
        <v>351</v>
      </c>
      <c r="B982" s="197">
        <v>41796</v>
      </c>
      <c r="C982" s="196" t="s">
        <v>1253</v>
      </c>
      <c r="D982" s="196">
        <v>64</v>
      </c>
      <c r="E982" s="196" t="s">
        <v>1253</v>
      </c>
      <c r="F982" s="196">
        <v>64</v>
      </c>
      <c r="G982" s="196">
        <f t="shared" si="15"/>
        <v>32</v>
      </c>
      <c r="H982" s="196">
        <v>13505</v>
      </c>
      <c r="I982" s="196" t="s">
        <v>1266</v>
      </c>
      <c r="J982" s="196"/>
    </row>
    <row r="983" spans="1:10" ht="14.4" hidden="1" outlineLevel="1">
      <c r="A983" s="196" t="s">
        <v>351</v>
      </c>
      <c r="B983" s="197">
        <v>41799</v>
      </c>
      <c r="C983" s="196" t="s">
        <v>1264</v>
      </c>
      <c r="D983" s="196">
        <v>64.5</v>
      </c>
      <c r="E983" s="196" t="s">
        <v>1253</v>
      </c>
      <c r="F983" s="196">
        <v>64</v>
      </c>
      <c r="G983" s="196">
        <f t="shared" si="15"/>
        <v>32</v>
      </c>
      <c r="H983" s="196">
        <v>3576</v>
      </c>
      <c r="I983" s="196" t="s">
        <v>1265</v>
      </c>
      <c r="J983" s="196"/>
    </row>
    <row r="984" spans="1:10" ht="14.4" hidden="1" outlineLevel="1">
      <c r="A984" s="196" t="s">
        <v>351</v>
      </c>
      <c r="B984" s="197">
        <v>41800</v>
      </c>
      <c r="C984" s="196" t="s">
        <v>1261</v>
      </c>
      <c r="D984" s="196">
        <v>64</v>
      </c>
      <c r="E984" s="196" t="s">
        <v>1262</v>
      </c>
      <c r="F984" s="196">
        <v>64</v>
      </c>
      <c r="G984" s="196">
        <f t="shared" si="15"/>
        <v>32</v>
      </c>
      <c r="H984" s="196">
        <v>5310</v>
      </c>
      <c r="I984" s="196" t="s">
        <v>1263</v>
      </c>
      <c r="J984" s="196"/>
    </row>
    <row r="985" spans="1:10" ht="14.4" hidden="1" outlineLevel="1">
      <c r="A985" s="196" t="s">
        <v>351</v>
      </c>
      <c r="B985" s="197">
        <v>41801</v>
      </c>
      <c r="C985" s="196" t="s">
        <v>1253</v>
      </c>
      <c r="D985" s="196">
        <v>64</v>
      </c>
      <c r="E985" s="196" t="s">
        <v>1259</v>
      </c>
      <c r="F985" s="196">
        <v>63.3</v>
      </c>
      <c r="G985" s="196">
        <f t="shared" si="15"/>
        <v>31.65</v>
      </c>
      <c r="H985" s="196">
        <v>178</v>
      </c>
      <c r="I985" s="196" t="s">
        <v>1260</v>
      </c>
      <c r="J985" s="196"/>
    </row>
    <row r="986" spans="1:10" ht="14.4" hidden="1" outlineLevel="1">
      <c r="A986" s="196" t="s">
        <v>351</v>
      </c>
      <c r="B986" s="197">
        <v>41803</v>
      </c>
      <c r="C986" s="196" t="s">
        <v>1253</v>
      </c>
      <c r="D986" s="196">
        <v>66</v>
      </c>
      <c r="E986" s="196" t="s">
        <v>1253</v>
      </c>
      <c r="F986" s="196">
        <v>65.400000000000006</v>
      </c>
      <c r="G986" s="196">
        <f t="shared" si="15"/>
        <v>32.700000000000003</v>
      </c>
      <c r="H986" s="196">
        <v>12916</v>
      </c>
      <c r="I986" s="196" t="s">
        <v>1258</v>
      </c>
      <c r="J986" s="196"/>
    </row>
    <row r="987" spans="1:10" ht="14.4" hidden="1" outlineLevel="1">
      <c r="A987" s="196" t="s">
        <v>351</v>
      </c>
      <c r="B987" s="197">
        <v>41806</v>
      </c>
      <c r="C987" s="196" t="s">
        <v>1256</v>
      </c>
      <c r="D987" s="196">
        <v>65.599999999999994</v>
      </c>
      <c r="E987" s="196" t="s">
        <v>1256</v>
      </c>
      <c r="F987" s="196">
        <v>65</v>
      </c>
      <c r="G987" s="196">
        <f t="shared" si="15"/>
        <v>32.5</v>
      </c>
      <c r="H987" s="196">
        <v>3124</v>
      </c>
      <c r="I987" s="196" t="s">
        <v>1257</v>
      </c>
      <c r="J987" s="196"/>
    </row>
    <row r="988" spans="1:10" ht="14.4" hidden="1" outlineLevel="1">
      <c r="A988" s="196" t="s">
        <v>351</v>
      </c>
      <c r="B988" s="197">
        <v>41807</v>
      </c>
      <c r="C988" s="196" t="s">
        <v>1242</v>
      </c>
      <c r="D988" s="196">
        <v>65</v>
      </c>
      <c r="E988" s="196" t="s">
        <v>1242</v>
      </c>
      <c r="F988" s="196">
        <v>65</v>
      </c>
      <c r="G988" s="196">
        <f t="shared" si="15"/>
        <v>32.5</v>
      </c>
      <c r="H988" s="196">
        <v>200</v>
      </c>
      <c r="I988" s="196" t="s">
        <v>1255</v>
      </c>
      <c r="J988" s="196"/>
    </row>
    <row r="989" spans="1:10" ht="14.4" hidden="1" outlineLevel="1">
      <c r="A989" s="196" t="s">
        <v>351</v>
      </c>
      <c r="B989" s="197">
        <v>41808</v>
      </c>
      <c r="C989" s="196" t="s">
        <v>1242</v>
      </c>
      <c r="D989" s="196">
        <v>65</v>
      </c>
      <c r="E989" s="196" t="s">
        <v>1253</v>
      </c>
      <c r="F989" s="196">
        <v>65</v>
      </c>
      <c r="G989" s="196">
        <f t="shared" si="15"/>
        <v>32.5</v>
      </c>
      <c r="H989" s="196">
        <v>56109</v>
      </c>
      <c r="I989" s="196" t="s">
        <v>1254</v>
      </c>
      <c r="J989" s="196"/>
    </row>
    <row r="990" spans="1:10" ht="14.4" hidden="1" outlineLevel="1">
      <c r="A990" s="196" t="s">
        <v>351</v>
      </c>
      <c r="B990" s="197">
        <v>41809</v>
      </c>
      <c r="C990" s="196" t="s">
        <v>1242</v>
      </c>
      <c r="D990" s="196">
        <v>65.400000000000006</v>
      </c>
      <c r="E990" s="196" t="s">
        <v>1244</v>
      </c>
      <c r="F990" s="196">
        <v>65</v>
      </c>
      <c r="G990" s="196">
        <f t="shared" si="15"/>
        <v>32.5</v>
      </c>
      <c r="H990" s="196">
        <v>20283</v>
      </c>
      <c r="I990" s="196" t="s">
        <v>1252</v>
      </c>
      <c r="J990" s="196"/>
    </row>
    <row r="991" spans="1:10" ht="14.4" hidden="1" outlineLevel="1">
      <c r="A991" s="196" t="s">
        <v>351</v>
      </c>
      <c r="B991" s="197">
        <v>41810</v>
      </c>
      <c r="C991" s="196" t="s">
        <v>1250</v>
      </c>
      <c r="D991" s="196">
        <v>66</v>
      </c>
      <c r="E991" s="196" t="s">
        <v>1242</v>
      </c>
      <c r="F991" s="196">
        <v>65.099999999999994</v>
      </c>
      <c r="G991" s="196">
        <f t="shared" si="15"/>
        <v>32.549999999999997</v>
      </c>
      <c r="H991" s="196">
        <v>151234</v>
      </c>
      <c r="I991" s="196" t="s">
        <v>1251</v>
      </c>
      <c r="J991" s="196"/>
    </row>
    <row r="992" spans="1:10" ht="14.4" hidden="1" outlineLevel="1">
      <c r="A992" s="196" t="s">
        <v>351</v>
      </c>
      <c r="B992" s="197">
        <v>41813</v>
      </c>
      <c r="C992" s="196" t="s">
        <v>1242</v>
      </c>
      <c r="D992" s="196">
        <v>65.5</v>
      </c>
      <c r="E992" s="196" t="s">
        <v>1242</v>
      </c>
      <c r="F992" s="196">
        <v>65.2</v>
      </c>
      <c r="G992" s="196">
        <f t="shared" si="15"/>
        <v>32.6</v>
      </c>
      <c r="H992" s="196">
        <v>29921</v>
      </c>
      <c r="I992" s="196" t="s">
        <v>1249</v>
      </c>
      <c r="J992" s="196"/>
    </row>
    <row r="993" spans="1:10" ht="14.4" hidden="1" outlineLevel="1">
      <c r="A993" s="196" t="s">
        <v>351</v>
      </c>
      <c r="B993" s="197">
        <v>41814</v>
      </c>
      <c r="C993" s="196" t="s">
        <v>1237</v>
      </c>
      <c r="D993" s="196">
        <v>66</v>
      </c>
      <c r="E993" s="196" t="s">
        <v>1237</v>
      </c>
      <c r="F993" s="196">
        <v>66</v>
      </c>
      <c r="G993" s="196">
        <f t="shared" si="15"/>
        <v>33</v>
      </c>
      <c r="H993" s="196">
        <v>150000</v>
      </c>
      <c r="I993" s="196" t="s">
        <v>1248</v>
      </c>
      <c r="J993" s="196"/>
    </row>
    <row r="994" spans="1:10" ht="14.4" hidden="1" outlineLevel="1">
      <c r="A994" s="196" t="s">
        <v>351</v>
      </c>
      <c r="B994" s="197">
        <v>41815</v>
      </c>
      <c r="C994" s="196" t="s">
        <v>1237</v>
      </c>
      <c r="D994" s="196">
        <v>66</v>
      </c>
      <c r="E994" s="196" t="s">
        <v>1242</v>
      </c>
      <c r="F994" s="196">
        <v>65</v>
      </c>
      <c r="G994" s="196">
        <f t="shared" si="15"/>
        <v>32.5</v>
      </c>
      <c r="H994" s="196">
        <v>1988</v>
      </c>
      <c r="I994" s="196" t="s">
        <v>1247</v>
      </c>
      <c r="J994" s="196"/>
    </row>
    <row r="995" spans="1:10" ht="14.4" hidden="1" outlineLevel="1">
      <c r="A995" s="196" t="s">
        <v>351</v>
      </c>
      <c r="B995" s="197">
        <v>41816</v>
      </c>
      <c r="C995" s="196" t="s">
        <v>88</v>
      </c>
      <c r="D995" s="196" t="s">
        <v>88</v>
      </c>
      <c r="E995" s="196" t="s">
        <v>88</v>
      </c>
      <c r="F995" s="196">
        <v>65</v>
      </c>
      <c r="G995" s="196">
        <f t="shared" si="15"/>
        <v>32.5</v>
      </c>
      <c r="H995" s="196">
        <v>0</v>
      </c>
      <c r="I995" s="196" t="s">
        <v>611</v>
      </c>
      <c r="J995" s="196"/>
    </row>
    <row r="996" spans="1:10" ht="14.4" hidden="1" outlineLevel="1">
      <c r="A996" s="196" t="s">
        <v>351</v>
      </c>
      <c r="B996" s="197">
        <v>41817</v>
      </c>
      <c r="C996" s="196" t="s">
        <v>1244</v>
      </c>
      <c r="D996" s="196">
        <v>65</v>
      </c>
      <c r="E996" s="196" t="s">
        <v>1245</v>
      </c>
      <c r="F996" s="196">
        <v>64.400000000000006</v>
      </c>
      <c r="G996" s="196">
        <f t="shared" si="15"/>
        <v>32.200000000000003</v>
      </c>
      <c r="H996" s="196">
        <v>15486</v>
      </c>
      <c r="I996" s="196" t="s">
        <v>1246</v>
      </c>
      <c r="J996" s="196"/>
    </row>
    <row r="997" spans="1:10" ht="14.4" hidden="1" outlineLevel="1">
      <c r="A997" s="196" t="s">
        <v>351</v>
      </c>
      <c r="B997" s="197">
        <v>41820</v>
      </c>
      <c r="C997" s="196" t="s">
        <v>1242</v>
      </c>
      <c r="D997" s="196">
        <v>66</v>
      </c>
      <c r="E997" s="196" t="s">
        <v>1242</v>
      </c>
      <c r="F997" s="196">
        <v>66</v>
      </c>
      <c r="G997" s="196">
        <f t="shared" si="15"/>
        <v>33</v>
      </c>
      <c r="H997" s="196">
        <v>3330</v>
      </c>
      <c r="I997" s="196" t="s">
        <v>1243</v>
      </c>
      <c r="J997" s="196"/>
    </row>
    <row r="998" spans="1:10" ht="14.4" hidden="1" outlineLevel="1">
      <c r="A998" s="196" t="s">
        <v>351</v>
      </c>
      <c r="B998" s="197">
        <v>41821</v>
      </c>
      <c r="C998" s="196" t="s">
        <v>1240</v>
      </c>
      <c r="D998" s="196">
        <v>65.5</v>
      </c>
      <c r="E998" s="196" t="s">
        <v>1240</v>
      </c>
      <c r="F998" s="196">
        <v>65.5</v>
      </c>
      <c r="G998" s="196">
        <f t="shared" si="15"/>
        <v>32.75</v>
      </c>
      <c r="H998" s="196">
        <v>2000</v>
      </c>
      <c r="I998" s="196" t="s">
        <v>1241</v>
      </c>
      <c r="J998" s="196"/>
    </row>
    <row r="999" spans="1:10" ht="14.4" hidden="1" outlineLevel="1">
      <c r="A999" s="196" t="s">
        <v>351</v>
      </c>
      <c r="B999" s="197">
        <v>41822</v>
      </c>
      <c r="C999" s="196" t="s">
        <v>1237</v>
      </c>
      <c r="D999" s="196">
        <v>68</v>
      </c>
      <c r="E999" s="196" t="s">
        <v>1238</v>
      </c>
      <c r="F999" s="196">
        <v>66.400000000000006</v>
      </c>
      <c r="G999" s="196">
        <f t="shared" si="15"/>
        <v>33.200000000000003</v>
      </c>
      <c r="H999" s="196">
        <v>66040</v>
      </c>
      <c r="I999" s="196" t="s">
        <v>1239</v>
      </c>
      <c r="J999" s="196"/>
    </row>
    <row r="1000" spans="1:10" ht="14.4" hidden="1" outlineLevel="1">
      <c r="A1000" s="196" t="s">
        <v>351</v>
      </c>
      <c r="B1000" s="197">
        <v>41823</v>
      </c>
      <c r="C1000" s="196" t="s">
        <v>1225</v>
      </c>
      <c r="D1000" s="196">
        <v>67</v>
      </c>
      <c r="E1000" s="196" t="s">
        <v>1225</v>
      </c>
      <c r="F1000" s="196">
        <v>67</v>
      </c>
      <c r="G1000" s="196">
        <f t="shared" si="15"/>
        <v>33.5</v>
      </c>
      <c r="H1000" s="196">
        <v>146</v>
      </c>
      <c r="I1000" s="196" t="s">
        <v>1236</v>
      </c>
      <c r="J1000" s="196"/>
    </row>
    <row r="1001" spans="1:10" ht="14.4" hidden="1" outlineLevel="1">
      <c r="A1001" s="196" t="s">
        <v>351</v>
      </c>
      <c r="B1001" s="197">
        <v>41824</v>
      </c>
      <c r="C1001" s="196" t="s">
        <v>1225</v>
      </c>
      <c r="D1001" s="196">
        <v>68.5</v>
      </c>
      <c r="E1001" s="196" t="s">
        <v>1225</v>
      </c>
      <c r="F1001" s="196">
        <v>67.5</v>
      </c>
      <c r="G1001" s="196">
        <f t="shared" si="15"/>
        <v>33.75</v>
      </c>
      <c r="H1001" s="196">
        <v>34654</v>
      </c>
      <c r="I1001" s="196" t="s">
        <v>1235</v>
      </c>
      <c r="J1001" s="196"/>
    </row>
    <row r="1002" spans="1:10" ht="14.4" hidden="1" outlineLevel="1">
      <c r="A1002" s="196" t="s">
        <v>351</v>
      </c>
      <c r="B1002" s="197">
        <v>41827</v>
      </c>
      <c r="C1002" s="196" t="s">
        <v>1229</v>
      </c>
      <c r="D1002" s="196">
        <v>67.8</v>
      </c>
      <c r="E1002" s="196" t="s">
        <v>1229</v>
      </c>
      <c r="F1002" s="196">
        <v>67.8</v>
      </c>
      <c r="G1002" s="196">
        <f t="shared" si="15"/>
        <v>33.9</v>
      </c>
      <c r="H1002" s="196">
        <v>1816</v>
      </c>
      <c r="I1002" s="196" t="s">
        <v>1234</v>
      </c>
      <c r="J1002" s="196"/>
    </row>
    <row r="1003" spans="1:10" ht="14.4" hidden="1" outlineLevel="1">
      <c r="A1003" s="196" t="s">
        <v>351</v>
      </c>
      <c r="B1003" s="197">
        <v>41828</v>
      </c>
      <c r="C1003" s="196" t="s">
        <v>1231</v>
      </c>
      <c r="D1003" s="196">
        <v>68.3</v>
      </c>
      <c r="E1003" s="196" t="s">
        <v>1232</v>
      </c>
      <c r="F1003" s="196">
        <v>66.5</v>
      </c>
      <c r="G1003" s="196">
        <f t="shared" si="15"/>
        <v>33.25</v>
      </c>
      <c r="H1003" s="196">
        <v>3643</v>
      </c>
      <c r="I1003" s="196" t="s">
        <v>1233</v>
      </c>
      <c r="J1003" s="196"/>
    </row>
    <row r="1004" spans="1:10" ht="14.4" hidden="1" outlineLevel="1">
      <c r="A1004" s="196" t="s">
        <v>351</v>
      </c>
      <c r="B1004" s="197">
        <v>41829</v>
      </c>
      <c r="C1004" s="196" t="s">
        <v>1228</v>
      </c>
      <c r="D1004" s="196">
        <v>69.8</v>
      </c>
      <c r="E1004" s="196" t="s">
        <v>1229</v>
      </c>
      <c r="F1004" s="196">
        <v>69</v>
      </c>
      <c r="G1004" s="196">
        <f t="shared" si="15"/>
        <v>34.5</v>
      </c>
      <c r="H1004" s="196">
        <v>114766</v>
      </c>
      <c r="I1004" s="196" t="s">
        <v>1230</v>
      </c>
      <c r="J1004" s="196"/>
    </row>
    <row r="1005" spans="1:10" ht="14.4" hidden="1" outlineLevel="1">
      <c r="A1005" s="196" t="s">
        <v>351</v>
      </c>
      <c r="B1005" s="197">
        <v>41830</v>
      </c>
      <c r="C1005" s="196" t="s">
        <v>1216</v>
      </c>
      <c r="D1005" s="196">
        <v>69</v>
      </c>
      <c r="E1005" s="196" t="s">
        <v>1216</v>
      </c>
      <c r="F1005" s="196">
        <v>69</v>
      </c>
      <c r="G1005" s="196">
        <f t="shared" si="15"/>
        <v>34.5</v>
      </c>
      <c r="H1005" s="196">
        <v>5400</v>
      </c>
      <c r="I1005" s="196" t="s">
        <v>1227</v>
      </c>
      <c r="J1005" s="196"/>
    </row>
    <row r="1006" spans="1:10" ht="14.4" hidden="1" outlineLevel="1">
      <c r="A1006" s="196" t="s">
        <v>351</v>
      </c>
      <c r="B1006" s="197">
        <v>41831</v>
      </c>
      <c r="C1006" s="196" t="s">
        <v>1224</v>
      </c>
      <c r="D1006" s="196">
        <v>69</v>
      </c>
      <c r="E1006" s="196" t="s">
        <v>1225</v>
      </c>
      <c r="F1006" s="196">
        <v>67.099999999999994</v>
      </c>
      <c r="G1006" s="196">
        <f t="shared" si="15"/>
        <v>33.549999999999997</v>
      </c>
      <c r="H1006" s="196">
        <v>34150</v>
      </c>
      <c r="I1006" s="196" t="s">
        <v>1226</v>
      </c>
      <c r="J1006" s="196"/>
    </row>
    <row r="1007" spans="1:10" ht="14.4" hidden="1" outlineLevel="1">
      <c r="A1007" s="196" t="s">
        <v>351</v>
      </c>
      <c r="B1007" s="197">
        <v>41834</v>
      </c>
      <c r="C1007" s="196" t="s">
        <v>1222</v>
      </c>
      <c r="D1007" s="196">
        <v>69</v>
      </c>
      <c r="E1007" s="196" t="s">
        <v>1222</v>
      </c>
      <c r="F1007" s="196">
        <v>69</v>
      </c>
      <c r="G1007" s="196">
        <f t="shared" si="15"/>
        <v>34.5</v>
      </c>
      <c r="H1007" s="196">
        <v>386</v>
      </c>
      <c r="I1007" s="196" t="s">
        <v>1223</v>
      </c>
      <c r="J1007" s="196"/>
    </row>
    <row r="1008" spans="1:10" ht="14.4" hidden="1" outlineLevel="1">
      <c r="A1008" s="196" t="s">
        <v>351</v>
      </c>
      <c r="B1008" s="197">
        <v>41835</v>
      </c>
      <c r="C1008" s="196" t="s">
        <v>1220</v>
      </c>
      <c r="D1008" s="196">
        <v>71.900000000000006</v>
      </c>
      <c r="E1008" s="196" t="s">
        <v>1220</v>
      </c>
      <c r="F1008" s="196">
        <v>70.2</v>
      </c>
      <c r="G1008" s="196">
        <f t="shared" si="15"/>
        <v>35.1</v>
      </c>
      <c r="H1008" s="196">
        <v>452181</v>
      </c>
      <c r="I1008" s="196" t="s">
        <v>1221</v>
      </c>
      <c r="J1008" s="196"/>
    </row>
    <row r="1009" spans="1:10" ht="14.4" hidden="1" outlineLevel="1">
      <c r="A1009" s="196" t="s">
        <v>351</v>
      </c>
      <c r="B1009" s="197">
        <v>41836</v>
      </c>
      <c r="C1009" s="196" t="s">
        <v>1157</v>
      </c>
      <c r="D1009" s="196">
        <v>74</v>
      </c>
      <c r="E1009" s="196" t="s">
        <v>1181</v>
      </c>
      <c r="F1009" s="196">
        <v>71</v>
      </c>
      <c r="G1009" s="196">
        <f t="shared" si="15"/>
        <v>35.5</v>
      </c>
      <c r="H1009" s="196">
        <v>91012</v>
      </c>
      <c r="I1009" s="196" t="s">
        <v>1219</v>
      </c>
      <c r="J1009" s="196"/>
    </row>
    <row r="1010" spans="1:10" ht="14.4" hidden="1" outlineLevel="1">
      <c r="A1010" s="196" t="s">
        <v>351</v>
      </c>
      <c r="B1010" s="197">
        <v>41837</v>
      </c>
      <c r="C1010" s="196" t="s">
        <v>1169</v>
      </c>
      <c r="D1010" s="196">
        <v>72.3</v>
      </c>
      <c r="E1010" s="196" t="s">
        <v>1211</v>
      </c>
      <c r="F1010" s="196">
        <v>70</v>
      </c>
      <c r="G1010" s="196">
        <f t="shared" si="15"/>
        <v>35</v>
      </c>
      <c r="H1010" s="196">
        <v>90706</v>
      </c>
      <c r="I1010" s="196" t="s">
        <v>1218</v>
      </c>
      <c r="J1010" s="196"/>
    </row>
    <row r="1011" spans="1:10" ht="14.4" hidden="1" outlineLevel="1">
      <c r="A1011" s="196" t="s">
        <v>351</v>
      </c>
      <c r="B1011" s="197">
        <v>41838</v>
      </c>
      <c r="C1011" s="196" t="s">
        <v>1214</v>
      </c>
      <c r="D1011" s="196">
        <v>69.900000000000006</v>
      </c>
      <c r="E1011" s="196" t="s">
        <v>1216</v>
      </c>
      <c r="F1011" s="196">
        <v>69</v>
      </c>
      <c r="G1011" s="196">
        <f t="shared" si="15"/>
        <v>34.5</v>
      </c>
      <c r="H1011" s="196">
        <v>9400</v>
      </c>
      <c r="I1011" s="196" t="s">
        <v>1217</v>
      </c>
      <c r="J1011" s="196"/>
    </row>
    <row r="1012" spans="1:10" ht="14.4" hidden="1" outlineLevel="1">
      <c r="A1012" s="196" t="s">
        <v>351</v>
      </c>
      <c r="B1012" s="197">
        <v>41841</v>
      </c>
      <c r="C1012" s="196" t="s">
        <v>1214</v>
      </c>
      <c r="D1012" s="196">
        <v>71</v>
      </c>
      <c r="E1012" s="196" t="s">
        <v>1214</v>
      </c>
      <c r="F1012" s="196">
        <v>71</v>
      </c>
      <c r="G1012" s="196">
        <f t="shared" si="15"/>
        <v>35.5</v>
      </c>
      <c r="H1012" s="196">
        <v>4521</v>
      </c>
      <c r="I1012" s="196" t="s">
        <v>1215</v>
      </c>
      <c r="J1012" s="196"/>
    </row>
    <row r="1013" spans="1:10" ht="14.4" hidden="1" outlineLevel="1">
      <c r="A1013" s="196" t="s">
        <v>351</v>
      </c>
      <c r="B1013" s="197">
        <v>41842</v>
      </c>
      <c r="C1013" s="196" t="s">
        <v>1185</v>
      </c>
      <c r="D1013" s="196">
        <v>71</v>
      </c>
      <c r="E1013" s="196" t="s">
        <v>1211</v>
      </c>
      <c r="F1013" s="196">
        <v>70.2</v>
      </c>
      <c r="G1013" s="196">
        <f t="shared" si="15"/>
        <v>35.1</v>
      </c>
      <c r="H1013" s="196">
        <v>125292</v>
      </c>
      <c r="I1013" s="196" t="s">
        <v>1213</v>
      </c>
      <c r="J1013" s="196"/>
    </row>
    <row r="1014" spans="1:10" ht="14.4" hidden="1" outlineLevel="1">
      <c r="A1014" s="196" t="s">
        <v>351</v>
      </c>
      <c r="B1014" s="197">
        <v>41843</v>
      </c>
      <c r="C1014" s="196" t="s">
        <v>1211</v>
      </c>
      <c r="D1014" s="196">
        <v>71.2</v>
      </c>
      <c r="E1014" s="196" t="s">
        <v>1211</v>
      </c>
      <c r="F1014" s="196">
        <v>71</v>
      </c>
      <c r="G1014" s="196">
        <f t="shared" si="15"/>
        <v>35.5</v>
      </c>
      <c r="H1014" s="196">
        <v>65467</v>
      </c>
      <c r="I1014" s="196" t="s">
        <v>1212</v>
      </c>
      <c r="J1014" s="196"/>
    </row>
    <row r="1015" spans="1:10" ht="14.4" hidden="1" outlineLevel="1">
      <c r="A1015" s="196" t="s">
        <v>351</v>
      </c>
      <c r="B1015" s="197">
        <v>41844</v>
      </c>
      <c r="C1015" s="196" t="s">
        <v>1161</v>
      </c>
      <c r="D1015" s="196">
        <v>71</v>
      </c>
      <c r="E1015" s="196" t="s">
        <v>1209</v>
      </c>
      <c r="F1015" s="196">
        <v>70.900000000000006</v>
      </c>
      <c r="G1015" s="196">
        <f t="shared" si="15"/>
        <v>35.450000000000003</v>
      </c>
      <c r="H1015" s="196">
        <v>3030</v>
      </c>
      <c r="I1015" s="196" t="s">
        <v>1210</v>
      </c>
      <c r="J1015" s="196"/>
    </row>
    <row r="1016" spans="1:10" ht="14.4" hidden="1" outlineLevel="1">
      <c r="A1016" s="196" t="s">
        <v>351</v>
      </c>
      <c r="B1016" s="197">
        <v>41845</v>
      </c>
      <c r="C1016" s="196" t="s">
        <v>1161</v>
      </c>
      <c r="D1016" s="196">
        <v>71.3</v>
      </c>
      <c r="E1016" s="196" t="s">
        <v>1164</v>
      </c>
      <c r="F1016" s="196">
        <v>71</v>
      </c>
      <c r="G1016" s="196">
        <f t="shared" si="15"/>
        <v>35.5</v>
      </c>
      <c r="H1016" s="196">
        <v>31582</v>
      </c>
      <c r="I1016" s="196" t="s">
        <v>1208</v>
      </c>
      <c r="J1016" s="196"/>
    </row>
    <row r="1017" spans="1:10" ht="14.4" hidden="1" outlineLevel="1">
      <c r="A1017" s="196" t="s">
        <v>351</v>
      </c>
      <c r="B1017" s="197">
        <v>41848</v>
      </c>
      <c r="C1017" s="196" t="s">
        <v>1157</v>
      </c>
      <c r="D1017" s="196">
        <v>71.900000000000006</v>
      </c>
      <c r="E1017" s="196" t="s">
        <v>1161</v>
      </c>
      <c r="F1017" s="196">
        <v>71</v>
      </c>
      <c r="G1017" s="196">
        <f t="shared" si="15"/>
        <v>35.5</v>
      </c>
      <c r="H1017" s="196">
        <v>9872</v>
      </c>
      <c r="I1017" s="196" t="s">
        <v>1207</v>
      </c>
      <c r="J1017" s="196"/>
    </row>
    <row r="1018" spans="1:10" ht="14.4" hidden="1" outlineLevel="1">
      <c r="A1018" s="196" t="s">
        <v>351</v>
      </c>
      <c r="B1018" s="197">
        <v>41850</v>
      </c>
      <c r="C1018" s="196" t="s">
        <v>1157</v>
      </c>
      <c r="D1018" s="196">
        <v>72</v>
      </c>
      <c r="E1018" s="196" t="s">
        <v>1161</v>
      </c>
      <c r="F1018" s="196">
        <v>71</v>
      </c>
      <c r="G1018" s="196">
        <f t="shared" si="15"/>
        <v>35.5</v>
      </c>
      <c r="H1018" s="196">
        <v>19188</v>
      </c>
      <c r="I1018" s="196" t="s">
        <v>1206</v>
      </c>
      <c r="J1018" s="196"/>
    </row>
    <row r="1019" spans="1:10" ht="14.4" hidden="1" outlineLevel="1">
      <c r="A1019" s="196" t="s">
        <v>351</v>
      </c>
      <c r="B1019" s="197">
        <v>41851</v>
      </c>
      <c r="C1019" s="196" t="s">
        <v>1169</v>
      </c>
      <c r="D1019" s="196">
        <v>71</v>
      </c>
      <c r="E1019" s="196" t="s">
        <v>1169</v>
      </c>
      <c r="F1019" s="196">
        <v>71</v>
      </c>
      <c r="G1019" s="196">
        <f t="shared" si="15"/>
        <v>35.5</v>
      </c>
      <c r="H1019" s="196">
        <v>34206</v>
      </c>
      <c r="I1019" s="196" t="s">
        <v>1205</v>
      </c>
      <c r="J1019" s="196"/>
    </row>
    <row r="1020" spans="1:10" ht="14.4" hidden="1" outlineLevel="1">
      <c r="A1020" s="196" t="s">
        <v>351</v>
      </c>
      <c r="B1020" s="197">
        <v>41852</v>
      </c>
      <c r="C1020" s="196" t="s">
        <v>1161</v>
      </c>
      <c r="D1020" s="196">
        <v>71.599999999999994</v>
      </c>
      <c r="E1020" s="196" t="s">
        <v>1161</v>
      </c>
      <c r="F1020" s="196">
        <v>71.099999999999994</v>
      </c>
      <c r="G1020" s="196">
        <f t="shared" si="15"/>
        <v>35.549999999999997</v>
      </c>
      <c r="H1020" s="196">
        <v>1022</v>
      </c>
      <c r="I1020" s="196" t="s">
        <v>1204</v>
      </c>
      <c r="J1020" s="196"/>
    </row>
    <row r="1021" spans="1:10" ht="14.4" hidden="1" outlineLevel="1">
      <c r="A1021" s="196" t="s">
        <v>351</v>
      </c>
      <c r="B1021" s="197">
        <v>41855</v>
      </c>
      <c r="C1021" s="196" t="s">
        <v>1201</v>
      </c>
      <c r="D1021" s="196">
        <v>72</v>
      </c>
      <c r="E1021" s="196" t="s">
        <v>1202</v>
      </c>
      <c r="F1021" s="196">
        <v>70.900000000000006</v>
      </c>
      <c r="G1021" s="196">
        <f t="shared" si="15"/>
        <v>35.450000000000003</v>
      </c>
      <c r="H1021" s="196">
        <v>2845</v>
      </c>
      <c r="I1021" s="196" t="s">
        <v>1203</v>
      </c>
      <c r="J1021" s="196"/>
    </row>
    <row r="1022" spans="1:10" ht="14.4" hidden="1" outlineLevel="1">
      <c r="A1022" s="196" t="s">
        <v>351</v>
      </c>
      <c r="B1022" s="197">
        <v>41856</v>
      </c>
      <c r="C1022" s="196" t="s">
        <v>1198</v>
      </c>
      <c r="D1022" s="196">
        <v>73</v>
      </c>
      <c r="E1022" s="196" t="s">
        <v>1161</v>
      </c>
      <c r="F1022" s="196">
        <v>71.5</v>
      </c>
      <c r="G1022" s="196">
        <f t="shared" si="15"/>
        <v>35.75</v>
      </c>
      <c r="H1022" s="196">
        <v>167685</v>
      </c>
      <c r="I1022" s="196" t="s">
        <v>1200</v>
      </c>
      <c r="J1022" s="196"/>
    </row>
    <row r="1023" spans="1:10" ht="14.4" hidden="1" outlineLevel="1">
      <c r="A1023" s="196" t="s">
        <v>351</v>
      </c>
      <c r="B1023" s="197">
        <v>41857</v>
      </c>
      <c r="C1023" s="196" t="s">
        <v>1198</v>
      </c>
      <c r="D1023" s="196">
        <v>72.900000000000006</v>
      </c>
      <c r="E1023" s="196" t="s">
        <v>1198</v>
      </c>
      <c r="F1023" s="196">
        <v>72.5</v>
      </c>
      <c r="G1023" s="196">
        <f t="shared" si="15"/>
        <v>36.25</v>
      </c>
      <c r="H1023" s="196">
        <v>22668</v>
      </c>
      <c r="I1023" s="196" t="s">
        <v>1199</v>
      </c>
      <c r="J1023" s="196"/>
    </row>
    <row r="1024" spans="1:10" ht="14.4" hidden="1" outlineLevel="1">
      <c r="A1024" s="196" t="s">
        <v>351</v>
      </c>
      <c r="B1024" s="197">
        <v>41858</v>
      </c>
      <c r="C1024" s="196" t="s">
        <v>1196</v>
      </c>
      <c r="D1024" s="196">
        <v>73</v>
      </c>
      <c r="E1024" s="196" t="s">
        <v>1183</v>
      </c>
      <c r="F1024" s="196">
        <v>73</v>
      </c>
      <c r="G1024" s="196">
        <f t="shared" si="15"/>
        <v>36.5</v>
      </c>
      <c r="H1024" s="196">
        <v>103622</v>
      </c>
      <c r="I1024" s="196" t="s">
        <v>1197</v>
      </c>
      <c r="J1024" s="196"/>
    </row>
    <row r="1025" spans="1:10" ht="14.4" hidden="1" outlineLevel="1">
      <c r="A1025" s="196" t="s">
        <v>351</v>
      </c>
      <c r="B1025" s="197">
        <v>41859</v>
      </c>
      <c r="C1025" s="196" t="s">
        <v>1183</v>
      </c>
      <c r="D1025" s="196">
        <v>73.5</v>
      </c>
      <c r="E1025" s="196" t="s">
        <v>1183</v>
      </c>
      <c r="F1025" s="196">
        <v>73</v>
      </c>
      <c r="G1025" s="196">
        <f t="shared" si="15"/>
        <v>36.5</v>
      </c>
      <c r="H1025" s="196">
        <v>20159</v>
      </c>
      <c r="I1025" s="196" t="s">
        <v>1195</v>
      </c>
      <c r="J1025" s="196"/>
    </row>
    <row r="1026" spans="1:10" ht="14.4" hidden="1" outlineLevel="1">
      <c r="A1026" s="196" t="s">
        <v>351</v>
      </c>
      <c r="B1026" s="197">
        <v>41862</v>
      </c>
      <c r="C1026" s="196" t="s">
        <v>1193</v>
      </c>
      <c r="D1026" s="196">
        <v>74</v>
      </c>
      <c r="E1026" s="196" t="s">
        <v>1117</v>
      </c>
      <c r="F1026" s="196">
        <v>73.7</v>
      </c>
      <c r="G1026" s="196">
        <f t="shared" si="15"/>
        <v>36.85</v>
      </c>
      <c r="H1026" s="196">
        <v>18079</v>
      </c>
      <c r="I1026" s="196" t="s">
        <v>1194</v>
      </c>
      <c r="J1026" s="196"/>
    </row>
    <row r="1027" spans="1:10" ht="14.4" hidden="1" outlineLevel="1">
      <c r="A1027" s="196" t="s">
        <v>351</v>
      </c>
      <c r="B1027" s="197">
        <v>41863</v>
      </c>
      <c r="C1027" s="196" t="s">
        <v>1191</v>
      </c>
      <c r="D1027" s="196">
        <v>74.2</v>
      </c>
      <c r="E1027" s="196" t="s">
        <v>1127</v>
      </c>
      <c r="F1027" s="196">
        <v>73.400000000000006</v>
      </c>
      <c r="G1027" s="196">
        <f t="shared" si="15"/>
        <v>36.700000000000003</v>
      </c>
      <c r="H1027" s="196">
        <v>99309</v>
      </c>
      <c r="I1027" s="196" t="s">
        <v>1192</v>
      </c>
      <c r="J1027" s="196"/>
    </row>
    <row r="1028" spans="1:10" ht="14.4" hidden="1" outlineLevel="1">
      <c r="A1028" s="196" t="s">
        <v>351</v>
      </c>
      <c r="B1028" s="197">
        <v>41864</v>
      </c>
      <c r="C1028" s="196" t="s">
        <v>983</v>
      </c>
      <c r="D1028" s="196">
        <v>74.3</v>
      </c>
      <c r="E1028" s="196" t="s">
        <v>983</v>
      </c>
      <c r="F1028" s="196">
        <v>74</v>
      </c>
      <c r="G1028" s="196">
        <f t="shared" si="15"/>
        <v>37</v>
      </c>
      <c r="H1028" s="196">
        <v>9530</v>
      </c>
      <c r="I1028" s="196" t="s">
        <v>1190</v>
      </c>
      <c r="J1028" s="196"/>
    </row>
    <row r="1029" spans="1:10" ht="14.4" hidden="1" outlineLevel="1">
      <c r="A1029" s="196" t="s">
        <v>351</v>
      </c>
      <c r="B1029" s="197">
        <v>41865</v>
      </c>
      <c r="C1029" s="196" t="s">
        <v>983</v>
      </c>
      <c r="D1029" s="196">
        <v>74</v>
      </c>
      <c r="E1029" s="196" t="s">
        <v>1127</v>
      </c>
      <c r="F1029" s="196">
        <v>72.900000000000006</v>
      </c>
      <c r="G1029" s="196">
        <f t="shared" ref="G1029:G1092" si="16">F1029/2</f>
        <v>36.450000000000003</v>
      </c>
      <c r="H1029" s="196">
        <v>18917</v>
      </c>
      <c r="I1029" s="196" t="s">
        <v>1189</v>
      </c>
      <c r="J1029" s="196"/>
    </row>
    <row r="1030" spans="1:10" ht="14.4" hidden="1" outlineLevel="1">
      <c r="A1030" s="196" t="s">
        <v>351</v>
      </c>
      <c r="B1030" s="197">
        <v>41866</v>
      </c>
      <c r="C1030" s="196" t="s">
        <v>1187</v>
      </c>
      <c r="D1030" s="196">
        <v>72.599999999999994</v>
      </c>
      <c r="E1030" s="196" t="s">
        <v>1127</v>
      </c>
      <c r="F1030" s="196">
        <v>72.099999999999994</v>
      </c>
      <c r="G1030" s="196">
        <f t="shared" si="16"/>
        <v>36.049999999999997</v>
      </c>
      <c r="H1030" s="196">
        <v>3055</v>
      </c>
      <c r="I1030" s="196" t="s">
        <v>1188</v>
      </c>
      <c r="J1030" s="196"/>
    </row>
    <row r="1031" spans="1:10" ht="14.4" hidden="1" outlineLevel="1">
      <c r="A1031" s="196" t="s">
        <v>351</v>
      </c>
      <c r="B1031" s="197">
        <v>41869</v>
      </c>
      <c r="C1031" s="196" t="s">
        <v>1127</v>
      </c>
      <c r="D1031" s="196">
        <v>72.5</v>
      </c>
      <c r="E1031" s="196" t="s">
        <v>1185</v>
      </c>
      <c r="F1031" s="196">
        <v>70.2</v>
      </c>
      <c r="G1031" s="196">
        <f t="shared" si="16"/>
        <v>35.1</v>
      </c>
      <c r="H1031" s="196">
        <v>36230</v>
      </c>
      <c r="I1031" s="196" t="s">
        <v>1186</v>
      </c>
      <c r="J1031" s="196"/>
    </row>
    <row r="1032" spans="1:10" ht="14.4" hidden="1" outlineLevel="1">
      <c r="A1032" s="196" t="s">
        <v>351</v>
      </c>
      <c r="B1032" s="197">
        <v>41870</v>
      </c>
      <c r="C1032" s="196" t="s">
        <v>1183</v>
      </c>
      <c r="D1032" s="196">
        <v>72.5</v>
      </c>
      <c r="E1032" s="196" t="s">
        <v>1183</v>
      </c>
      <c r="F1032" s="196">
        <v>72.5</v>
      </c>
      <c r="G1032" s="196">
        <f t="shared" si="16"/>
        <v>36.25</v>
      </c>
      <c r="H1032" s="196">
        <v>155</v>
      </c>
      <c r="I1032" s="196" t="s">
        <v>1184</v>
      </c>
      <c r="J1032" s="196"/>
    </row>
    <row r="1033" spans="1:10" ht="14.4" hidden="1" outlineLevel="1">
      <c r="A1033" s="196" t="s">
        <v>351</v>
      </c>
      <c r="B1033" s="197">
        <v>41871</v>
      </c>
      <c r="C1033" s="196" t="s">
        <v>1180</v>
      </c>
      <c r="D1033" s="196">
        <v>72.900000000000006</v>
      </c>
      <c r="E1033" s="196" t="s">
        <v>1181</v>
      </c>
      <c r="F1033" s="196">
        <v>71.3</v>
      </c>
      <c r="G1033" s="196">
        <f t="shared" si="16"/>
        <v>35.65</v>
      </c>
      <c r="H1033" s="196">
        <v>8555</v>
      </c>
      <c r="I1033" s="196" t="s">
        <v>1182</v>
      </c>
      <c r="J1033" s="196"/>
    </row>
    <row r="1034" spans="1:10" ht="14.4" hidden="1" outlineLevel="1">
      <c r="A1034" s="196" t="s">
        <v>351</v>
      </c>
      <c r="B1034" s="197">
        <v>41872</v>
      </c>
      <c r="C1034" s="196" t="s">
        <v>1127</v>
      </c>
      <c r="D1034" s="196">
        <v>72.3</v>
      </c>
      <c r="E1034" s="196" t="s">
        <v>1178</v>
      </c>
      <c r="F1034" s="196">
        <v>71.5</v>
      </c>
      <c r="G1034" s="196">
        <f t="shared" si="16"/>
        <v>35.75</v>
      </c>
      <c r="H1034" s="196">
        <v>23487</v>
      </c>
      <c r="I1034" s="196" t="s">
        <v>1179</v>
      </c>
      <c r="J1034" s="196"/>
    </row>
    <row r="1035" spans="1:10" ht="14.4" hidden="1" outlineLevel="1">
      <c r="A1035" s="196" t="s">
        <v>351</v>
      </c>
      <c r="B1035" s="197">
        <v>41873</v>
      </c>
      <c r="C1035" s="196" t="s">
        <v>1157</v>
      </c>
      <c r="D1035" s="196">
        <v>72</v>
      </c>
      <c r="E1035" s="196" t="s">
        <v>1157</v>
      </c>
      <c r="F1035" s="196">
        <v>72</v>
      </c>
      <c r="G1035" s="196">
        <f t="shared" si="16"/>
        <v>36</v>
      </c>
      <c r="H1035" s="196">
        <v>140805</v>
      </c>
      <c r="I1035" s="196" t="s">
        <v>1177</v>
      </c>
      <c r="J1035" s="196"/>
    </row>
    <row r="1036" spans="1:10" ht="14.4" hidden="1" outlineLevel="1">
      <c r="A1036" s="196" t="s">
        <v>351</v>
      </c>
      <c r="B1036" s="197">
        <v>41876</v>
      </c>
      <c r="C1036" s="196" t="s">
        <v>1127</v>
      </c>
      <c r="D1036" s="196">
        <v>72</v>
      </c>
      <c r="E1036" s="196" t="s">
        <v>1175</v>
      </c>
      <c r="F1036" s="196">
        <v>70.3</v>
      </c>
      <c r="G1036" s="196">
        <f t="shared" si="16"/>
        <v>35.15</v>
      </c>
      <c r="H1036" s="196">
        <v>29</v>
      </c>
      <c r="I1036" s="196" t="s">
        <v>1176</v>
      </c>
      <c r="J1036" s="196"/>
    </row>
    <row r="1037" spans="1:10" ht="14.4" hidden="1" outlineLevel="1">
      <c r="A1037" s="196" t="s">
        <v>351</v>
      </c>
      <c r="B1037" s="197">
        <v>41877</v>
      </c>
      <c r="C1037" s="196" t="s">
        <v>1127</v>
      </c>
      <c r="D1037" s="196">
        <v>72</v>
      </c>
      <c r="E1037" s="196" t="s">
        <v>1157</v>
      </c>
      <c r="F1037" s="196">
        <v>71.900000000000006</v>
      </c>
      <c r="G1037" s="196">
        <f t="shared" si="16"/>
        <v>35.950000000000003</v>
      </c>
      <c r="H1037" s="196">
        <v>15205</v>
      </c>
      <c r="I1037" s="196" t="s">
        <v>1174</v>
      </c>
      <c r="J1037" s="196"/>
    </row>
    <row r="1038" spans="1:10" ht="14.4" hidden="1" outlineLevel="1">
      <c r="A1038" s="196" t="s">
        <v>351</v>
      </c>
      <c r="B1038" s="197">
        <v>41878</v>
      </c>
      <c r="C1038" s="196" t="s">
        <v>1157</v>
      </c>
      <c r="D1038" s="196">
        <v>71.900000000000006</v>
      </c>
      <c r="E1038" s="196" t="s">
        <v>1169</v>
      </c>
      <c r="F1038" s="196">
        <v>70.5</v>
      </c>
      <c r="G1038" s="196">
        <f t="shared" si="16"/>
        <v>35.25</v>
      </c>
      <c r="H1038" s="196">
        <v>14</v>
      </c>
      <c r="I1038" s="196" t="s">
        <v>1173</v>
      </c>
      <c r="J1038" s="196"/>
    </row>
    <row r="1039" spans="1:10" ht="14.4" hidden="1" outlineLevel="1">
      <c r="A1039" s="196" t="s">
        <v>351</v>
      </c>
      <c r="B1039" s="197">
        <v>41879</v>
      </c>
      <c r="C1039" s="196" t="s">
        <v>1169</v>
      </c>
      <c r="D1039" s="196">
        <v>71.2</v>
      </c>
      <c r="E1039" s="196" t="s">
        <v>1169</v>
      </c>
      <c r="F1039" s="196">
        <v>71.2</v>
      </c>
      <c r="G1039" s="196">
        <f t="shared" si="16"/>
        <v>35.6</v>
      </c>
      <c r="H1039" s="196">
        <v>598</v>
      </c>
      <c r="I1039" s="196" t="s">
        <v>1172</v>
      </c>
      <c r="J1039" s="196"/>
    </row>
    <row r="1040" spans="1:10" ht="14.4" hidden="1" outlineLevel="1">
      <c r="A1040" s="196" t="s">
        <v>351</v>
      </c>
      <c r="B1040" s="197">
        <v>41880</v>
      </c>
      <c r="C1040" s="196" t="s">
        <v>1169</v>
      </c>
      <c r="D1040" s="196">
        <v>71.900000000000006</v>
      </c>
      <c r="E1040" s="196" t="s">
        <v>1169</v>
      </c>
      <c r="F1040" s="196">
        <v>71.8</v>
      </c>
      <c r="G1040" s="196">
        <f t="shared" si="16"/>
        <v>35.9</v>
      </c>
      <c r="H1040" s="196">
        <v>20921</v>
      </c>
      <c r="I1040" s="196" t="s">
        <v>1171</v>
      </c>
      <c r="J1040" s="196"/>
    </row>
    <row r="1041" spans="1:10" ht="14.4" hidden="1" outlineLevel="1">
      <c r="A1041" s="196" t="s">
        <v>351</v>
      </c>
      <c r="B1041" s="197">
        <v>41883</v>
      </c>
      <c r="C1041" s="196" t="s">
        <v>1160</v>
      </c>
      <c r="D1041" s="196">
        <v>73</v>
      </c>
      <c r="E1041" s="196" t="s">
        <v>1169</v>
      </c>
      <c r="F1041" s="196">
        <v>71.400000000000006</v>
      </c>
      <c r="G1041" s="196">
        <f t="shared" si="16"/>
        <v>35.700000000000003</v>
      </c>
      <c r="H1041" s="196">
        <v>74573</v>
      </c>
      <c r="I1041" s="196" t="s">
        <v>1170</v>
      </c>
      <c r="J1041" s="196"/>
    </row>
    <row r="1042" spans="1:10" ht="14.4" hidden="1" outlineLevel="1">
      <c r="A1042" s="196" t="s">
        <v>351</v>
      </c>
      <c r="B1042" s="197">
        <v>41884</v>
      </c>
      <c r="C1042" s="196" t="s">
        <v>1161</v>
      </c>
      <c r="D1042" s="196">
        <v>72.5</v>
      </c>
      <c r="E1042" s="196" t="s">
        <v>1161</v>
      </c>
      <c r="F1042" s="196">
        <v>72</v>
      </c>
      <c r="G1042" s="196">
        <f t="shared" si="16"/>
        <v>36</v>
      </c>
      <c r="H1042" s="196">
        <v>17052</v>
      </c>
      <c r="I1042" s="196" t="s">
        <v>1168</v>
      </c>
      <c r="J1042" s="196"/>
    </row>
    <row r="1043" spans="1:10" ht="14.4" hidden="1" outlineLevel="1">
      <c r="A1043" s="196" t="s">
        <v>351</v>
      </c>
      <c r="B1043" s="197">
        <v>41885</v>
      </c>
      <c r="C1043" s="196" t="s">
        <v>1127</v>
      </c>
      <c r="D1043" s="196">
        <v>72</v>
      </c>
      <c r="E1043" s="196" t="s">
        <v>1161</v>
      </c>
      <c r="F1043" s="196">
        <v>71.099999999999994</v>
      </c>
      <c r="G1043" s="196">
        <f t="shared" si="16"/>
        <v>35.549999999999997</v>
      </c>
      <c r="H1043" s="196">
        <v>1280</v>
      </c>
      <c r="I1043" s="196" t="s">
        <v>1167</v>
      </c>
      <c r="J1043" s="196"/>
    </row>
    <row r="1044" spans="1:10" ht="14.4" hidden="1" outlineLevel="1">
      <c r="A1044" s="196" t="s">
        <v>351</v>
      </c>
      <c r="B1044" s="197">
        <v>41886</v>
      </c>
      <c r="C1044" s="196" t="s">
        <v>1161</v>
      </c>
      <c r="D1044" s="196">
        <v>71.900000000000006</v>
      </c>
      <c r="E1044" s="196" t="s">
        <v>1161</v>
      </c>
      <c r="F1044" s="196">
        <v>71.099999999999994</v>
      </c>
      <c r="G1044" s="196">
        <f t="shared" si="16"/>
        <v>35.549999999999997</v>
      </c>
      <c r="H1044" s="196">
        <v>1498</v>
      </c>
      <c r="I1044" s="196" t="s">
        <v>1166</v>
      </c>
      <c r="J1044" s="196"/>
    </row>
    <row r="1045" spans="1:10" ht="14.4" hidden="1" outlineLevel="1">
      <c r="A1045" s="196" t="s">
        <v>351</v>
      </c>
      <c r="B1045" s="197">
        <v>41887</v>
      </c>
      <c r="C1045" s="196" t="s">
        <v>1163</v>
      </c>
      <c r="D1045" s="196">
        <v>71.900000000000006</v>
      </c>
      <c r="E1045" s="196" t="s">
        <v>1164</v>
      </c>
      <c r="F1045" s="196">
        <v>71.8</v>
      </c>
      <c r="G1045" s="196">
        <f t="shared" si="16"/>
        <v>35.9</v>
      </c>
      <c r="H1045" s="196">
        <v>1658</v>
      </c>
      <c r="I1045" s="196" t="s">
        <v>1165</v>
      </c>
      <c r="J1045" s="196"/>
    </row>
    <row r="1046" spans="1:10" ht="14.4" hidden="1" outlineLevel="1">
      <c r="A1046" s="196" t="s">
        <v>351</v>
      </c>
      <c r="B1046" s="197">
        <v>41891</v>
      </c>
      <c r="C1046" s="196" t="s">
        <v>1160</v>
      </c>
      <c r="D1046" s="196">
        <v>72</v>
      </c>
      <c r="E1046" s="196" t="s">
        <v>1161</v>
      </c>
      <c r="F1046" s="196">
        <v>72</v>
      </c>
      <c r="G1046" s="196">
        <f t="shared" si="16"/>
        <v>36</v>
      </c>
      <c r="H1046" s="196">
        <v>37864</v>
      </c>
      <c r="I1046" s="196" t="s">
        <v>1162</v>
      </c>
      <c r="J1046" s="196"/>
    </row>
    <row r="1047" spans="1:10" ht="14.4" hidden="1" outlineLevel="1">
      <c r="A1047" s="196" t="s">
        <v>351</v>
      </c>
      <c r="B1047" s="197">
        <v>41892</v>
      </c>
      <c r="C1047" s="196" t="s">
        <v>1119</v>
      </c>
      <c r="D1047" s="196">
        <v>73</v>
      </c>
      <c r="E1047" s="196" t="s">
        <v>1127</v>
      </c>
      <c r="F1047" s="196">
        <v>72.900000000000006</v>
      </c>
      <c r="G1047" s="196">
        <f t="shared" si="16"/>
        <v>36.450000000000003</v>
      </c>
      <c r="H1047" s="196">
        <v>20150</v>
      </c>
      <c r="I1047" s="196" t="s">
        <v>1159</v>
      </c>
      <c r="J1047" s="196"/>
    </row>
    <row r="1048" spans="1:10" ht="14.4" hidden="1" outlineLevel="1">
      <c r="A1048" s="196" t="s">
        <v>351</v>
      </c>
      <c r="B1048" s="197">
        <v>41893</v>
      </c>
      <c r="C1048" s="196" t="s">
        <v>1157</v>
      </c>
      <c r="D1048" s="196">
        <v>73.900000000000006</v>
      </c>
      <c r="E1048" s="196" t="s">
        <v>1157</v>
      </c>
      <c r="F1048" s="196">
        <v>72.5</v>
      </c>
      <c r="G1048" s="196">
        <f t="shared" si="16"/>
        <v>36.25</v>
      </c>
      <c r="H1048" s="196">
        <v>7271</v>
      </c>
      <c r="I1048" s="196" t="s">
        <v>1158</v>
      </c>
      <c r="J1048" s="196"/>
    </row>
    <row r="1049" spans="1:10" ht="14.4" hidden="1" outlineLevel="1">
      <c r="A1049" s="196" t="s">
        <v>351</v>
      </c>
      <c r="B1049" s="197">
        <v>41894</v>
      </c>
      <c r="C1049" s="196" t="s">
        <v>1117</v>
      </c>
      <c r="D1049" s="196">
        <v>74.900000000000006</v>
      </c>
      <c r="E1049" s="196" t="s">
        <v>1117</v>
      </c>
      <c r="F1049" s="196">
        <v>74.099999999999994</v>
      </c>
      <c r="G1049" s="196">
        <f t="shared" si="16"/>
        <v>37.049999999999997</v>
      </c>
      <c r="H1049" s="196">
        <v>281520</v>
      </c>
      <c r="I1049" s="196" t="s">
        <v>1156</v>
      </c>
      <c r="J1049" s="196"/>
    </row>
    <row r="1050" spans="1:10" ht="14.4" hidden="1" outlineLevel="1">
      <c r="A1050" s="196" t="s">
        <v>351</v>
      </c>
      <c r="B1050" s="197">
        <v>41897</v>
      </c>
      <c r="C1050" s="196" t="s">
        <v>1151</v>
      </c>
      <c r="D1050" s="196">
        <v>74.5</v>
      </c>
      <c r="E1050" s="196" t="s">
        <v>1153</v>
      </c>
      <c r="F1050" s="196">
        <v>74</v>
      </c>
      <c r="G1050" s="196">
        <f t="shared" si="16"/>
        <v>37</v>
      </c>
      <c r="H1050" s="196">
        <v>125413</v>
      </c>
      <c r="I1050" s="196" t="s">
        <v>1155</v>
      </c>
      <c r="J1050" s="196"/>
    </row>
    <row r="1051" spans="1:10" ht="14.4" hidden="1" outlineLevel="1">
      <c r="A1051" s="196" t="s">
        <v>351</v>
      </c>
      <c r="B1051" s="197">
        <v>41898</v>
      </c>
      <c r="C1051" s="196" t="s">
        <v>1085</v>
      </c>
      <c r="D1051" s="196">
        <v>74.599999999999994</v>
      </c>
      <c r="E1051" s="196" t="s">
        <v>1153</v>
      </c>
      <c r="F1051" s="196">
        <v>74.099999999999994</v>
      </c>
      <c r="G1051" s="196">
        <f t="shared" si="16"/>
        <v>37.049999999999997</v>
      </c>
      <c r="H1051" s="196">
        <v>11106</v>
      </c>
      <c r="I1051" s="196" t="s">
        <v>1154</v>
      </c>
      <c r="J1051" s="196"/>
    </row>
    <row r="1052" spans="1:10" ht="14.4" hidden="1" outlineLevel="1">
      <c r="A1052" s="196" t="s">
        <v>351</v>
      </c>
      <c r="B1052" s="197">
        <v>41899</v>
      </c>
      <c r="C1052" s="196" t="s">
        <v>1151</v>
      </c>
      <c r="D1052" s="196">
        <v>76</v>
      </c>
      <c r="E1052" s="196" t="s">
        <v>983</v>
      </c>
      <c r="F1052" s="196">
        <v>74.400000000000006</v>
      </c>
      <c r="G1052" s="196">
        <f t="shared" si="16"/>
        <v>37.200000000000003</v>
      </c>
      <c r="H1052" s="196">
        <v>119859</v>
      </c>
      <c r="I1052" s="196" t="s">
        <v>1152</v>
      </c>
      <c r="J1052" s="196"/>
    </row>
    <row r="1053" spans="1:10" ht="14.4" hidden="1" outlineLevel="1">
      <c r="A1053" s="196" t="s">
        <v>351</v>
      </c>
      <c r="B1053" s="197">
        <v>41900</v>
      </c>
      <c r="C1053" s="196" t="s">
        <v>980</v>
      </c>
      <c r="D1053" s="196">
        <v>75</v>
      </c>
      <c r="E1053" s="196" t="s">
        <v>983</v>
      </c>
      <c r="F1053" s="196">
        <v>74</v>
      </c>
      <c r="G1053" s="196">
        <f t="shared" si="16"/>
        <v>37</v>
      </c>
      <c r="H1053" s="196">
        <v>1502</v>
      </c>
      <c r="I1053" s="196" t="s">
        <v>1150</v>
      </c>
      <c r="J1053" s="196"/>
    </row>
    <row r="1054" spans="1:10" ht="14.4" hidden="1" outlineLevel="1">
      <c r="A1054" s="196" t="s">
        <v>351</v>
      </c>
      <c r="B1054" s="197">
        <v>41901</v>
      </c>
      <c r="C1054" s="196" t="s">
        <v>1114</v>
      </c>
      <c r="D1054" s="196">
        <v>79</v>
      </c>
      <c r="E1054" s="196" t="s">
        <v>1114</v>
      </c>
      <c r="F1054" s="196">
        <v>77.2</v>
      </c>
      <c r="G1054" s="196">
        <f t="shared" si="16"/>
        <v>38.6</v>
      </c>
      <c r="H1054" s="196">
        <v>314036</v>
      </c>
      <c r="I1054" s="196" t="s">
        <v>1149</v>
      </c>
      <c r="J1054" s="196"/>
    </row>
    <row r="1055" spans="1:10" ht="14.4" hidden="1" outlineLevel="1">
      <c r="A1055" s="196" t="s">
        <v>351</v>
      </c>
      <c r="B1055" s="197">
        <v>41904</v>
      </c>
      <c r="C1055" s="196" t="s">
        <v>1147</v>
      </c>
      <c r="D1055" s="196">
        <v>77</v>
      </c>
      <c r="E1055" s="196" t="s">
        <v>969</v>
      </c>
      <c r="F1055" s="196">
        <v>75.7</v>
      </c>
      <c r="G1055" s="196">
        <f t="shared" si="16"/>
        <v>37.85</v>
      </c>
      <c r="H1055" s="196">
        <v>6556</v>
      </c>
      <c r="I1055" s="196" t="s">
        <v>1148</v>
      </c>
      <c r="J1055" s="196"/>
    </row>
    <row r="1056" spans="1:10" ht="14.4" hidden="1" outlineLevel="1">
      <c r="A1056" s="196" t="s">
        <v>351</v>
      </c>
      <c r="B1056" s="197">
        <v>41905</v>
      </c>
      <c r="C1056" s="196" t="s">
        <v>1145</v>
      </c>
      <c r="D1056" s="196">
        <v>79.8</v>
      </c>
      <c r="E1056" s="196" t="s">
        <v>1145</v>
      </c>
      <c r="F1056" s="196">
        <v>78.7</v>
      </c>
      <c r="G1056" s="196">
        <f t="shared" si="16"/>
        <v>39.35</v>
      </c>
      <c r="H1056" s="196">
        <v>457346</v>
      </c>
      <c r="I1056" s="196" t="s">
        <v>1146</v>
      </c>
      <c r="J1056" s="196"/>
    </row>
    <row r="1057" spans="1:10" ht="14.4" hidden="1" outlineLevel="1">
      <c r="A1057" s="196" t="s">
        <v>351</v>
      </c>
      <c r="B1057" s="197">
        <v>41906</v>
      </c>
      <c r="C1057" s="196" t="s">
        <v>997</v>
      </c>
      <c r="D1057" s="196">
        <v>80</v>
      </c>
      <c r="E1057" s="196" t="s">
        <v>962</v>
      </c>
      <c r="F1057" s="196">
        <v>0</v>
      </c>
      <c r="G1057" s="196">
        <f t="shared" si="16"/>
        <v>0</v>
      </c>
      <c r="H1057" s="196">
        <v>81180</v>
      </c>
      <c r="I1057" s="196" t="s">
        <v>1144</v>
      </c>
      <c r="J1057" s="196"/>
    </row>
    <row r="1058" spans="1:10" ht="14.4" hidden="1" outlineLevel="1">
      <c r="A1058" s="196" t="s">
        <v>351</v>
      </c>
      <c r="B1058" s="197">
        <v>41907</v>
      </c>
      <c r="C1058" s="196" t="s">
        <v>995</v>
      </c>
      <c r="D1058" s="196">
        <v>77.900000000000006</v>
      </c>
      <c r="E1058" s="196" t="s">
        <v>974</v>
      </c>
      <c r="F1058" s="196">
        <v>77</v>
      </c>
      <c r="G1058" s="196">
        <f t="shared" si="16"/>
        <v>38.5</v>
      </c>
      <c r="H1058" s="196">
        <v>33960</v>
      </c>
      <c r="I1058" s="196" t="s">
        <v>1143</v>
      </c>
      <c r="J1058" s="196"/>
    </row>
    <row r="1059" spans="1:10" ht="14.4" hidden="1" outlineLevel="1">
      <c r="A1059" s="196" t="s">
        <v>351</v>
      </c>
      <c r="B1059" s="197">
        <v>41908</v>
      </c>
      <c r="C1059" s="196" t="s">
        <v>1043</v>
      </c>
      <c r="D1059" s="196">
        <v>78</v>
      </c>
      <c r="E1059" s="196" t="s">
        <v>1043</v>
      </c>
      <c r="F1059" s="196">
        <v>77.900000000000006</v>
      </c>
      <c r="G1059" s="196">
        <f t="shared" si="16"/>
        <v>38.950000000000003</v>
      </c>
      <c r="H1059" s="196">
        <v>18010</v>
      </c>
      <c r="I1059" s="196" t="s">
        <v>1142</v>
      </c>
      <c r="J1059" s="196"/>
    </row>
    <row r="1060" spans="1:10" ht="14.4" hidden="1" outlineLevel="1">
      <c r="A1060" s="196" t="s">
        <v>351</v>
      </c>
      <c r="B1060" s="197">
        <v>41911</v>
      </c>
      <c r="C1060" s="196" t="s">
        <v>1140</v>
      </c>
      <c r="D1060" s="196">
        <v>77.599999999999994</v>
      </c>
      <c r="E1060" s="196" t="s">
        <v>1043</v>
      </c>
      <c r="F1060" s="196">
        <v>77.099999999999994</v>
      </c>
      <c r="G1060" s="196">
        <f t="shared" si="16"/>
        <v>38.549999999999997</v>
      </c>
      <c r="H1060" s="196">
        <v>16142</v>
      </c>
      <c r="I1060" s="196" t="s">
        <v>1141</v>
      </c>
      <c r="J1060" s="196"/>
    </row>
    <row r="1061" spans="1:10" ht="14.4" hidden="1" outlineLevel="1">
      <c r="A1061" s="196" t="s">
        <v>351</v>
      </c>
      <c r="B1061" s="197">
        <v>41912</v>
      </c>
      <c r="C1061" s="196" t="s">
        <v>992</v>
      </c>
      <c r="D1061" s="196">
        <v>79</v>
      </c>
      <c r="E1061" s="196" t="s">
        <v>974</v>
      </c>
      <c r="F1061" s="196">
        <v>77</v>
      </c>
      <c r="G1061" s="196">
        <f t="shared" si="16"/>
        <v>38.5</v>
      </c>
      <c r="H1061" s="196">
        <v>59893</v>
      </c>
      <c r="I1061" s="196" t="s">
        <v>1139</v>
      </c>
      <c r="J1061" s="196"/>
    </row>
    <row r="1062" spans="1:10" ht="14.4" hidden="1" outlineLevel="1">
      <c r="A1062" s="196" t="s">
        <v>351</v>
      </c>
      <c r="B1062" s="197">
        <v>41913</v>
      </c>
      <c r="C1062" s="196" t="s">
        <v>972</v>
      </c>
      <c r="D1062" s="196">
        <v>77.400000000000006</v>
      </c>
      <c r="E1062" s="196" t="s">
        <v>1137</v>
      </c>
      <c r="F1062" s="196">
        <v>76</v>
      </c>
      <c r="G1062" s="196">
        <f t="shared" si="16"/>
        <v>38</v>
      </c>
      <c r="H1062" s="196">
        <v>26094</v>
      </c>
      <c r="I1062" s="196" t="s">
        <v>1138</v>
      </c>
      <c r="J1062" s="196"/>
    </row>
    <row r="1063" spans="1:10" ht="14.4" hidden="1" outlineLevel="1">
      <c r="A1063" s="196" t="s">
        <v>351</v>
      </c>
      <c r="B1063" s="197">
        <v>41914</v>
      </c>
      <c r="C1063" s="196" t="s">
        <v>1135</v>
      </c>
      <c r="D1063" s="196">
        <v>76.8</v>
      </c>
      <c r="E1063" s="196" t="s">
        <v>980</v>
      </c>
      <c r="F1063" s="196">
        <v>76</v>
      </c>
      <c r="G1063" s="196">
        <f t="shared" si="16"/>
        <v>38</v>
      </c>
      <c r="H1063" s="196">
        <v>68812</v>
      </c>
      <c r="I1063" s="196" t="s">
        <v>1136</v>
      </c>
      <c r="J1063" s="196"/>
    </row>
    <row r="1064" spans="1:10" ht="14.4" hidden="1" outlineLevel="1">
      <c r="A1064" s="196" t="s">
        <v>351</v>
      </c>
      <c r="B1064" s="197">
        <v>41915</v>
      </c>
      <c r="C1064" s="196" t="s">
        <v>975</v>
      </c>
      <c r="D1064" s="196">
        <v>77</v>
      </c>
      <c r="E1064" s="196" t="s">
        <v>972</v>
      </c>
      <c r="F1064" s="196">
        <v>77</v>
      </c>
      <c r="G1064" s="196">
        <f t="shared" si="16"/>
        <v>38.5</v>
      </c>
      <c r="H1064" s="196">
        <v>65466</v>
      </c>
      <c r="I1064" s="196" t="s">
        <v>1134</v>
      </c>
      <c r="J1064" s="196"/>
    </row>
    <row r="1065" spans="1:10" ht="14.4" hidden="1" outlineLevel="1">
      <c r="A1065" s="196" t="s">
        <v>351</v>
      </c>
      <c r="B1065" s="197">
        <v>41919</v>
      </c>
      <c r="C1065" s="196" t="s">
        <v>1132</v>
      </c>
      <c r="D1065" s="196">
        <v>78</v>
      </c>
      <c r="E1065" s="196" t="s">
        <v>1070</v>
      </c>
      <c r="F1065" s="196">
        <v>77</v>
      </c>
      <c r="G1065" s="196">
        <f t="shared" si="16"/>
        <v>38.5</v>
      </c>
      <c r="H1065" s="196">
        <v>10263</v>
      </c>
      <c r="I1065" s="196" t="s">
        <v>1133</v>
      </c>
      <c r="J1065" s="196"/>
    </row>
    <row r="1066" spans="1:10" ht="14.4" hidden="1" outlineLevel="1">
      <c r="A1066" s="196" t="s">
        <v>351</v>
      </c>
      <c r="B1066" s="197">
        <v>41921</v>
      </c>
      <c r="C1066" s="196" t="s">
        <v>1070</v>
      </c>
      <c r="D1066" s="196">
        <v>77</v>
      </c>
      <c r="E1066" s="196" t="s">
        <v>1070</v>
      </c>
      <c r="F1066" s="196">
        <v>77</v>
      </c>
      <c r="G1066" s="196">
        <f t="shared" si="16"/>
        <v>38.5</v>
      </c>
      <c r="H1066" s="196">
        <v>26208</v>
      </c>
      <c r="I1066" s="196" t="s">
        <v>1131</v>
      </c>
      <c r="J1066" s="196"/>
    </row>
    <row r="1067" spans="1:10" ht="14.4" hidden="1" outlineLevel="1">
      <c r="A1067" s="196" t="s">
        <v>351</v>
      </c>
      <c r="B1067" s="197">
        <v>41922</v>
      </c>
      <c r="C1067" s="196" t="s">
        <v>974</v>
      </c>
      <c r="D1067" s="196">
        <v>77</v>
      </c>
      <c r="E1067" s="196" t="s">
        <v>1085</v>
      </c>
      <c r="F1067" s="196">
        <v>74.900000000000006</v>
      </c>
      <c r="G1067" s="196">
        <f t="shared" si="16"/>
        <v>37.450000000000003</v>
      </c>
      <c r="H1067" s="196">
        <v>20283</v>
      </c>
      <c r="I1067" s="196" t="s">
        <v>1130</v>
      </c>
      <c r="J1067" s="196"/>
    </row>
    <row r="1068" spans="1:10" ht="14.4" hidden="1" outlineLevel="1">
      <c r="A1068" s="196" t="s">
        <v>351</v>
      </c>
      <c r="B1068" s="197">
        <v>41925</v>
      </c>
      <c r="C1068" s="196" t="s">
        <v>980</v>
      </c>
      <c r="D1068" s="196">
        <v>75</v>
      </c>
      <c r="E1068" s="196" t="s">
        <v>1127</v>
      </c>
      <c r="F1068" s="196">
        <v>72</v>
      </c>
      <c r="G1068" s="196">
        <f t="shared" si="16"/>
        <v>36</v>
      </c>
      <c r="H1068" s="196">
        <v>33069</v>
      </c>
      <c r="I1068" s="196" t="s">
        <v>1129</v>
      </c>
      <c r="J1068" s="196"/>
    </row>
    <row r="1069" spans="1:10" ht="14.4" hidden="1" outlineLevel="1">
      <c r="A1069" s="196" t="s">
        <v>351</v>
      </c>
      <c r="B1069" s="197">
        <v>41926</v>
      </c>
      <c r="C1069" s="196" t="s">
        <v>1127</v>
      </c>
      <c r="D1069" s="196">
        <v>73.900000000000006</v>
      </c>
      <c r="E1069" s="196" t="s">
        <v>1127</v>
      </c>
      <c r="F1069" s="196">
        <v>73.900000000000006</v>
      </c>
      <c r="G1069" s="196">
        <f t="shared" si="16"/>
        <v>36.950000000000003</v>
      </c>
      <c r="H1069" s="196">
        <v>601</v>
      </c>
      <c r="I1069" s="196" t="s">
        <v>1128</v>
      </c>
      <c r="J1069" s="196"/>
    </row>
    <row r="1070" spans="1:10" ht="14.4" hidden="1" outlineLevel="1">
      <c r="A1070" s="196" t="s">
        <v>351</v>
      </c>
      <c r="B1070" s="197">
        <v>41927</v>
      </c>
      <c r="C1070" s="196" t="s">
        <v>1125</v>
      </c>
      <c r="D1070" s="196">
        <v>74.900000000000006</v>
      </c>
      <c r="E1070" s="196" t="s">
        <v>1125</v>
      </c>
      <c r="F1070" s="196">
        <v>74</v>
      </c>
      <c r="G1070" s="196">
        <f t="shared" si="16"/>
        <v>37</v>
      </c>
      <c r="H1070" s="196">
        <v>23933</v>
      </c>
      <c r="I1070" s="196" t="s">
        <v>1126</v>
      </c>
      <c r="J1070" s="196"/>
    </row>
    <row r="1071" spans="1:10" ht="14.4" hidden="1" outlineLevel="1">
      <c r="A1071" s="196" t="s">
        <v>351</v>
      </c>
      <c r="B1071" s="197">
        <v>41928</v>
      </c>
      <c r="C1071" s="196" t="s">
        <v>983</v>
      </c>
      <c r="D1071" s="196">
        <v>74.5</v>
      </c>
      <c r="E1071" s="196" t="s">
        <v>983</v>
      </c>
      <c r="F1071" s="196">
        <v>74</v>
      </c>
      <c r="G1071" s="196">
        <f t="shared" si="16"/>
        <v>37</v>
      </c>
      <c r="H1071" s="196">
        <v>88928</v>
      </c>
      <c r="I1071" s="196" t="s">
        <v>1124</v>
      </c>
      <c r="J1071" s="196"/>
    </row>
    <row r="1072" spans="1:10" ht="14.4" hidden="1" outlineLevel="1">
      <c r="A1072" s="196" t="s">
        <v>351</v>
      </c>
      <c r="B1072" s="197">
        <v>41929</v>
      </c>
      <c r="C1072" s="196" t="s">
        <v>983</v>
      </c>
      <c r="D1072" s="196">
        <v>74.2</v>
      </c>
      <c r="E1072" s="196" t="s">
        <v>983</v>
      </c>
      <c r="F1072" s="196">
        <v>74</v>
      </c>
      <c r="G1072" s="196">
        <f t="shared" si="16"/>
        <v>37</v>
      </c>
      <c r="H1072" s="196">
        <v>122742</v>
      </c>
      <c r="I1072" s="196" t="s">
        <v>1123</v>
      </c>
      <c r="J1072" s="196"/>
    </row>
    <row r="1073" spans="1:10" ht="14.4" hidden="1" outlineLevel="1">
      <c r="A1073" s="196" t="s">
        <v>351</v>
      </c>
      <c r="B1073" s="197">
        <v>41932</v>
      </c>
      <c r="C1073" s="196" t="s">
        <v>983</v>
      </c>
      <c r="D1073" s="196">
        <v>74.900000000000006</v>
      </c>
      <c r="E1073" s="196" t="s">
        <v>983</v>
      </c>
      <c r="F1073" s="196">
        <v>74.900000000000006</v>
      </c>
      <c r="G1073" s="196">
        <f t="shared" si="16"/>
        <v>37.450000000000003</v>
      </c>
      <c r="H1073" s="196">
        <v>10848</v>
      </c>
      <c r="I1073" s="196" t="s">
        <v>1122</v>
      </c>
      <c r="J1073" s="196"/>
    </row>
    <row r="1074" spans="1:10" ht="14.4" hidden="1" outlineLevel="1">
      <c r="A1074" s="196" t="s">
        <v>351</v>
      </c>
      <c r="B1074" s="197">
        <v>41933</v>
      </c>
      <c r="C1074" s="196" t="s">
        <v>983</v>
      </c>
      <c r="D1074" s="196">
        <v>74</v>
      </c>
      <c r="E1074" s="196" t="s">
        <v>983</v>
      </c>
      <c r="F1074" s="196">
        <v>74</v>
      </c>
      <c r="G1074" s="196">
        <f t="shared" si="16"/>
        <v>37</v>
      </c>
      <c r="H1074" s="196">
        <v>347199</v>
      </c>
      <c r="I1074" s="196" t="s">
        <v>1121</v>
      </c>
      <c r="J1074" s="196"/>
    </row>
    <row r="1075" spans="1:10" ht="14.4" hidden="1" outlineLevel="1">
      <c r="A1075" s="196" t="s">
        <v>351</v>
      </c>
      <c r="B1075" s="197">
        <v>41935</v>
      </c>
      <c r="C1075" s="196" t="s">
        <v>1106</v>
      </c>
      <c r="D1075" s="196">
        <v>73.5</v>
      </c>
      <c r="E1075" s="196" t="s">
        <v>1119</v>
      </c>
      <c r="F1075" s="196">
        <v>73.5</v>
      </c>
      <c r="G1075" s="196">
        <f t="shared" si="16"/>
        <v>36.75</v>
      </c>
      <c r="H1075" s="196">
        <v>850</v>
      </c>
      <c r="I1075" s="196" t="s">
        <v>1120</v>
      </c>
      <c r="J1075" s="196"/>
    </row>
    <row r="1076" spans="1:10" ht="14.4" hidden="1" outlineLevel="1">
      <c r="A1076" s="196" t="s">
        <v>351</v>
      </c>
      <c r="B1076" s="197">
        <v>41936</v>
      </c>
      <c r="C1076" s="196" t="s">
        <v>1117</v>
      </c>
      <c r="D1076" s="196">
        <v>74.5</v>
      </c>
      <c r="E1076" s="196" t="s">
        <v>1117</v>
      </c>
      <c r="F1076" s="196">
        <v>74.3</v>
      </c>
      <c r="G1076" s="196">
        <f t="shared" si="16"/>
        <v>37.15</v>
      </c>
      <c r="H1076" s="196">
        <v>4901</v>
      </c>
      <c r="I1076" s="196" t="s">
        <v>1118</v>
      </c>
      <c r="J1076" s="196"/>
    </row>
    <row r="1077" spans="1:10" ht="14.4" hidden="1" outlineLevel="1">
      <c r="A1077" s="196" t="s">
        <v>351</v>
      </c>
      <c r="B1077" s="197">
        <v>41939</v>
      </c>
      <c r="C1077" s="196" t="s">
        <v>1085</v>
      </c>
      <c r="D1077" s="196">
        <v>75</v>
      </c>
      <c r="E1077" s="196" t="s">
        <v>1085</v>
      </c>
      <c r="F1077" s="196">
        <v>74.900000000000006</v>
      </c>
      <c r="G1077" s="196">
        <f t="shared" si="16"/>
        <v>37.450000000000003</v>
      </c>
      <c r="H1077" s="196">
        <v>5000</v>
      </c>
      <c r="I1077" s="196" t="s">
        <v>1116</v>
      </c>
      <c r="J1077" s="196"/>
    </row>
    <row r="1078" spans="1:10" ht="14.4" hidden="1" outlineLevel="1">
      <c r="A1078" s="196" t="s">
        <v>351</v>
      </c>
      <c r="B1078" s="197">
        <v>41940</v>
      </c>
      <c r="C1078" s="196" t="s">
        <v>1114</v>
      </c>
      <c r="D1078" s="196">
        <v>74.8</v>
      </c>
      <c r="E1078" s="196" t="s">
        <v>1114</v>
      </c>
      <c r="F1078" s="196">
        <v>74.8</v>
      </c>
      <c r="G1078" s="196">
        <f t="shared" si="16"/>
        <v>37.4</v>
      </c>
      <c r="H1078" s="196">
        <v>660</v>
      </c>
      <c r="I1078" s="196" t="s">
        <v>1115</v>
      </c>
      <c r="J1078" s="196"/>
    </row>
    <row r="1079" spans="1:10" ht="14.4" hidden="1" outlineLevel="1">
      <c r="A1079" s="196" t="s">
        <v>351</v>
      </c>
      <c r="B1079" s="197">
        <v>41941</v>
      </c>
      <c r="C1079" s="196" t="s">
        <v>88</v>
      </c>
      <c r="D1079" s="196" t="s">
        <v>88</v>
      </c>
      <c r="E1079" s="196" t="s">
        <v>88</v>
      </c>
      <c r="F1079" s="196">
        <v>74.8</v>
      </c>
      <c r="G1079" s="196">
        <f t="shared" si="16"/>
        <v>37.4</v>
      </c>
      <c r="H1079" s="196">
        <v>0</v>
      </c>
      <c r="I1079" s="196" t="s">
        <v>611</v>
      </c>
      <c r="J1079" s="196"/>
    </row>
    <row r="1080" spans="1:10" ht="14.4" hidden="1" outlineLevel="1">
      <c r="A1080" s="196" t="s">
        <v>351</v>
      </c>
      <c r="B1080" s="197">
        <v>41942</v>
      </c>
      <c r="C1080" s="196" t="s">
        <v>88</v>
      </c>
      <c r="D1080" s="196" t="s">
        <v>88</v>
      </c>
      <c r="E1080" s="196" t="s">
        <v>88</v>
      </c>
      <c r="F1080" s="196">
        <v>74.8</v>
      </c>
      <c r="G1080" s="196">
        <f t="shared" si="16"/>
        <v>37.4</v>
      </c>
      <c r="H1080" s="196">
        <v>0</v>
      </c>
      <c r="I1080" s="196" t="s">
        <v>611</v>
      </c>
      <c r="J1080" s="196"/>
    </row>
    <row r="1081" spans="1:10" ht="14.4" hidden="1" outlineLevel="1">
      <c r="A1081" s="196" t="s">
        <v>351</v>
      </c>
      <c r="B1081" s="197">
        <v>41943</v>
      </c>
      <c r="C1081" s="196" t="s">
        <v>1112</v>
      </c>
      <c r="D1081" s="196">
        <v>74.599999999999994</v>
      </c>
      <c r="E1081" s="196" t="s">
        <v>1108</v>
      </c>
      <c r="F1081" s="196">
        <v>74.599999999999994</v>
      </c>
      <c r="G1081" s="196">
        <f t="shared" si="16"/>
        <v>37.299999999999997</v>
      </c>
      <c r="H1081" s="196">
        <v>38303</v>
      </c>
      <c r="I1081" s="196" t="s">
        <v>1113</v>
      </c>
      <c r="J1081" s="196"/>
    </row>
    <row r="1082" spans="1:10" ht="14.4" hidden="1" outlineLevel="1">
      <c r="A1082" s="196" t="s">
        <v>351</v>
      </c>
      <c r="B1082" s="197">
        <v>41946</v>
      </c>
      <c r="C1082" s="196" t="s">
        <v>980</v>
      </c>
      <c r="D1082" s="196">
        <v>75</v>
      </c>
      <c r="E1082" s="196" t="s">
        <v>1110</v>
      </c>
      <c r="F1082" s="196">
        <v>74.900000000000006</v>
      </c>
      <c r="G1082" s="196">
        <f t="shared" si="16"/>
        <v>37.450000000000003</v>
      </c>
      <c r="H1082" s="196">
        <v>1190</v>
      </c>
      <c r="I1082" s="196" t="s">
        <v>1111</v>
      </c>
      <c r="J1082" s="196"/>
    </row>
    <row r="1083" spans="1:10" ht="14.4" hidden="1" outlineLevel="1">
      <c r="A1083" s="196" t="s">
        <v>351</v>
      </c>
      <c r="B1083" s="197">
        <v>41947</v>
      </c>
      <c r="C1083" s="196" t="s">
        <v>1108</v>
      </c>
      <c r="D1083" s="196">
        <v>73.900000000000006</v>
      </c>
      <c r="E1083" s="196" t="s">
        <v>1106</v>
      </c>
      <c r="F1083" s="196">
        <v>73.2</v>
      </c>
      <c r="G1083" s="196">
        <f t="shared" si="16"/>
        <v>36.6</v>
      </c>
      <c r="H1083" s="196">
        <v>1874</v>
      </c>
      <c r="I1083" s="196" t="s">
        <v>1109</v>
      </c>
      <c r="J1083" s="196"/>
    </row>
    <row r="1084" spans="1:10" ht="14.4" hidden="1" outlineLevel="1">
      <c r="A1084" s="196" t="s">
        <v>351</v>
      </c>
      <c r="B1084" s="197">
        <v>41948</v>
      </c>
      <c r="C1084" s="196" t="s">
        <v>983</v>
      </c>
      <c r="D1084" s="196">
        <v>74.8</v>
      </c>
      <c r="E1084" s="196" t="s">
        <v>1106</v>
      </c>
      <c r="F1084" s="196">
        <v>73.599999999999994</v>
      </c>
      <c r="G1084" s="196">
        <f t="shared" si="16"/>
        <v>36.799999999999997</v>
      </c>
      <c r="H1084" s="196">
        <v>14300</v>
      </c>
      <c r="I1084" s="196" t="s">
        <v>1107</v>
      </c>
      <c r="J1084" s="196"/>
    </row>
    <row r="1085" spans="1:10" ht="14.4" hidden="1" outlineLevel="1">
      <c r="A1085" s="196" t="s">
        <v>351</v>
      </c>
      <c r="B1085" s="197">
        <v>41950</v>
      </c>
      <c r="C1085" s="196" t="s">
        <v>1085</v>
      </c>
      <c r="D1085" s="196">
        <v>75</v>
      </c>
      <c r="E1085" s="196" t="s">
        <v>983</v>
      </c>
      <c r="F1085" s="196">
        <v>75</v>
      </c>
      <c r="G1085" s="196">
        <f t="shared" si="16"/>
        <v>37.5</v>
      </c>
      <c r="H1085" s="196">
        <v>22726</v>
      </c>
      <c r="I1085" s="196" t="s">
        <v>1105</v>
      </c>
      <c r="J1085" s="196"/>
    </row>
    <row r="1086" spans="1:10" ht="14.4" hidden="1" outlineLevel="1">
      <c r="A1086" s="196" t="s">
        <v>351</v>
      </c>
      <c r="B1086" s="197">
        <v>41953</v>
      </c>
      <c r="C1086" s="196" t="s">
        <v>969</v>
      </c>
      <c r="D1086" s="196">
        <v>76.5</v>
      </c>
      <c r="E1086" s="196" t="s">
        <v>980</v>
      </c>
      <c r="F1086" s="196">
        <v>76.5</v>
      </c>
      <c r="G1086" s="196">
        <f t="shared" si="16"/>
        <v>38.25</v>
      </c>
      <c r="H1086" s="196">
        <v>15100</v>
      </c>
      <c r="I1086" s="196" t="s">
        <v>1104</v>
      </c>
      <c r="J1086" s="196"/>
    </row>
    <row r="1087" spans="1:10" ht="14.4" hidden="1" outlineLevel="1">
      <c r="A1087" s="196" t="s">
        <v>351</v>
      </c>
      <c r="B1087" s="197">
        <v>41954</v>
      </c>
      <c r="C1087" s="196" t="s">
        <v>967</v>
      </c>
      <c r="D1087" s="196">
        <v>77</v>
      </c>
      <c r="E1087" s="196" t="s">
        <v>1102</v>
      </c>
      <c r="F1087" s="196">
        <v>76</v>
      </c>
      <c r="G1087" s="196">
        <f t="shared" si="16"/>
        <v>38</v>
      </c>
      <c r="H1087" s="196">
        <v>88170</v>
      </c>
      <c r="I1087" s="196" t="s">
        <v>1103</v>
      </c>
      <c r="J1087" s="196"/>
    </row>
    <row r="1088" spans="1:10" ht="14.4" hidden="1" outlineLevel="1">
      <c r="A1088" s="196" t="s">
        <v>351</v>
      </c>
      <c r="B1088" s="197">
        <v>41955</v>
      </c>
      <c r="C1088" s="196" t="s">
        <v>1070</v>
      </c>
      <c r="D1088" s="196">
        <v>78</v>
      </c>
      <c r="E1088" s="196" t="s">
        <v>972</v>
      </c>
      <c r="F1088" s="196">
        <v>77.900000000000006</v>
      </c>
      <c r="G1088" s="196">
        <f t="shared" si="16"/>
        <v>38.950000000000003</v>
      </c>
      <c r="H1088" s="196">
        <v>18742</v>
      </c>
      <c r="I1088" s="196" t="s">
        <v>1101</v>
      </c>
      <c r="J1088" s="196"/>
    </row>
    <row r="1089" spans="1:10" ht="14.4" hidden="1" outlineLevel="1">
      <c r="A1089" s="196" t="s">
        <v>351</v>
      </c>
      <c r="B1089" s="197">
        <v>41956</v>
      </c>
      <c r="C1089" s="196" t="s">
        <v>962</v>
      </c>
      <c r="D1089" s="196">
        <v>83.5</v>
      </c>
      <c r="E1089" s="196" t="s">
        <v>1043</v>
      </c>
      <c r="F1089" s="196">
        <v>80.099999999999994</v>
      </c>
      <c r="G1089" s="196">
        <f t="shared" si="16"/>
        <v>40.049999999999997</v>
      </c>
      <c r="H1089" s="196">
        <v>1309923</v>
      </c>
      <c r="I1089" s="196" t="s">
        <v>1100</v>
      </c>
      <c r="J1089" s="196"/>
    </row>
    <row r="1090" spans="1:10" ht="14.4" hidden="1" outlineLevel="1">
      <c r="A1090" s="196" t="s">
        <v>351</v>
      </c>
      <c r="B1090" s="197">
        <v>41957</v>
      </c>
      <c r="C1090" s="196" t="s">
        <v>1007</v>
      </c>
      <c r="D1090" s="196">
        <v>83.9</v>
      </c>
      <c r="E1090" s="196" t="s">
        <v>1090</v>
      </c>
      <c r="F1090" s="196">
        <v>82.7</v>
      </c>
      <c r="G1090" s="196">
        <f t="shared" si="16"/>
        <v>41.35</v>
      </c>
      <c r="H1090" s="196">
        <v>403749</v>
      </c>
      <c r="I1090" s="196" t="s">
        <v>1098</v>
      </c>
      <c r="J1090" s="196"/>
    </row>
    <row r="1091" spans="1:10" ht="14.4" hidden="1" outlineLevel="1">
      <c r="A1091" s="196" t="s">
        <v>351</v>
      </c>
      <c r="B1091" s="197">
        <v>41957</v>
      </c>
      <c r="C1091" s="196" t="s">
        <v>88</v>
      </c>
      <c r="D1091" s="196">
        <v>83</v>
      </c>
      <c r="E1091" s="196" t="s">
        <v>1013</v>
      </c>
      <c r="F1091" s="196">
        <v>0</v>
      </c>
      <c r="G1091" s="196">
        <f t="shared" si="16"/>
        <v>0</v>
      </c>
      <c r="H1091" s="196">
        <v>515678</v>
      </c>
      <c r="I1091" s="196" t="s">
        <v>1099</v>
      </c>
      <c r="J1091" s="196"/>
    </row>
    <row r="1092" spans="1:10" ht="14.4" hidden="1" outlineLevel="1">
      <c r="A1092" s="196" t="s">
        <v>351</v>
      </c>
      <c r="B1092" s="197">
        <v>41960</v>
      </c>
      <c r="C1092" s="196" t="s">
        <v>1096</v>
      </c>
      <c r="D1092" s="196">
        <v>83.5</v>
      </c>
      <c r="E1092" s="196" t="s">
        <v>1007</v>
      </c>
      <c r="F1092" s="196">
        <v>83</v>
      </c>
      <c r="G1092" s="196">
        <f t="shared" si="16"/>
        <v>41.5</v>
      </c>
      <c r="H1092" s="196">
        <v>338084</v>
      </c>
      <c r="I1092" s="196" t="s">
        <v>1097</v>
      </c>
      <c r="J1092" s="196"/>
    </row>
    <row r="1093" spans="1:10" ht="14.4" hidden="1" outlineLevel="1">
      <c r="A1093" s="196" t="s">
        <v>351</v>
      </c>
      <c r="B1093" s="197">
        <v>41961</v>
      </c>
      <c r="C1093" s="196" t="s">
        <v>1013</v>
      </c>
      <c r="D1093" s="196">
        <v>83</v>
      </c>
      <c r="E1093" s="196" t="s">
        <v>1007</v>
      </c>
      <c r="F1093" s="196">
        <v>82.9</v>
      </c>
      <c r="G1093" s="196">
        <f t="shared" ref="G1093:G1156" si="17">F1093/2</f>
        <v>41.45</v>
      </c>
      <c r="H1093" s="196">
        <v>131975</v>
      </c>
      <c r="I1093" s="196" t="s">
        <v>1095</v>
      </c>
      <c r="J1093" s="196"/>
    </row>
    <row r="1094" spans="1:10" ht="14.4" hidden="1" outlineLevel="1">
      <c r="A1094" s="196" t="s">
        <v>351</v>
      </c>
      <c r="B1094" s="197">
        <v>41962</v>
      </c>
      <c r="C1094" s="196" t="s">
        <v>1013</v>
      </c>
      <c r="D1094" s="196">
        <v>83</v>
      </c>
      <c r="E1094" s="196" t="s">
        <v>1037</v>
      </c>
      <c r="F1094" s="196">
        <v>82.4</v>
      </c>
      <c r="G1094" s="196">
        <f t="shared" si="17"/>
        <v>41.2</v>
      </c>
      <c r="H1094" s="196">
        <v>55001</v>
      </c>
      <c r="I1094" s="196" t="s">
        <v>1094</v>
      </c>
      <c r="J1094" s="196"/>
    </row>
    <row r="1095" spans="1:10" ht="14.4" hidden="1" outlineLevel="1">
      <c r="A1095" s="196" t="s">
        <v>351</v>
      </c>
      <c r="B1095" s="197">
        <v>41963</v>
      </c>
      <c r="C1095" s="196" t="s">
        <v>1092</v>
      </c>
      <c r="D1095" s="196">
        <v>82.3</v>
      </c>
      <c r="E1095" s="196" t="s">
        <v>1090</v>
      </c>
      <c r="F1095" s="196">
        <v>82</v>
      </c>
      <c r="G1095" s="196">
        <f t="shared" si="17"/>
        <v>41</v>
      </c>
      <c r="H1095" s="196">
        <v>141004</v>
      </c>
      <c r="I1095" s="196" t="s">
        <v>1093</v>
      </c>
      <c r="J1095" s="196"/>
    </row>
    <row r="1096" spans="1:10" ht="14.4" hidden="1" outlineLevel="1">
      <c r="A1096" s="196" t="s">
        <v>351</v>
      </c>
      <c r="B1096" s="197">
        <v>41964</v>
      </c>
      <c r="C1096" s="196" t="s">
        <v>1090</v>
      </c>
      <c r="D1096" s="196">
        <v>82</v>
      </c>
      <c r="E1096" s="196" t="s">
        <v>997</v>
      </c>
      <c r="F1096" s="196">
        <v>80</v>
      </c>
      <c r="G1096" s="196">
        <f t="shared" si="17"/>
        <v>40</v>
      </c>
      <c r="H1096" s="196">
        <v>281515</v>
      </c>
      <c r="I1096" s="196" t="s">
        <v>1091</v>
      </c>
      <c r="J1096" s="196"/>
    </row>
    <row r="1097" spans="1:10" ht="14.4" hidden="1" outlineLevel="1">
      <c r="A1097" s="196" t="s">
        <v>351</v>
      </c>
      <c r="B1097" s="197">
        <v>41967</v>
      </c>
      <c r="C1097" s="196" t="s">
        <v>997</v>
      </c>
      <c r="D1097" s="196">
        <v>81.900000000000006</v>
      </c>
      <c r="E1097" s="196" t="s">
        <v>972</v>
      </c>
      <c r="F1097" s="196">
        <v>79.099999999999994</v>
      </c>
      <c r="G1097" s="196">
        <f t="shared" si="17"/>
        <v>39.549999999999997</v>
      </c>
      <c r="H1097" s="196">
        <v>79395</v>
      </c>
      <c r="I1097" s="196" t="s">
        <v>1089</v>
      </c>
      <c r="J1097" s="196"/>
    </row>
    <row r="1098" spans="1:10" ht="14.4" hidden="1" outlineLevel="1">
      <c r="A1098" s="196" t="s">
        <v>351</v>
      </c>
      <c r="B1098" s="197">
        <v>41968</v>
      </c>
      <c r="C1098" s="196" t="s">
        <v>997</v>
      </c>
      <c r="D1098" s="196">
        <v>79.8</v>
      </c>
      <c r="E1098" s="196" t="s">
        <v>974</v>
      </c>
      <c r="F1098" s="196">
        <v>77.8</v>
      </c>
      <c r="G1098" s="196">
        <f t="shared" si="17"/>
        <v>38.9</v>
      </c>
      <c r="H1098" s="196">
        <v>12350</v>
      </c>
      <c r="I1098" s="196" t="s">
        <v>1088</v>
      </c>
      <c r="J1098" s="196"/>
    </row>
    <row r="1099" spans="1:10" ht="14.4" hidden="1" outlineLevel="1">
      <c r="A1099" s="196" t="s">
        <v>351</v>
      </c>
      <c r="B1099" s="197">
        <v>41969</v>
      </c>
      <c r="C1099" s="196" t="s">
        <v>962</v>
      </c>
      <c r="D1099" s="196">
        <v>78</v>
      </c>
      <c r="E1099" s="196" t="s">
        <v>972</v>
      </c>
      <c r="F1099" s="196">
        <v>76</v>
      </c>
      <c r="G1099" s="196">
        <f t="shared" si="17"/>
        <v>38</v>
      </c>
      <c r="H1099" s="196">
        <v>22123</v>
      </c>
      <c r="I1099" s="196" t="s">
        <v>1087</v>
      </c>
      <c r="J1099" s="196"/>
    </row>
    <row r="1100" spans="1:10" ht="14.4" hidden="1" outlineLevel="1">
      <c r="A1100" s="196" t="s">
        <v>351</v>
      </c>
      <c r="B1100" s="197">
        <v>41970</v>
      </c>
      <c r="C1100" s="196" t="s">
        <v>974</v>
      </c>
      <c r="D1100" s="196">
        <v>77</v>
      </c>
      <c r="E1100" s="196" t="s">
        <v>1085</v>
      </c>
      <c r="F1100" s="196">
        <v>76</v>
      </c>
      <c r="G1100" s="196">
        <f t="shared" si="17"/>
        <v>38</v>
      </c>
      <c r="H1100" s="196">
        <v>8200</v>
      </c>
      <c r="I1100" s="196" t="s">
        <v>1086</v>
      </c>
      <c r="J1100" s="196"/>
    </row>
    <row r="1101" spans="1:10" ht="14.4" hidden="1" outlineLevel="1">
      <c r="A1101" s="196" t="s">
        <v>351</v>
      </c>
      <c r="B1101" s="197">
        <v>41971</v>
      </c>
      <c r="C1101" s="196" t="s">
        <v>980</v>
      </c>
      <c r="D1101" s="196">
        <v>77.099999999999994</v>
      </c>
      <c r="E1101" s="196" t="s">
        <v>980</v>
      </c>
      <c r="F1101" s="196">
        <v>77.099999999999994</v>
      </c>
      <c r="G1101" s="196">
        <f t="shared" si="17"/>
        <v>38.549999999999997</v>
      </c>
      <c r="H1101" s="196">
        <v>4307</v>
      </c>
      <c r="I1101" s="196" t="s">
        <v>1084</v>
      </c>
      <c r="J1101" s="196"/>
    </row>
    <row r="1102" spans="1:10" ht="14.4" hidden="1" outlineLevel="1">
      <c r="A1102" s="196" t="s">
        <v>351</v>
      </c>
      <c r="B1102" s="197">
        <v>41974</v>
      </c>
      <c r="C1102" s="196" t="s">
        <v>1082</v>
      </c>
      <c r="D1102" s="196">
        <v>79</v>
      </c>
      <c r="E1102" s="196" t="s">
        <v>1082</v>
      </c>
      <c r="F1102" s="196">
        <v>79</v>
      </c>
      <c r="G1102" s="196">
        <f t="shared" si="17"/>
        <v>39.5</v>
      </c>
      <c r="H1102" s="196">
        <v>1205</v>
      </c>
      <c r="I1102" s="196" t="s">
        <v>1083</v>
      </c>
      <c r="J1102" s="196"/>
    </row>
    <row r="1103" spans="1:10" ht="14.4" hidden="1" outlineLevel="1">
      <c r="A1103" s="196" t="s">
        <v>351</v>
      </c>
      <c r="B1103" s="197">
        <v>41975</v>
      </c>
      <c r="C1103" s="196" t="s">
        <v>1043</v>
      </c>
      <c r="D1103" s="196">
        <v>79.2</v>
      </c>
      <c r="E1103" s="196" t="s">
        <v>974</v>
      </c>
      <c r="F1103" s="196">
        <v>77.099999999999994</v>
      </c>
      <c r="G1103" s="196">
        <f t="shared" si="17"/>
        <v>38.549999999999997</v>
      </c>
      <c r="H1103" s="196">
        <v>165729</v>
      </c>
      <c r="I1103" s="196" t="s">
        <v>1081</v>
      </c>
      <c r="J1103" s="196"/>
    </row>
    <row r="1104" spans="1:10" ht="14.4" hidden="1" outlineLevel="1">
      <c r="A1104" s="196" t="s">
        <v>351</v>
      </c>
      <c r="B1104" s="197">
        <v>41976</v>
      </c>
      <c r="C1104" s="196" t="s">
        <v>88</v>
      </c>
      <c r="D1104" s="196" t="s">
        <v>88</v>
      </c>
      <c r="E1104" s="196" t="s">
        <v>88</v>
      </c>
      <c r="F1104" s="196">
        <v>77.099999999999994</v>
      </c>
      <c r="G1104" s="196">
        <f t="shared" si="17"/>
        <v>38.549999999999997</v>
      </c>
      <c r="H1104" s="196">
        <v>0</v>
      </c>
      <c r="I1104" s="196" t="s">
        <v>611</v>
      </c>
      <c r="J1104" s="196"/>
    </row>
    <row r="1105" spans="1:10" ht="14.4" hidden="1" outlineLevel="1">
      <c r="A1105" s="196" t="s">
        <v>351</v>
      </c>
      <c r="B1105" s="197">
        <v>41977</v>
      </c>
      <c r="C1105" s="196" t="s">
        <v>1079</v>
      </c>
      <c r="D1105" s="196">
        <v>78.8</v>
      </c>
      <c r="E1105" s="196" t="s">
        <v>1079</v>
      </c>
      <c r="F1105" s="196">
        <v>78</v>
      </c>
      <c r="G1105" s="196">
        <f t="shared" si="17"/>
        <v>39</v>
      </c>
      <c r="H1105" s="196">
        <v>1500</v>
      </c>
      <c r="I1105" s="196" t="s">
        <v>1080</v>
      </c>
      <c r="J1105" s="196"/>
    </row>
    <row r="1106" spans="1:10" ht="14.4" hidden="1" outlineLevel="1">
      <c r="A1106" s="196" t="s">
        <v>351</v>
      </c>
      <c r="B1106" s="197">
        <v>41978</v>
      </c>
      <c r="C1106" s="196" t="s">
        <v>962</v>
      </c>
      <c r="D1106" s="196">
        <v>78</v>
      </c>
      <c r="E1106" s="196" t="s">
        <v>974</v>
      </c>
      <c r="F1106" s="196">
        <v>77</v>
      </c>
      <c r="G1106" s="196">
        <f t="shared" si="17"/>
        <v>38.5</v>
      </c>
      <c r="H1106" s="196">
        <v>180193</v>
      </c>
      <c r="I1106" s="196" t="s">
        <v>1078</v>
      </c>
      <c r="J1106" s="196"/>
    </row>
    <row r="1107" spans="1:10" ht="14.4" hidden="1" outlineLevel="1">
      <c r="A1107" s="196" t="s">
        <v>351</v>
      </c>
      <c r="B1107" s="197">
        <v>41981</v>
      </c>
      <c r="C1107" s="196" t="s">
        <v>974</v>
      </c>
      <c r="D1107" s="196">
        <v>77.2</v>
      </c>
      <c r="E1107" s="196" t="s">
        <v>974</v>
      </c>
      <c r="F1107" s="196">
        <v>77.2</v>
      </c>
      <c r="G1107" s="196">
        <f t="shared" si="17"/>
        <v>38.6</v>
      </c>
      <c r="H1107" s="196">
        <v>300</v>
      </c>
      <c r="I1107" s="196" t="s">
        <v>1077</v>
      </c>
      <c r="J1107" s="196"/>
    </row>
    <row r="1108" spans="1:10" ht="14.4" hidden="1" outlineLevel="1">
      <c r="A1108" s="196" t="s">
        <v>351</v>
      </c>
      <c r="B1108" s="197">
        <v>41982</v>
      </c>
      <c r="C1108" s="196" t="s">
        <v>974</v>
      </c>
      <c r="D1108" s="196">
        <v>77</v>
      </c>
      <c r="E1108" s="196" t="s">
        <v>972</v>
      </c>
      <c r="F1108" s="196">
        <v>76.900000000000006</v>
      </c>
      <c r="G1108" s="196">
        <f t="shared" si="17"/>
        <v>38.450000000000003</v>
      </c>
      <c r="H1108" s="196">
        <v>5490</v>
      </c>
      <c r="I1108" s="196" t="s">
        <v>1076</v>
      </c>
      <c r="J1108" s="196"/>
    </row>
    <row r="1109" spans="1:10" ht="14.4" hidden="1" outlineLevel="1">
      <c r="A1109" s="196" t="s">
        <v>351</v>
      </c>
      <c r="B1109" s="197">
        <v>41983</v>
      </c>
      <c r="C1109" s="196" t="s">
        <v>972</v>
      </c>
      <c r="D1109" s="196">
        <v>79</v>
      </c>
      <c r="E1109" s="196" t="s">
        <v>972</v>
      </c>
      <c r="F1109" s="196">
        <v>77</v>
      </c>
      <c r="G1109" s="196">
        <f t="shared" si="17"/>
        <v>38.5</v>
      </c>
      <c r="H1109" s="196">
        <v>35502</v>
      </c>
      <c r="I1109" s="196" t="s">
        <v>1075</v>
      </c>
      <c r="J1109" s="196"/>
    </row>
    <row r="1110" spans="1:10" ht="14.4" hidden="1" outlineLevel="1">
      <c r="A1110" s="196" t="s">
        <v>351</v>
      </c>
      <c r="B1110" s="197">
        <v>41984</v>
      </c>
      <c r="C1110" s="196" t="s">
        <v>1045</v>
      </c>
      <c r="D1110" s="196">
        <v>77.5</v>
      </c>
      <c r="E1110" s="196" t="s">
        <v>1072</v>
      </c>
      <c r="F1110" s="196">
        <v>76.3</v>
      </c>
      <c r="G1110" s="196">
        <f t="shared" si="17"/>
        <v>38.15</v>
      </c>
      <c r="H1110" s="196">
        <v>9720</v>
      </c>
      <c r="I1110" s="196" t="s">
        <v>1074</v>
      </c>
      <c r="J1110" s="196"/>
    </row>
    <row r="1111" spans="1:10" ht="14.4" hidden="1" outlineLevel="1">
      <c r="A1111" s="196" t="s">
        <v>351</v>
      </c>
      <c r="B1111" s="197">
        <v>41985</v>
      </c>
      <c r="C1111" s="196" t="s">
        <v>1061</v>
      </c>
      <c r="D1111" s="196">
        <v>77</v>
      </c>
      <c r="E1111" s="196" t="s">
        <v>1072</v>
      </c>
      <c r="F1111" s="196">
        <v>76.2</v>
      </c>
      <c r="G1111" s="196">
        <f t="shared" si="17"/>
        <v>38.1</v>
      </c>
      <c r="H1111" s="196">
        <v>13970</v>
      </c>
      <c r="I1111" s="196" t="s">
        <v>1073</v>
      </c>
      <c r="J1111" s="196"/>
    </row>
    <row r="1112" spans="1:10" ht="14.4" hidden="1" outlineLevel="1">
      <c r="A1112" s="196" t="s">
        <v>351</v>
      </c>
      <c r="B1112" s="197">
        <v>41988</v>
      </c>
      <c r="C1112" s="196" t="s">
        <v>88</v>
      </c>
      <c r="D1112" s="196" t="s">
        <v>88</v>
      </c>
      <c r="E1112" s="196" t="s">
        <v>88</v>
      </c>
      <c r="F1112" s="196">
        <v>76.2</v>
      </c>
      <c r="G1112" s="196">
        <f t="shared" si="17"/>
        <v>38.1</v>
      </c>
      <c r="H1112" s="196">
        <v>0</v>
      </c>
      <c r="I1112" s="196" t="s">
        <v>611</v>
      </c>
      <c r="J1112" s="196"/>
    </row>
    <row r="1113" spans="1:10" ht="14.4" hidden="1" outlineLevel="1">
      <c r="A1113" s="196" t="s">
        <v>351</v>
      </c>
      <c r="B1113" s="197">
        <v>41989</v>
      </c>
      <c r="C1113" s="196" t="s">
        <v>1070</v>
      </c>
      <c r="D1113" s="196">
        <v>77</v>
      </c>
      <c r="E1113" s="196" t="s">
        <v>972</v>
      </c>
      <c r="F1113" s="196">
        <v>77</v>
      </c>
      <c r="G1113" s="196">
        <f t="shared" si="17"/>
        <v>38.5</v>
      </c>
      <c r="H1113" s="196">
        <v>47171</v>
      </c>
      <c r="I1113" s="196" t="s">
        <v>1071</v>
      </c>
      <c r="J1113" s="196"/>
    </row>
    <row r="1114" spans="1:10" ht="14.4" hidden="1" outlineLevel="1">
      <c r="A1114" s="196" t="s">
        <v>351</v>
      </c>
      <c r="B1114" s="197">
        <v>41990</v>
      </c>
      <c r="C1114" s="196" t="s">
        <v>1061</v>
      </c>
      <c r="D1114" s="196">
        <v>76.3</v>
      </c>
      <c r="E1114" s="196" t="s">
        <v>1061</v>
      </c>
      <c r="F1114" s="196">
        <v>76.3</v>
      </c>
      <c r="G1114" s="196">
        <f t="shared" si="17"/>
        <v>38.15</v>
      </c>
      <c r="H1114" s="196">
        <v>743</v>
      </c>
      <c r="I1114" s="196" t="s">
        <v>1069</v>
      </c>
      <c r="J1114" s="196"/>
    </row>
    <row r="1115" spans="1:10" ht="14.4" hidden="1" outlineLevel="1">
      <c r="A1115" s="196" t="s">
        <v>351</v>
      </c>
      <c r="B1115" s="197">
        <v>41991</v>
      </c>
      <c r="C1115" s="196" t="s">
        <v>1058</v>
      </c>
      <c r="D1115" s="196">
        <v>78.900000000000006</v>
      </c>
      <c r="E1115" s="196" t="s">
        <v>1061</v>
      </c>
      <c r="F1115" s="196">
        <v>76.3</v>
      </c>
      <c r="G1115" s="196">
        <f t="shared" si="17"/>
        <v>38.15</v>
      </c>
      <c r="H1115" s="196">
        <v>767</v>
      </c>
      <c r="I1115" s="196" t="s">
        <v>1068</v>
      </c>
      <c r="J1115" s="196"/>
    </row>
    <row r="1116" spans="1:10" ht="14.4" hidden="1" outlineLevel="1">
      <c r="A1116" s="196" t="s">
        <v>351</v>
      </c>
      <c r="B1116" s="197">
        <v>41992</v>
      </c>
      <c r="C1116" s="196" t="s">
        <v>975</v>
      </c>
      <c r="D1116" s="196">
        <v>76.8</v>
      </c>
      <c r="E1116" s="196" t="s">
        <v>967</v>
      </c>
      <c r="F1116" s="196">
        <v>76.5</v>
      </c>
      <c r="G1116" s="196">
        <f t="shared" si="17"/>
        <v>38.25</v>
      </c>
      <c r="H1116" s="196">
        <v>510</v>
      </c>
      <c r="I1116" s="196" t="s">
        <v>1067</v>
      </c>
      <c r="J1116" s="196"/>
    </row>
    <row r="1117" spans="1:10" ht="14.4" hidden="1" outlineLevel="1">
      <c r="A1117" s="196" t="s">
        <v>351</v>
      </c>
      <c r="B1117" s="197">
        <v>41995</v>
      </c>
      <c r="C1117" s="196" t="s">
        <v>88</v>
      </c>
      <c r="D1117" s="196" t="s">
        <v>88</v>
      </c>
      <c r="E1117" s="196" t="s">
        <v>88</v>
      </c>
      <c r="F1117" s="196">
        <v>76.5</v>
      </c>
      <c r="G1117" s="196">
        <f t="shared" si="17"/>
        <v>38.25</v>
      </c>
      <c r="H1117" s="196">
        <v>0</v>
      </c>
      <c r="I1117" s="196" t="s">
        <v>611</v>
      </c>
      <c r="J1117" s="196"/>
    </row>
    <row r="1118" spans="1:10" ht="14.4" hidden="1" outlineLevel="1">
      <c r="A1118" s="196" t="s">
        <v>351</v>
      </c>
      <c r="B1118" s="197">
        <v>41996</v>
      </c>
      <c r="C1118" s="196" t="s">
        <v>967</v>
      </c>
      <c r="D1118" s="196">
        <v>76.5</v>
      </c>
      <c r="E1118" s="196" t="s">
        <v>967</v>
      </c>
      <c r="F1118" s="196">
        <v>76.5</v>
      </c>
      <c r="G1118" s="196">
        <f t="shared" si="17"/>
        <v>38.25</v>
      </c>
      <c r="H1118" s="196">
        <v>300</v>
      </c>
      <c r="I1118" s="196" t="s">
        <v>1066</v>
      </c>
      <c r="J1118" s="196"/>
    </row>
    <row r="1119" spans="1:10" ht="14.4" hidden="1" outlineLevel="1">
      <c r="A1119" s="196" t="s">
        <v>351</v>
      </c>
      <c r="B1119" s="197">
        <v>41997</v>
      </c>
      <c r="C1119" s="196" t="s">
        <v>88</v>
      </c>
      <c r="D1119" s="196" t="s">
        <v>88</v>
      </c>
      <c r="E1119" s="196" t="s">
        <v>88</v>
      </c>
      <c r="F1119" s="196">
        <v>76.5</v>
      </c>
      <c r="G1119" s="196">
        <f t="shared" si="17"/>
        <v>38.25</v>
      </c>
      <c r="H1119" s="196">
        <v>0</v>
      </c>
      <c r="I1119" s="196" t="s">
        <v>611</v>
      </c>
      <c r="J1119" s="196"/>
    </row>
    <row r="1120" spans="1:10" ht="14.4" hidden="1" outlineLevel="1">
      <c r="A1120" s="196" t="s">
        <v>351</v>
      </c>
      <c r="B1120" s="197">
        <v>41999</v>
      </c>
      <c r="C1120" s="196" t="s">
        <v>974</v>
      </c>
      <c r="D1120" s="196">
        <v>77</v>
      </c>
      <c r="E1120" s="196" t="s">
        <v>974</v>
      </c>
      <c r="F1120" s="196">
        <v>77</v>
      </c>
      <c r="G1120" s="196">
        <f t="shared" si="17"/>
        <v>38.5</v>
      </c>
      <c r="H1120" s="196">
        <v>200</v>
      </c>
      <c r="I1120" s="196" t="s">
        <v>1065</v>
      </c>
      <c r="J1120" s="196"/>
    </row>
    <row r="1121" spans="1:10" ht="14.4" hidden="1" outlineLevel="1">
      <c r="A1121" s="196" t="s">
        <v>351</v>
      </c>
      <c r="B1121" s="197">
        <v>42002</v>
      </c>
      <c r="C1121" s="196" t="s">
        <v>967</v>
      </c>
      <c r="D1121" s="196">
        <v>76.5</v>
      </c>
      <c r="E1121" s="196" t="s">
        <v>967</v>
      </c>
      <c r="F1121" s="196">
        <v>76.5</v>
      </c>
      <c r="G1121" s="196">
        <f t="shared" si="17"/>
        <v>38.25</v>
      </c>
      <c r="H1121" s="196">
        <v>20</v>
      </c>
      <c r="I1121" s="196" t="s">
        <v>1064</v>
      </c>
      <c r="J1121" s="196"/>
    </row>
    <row r="1122" spans="1:10" ht="14.4" hidden="1" outlineLevel="1">
      <c r="A1122" s="196" t="s">
        <v>351</v>
      </c>
      <c r="B1122" s="197">
        <v>42003</v>
      </c>
      <c r="C1122" s="196" t="s">
        <v>1061</v>
      </c>
      <c r="D1122" s="196">
        <v>76.5</v>
      </c>
      <c r="E1122" s="196" t="s">
        <v>1061</v>
      </c>
      <c r="F1122" s="196">
        <v>76.5</v>
      </c>
      <c r="G1122" s="196">
        <f t="shared" si="17"/>
        <v>38.25</v>
      </c>
      <c r="H1122" s="196">
        <v>515</v>
      </c>
      <c r="I1122" s="196" t="s">
        <v>1063</v>
      </c>
      <c r="J1122" s="196"/>
    </row>
    <row r="1123" spans="1:10" ht="14.4" hidden="1" outlineLevel="1">
      <c r="A1123" s="196" t="s">
        <v>351</v>
      </c>
      <c r="B1123" s="197">
        <v>42004</v>
      </c>
      <c r="C1123" s="196" t="s">
        <v>979</v>
      </c>
      <c r="D1123" s="196">
        <v>76.5</v>
      </c>
      <c r="E1123" s="196" t="s">
        <v>1061</v>
      </c>
      <c r="F1123" s="196">
        <v>76.400000000000006</v>
      </c>
      <c r="G1123" s="196">
        <f t="shared" si="17"/>
        <v>38.200000000000003</v>
      </c>
      <c r="H1123" s="196">
        <v>7144</v>
      </c>
      <c r="I1123" s="196" t="s">
        <v>1062</v>
      </c>
      <c r="J1123" s="196"/>
    </row>
    <row r="1124" spans="1:10" ht="14.4" hidden="1" outlineLevel="1">
      <c r="A1124" s="196" t="s">
        <v>351</v>
      </c>
      <c r="B1124" s="197">
        <v>42006</v>
      </c>
      <c r="C1124" s="196" t="s">
        <v>967</v>
      </c>
      <c r="D1124" s="196">
        <v>76.5</v>
      </c>
      <c r="E1124" s="196" t="s">
        <v>967</v>
      </c>
      <c r="F1124" s="196">
        <v>76.5</v>
      </c>
      <c r="G1124" s="196">
        <f t="shared" si="17"/>
        <v>38.25</v>
      </c>
      <c r="H1124" s="196">
        <v>2000</v>
      </c>
      <c r="I1124" s="196" t="s">
        <v>1060</v>
      </c>
      <c r="J1124" s="196"/>
    </row>
    <row r="1125" spans="1:10" ht="14.4" hidden="1" outlineLevel="1">
      <c r="A1125" s="196" t="s">
        <v>351</v>
      </c>
      <c r="B1125" s="197">
        <v>42010</v>
      </c>
      <c r="C1125" s="196" t="s">
        <v>1058</v>
      </c>
      <c r="D1125" s="196">
        <v>80.5</v>
      </c>
      <c r="E1125" s="196" t="s">
        <v>1058</v>
      </c>
      <c r="F1125" s="196">
        <v>79.900000000000006</v>
      </c>
      <c r="G1125" s="196">
        <f t="shared" si="17"/>
        <v>39.950000000000003</v>
      </c>
      <c r="H1125" s="196">
        <v>13012</v>
      </c>
      <c r="I1125" s="196" t="s">
        <v>1059</v>
      </c>
      <c r="J1125" s="196"/>
    </row>
    <row r="1126" spans="1:10" ht="14.4" hidden="1" outlineLevel="1">
      <c r="A1126" s="196" t="s">
        <v>351</v>
      </c>
      <c r="B1126" s="197">
        <v>42011</v>
      </c>
      <c r="C1126" s="196" t="s">
        <v>950</v>
      </c>
      <c r="D1126" s="196">
        <v>80</v>
      </c>
      <c r="E1126" s="196" t="s">
        <v>1001</v>
      </c>
      <c r="F1126" s="196">
        <v>79.8</v>
      </c>
      <c r="G1126" s="196">
        <f t="shared" si="17"/>
        <v>39.9</v>
      </c>
      <c r="H1126" s="196">
        <v>16170</v>
      </c>
      <c r="I1126" s="196" t="s">
        <v>1057</v>
      </c>
      <c r="J1126" s="196"/>
    </row>
    <row r="1127" spans="1:10" ht="14.4" hidden="1" outlineLevel="1">
      <c r="A1127" s="196" t="s">
        <v>351</v>
      </c>
      <c r="B1127" s="197">
        <v>42012</v>
      </c>
      <c r="C1127" s="196" t="s">
        <v>1001</v>
      </c>
      <c r="D1127" s="196">
        <v>82</v>
      </c>
      <c r="E1127" s="196" t="s">
        <v>1001</v>
      </c>
      <c r="F1127" s="196">
        <v>81.400000000000006</v>
      </c>
      <c r="G1127" s="196">
        <f t="shared" si="17"/>
        <v>40.700000000000003</v>
      </c>
      <c r="H1127" s="196">
        <v>116350</v>
      </c>
      <c r="I1127" s="196" t="s">
        <v>1056</v>
      </c>
      <c r="J1127" s="196"/>
    </row>
    <row r="1128" spans="1:10" ht="14.4" hidden="1" outlineLevel="1">
      <c r="A1128" s="196" t="s">
        <v>351</v>
      </c>
      <c r="B1128" s="197">
        <v>42013</v>
      </c>
      <c r="C1128" s="196" t="s">
        <v>1007</v>
      </c>
      <c r="D1128" s="196">
        <v>83.6</v>
      </c>
      <c r="E1128" s="196" t="s">
        <v>1054</v>
      </c>
      <c r="F1128" s="196">
        <v>81.8</v>
      </c>
      <c r="G1128" s="196">
        <f t="shared" si="17"/>
        <v>40.9</v>
      </c>
      <c r="H1128" s="196">
        <v>68129</v>
      </c>
      <c r="I1128" s="196" t="s">
        <v>1055</v>
      </c>
      <c r="J1128" s="196"/>
    </row>
    <row r="1129" spans="1:10" ht="14.4" hidden="1" outlineLevel="1">
      <c r="A1129" s="196" t="s">
        <v>351</v>
      </c>
      <c r="B1129" s="197">
        <v>42016</v>
      </c>
      <c r="C1129" s="196" t="s">
        <v>1013</v>
      </c>
      <c r="D1129" s="196">
        <v>83.5</v>
      </c>
      <c r="E1129" s="196" t="s">
        <v>1052</v>
      </c>
      <c r="F1129" s="196">
        <v>80.400000000000006</v>
      </c>
      <c r="G1129" s="196">
        <f t="shared" si="17"/>
        <v>40.200000000000003</v>
      </c>
      <c r="H1129" s="196">
        <v>102548</v>
      </c>
      <c r="I1129" s="196" t="s">
        <v>1053</v>
      </c>
      <c r="J1129" s="196"/>
    </row>
    <row r="1130" spans="1:10" ht="14.4" hidden="1" outlineLevel="1">
      <c r="A1130" s="196" t="s">
        <v>351</v>
      </c>
      <c r="B1130" s="197">
        <v>42017</v>
      </c>
      <c r="C1130" s="196" t="s">
        <v>1037</v>
      </c>
      <c r="D1130" s="196">
        <v>82.9</v>
      </c>
      <c r="E1130" s="196" t="s">
        <v>950</v>
      </c>
      <c r="F1130" s="196">
        <v>80.099999999999994</v>
      </c>
      <c r="G1130" s="196">
        <f t="shared" si="17"/>
        <v>40.049999999999997</v>
      </c>
      <c r="H1130" s="196">
        <v>2550</v>
      </c>
      <c r="I1130" s="196" t="s">
        <v>1051</v>
      </c>
      <c r="J1130" s="196"/>
    </row>
    <row r="1131" spans="1:10" ht="14.4" hidden="1" outlineLevel="1">
      <c r="A1131" s="196" t="s">
        <v>351</v>
      </c>
      <c r="B1131" s="197">
        <v>42020</v>
      </c>
      <c r="C1131" s="196" t="s">
        <v>950</v>
      </c>
      <c r="D1131" s="196">
        <v>80</v>
      </c>
      <c r="E1131" s="196" t="s">
        <v>959</v>
      </c>
      <c r="F1131" s="196">
        <v>80</v>
      </c>
      <c r="G1131" s="196">
        <f t="shared" si="17"/>
        <v>40</v>
      </c>
      <c r="H1131" s="196">
        <v>10341</v>
      </c>
      <c r="I1131" s="196" t="s">
        <v>1050</v>
      </c>
      <c r="J1131" s="196"/>
    </row>
    <row r="1132" spans="1:10" ht="14.4" hidden="1" outlineLevel="1">
      <c r="A1132" s="196" t="s">
        <v>351</v>
      </c>
      <c r="B1132" s="197">
        <v>42023</v>
      </c>
      <c r="C1132" s="196" t="s">
        <v>950</v>
      </c>
      <c r="D1132" s="196">
        <v>80</v>
      </c>
      <c r="E1132" s="196" t="s">
        <v>962</v>
      </c>
      <c r="F1132" s="196">
        <v>78</v>
      </c>
      <c r="G1132" s="196">
        <f t="shared" si="17"/>
        <v>39</v>
      </c>
      <c r="H1132" s="196">
        <v>76735</v>
      </c>
      <c r="I1132" s="196" t="s">
        <v>1049</v>
      </c>
      <c r="J1132" s="196"/>
    </row>
    <row r="1133" spans="1:10" ht="14.4" hidden="1" outlineLevel="1">
      <c r="A1133" s="196" t="s">
        <v>351</v>
      </c>
      <c r="B1133" s="197">
        <v>42024</v>
      </c>
      <c r="C1133" s="196" t="s">
        <v>962</v>
      </c>
      <c r="D1133" s="196">
        <v>78.099999999999994</v>
      </c>
      <c r="E1133" s="196" t="s">
        <v>962</v>
      </c>
      <c r="F1133" s="196">
        <v>78.099999999999994</v>
      </c>
      <c r="G1133" s="196">
        <f t="shared" si="17"/>
        <v>39.049999999999997</v>
      </c>
      <c r="H1133" s="196">
        <v>5400</v>
      </c>
      <c r="I1133" s="196" t="s">
        <v>1048</v>
      </c>
      <c r="J1133" s="196"/>
    </row>
    <row r="1134" spans="1:10" ht="14.4" hidden="1" outlineLevel="1">
      <c r="A1134" s="196" t="s">
        <v>351</v>
      </c>
      <c r="B1134" s="197">
        <v>42025</v>
      </c>
      <c r="C1134" s="196" t="s">
        <v>997</v>
      </c>
      <c r="D1134" s="196">
        <v>80</v>
      </c>
      <c r="E1134" s="196" t="s">
        <v>997</v>
      </c>
      <c r="F1134" s="196">
        <v>80</v>
      </c>
      <c r="G1134" s="196">
        <f t="shared" si="17"/>
        <v>40</v>
      </c>
      <c r="H1134" s="196">
        <v>1006</v>
      </c>
      <c r="I1134" s="196" t="s">
        <v>1047</v>
      </c>
      <c r="J1134" s="196"/>
    </row>
    <row r="1135" spans="1:10" ht="14.4" hidden="1" outlineLevel="1">
      <c r="A1135" s="196" t="s">
        <v>351</v>
      </c>
      <c r="B1135" s="197">
        <v>42026</v>
      </c>
      <c r="C1135" s="196" t="s">
        <v>997</v>
      </c>
      <c r="D1135" s="196">
        <v>79</v>
      </c>
      <c r="E1135" s="196" t="s">
        <v>1045</v>
      </c>
      <c r="F1135" s="196">
        <v>79</v>
      </c>
      <c r="G1135" s="196">
        <f t="shared" si="17"/>
        <v>39.5</v>
      </c>
      <c r="H1135" s="196">
        <v>9550</v>
      </c>
      <c r="I1135" s="196" t="s">
        <v>1046</v>
      </c>
      <c r="J1135" s="196"/>
    </row>
    <row r="1136" spans="1:10" ht="14.4" hidden="1" outlineLevel="1">
      <c r="A1136" s="196" t="s">
        <v>351</v>
      </c>
      <c r="B1136" s="197">
        <v>42027</v>
      </c>
      <c r="C1136" s="196" t="s">
        <v>1043</v>
      </c>
      <c r="D1136" s="196">
        <v>78</v>
      </c>
      <c r="E1136" s="196" t="s">
        <v>967</v>
      </c>
      <c r="F1136" s="196">
        <v>76.900000000000006</v>
      </c>
      <c r="G1136" s="196">
        <f t="shared" si="17"/>
        <v>38.450000000000003</v>
      </c>
      <c r="H1136" s="196">
        <v>1100</v>
      </c>
      <c r="I1136" s="196" t="s">
        <v>1044</v>
      </c>
      <c r="J1136" s="196"/>
    </row>
    <row r="1137" spans="1:10" ht="14.4" hidden="1" outlineLevel="1">
      <c r="A1137" s="196" t="s">
        <v>351</v>
      </c>
      <c r="B1137" s="197">
        <v>42030</v>
      </c>
      <c r="C1137" s="196" t="s">
        <v>962</v>
      </c>
      <c r="D1137" s="196">
        <v>80</v>
      </c>
      <c r="E1137" s="196" t="s">
        <v>962</v>
      </c>
      <c r="F1137" s="196">
        <v>79.7</v>
      </c>
      <c r="G1137" s="196">
        <f t="shared" si="17"/>
        <v>39.85</v>
      </c>
      <c r="H1137" s="196">
        <v>17511</v>
      </c>
      <c r="I1137" s="196" t="s">
        <v>1042</v>
      </c>
      <c r="J1137" s="196"/>
    </row>
    <row r="1138" spans="1:10" ht="14.4" hidden="1" outlineLevel="1">
      <c r="A1138" s="196" t="s">
        <v>351</v>
      </c>
      <c r="B1138" s="197">
        <v>42031</v>
      </c>
      <c r="C1138" s="196" t="s">
        <v>962</v>
      </c>
      <c r="D1138" s="196">
        <v>80</v>
      </c>
      <c r="E1138" s="196" t="s">
        <v>962</v>
      </c>
      <c r="F1138" s="196">
        <v>79</v>
      </c>
      <c r="G1138" s="196">
        <f t="shared" si="17"/>
        <v>39.5</v>
      </c>
      <c r="H1138" s="196">
        <v>67772</v>
      </c>
      <c r="I1138" s="196" t="s">
        <v>1041</v>
      </c>
      <c r="J1138" s="196"/>
    </row>
    <row r="1139" spans="1:10" ht="14.4" hidden="1" outlineLevel="1">
      <c r="A1139" s="196" t="s">
        <v>351</v>
      </c>
      <c r="B1139" s="197">
        <v>42032</v>
      </c>
      <c r="C1139" s="196" t="s">
        <v>950</v>
      </c>
      <c r="D1139" s="196">
        <v>80</v>
      </c>
      <c r="E1139" s="196" t="s">
        <v>950</v>
      </c>
      <c r="F1139" s="196">
        <v>80</v>
      </c>
      <c r="G1139" s="196">
        <f t="shared" si="17"/>
        <v>40</v>
      </c>
      <c r="H1139" s="196">
        <v>10400</v>
      </c>
      <c r="I1139" s="196" t="s">
        <v>1040</v>
      </c>
      <c r="J1139" s="196"/>
    </row>
    <row r="1140" spans="1:10" ht="14.4" hidden="1" outlineLevel="1">
      <c r="A1140" s="196" t="s">
        <v>351</v>
      </c>
      <c r="B1140" s="197">
        <v>42033</v>
      </c>
      <c r="C1140" s="196" t="s">
        <v>950</v>
      </c>
      <c r="D1140" s="196">
        <v>81</v>
      </c>
      <c r="E1140" s="196" t="s">
        <v>950</v>
      </c>
      <c r="F1140" s="196">
        <v>80.2</v>
      </c>
      <c r="G1140" s="196">
        <f t="shared" si="17"/>
        <v>40.1</v>
      </c>
      <c r="H1140" s="196">
        <v>13217</v>
      </c>
      <c r="I1140" s="196" t="s">
        <v>1039</v>
      </c>
      <c r="J1140" s="196"/>
    </row>
    <row r="1141" spans="1:10" ht="14.4" hidden="1" outlineLevel="1">
      <c r="A1141" s="196" t="s">
        <v>351</v>
      </c>
      <c r="B1141" s="197">
        <v>42034</v>
      </c>
      <c r="C1141" s="196" t="s">
        <v>1037</v>
      </c>
      <c r="D1141" s="196">
        <v>80.900000000000006</v>
      </c>
      <c r="E1141" s="196" t="s">
        <v>997</v>
      </c>
      <c r="F1141" s="196">
        <v>79.8</v>
      </c>
      <c r="G1141" s="196">
        <f t="shared" si="17"/>
        <v>39.9</v>
      </c>
      <c r="H1141" s="196">
        <v>66150</v>
      </c>
      <c r="I1141" s="196" t="s">
        <v>1038</v>
      </c>
      <c r="J1141" s="196"/>
    </row>
    <row r="1142" spans="1:10" ht="14.4" hidden="1" outlineLevel="1">
      <c r="A1142" s="196" t="s">
        <v>351</v>
      </c>
      <c r="B1142" s="197">
        <v>42037</v>
      </c>
      <c r="C1142" s="196" t="s">
        <v>1035</v>
      </c>
      <c r="D1142" s="196">
        <v>79.2</v>
      </c>
      <c r="E1142" s="196" t="s">
        <v>1035</v>
      </c>
      <c r="F1142" s="196">
        <v>79.2</v>
      </c>
      <c r="G1142" s="196">
        <f t="shared" si="17"/>
        <v>39.6</v>
      </c>
      <c r="H1142" s="196">
        <v>504</v>
      </c>
      <c r="I1142" s="196" t="s">
        <v>1036</v>
      </c>
      <c r="J1142" s="196"/>
    </row>
    <row r="1143" spans="1:10" ht="14.4" hidden="1" outlineLevel="1">
      <c r="A1143" s="196" t="s">
        <v>351</v>
      </c>
      <c r="B1143" s="197">
        <v>42040</v>
      </c>
      <c r="C1143" s="196" t="s">
        <v>997</v>
      </c>
      <c r="D1143" s="196">
        <v>79</v>
      </c>
      <c r="E1143" s="196" t="s">
        <v>956</v>
      </c>
      <c r="F1143" s="196">
        <v>78.099999999999994</v>
      </c>
      <c r="G1143" s="196">
        <f t="shared" si="17"/>
        <v>39.049999999999997</v>
      </c>
      <c r="H1143" s="196">
        <v>117</v>
      </c>
      <c r="I1143" s="196" t="s">
        <v>1034</v>
      </c>
      <c r="J1143" s="196"/>
    </row>
    <row r="1144" spans="1:10" ht="14.4" hidden="1" outlineLevel="1">
      <c r="A1144" s="196" t="s">
        <v>351</v>
      </c>
      <c r="B1144" s="197">
        <v>42041</v>
      </c>
      <c r="C1144" s="196" t="s">
        <v>956</v>
      </c>
      <c r="D1144" s="196">
        <v>80</v>
      </c>
      <c r="E1144" s="196" t="s">
        <v>962</v>
      </c>
      <c r="F1144" s="196">
        <v>79.599999999999994</v>
      </c>
      <c r="G1144" s="196">
        <f t="shared" si="17"/>
        <v>39.799999999999997</v>
      </c>
      <c r="H1144" s="196">
        <v>11800</v>
      </c>
      <c r="I1144" s="196" t="s">
        <v>1033</v>
      </c>
      <c r="J1144" s="196"/>
    </row>
    <row r="1145" spans="1:10" ht="14.4" hidden="1" outlineLevel="1">
      <c r="A1145" s="196" t="s">
        <v>351</v>
      </c>
      <c r="B1145" s="197">
        <v>42044</v>
      </c>
      <c r="C1145" s="196" t="s">
        <v>997</v>
      </c>
      <c r="D1145" s="196">
        <v>79.2</v>
      </c>
      <c r="E1145" s="196" t="s">
        <v>992</v>
      </c>
      <c r="F1145" s="196">
        <v>79.2</v>
      </c>
      <c r="G1145" s="196">
        <f t="shared" si="17"/>
        <v>39.6</v>
      </c>
      <c r="H1145" s="196">
        <v>11073</v>
      </c>
      <c r="I1145" s="196" t="s">
        <v>1032</v>
      </c>
      <c r="J1145" s="196"/>
    </row>
    <row r="1146" spans="1:10" ht="14.4" hidden="1" outlineLevel="1">
      <c r="A1146" s="196" t="s">
        <v>351</v>
      </c>
      <c r="B1146" s="197">
        <v>42045</v>
      </c>
      <c r="C1146" s="196" t="s">
        <v>1029</v>
      </c>
      <c r="D1146" s="196">
        <v>80</v>
      </c>
      <c r="E1146" s="196" t="s">
        <v>1030</v>
      </c>
      <c r="F1146" s="196">
        <v>80</v>
      </c>
      <c r="G1146" s="196">
        <f t="shared" si="17"/>
        <v>40</v>
      </c>
      <c r="H1146" s="196">
        <v>44729</v>
      </c>
      <c r="I1146" s="196" t="s">
        <v>1031</v>
      </c>
      <c r="J1146" s="196"/>
    </row>
    <row r="1147" spans="1:10" ht="14.4" hidden="1" outlineLevel="1">
      <c r="A1147" s="196" t="s">
        <v>351</v>
      </c>
      <c r="B1147" s="197">
        <v>42046</v>
      </c>
      <c r="C1147" s="196" t="s">
        <v>950</v>
      </c>
      <c r="D1147" s="196">
        <v>81</v>
      </c>
      <c r="E1147" s="196" t="s">
        <v>950</v>
      </c>
      <c r="F1147" s="196">
        <v>80</v>
      </c>
      <c r="G1147" s="196">
        <f t="shared" si="17"/>
        <v>40</v>
      </c>
      <c r="H1147" s="196">
        <v>60866</v>
      </c>
      <c r="I1147" s="196" t="s">
        <v>1028</v>
      </c>
      <c r="J1147" s="196"/>
    </row>
    <row r="1148" spans="1:10" ht="14.4" hidden="1" outlineLevel="1">
      <c r="A1148" s="196" t="s">
        <v>351</v>
      </c>
      <c r="B1148" s="197">
        <v>42047</v>
      </c>
      <c r="C1148" s="196" t="s">
        <v>950</v>
      </c>
      <c r="D1148" s="196">
        <v>80.099999999999994</v>
      </c>
      <c r="E1148" s="196" t="s">
        <v>950</v>
      </c>
      <c r="F1148" s="196">
        <v>80</v>
      </c>
      <c r="G1148" s="196">
        <f t="shared" si="17"/>
        <v>40</v>
      </c>
      <c r="H1148" s="196">
        <v>57240</v>
      </c>
      <c r="I1148" s="196" t="s">
        <v>1027</v>
      </c>
      <c r="J1148" s="196"/>
    </row>
    <row r="1149" spans="1:10" ht="14.4" hidden="1" outlineLevel="1">
      <c r="A1149" s="196" t="s">
        <v>351</v>
      </c>
      <c r="B1149" s="197">
        <v>42048</v>
      </c>
      <c r="C1149" s="196" t="s">
        <v>950</v>
      </c>
      <c r="D1149" s="196">
        <v>80</v>
      </c>
      <c r="E1149" s="196" t="s">
        <v>1001</v>
      </c>
      <c r="F1149" s="196">
        <v>80</v>
      </c>
      <c r="G1149" s="196">
        <f t="shared" si="17"/>
        <v>40</v>
      </c>
      <c r="H1149" s="196">
        <v>11654</v>
      </c>
      <c r="I1149" s="196" t="s">
        <v>1026</v>
      </c>
      <c r="J1149" s="196"/>
    </row>
    <row r="1150" spans="1:10" ht="14.4" hidden="1" outlineLevel="1">
      <c r="A1150" s="196" t="s">
        <v>351</v>
      </c>
      <c r="B1150" s="197">
        <v>42051</v>
      </c>
      <c r="C1150" s="196" t="s">
        <v>952</v>
      </c>
      <c r="D1150" s="196">
        <v>82</v>
      </c>
      <c r="E1150" s="196" t="s">
        <v>950</v>
      </c>
      <c r="F1150" s="196">
        <v>81.900000000000006</v>
      </c>
      <c r="G1150" s="196">
        <f t="shared" si="17"/>
        <v>40.950000000000003</v>
      </c>
      <c r="H1150" s="196">
        <v>16800</v>
      </c>
      <c r="I1150" s="196" t="s">
        <v>1025</v>
      </c>
      <c r="J1150" s="196"/>
    </row>
    <row r="1151" spans="1:10" ht="14.4" hidden="1" outlineLevel="1">
      <c r="A1151" s="196" t="s">
        <v>351</v>
      </c>
      <c r="B1151" s="197">
        <v>42053</v>
      </c>
      <c r="C1151" s="196" t="s">
        <v>1003</v>
      </c>
      <c r="D1151" s="196">
        <v>81.900000000000006</v>
      </c>
      <c r="E1151" s="196" t="s">
        <v>1010</v>
      </c>
      <c r="F1151" s="196">
        <v>80.599999999999994</v>
      </c>
      <c r="G1151" s="196">
        <f t="shared" si="17"/>
        <v>40.299999999999997</v>
      </c>
      <c r="H1151" s="196">
        <v>3530</v>
      </c>
      <c r="I1151" s="196" t="s">
        <v>1024</v>
      </c>
      <c r="J1151" s="196"/>
    </row>
    <row r="1152" spans="1:10" ht="14.4" hidden="1" outlineLevel="1">
      <c r="A1152" s="196" t="s">
        <v>351</v>
      </c>
      <c r="B1152" s="197">
        <v>42054</v>
      </c>
      <c r="C1152" s="196" t="s">
        <v>950</v>
      </c>
      <c r="D1152" s="196">
        <v>81</v>
      </c>
      <c r="E1152" s="196" t="s">
        <v>950</v>
      </c>
      <c r="F1152" s="196">
        <v>80.900000000000006</v>
      </c>
      <c r="G1152" s="196">
        <f t="shared" si="17"/>
        <v>40.450000000000003</v>
      </c>
      <c r="H1152" s="196">
        <v>14607</v>
      </c>
      <c r="I1152" s="196" t="s">
        <v>1023</v>
      </c>
      <c r="J1152" s="196"/>
    </row>
    <row r="1153" spans="1:10" ht="14.4" hidden="1" outlineLevel="1">
      <c r="A1153" s="196" t="s">
        <v>351</v>
      </c>
      <c r="B1153" s="197">
        <v>42055</v>
      </c>
      <c r="C1153" s="196" t="s">
        <v>1009</v>
      </c>
      <c r="D1153" s="196">
        <v>83.5</v>
      </c>
      <c r="E1153" s="196" t="s">
        <v>1001</v>
      </c>
      <c r="F1153" s="196">
        <v>81.400000000000006</v>
      </c>
      <c r="G1153" s="196">
        <f t="shared" si="17"/>
        <v>40.700000000000003</v>
      </c>
      <c r="H1153" s="196">
        <v>104346</v>
      </c>
      <c r="I1153" s="196" t="s">
        <v>1022</v>
      </c>
      <c r="J1153" s="196"/>
    </row>
    <row r="1154" spans="1:10" ht="14.4" hidden="1" outlineLevel="1">
      <c r="A1154" s="196" t="s">
        <v>351</v>
      </c>
      <c r="B1154" s="197">
        <v>42058</v>
      </c>
      <c r="C1154" s="196" t="s">
        <v>1007</v>
      </c>
      <c r="D1154" s="196">
        <v>82.9</v>
      </c>
      <c r="E1154" s="196" t="s">
        <v>1007</v>
      </c>
      <c r="F1154" s="196">
        <v>82.4</v>
      </c>
      <c r="G1154" s="196">
        <f t="shared" si="17"/>
        <v>41.2</v>
      </c>
      <c r="H1154" s="196">
        <v>15751</v>
      </c>
      <c r="I1154" s="196" t="s">
        <v>1021</v>
      </c>
      <c r="J1154" s="196"/>
    </row>
    <row r="1155" spans="1:10" ht="14.4" hidden="1" outlineLevel="1">
      <c r="A1155" s="196" t="s">
        <v>351</v>
      </c>
      <c r="B1155" s="197">
        <v>42059</v>
      </c>
      <c r="C1155" s="196" t="s">
        <v>1019</v>
      </c>
      <c r="D1155" s="196">
        <v>83.5</v>
      </c>
      <c r="E1155" s="196" t="s">
        <v>1007</v>
      </c>
      <c r="F1155" s="196">
        <v>82</v>
      </c>
      <c r="G1155" s="196">
        <f t="shared" si="17"/>
        <v>41</v>
      </c>
      <c r="H1155" s="196">
        <v>37781</v>
      </c>
      <c r="I1155" s="196" t="s">
        <v>1020</v>
      </c>
      <c r="J1155" s="196"/>
    </row>
    <row r="1156" spans="1:10" ht="14.4" hidden="1" outlineLevel="1">
      <c r="A1156" s="196" t="s">
        <v>351</v>
      </c>
      <c r="B1156" s="197">
        <v>42060</v>
      </c>
      <c r="C1156" s="196" t="s">
        <v>952</v>
      </c>
      <c r="D1156" s="196">
        <v>81.5</v>
      </c>
      <c r="E1156" s="196" t="s">
        <v>1010</v>
      </c>
      <c r="F1156" s="196">
        <v>80.8</v>
      </c>
      <c r="G1156" s="196">
        <f t="shared" si="17"/>
        <v>40.4</v>
      </c>
      <c r="H1156" s="196">
        <v>18093</v>
      </c>
      <c r="I1156" s="196" t="s">
        <v>1018</v>
      </c>
      <c r="J1156" s="196"/>
    </row>
    <row r="1157" spans="1:10" ht="14.4" hidden="1" outlineLevel="1">
      <c r="A1157" s="196" t="s">
        <v>351</v>
      </c>
      <c r="B1157" s="197">
        <v>42061</v>
      </c>
      <c r="C1157" s="196" t="s">
        <v>1015</v>
      </c>
      <c r="D1157" s="196">
        <v>82</v>
      </c>
      <c r="E1157" s="196" t="s">
        <v>1016</v>
      </c>
      <c r="F1157" s="196">
        <v>81.900000000000006</v>
      </c>
      <c r="G1157" s="196">
        <f t="shared" ref="G1157:G1199" si="18">F1157/2</f>
        <v>40.950000000000003</v>
      </c>
      <c r="H1157" s="196">
        <v>32544</v>
      </c>
      <c r="I1157" s="196" t="s">
        <v>1017</v>
      </c>
      <c r="J1157" s="196"/>
    </row>
    <row r="1158" spans="1:10" ht="14.4" hidden="1" outlineLevel="1">
      <c r="A1158" s="196" t="s">
        <v>351</v>
      </c>
      <c r="B1158" s="197">
        <v>42062</v>
      </c>
      <c r="C1158" s="196" t="s">
        <v>1013</v>
      </c>
      <c r="D1158" s="196">
        <v>83</v>
      </c>
      <c r="E1158" s="196" t="s">
        <v>952</v>
      </c>
      <c r="F1158" s="196">
        <v>81.3</v>
      </c>
      <c r="G1158" s="196">
        <f t="shared" si="18"/>
        <v>40.65</v>
      </c>
      <c r="H1158" s="196">
        <v>44212</v>
      </c>
      <c r="I1158" s="196" t="s">
        <v>1014</v>
      </c>
      <c r="J1158" s="196"/>
    </row>
    <row r="1159" spans="1:10" ht="14.4" hidden="1" outlineLevel="1">
      <c r="A1159" s="196" t="s">
        <v>351</v>
      </c>
      <c r="B1159" s="197">
        <v>42065</v>
      </c>
      <c r="C1159" s="196" t="s">
        <v>952</v>
      </c>
      <c r="D1159" s="196">
        <v>81</v>
      </c>
      <c r="E1159" s="196" t="s">
        <v>952</v>
      </c>
      <c r="F1159" s="196">
        <v>81</v>
      </c>
      <c r="G1159" s="196">
        <f t="shared" si="18"/>
        <v>40.5</v>
      </c>
      <c r="H1159" s="196">
        <v>8531</v>
      </c>
      <c r="I1159" s="196" t="s">
        <v>1012</v>
      </c>
      <c r="J1159" s="196"/>
    </row>
    <row r="1160" spans="1:10" ht="14.4" hidden="1" outlineLevel="1">
      <c r="A1160" s="196" t="s">
        <v>351</v>
      </c>
      <c r="B1160" s="197">
        <v>42066</v>
      </c>
      <c r="C1160" s="196" t="s">
        <v>1009</v>
      </c>
      <c r="D1160" s="196">
        <v>81</v>
      </c>
      <c r="E1160" s="196" t="s">
        <v>1010</v>
      </c>
      <c r="F1160" s="196">
        <v>81</v>
      </c>
      <c r="G1160" s="196">
        <f t="shared" si="18"/>
        <v>40.5</v>
      </c>
      <c r="H1160" s="196">
        <v>24534</v>
      </c>
      <c r="I1160" s="196" t="s">
        <v>1011</v>
      </c>
      <c r="J1160" s="196"/>
    </row>
    <row r="1161" spans="1:10" ht="14.4" hidden="1" outlineLevel="1">
      <c r="A1161" s="196" t="s">
        <v>351</v>
      </c>
      <c r="B1161" s="197">
        <v>42067</v>
      </c>
      <c r="C1161" s="196" t="s">
        <v>1007</v>
      </c>
      <c r="D1161" s="196">
        <v>82</v>
      </c>
      <c r="E1161" s="196" t="s">
        <v>1005</v>
      </c>
      <c r="F1161" s="196">
        <v>81</v>
      </c>
      <c r="G1161" s="196">
        <f t="shared" si="18"/>
        <v>40.5</v>
      </c>
      <c r="H1161" s="196">
        <v>82911</v>
      </c>
      <c r="I1161" s="196" t="s">
        <v>1008</v>
      </c>
      <c r="J1161" s="196"/>
    </row>
    <row r="1162" spans="1:10" ht="14.4" hidden="1" outlineLevel="1">
      <c r="A1162" s="196" t="s">
        <v>351</v>
      </c>
      <c r="B1162" s="197">
        <v>42069</v>
      </c>
      <c r="C1162" s="196" t="s">
        <v>1005</v>
      </c>
      <c r="D1162" s="196">
        <v>80.7</v>
      </c>
      <c r="E1162" s="196" t="s">
        <v>1003</v>
      </c>
      <c r="F1162" s="196">
        <v>80.599999999999994</v>
      </c>
      <c r="G1162" s="196">
        <f t="shared" si="18"/>
        <v>40.299999999999997</v>
      </c>
      <c r="H1162" s="196">
        <v>5366</v>
      </c>
      <c r="I1162" s="196" t="s">
        <v>1006</v>
      </c>
      <c r="J1162" s="196"/>
    </row>
    <row r="1163" spans="1:10" ht="14.4" hidden="1" outlineLevel="1">
      <c r="A1163" s="196" t="s">
        <v>351</v>
      </c>
      <c r="B1163" s="197">
        <v>42072</v>
      </c>
      <c r="C1163" s="196" t="s">
        <v>1003</v>
      </c>
      <c r="D1163" s="196">
        <v>80.599999999999994</v>
      </c>
      <c r="E1163" s="196" t="s">
        <v>950</v>
      </c>
      <c r="F1163" s="196">
        <v>80</v>
      </c>
      <c r="G1163" s="196">
        <f t="shared" si="18"/>
        <v>40</v>
      </c>
      <c r="H1163" s="196">
        <v>24102</v>
      </c>
      <c r="I1163" s="196" t="s">
        <v>1004</v>
      </c>
      <c r="J1163" s="196"/>
    </row>
    <row r="1164" spans="1:10" ht="14.4" hidden="1" outlineLevel="1">
      <c r="A1164" s="196" t="s">
        <v>351</v>
      </c>
      <c r="B1164" s="197">
        <v>42073</v>
      </c>
      <c r="C1164" s="196" t="s">
        <v>950</v>
      </c>
      <c r="D1164" s="196">
        <v>80</v>
      </c>
      <c r="E1164" s="196" t="s">
        <v>1001</v>
      </c>
      <c r="F1164" s="196">
        <v>79.900000000000006</v>
      </c>
      <c r="G1164" s="196">
        <f t="shared" si="18"/>
        <v>39.950000000000003</v>
      </c>
      <c r="H1164" s="196">
        <v>6800</v>
      </c>
      <c r="I1164" s="196" t="s">
        <v>1002</v>
      </c>
      <c r="J1164" s="196"/>
    </row>
    <row r="1165" spans="1:10" ht="14.4" hidden="1" outlineLevel="1">
      <c r="A1165" s="196" t="s">
        <v>351</v>
      </c>
      <c r="B1165" s="197">
        <v>42074</v>
      </c>
      <c r="C1165" s="196" t="s">
        <v>997</v>
      </c>
      <c r="D1165" s="196">
        <v>80</v>
      </c>
      <c r="E1165" s="196" t="s">
        <v>997</v>
      </c>
      <c r="F1165" s="196">
        <v>79.400000000000006</v>
      </c>
      <c r="G1165" s="196">
        <f t="shared" si="18"/>
        <v>39.700000000000003</v>
      </c>
      <c r="H1165" s="196">
        <v>12820</v>
      </c>
      <c r="I1165" s="196" t="s">
        <v>1000</v>
      </c>
      <c r="J1165" s="196"/>
    </row>
    <row r="1166" spans="1:10" ht="14.4" hidden="1" outlineLevel="1">
      <c r="A1166" s="196" t="s">
        <v>351</v>
      </c>
      <c r="B1166" s="197">
        <v>42075</v>
      </c>
      <c r="C1166" s="196" t="s">
        <v>997</v>
      </c>
      <c r="D1166" s="196">
        <v>79</v>
      </c>
      <c r="E1166" s="196" t="s">
        <v>997</v>
      </c>
      <c r="F1166" s="196">
        <v>79</v>
      </c>
      <c r="G1166" s="196">
        <f t="shared" si="18"/>
        <v>39.5</v>
      </c>
      <c r="H1166" s="196">
        <v>1000</v>
      </c>
      <c r="I1166" s="196" t="s">
        <v>999</v>
      </c>
      <c r="J1166" s="196"/>
    </row>
    <row r="1167" spans="1:10" ht="14.4" hidden="1" outlineLevel="1">
      <c r="A1167" s="196" t="s">
        <v>351</v>
      </c>
      <c r="B1167" s="197">
        <v>42076</v>
      </c>
      <c r="C1167" s="196" t="s">
        <v>997</v>
      </c>
      <c r="D1167" s="196">
        <v>79</v>
      </c>
      <c r="E1167" s="196" t="s">
        <v>979</v>
      </c>
      <c r="F1167" s="196">
        <v>76.400000000000006</v>
      </c>
      <c r="G1167" s="196">
        <f t="shared" si="18"/>
        <v>38.200000000000003</v>
      </c>
      <c r="H1167" s="196">
        <v>600</v>
      </c>
      <c r="I1167" s="196" t="s">
        <v>998</v>
      </c>
      <c r="J1167" s="196"/>
    </row>
    <row r="1168" spans="1:10" ht="14.4" hidden="1" outlineLevel="1">
      <c r="A1168" s="196" t="s">
        <v>351</v>
      </c>
      <c r="B1168" s="197">
        <v>42079</v>
      </c>
      <c r="C1168" s="196" t="s">
        <v>88</v>
      </c>
      <c r="D1168" s="196" t="s">
        <v>88</v>
      </c>
      <c r="E1168" s="196" t="s">
        <v>88</v>
      </c>
      <c r="F1168" s="196">
        <v>76.400000000000006</v>
      </c>
      <c r="G1168" s="196">
        <f t="shared" si="18"/>
        <v>38.200000000000003</v>
      </c>
      <c r="H1168" s="196">
        <v>0</v>
      </c>
      <c r="I1168" s="196" t="s">
        <v>611</v>
      </c>
      <c r="J1168" s="196"/>
    </row>
    <row r="1169" spans="1:10" ht="14.4" hidden="1" outlineLevel="1">
      <c r="A1169" s="196" t="s">
        <v>351</v>
      </c>
      <c r="B1169" s="197">
        <v>42080</v>
      </c>
      <c r="C1169" s="196" t="s">
        <v>959</v>
      </c>
      <c r="D1169" s="196">
        <v>80</v>
      </c>
      <c r="E1169" s="196" t="s">
        <v>995</v>
      </c>
      <c r="F1169" s="196">
        <v>79.900000000000006</v>
      </c>
      <c r="G1169" s="196">
        <f t="shared" si="18"/>
        <v>39.950000000000003</v>
      </c>
      <c r="H1169" s="196">
        <v>8321</v>
      </c>
      <c r="I1169" s="196" t="s">
        <v>996</v>
      </c>
      <c r="J1169" s="196"/>
    </row>
    <row r="1170" spans="1:10" ht="14.4" hidden="1" outlineLevel="1">
      <c r="A1170" s="196" t="s">
        <v>351</v>
      </c>
      <c r="B1170" s="197">
        <v>42081</v>
      </c>
      <c r="C1170" s="196" t="s">
        <v>962</v>
      </c>
      <c r="D1170" s="196">
        <v>79.8</v>
      </c>
      <c r="E1170" s="196" t="s">
        <v>962</v>
      </c>
      <c r="F1170" s="196">
        <v>79.8</v>
      </c>
      <c r="G1170" s="196">
        <f t="shared" si="18"/>
        <v>39.9</v>
      </c>
      <c r="H1170" s="196">
        <v>3509</v>
      </c>
      <c r="I1170" s="196" t="s">
        <v>994</v>
      </c>
      <c r="J1170" s="196"/>
    </row>
    <row r="1171" spans="1:10" ht="14.4" hidden="1" outlineLevel="1">
      <c r="A1171" s="196" t="s">
        <v>351</v>
      </c>
      <c r="B1171" s="197">
        <v>42082</v>
      </c>
      <c r="C1171" s="196" t="s">
        <v>992</v>
      </c>
      <c r="D1171" s="196">
        <v>78.5</v>
      </c>
      <c r="E1171" s="196" t="s">
        <v>962</v>
      </c>
      <c r="F1171" s="196">
        <v>78.5</v>
      </c>
      <c r="G1171" s="196">
        <f t="shared" si="18"/>
        <v>39.25</v>
      </c>
      <c r="H1171" s="196">
        <v>1210</v>
      </c>
      <c r="I1171" s="196" t="s">
        <v>993</v>
      </c>
      <c r="J1171" s="196"/>
    </row>
    <row r="1172" spans="1:10" ht="14.4" hidden="1" outlineLevel="1">
      <c r="A1172" s="196" t="s">
        <v>351</v>
      </c>
      <c r="B1172" s="197">
        <v>42083</v>
      </c>
      <c r="C1172" s="196" t="s">
        <v>990</v>
      </c>
      <c r="D1172" s="196">
        <v>78.3</v>
      </c>
      <c r="E1172" s="196" t="s">
        <v>962</v>
      </c>
      <c r="F1172" s="196">
        <v>78</v>
      </c>
      <c r="G1172" s="196">
        <f t="shared" si="18"/>
        <v>39</v>
      </c>
      <c r="H1172" s="196">
        <v>505</v>
      </c>
      <c r="I1172" s="196" t="s">
        <v>991</v>
      </c>
      <c r="J1172" s="196"/>
    </row>
    <row r="1173" spans="1:10" ht="14.4" hidden="1" outlineLevel="1">
      <c r="A1173" s="196" t="s">
        <v>351</v>
      </c>
      <c r="B1173" s="197">
        <v>42086</v>
      </c>
      <c r="C1173" s="196" t="s">
        <v>962</v>
      </c>
      <c r="D1173" s="196">
        <v>78</v>
      </c>
      <c r="E1173" s="196" t="s">
        <v>962</v>
      </c>
      <c r="F1173" s="196">
        <v>78</v>
      </c>
      <c r="G1173" s="196">
        <f t="shared" si="18"/>
        <v>39</v>
      </c>
      <c r="H1173" s="196">
        <v>1800</v>
      </c>
      <c r="I1173" s="196" t="s">
        <v>989</v>
      </c>
      <c r="J1173" s="196"/>
    </row>
    <row r="1174" spans="1:10" ht="14.4" hidden="1" outlineLevel="1">
      <c r="A1174" s="196" t="s">
        <v>351</v>
      </c>
      <c r="B1174" s="197">
        <v>42087</v>
      </c>
      <c r="C1174" s="196" t="s">
        <v>962</v>
      </c>
      <c r="D1174" s="196">
        <v>78.5</v>
      </c>
      <c r="E1174" s="196" t="s">
        <v>987</v>
      </c>
      <c r="F1174" s="196">
        <v>75.599999999999994</v>
      </c>
      <c r="G1174" s="196">
        <f t="shared" si="18"/>
        <v>37.799999999999997</v>
      </c>
      <c r="H1174" s="196">
        <v>24609</v>
      </c>
      <c r="I1174" s="196" t="s">
        <v>988</v>
      </c>
      <c r="J1174" s="196"/>
    </row>
    <row r="1175" spans="1:10" ht="14.4" hidden="1" outlineLevel="1">
      <c r="A1175" s="196" t="s">
        <v>351</v>
      </c>
      <c r="B1175" s="197">
        <v>42088</v>
      </c>
      <c r="C1175" s="196" t="s">
        <v>985</v>
      </c>
      <c r="D1175" s="196">
        <v>77.900000000000006</v>
      </c>
      <c r="E1175" s="196" t="s">
        <v>972</v>
      </c>
      <c r="F1175" s="196">
        <v>76</v>
      </c>
      <c r="G1175" s="196">
        <f t="shared" si="18"/>
        <v>38</v>
      </c>
      <c r="H1175" s="196">
        <v>217</v>
      </c>
      <c r="I1175" s="196" t="s">
        <v>986</v>
      </c>
      <c r="J1175" s="196"/>
    </row>
    <row r="1176" spans="1:10" ht="14.4" hidden="1" outlineLevel="1">
      <c r="A1176" s="196" t="s">
        <v>351</v>
      </c>
      <c r="B1176" s="197">
        <v>42089</v>
      </c>
      <c r="C1176" s="196" t="s">
        <v>972</v>
      </c>
      <c r="D1176" s="196">
        <v>76.900000000000006</v>
      </c>
      <c r="E1176" s="196" t="s">
        <v>983</v>
      </c>
      <c r="F1176" s="196">
        <v>74.2</v>
      </c>
      <c r="G1176" s="196">
        <f t="shared" si="18"/>
        <v>37.1</v>
      </c>
      <c r="H1176" s="196">
        <v>3834</v>
      </c>
      <c r="I1176" s="196" t="s">
        <v>984</v>
      </c>
      <c r="J1176" s="196"/>
    </row>
    <row r="1177" spans="1:10" ht="14.4" hidden="1" outlineLevel="1">
      <c r="A1177" s="196" t="s">
        <v>351</v>
      </c>
      <c r="B1177" s="197">
        <v>42090</v>
      </c>
      <c r="C1177" s="196" t="s">
        <v>980</v>
      </c>
      <c r="D1177" s="196">
        <v>75.5</v>
      </c>
      <c r="E1177" s="196" t="s">
        <v>980</v>
      </c>
      <c r="F1177" s="196">
        <v>75.099999999999994</v>
      </c>
      <c r="G1177" s="196">
        <f t="shared" si="18"/>
        <v>37.549999999999997</v>
      </c>
      <c r="H1177" s="196">
        <v>24448</v>
      </c>
      <c r="I1177" s="196" t="s">
        <v>982</v>
      </c>
      <c r="J1177" s="196"/>
    </row>
    <row r="1178" spans="1:10" ht="14.4" hidden="1" outlineLevel="1">
      <c r="A1178" s="196" t="s">
        <v>351</v>
      </c>
      <c r="B1178" s="197">
        <v>42093</v>
      </c>
      <c r="C1178" s="196" t="s">
        <v>979</v>
      </c>
      <c r="D1178" s="196">
        <v>76.400000000000006</v>
      </c>
      <c r="E1178" s="196" t="s">
        <v>980</v>
      </c>
      <c r="F1178" s="196">
        <v>75</v>
      </c>
      <c r="G1178" s="196">
        <f t="shared" si="18"/>
        <v>37.5</v>
      </c>
      <c r="H1178" s="196">
        <v>500</v>
      </c>
      <c r="I1178" s="196" t="s">
        <v>981</v>
      </c>
      <c r="J1178" s="196"/>
    </row>
    <row r="1179" spans="1:10" ht="14.4" hidden="1" outlineLevel="1">
      <c r="A1179" s="196" t="s">
        <v>351</v>
      </c>
      <c r="B1179" s="197">
        <v>42094</v>
      </c>
      <c r="C1179" s="196" t="s">
        <v>970</v>
      </c>
      <c r="D1179" s="196">
        <v>76.5</v>
      </c>
      <c r="E1179" s="196" t="s">
        <v>970</v>
      </c>
      <c r="F1179" s="196">
        <v>76</v>
      </c>
      <c r="G1179" s="196">
        <f t="shared" si="18"/>
        <v>38</v>
      </c>
      <c r="H1179" s="196">
        <v>6060</v>
      </c>
      <c r="I1179" s="196" t="s">
        <v>978</v>
      </c>
      <c r="J1179" s="196"/>
    </row>
    <row r="1180" spans="1:10" s="192" customFormat="1" ht="14.4" collapsed="1">
      <c r="A1180" s="198" t="s">
        <v>351</v>
      </c>
      <c r="B1180" s="199">
        <v>42095</v>
      </c>
      <c r="C1180" s="198">
        <v>76.5</v>
      </c>
      <c r="D1180" s="198">
        <v>77</v>
      </c>
      <c r="E1180" s="198">
        <v>76.5</v>
      </c>
      <c r="F1180" s="198">
        <v>76.8</v>
      </c>
      <c r="G1180" s="198">
        <f t="shared" si="18"/>
        <v>38.4</v>
      </c>
      <c r="H1180" s="198">
        <v>1298</v>
      </c>
      <c r="I1180" s="198">
        <v>99647</v>
      </c>
      <c r="J1180" s="198">
        <f>AVERAGE(G1180:G1421)</f>
        <v>52.340289256198368</v>
      </c>
    </row>
    <row r="1181" spans="1:10" ht="14.4">
      <c r="A1181" s="196" t="s">
        <v>351</v>
      </c>
      <c r="B1181" s="197">
        <v>42096</v>
      </c>
      <c r="C1181" s="196">
        <v>77</v>
      </c>
      <c r="D1181" s="196">
        <v>78.400000000000006</v>
      </c>
      <c r="E1181" s="196">
        <v>76.8</v>
      </c>
      <c r="F1181" s="196">
        <v>76.8</v>
      </c>
      <c r="G1181" s="196">
        <f t="shared" si="18"/>
        <v>38.4</v>
      </c>
      <c r="H1181" s="196">
        <v>1500</v>
      </c>
      <c r="I1181" s="196">
        <v>116040</v>
      </c>
      <c r="J1181" s="196"/>
    </row>
    <row r="1182" spans="1:10" ht="14.4">
      <c r="A1182" s="196" t="s">
        <v>351</v>
      </c>
      <c r="B1182" s="197">
        <v>42100</v>
      </c>
      <c r="C1182" s="196">
        <v>76</v>
      </c>
      <c r="D1182" s="196">
        <v>76</v>
      </c>
      <c r="E1182" s="196">
        <v>75.5</v>
      </c>
      <c r="F1182" s="196">
        <v>75.7</v>
      </c>
      <c r="G1182" s="196">
        <f t="shared" si="18"/>
        <v>37.85</v>
      </c>
      <c r="H1182" s="196">
        <v>15000</v>
      </c>
      <c r="I1182" s="196">
        <v>1135000</v>
      </c>
      <c r="J1182" s="196"/>
    </row>
    <row r="1183" spans="1:10" ht="14.4">
      <c r="A1183" s="196" t="s">
        <v>351</v>
      </c>
      <c r="B1183" s="197">
        <v>42101</v>
      </c>
      <c r="C1183" s="196" t="s">
        <v>88</v>
      </c>
      <c r="D1183" s="196" t="s">
        <v>88</v>
      </c>
      <c r="E1183" s="196" t="s">
        <v>88</v>
      </c>
      <c r="F1183" s="196">
        <v>75.7</v>
      </c>
      <c r="G1183" s="196">
        <f t="shared" si="18"/>
        <v>37.85</v>
      </c>
      <c r="H1183" s="196">
        <v>0</v>
      </c>
      <c r="I1183" s="196">
        <v>0</v>
      </c>
      <c r="J1183" s="196"/>
    </row>
    <row r="1184" spans="1:10" ht="14.4">
      <c r="A1184" s="196" t="s">
        <v>351</v>
      </c>
      <c r="B1184" s="197">
        <v>42102</v>
      </c>
      <c r="C1184" s="196">
        <v>78</v>
      </c>
      <c r="D1184" s="196">
        <v>78</v>
      </c>
      <c r="E1184" s="196">
        <v>78</v>
      </c>
      <c r="F1184" s="196">
        <v>78</v>
      </c>
      <c r="G1184" s="196">
        <f t="shared" si="18"/>
        <v>39</v>
      </c>
      <c r="H1184" s="196">
        <v>100</v>
      </c>
      <c r="I1184" s="196">
        <v>7800</v>
      </c>
      <c r="J1184" s="196"/>
    </row>
    <row r="1185" spans="1:10" ht="14.4">
      <c r="A1185" s="196" t="s">
        <v>351</v>
      </c>
      <c r="B1185" s="197">
        <v>42103</v>
      </c>
      <c r="C1185" s="196">
        <v>75.5</v>
      </c>
      <c r="D1185" s="196">
        <v>78</v>
      </c>
      <c r="E1185" s="196">
        <v>75.3</v>
      </c>
      <c r="F1185" s="196">
        <v>77.900000000000006</v>
      </c>
      <c r="G1185" s="196">
        <f t="shared" si="18"/>
        <v>38.950000000000003</v>
      </c>
      <c r="H1185" s="196">
        <v>1900</v>
      </c>
      <c r="I1185" s="196">
        <v>144390.20000000001</v>
      </c>
      <c r="J1185" s="196"/>
    </row>
    <row r="1186" spans="1:10" ht="14.4">
      <c r="A1186" s="196" t="s">
        <v>351</v>
      </c>
      <c r="B1186" s="197">
        <v>42104</v>
      </c>
      <c r="C1186" s="196">
        <v>76.5</v>
      </c>
      <c r="D1186" s="196">
        <v>78</v>
      </c>
      <c r="E1186" s="196">
        <v>76.5</v>
      </c>
      <c r="F1186" s="196">
        <v>78</v>
      </c>
      <c r="G1186" s="196">
        <f t="shared" si="18"/>
        <v>39</v>
      </c>
      <c r="H1186" s="196">
        <v>10072</v>
      </c>
      <c r="I1186" s="196">
        <v>785508</v>
      </c>
      <c r="J1186" s="196"/>
    </row>
    <row r="1187" spans="1:10" ht="14.4">
      <c r="A1187" s="196" t="s">
        <v>351</v>
      </c>
      <c r="B1187" s="197">
        <v>42109</v>
      </c>
      <c r="C1187" s="196">
        <v>78</v>
      </c>
      <c r="D1187" s="196">
        <v>78</v>
      </c>
      <c r="E1187" s="196">
        <v>78</v>
      </c>
      <c r="F1187" s="196">
        <v>78</v>
      </c>
      <c r="G1187" s="196">
        <f t="shared" si="18"/>
        <v>39</v>
      </c>
      <c r="H1187" s="196">
        <v>100</v>
      </c>
      <c r="I1187" s="196">
        <v>7800</v>
      </c>
      <c r="J1187" s="196"/>
    </row>
    <row r="1188" spans="1:10" ht="14.4">
      <c r="A1188" s="196" t="s">
        <v>351</v>
      </c>
      <c r="B1188" s="197">
        <v>42110</v>
      </c>
      <c r="C1188" s="196">
        <v>80</v>
      </c>
      <c r="D1188" s="196">
        <v>83</v>
      </c>
      <c r="E1188" s="196">
        <v>80</v>
      </c>
      <c r="F1188" s="196">
        <v>81.5</v>
      </c>
      <c r="G1188" s="196">
        <f t="shared" si="18"/>
        <v>40.75</v>
      </c>
      <c r="H1188" s="196">
        <v>28000</v>
      </c>
      <c r="I1188" s="196">
        <v>2282900</v>
      </c>
      <c r="J1188" s="196"/>
    </row>
    <row r="1189" spans="1:10" ht="14.4">
      <c r="A1189" s="196" t="s">
        <v>351</v>
      </c>
      <c r="B1189" s="197">
        <v>42111</v>
      </c>
      <c r="C1189" s="196">
        <v>81</v>
      </c>
      <c r="D1189" s="196">
        <v>81</v>
      </c>
      <c r="E1189" s="196">
        <v>80</v>
      </c>
      <c r="F1189" s="196">
        <v>80.5</v>
      </c>
      <c r="G1189" s="196">
        <f t="shared" si="18"/>
        <v>40.25</v>
      </c>
      <c r="H1189" s="196">
        <v>212</v>
      </c>
      <c r="I1189" s="196">
        <v>17060</v>
      </c>
      <c r="J1189" s="196"/>
    </row>
    <row r="1190" spans="1:10" ht="14.4">
      <c r="A1190" s="196" t="s">
        <v>351</v>
      </c>
      <c r="B1190" s="197">
        <v>42114</v>
      </c>
      <c r="C1190" s="196">
        <v>78</v>
      </c>
      <c r="D1190" s="196">
        <v>80.5</v>
      </c>
      <c r="E1190" s="196">
        <v>78</v>
      </c>
      <c r="F1190" s="196">
        <v>78.5</v>
      </c>
      <c r="G1190" s="196">
        <f t="shared" si="18"/>
        <v>39.25</v>
      </c>
      <c r="H1190" s="196">
        <v>3210</v>
      </c>
      <c r="I1190" s="196">
        <v>251893</v>
      </c>
      <c r="J1190" s="196"/>
    </row>
    <row r="1191" spans="1:10" ht="14.4">
      <c r="A1191" s="196" t="s">
        <v>351</v>
      </c>
      <c r="B1191" s="197">
        <v>42115</v>
      </c>
      <c r="C1191" s="196">
        <v>80</v>
      </c>
      <c r="D1191" s="196">
        <v>80</v>
      </c>
      <c r="E1191" s="196">
        <v>79.900000000000006</v>
      </c>
      <c r="F1191" s="196">
        <v>80</v>
      </c>
      <c r="G1191" s="196">
        <f t="shared" si="18"/>
        <v>40</v>
      </c>
      <c r="H1191" s="196">
        <v>12</v>
      </c>
      <c r="I1191" s="196">
        <v>959.9</v>
      </c>
      <c r="J1191" s="196"/>
    </row>
    <row r="1192" spans="1:10" ht="14.4">
      <c r="A1192" s="196" t="s">
        <v>351</v>
      </c>
      <c r="B1192" s="197">
        <v>42116</v>
      </c>
      <c r="C1192" s="196">
        <v>79.900000000000006</v>
      </c>
      <c r="D1192" s="196">
        <v>79.900000000000006</v>
      </c>
      <c r="E1192" s="196">
        <v>79.900000000000006</v>
      </c>
      <c r="F1192" s="196">
        <v>79.900000000000006</v>
      </c>
      <c r="G1192" s="196">
        <f t="shared" si="18"/>
        <v>39.950000000000003</v>
      </c>
      <c r="H1192" s="196">
        <v>10</v>
      </c>
      <c r="I1192" s="196">
        <v>799</v>
      </c>
      <c r="J1192" s="196"/>
    </row>
    <row r="1193" spans="1:10" ht="14.4">
      <c r="A1193" s="196" t="s">
        <v>351</v>
      </c>
      <c r="B1193" s="197">
        <v>42117</v>
      </c>
      <c r="C1193" s="196">
        <v>78.099999999999994</v>
      </c>
      <c r="D1193" s="196">
        <v>78.3</v>
      </c>
      <c r="E1193" s="196">
        <v>78.099999999999994</v>
      </c>
      <c r="F1193" s="196">
        <v>78.2</v>
      </c>
      <c r="G1193" s="196">
        <f t="shared" si="18"/>
        <v>39.1</v>
      </c>
      <c r="H1193" s="196">
        <v>2780</v>
      </c>
      <c r="I1193" s="196">
        <v>217138</v>
      </c>
      <c r="J1193" s="196"/>
    </row>
    <row r="1194" spans="1:10" ht="14.4">
      <c r="A1194" s="196" t="s">
        <v>351</v>
      </c>
      <c r="B1194" s="197">
        <v>42118</v>
      </c>
      <c r="C1194" s="196">
        <v>78.2</v>
      </c>
      <c r="D1194" s="196">
        <v>80</v>
      </c>
      <c r="E1194" s="196">
        <v>78.099999999999994</v>
      </c>
      <c r="F1194" s="196">
        <v>80</v>
      </c>
      <c r="G1194" s="196">
        <f t="shared" si="18"/>
        <v>40</v>
      </c>
      <c r="H1194" s="196">
        <v>6124</v>
      </c>
      <c r="I1194" s="196">
        <v>483722.9</v>
      </c>
      <c r="J1194" s="196"/>
    </row>
    <row r="1195" spans="1:10" ht="14.4">
      <c r="A1195" s="196" t="s">
        <v>351</v>
      </c>
      <c r="B1195" s="197">
        <v>42121</v>
      </c>
      <c r="C1195" s="196">
        <v>80</v>
      </c>
      <c r="D1195" s="196">
        <v>80.900000000000006</v>
      </c>
      <c r="E1195" s="196">
        <v>80</v>
      </c>
      <c r="F1195" s="196">
        <v>80.900000000000006</v>
      </c>
      <c r="G1195" s="196">
        <f t="shared" si="18"/>
        <v>40.450000000000003</v>
      </c>
      <c r="H1195" s="196">
        <v>1347</v>
      </c>
      <c r="I1195" s="196">
        <v>107847.3</v>
      </c>
      <c r="J1195" s="196"/>
    </row>
    <row r="1196" spans="1:10" ht="14.4">
      <c r="A1196" s="196" t="s">
        <v>351</v>
      </c>
      <c r="B1196" s="197">
        <v>42122</v>
      </c>
      <c r="C1196" s="196">
        <v>81</v>
      </c>
      <c r="D1196" s="196">
        <v>81</v>
      </c>
      <c r="E1196" s="196">
        <v>80</v>
      </c>
      <c r="F1196" s="196">
        <v>80.2</v>
      </c>
      <c r="G1196" s="196">
        <f t="shared" si="18"/>
        <v>40.1</v>
      </c>
      <c r="H1196" s="196">
        <v>30090</v>
      </c>
      <c r="I1196" s="196">
        <v>2423909</v>
      </c>
      <c r="J1196" s="196"/>
    </row>
    <row r="1197" spans="1:10" ht="14.4">
      <c r="A1197" s="196" t="s">
        <v>351</v>
      </c>
      <c r="B1197" s="197">
        <v>42123</v>
      </c>
      <c r="C1197" s="196">
        <v>80</v>
      </c>
      <c r="D1197" s="196">
        <v>84</v>
      </c>
      <c r="E1197" s="196">
        <v>80</v>
      </c>
      <c r="F1197" s="196">
        <v>83.3</v>
      </c>
      <c r="G1197" s="196">
        <f t="shared" si="18"/>
        <v>41.65</v>
      </c>
      <c r="H1197" s="196">
        <v>650157</v>
      </c>
      <c r="I1197" s="196">
        <v>52742231.399999999</v>
      </c>
      <c r="J1197" s="196"/>
    </row>
    <row r="1198" spans="1:10" ht="14.4">
      <c r="A1198" s="196" t="s">
        <v>351</v>
      </c>
      <c r="B1198" s="197">
        <v>42124</v>
      </c>
      <c r="C1198" s="196">
        <v>84</v>
      </c>
      <c r="D1198" s="196">
        <v>86.5</v>
      </c>
      <c r="E1198" s="196">
        <v>83.1</v>
      </c>
      <c r="F1198" s="196">
        <v>86</v>
      </c>
      <c r="G1198" s="196">
        <f t="shared" si="18"/>
        <v>43</v>
      </c>
      <c r="H1198" s="196">
        <v>474005</v>
      </c>
      <c r="I1198" s="196">
        <v>40400891.899999999</v>
      </c>
      <c r="J1198" s="196"/>
    </row>
    <row r="1199" spans="1:10" ht="14.4">
      <c r="A1199" s="196" t="s">
        <v>351</v>
      </c>
      <c r="B1199" s="197">
        <v>42129</v>
      </c>
      <c r="C1199" s="196">
        <v>86.1</v>
      </c>
      <c r="D1199" s="196">
        <v>86.4</v>
      </c>
      <c r="E1199" s="196">
        <v>85.3</v>
      </c>
      <c r="F1199" s="196">
        <v>85.6</v>
      </c>
      <c r="G1199" s="196">
        <f t="shared" si="18"/>
        <v>42.8</v>
      </c>
      <c r="H1199" s="196">
        <v>29113</v>
      </c>
      <c r="I1199" s="196">
        <v>2497174.1</v>
      </c>
      <c r="J1199" s="196"/>
    </row>
    <row r="1200" spans="1:10" ht="14.4">
      <c r="A1200" s="196" t="s">
        <v>351</v>
      </c>
      <c r="B1200" s="197">
        <v>42130</v>
      </c>
      <c r="C1200" s="196" t="s">
        <v>88</v>
      </c>
      <c r="D1200" s="196">
        <v>90</v>
      </c>
      <c r="E1200" s="196">
        <v>90</v>
      </c>
      <c r="F1200" s="196">
        <v>0</v>
      </c>
      <c r="G1200" s="196">
        <f>G1199</f>
        <v>42.8</v>
      </c>
      <c r="H1200" s="196">
        <v>300000</v>
      </c>
      <c r="I1200" s="196">
        <v>27000000</v>
      </c>
      <c r="J1200" s="196"/>
    </row>
    <row r="1201" spans="1:10" ht="14.4">
      <c r="A1201" s="196" t="s">
        <v>351</v>
      </c>
      <c r="B1201" s="197">
        <v>42130</v>
      </c>
      <c r="C1201" s="196">
        <v>86</v>
      </c>
      <c r="D1201" s="196">
        <v>92.5</v>
      </c>
      <c r="E1201" s="196">
        <v>85.3</v>
      </c>
      <c r="F1201" s="196">
        <v>90.6</v>
      </c>
      <c r="G1201" s="196">
        <f t="shared" ref="G1201:G1264" si="19">F1201/2</f>
        <v>45.3</v>
      </c>
      <c r="H1201" s="196">
        <v>705301</v>
      </c>
      <c r="I1201" s="196">
        <v>62833815.399999999</v>
      </c>
      <c r="J1201" s="196"/>
    </row>
    <row r="1202" spans="1:10" ht="14.4">
      <c r="A1202" s="196" t="s">
        <v>351</v>
      </c>
      <c r="B1202" s="197">
        <v>42131</v>
      </c>
      <c r="C1202" s="196">
        <v>91</v>
      </c>
      <c r="D1202" s="196">
        <v>91</v>
      </c>
      <c r="E1202" s="196">
        <v>89</v>
      </c>
      <c r="F1202" s="196">
        <v>90</v>
      </c>
      <c r="G1202" s="196">
        <f t="shared" si="19"/>
        <v>45</v>
      </c>
      <c r="H1202" s="196">
        <v>901486</v>
      </c>
      <c r="I1202" s="196">
        <v>81152740.400000006</v>
      </c>
      <c r="J1202" s="196"/>
    </row>
    <row r="1203" spans="1:10" ht="14.4">
      <c r="A1203" s="196" t="s">
        <v>351</v>
      </c>
      <c r="B1203" s="197">
        <v>42132</v>
      </c>
      <c r="C1203" s="196">
        <v>90</v>
      </c>
      <c r="D1203" s="196">
        <v>90</v>
      </c>
      <c r="E1203" s="196">
        <v>90</v>
      </c>
      <c r="F1203" s="196">
        <v>90</v>
      </c>
      <c r="G1203" s="196">
        <f t="shared" si="19"/>
        <v>45</v>
      </c>
      <c r="H1203" s="196">
        <v>54301</v>
      </c>
      <c r="I1203" s="196">
        <v>4887090</v>
      </c>
      <c r="J1203" s="196"/>
    </row>
    <row r="1204" spans="1:10" ht="14.4">
      <c r="A1204" s="196" t="s">
        <v>351</v>
      </c>
      <c r="B1204" s="197">
        <v>42135</v>
      </c>
      <c r="C1204" s="196">
        <v>89.7</v>
      </c>
      <c r="D1204" s="196">
        <v>89.7</v>
      </c>
      <c r="E1204" s="196">
        <v>89.7</v>
      </c>
      <c r="F1204" s="196">
        <v>89.7</v>
      </c>
      <c r="G1204" s="196">
        <f t="shared" si="19"/>
        <v>44.85</v>
      </c>
      <c r="H1204" s="196">
        <v>1000</v>
      </c>
      <c r="I1204" s="196">
        <v>89700</v>
      </c>
      <c r="J1204" s="196"/>
    </row>
    <row r="1205" spans="1:10" ht="14.4">
      <c r="A1205" s="196" t="s">
        <v>351</v>
      </c>
      <c r="B1205" s="197">
        <v>42136</v>
      </c>
      <c r="C1205" s="196">
        <v>88.5</v>
      </c>
      <c r="D1205" s="196">
        <v>88.5</v>
      </c>
      <c r="E1205" s="196">
        <v>88.5</v>
      </c>
      <c r="F1205" s="196">
        <v>88.5</v>
      </c>
      <c r="G1205" s="196">
        <f t="shared" si="19"/>
        <v>44.25</v>
      </c>
      <c r="H1205" s="196">
        <v>28900</v>
      </c>
      <c r="I1205" s="196">
        <v>2557650</v>
      </c>
      <c r="J1205" s="196"/>
    </row>
    <row r="1206" spans="1:10" ht="14.4">
      <c r="A1206" s="196" t="s">
        <v>351</v>
      </c>
      <c r="B1206" s="197">
        <v>42137</v>
      </c>
      <c r="C1206" s="196">
        <v>89.6</v>
      </c>
      <c r="D1206" s="196">
        <v>89.7</v>
      </c>
      <c r="E1206" s="196">
        <v>88.4</v>
      </c>
      <c r="F1206" s="196">
        <v>89</v>
      </c>
      <c r="G1206" s="196">
        <f t="shared" si="19"/>
        <v>44.5</v>
      </c>
      <c r="H1206" s="196">
        <v>38611</v>
      </c>
      <c r="I1206" s="196">
        <v>3456910.5</v>
      </c>
      <c r="J1206" s="196"/>
    </row>
    <row r="1207" spans="1:10" ht="14.4">
      <c r="A1207" s="196" t="s">
        <v>351</v>
      </c>
      <c r="B1207" s="197">
        <v>42138</v>
      </c>
      <c r="C1207" s="196">
        <v>88.5</v>
      </c>
      <c r="D1207" s="196">
        <v>88.5</v>
      </c>
      <c r="E1207" s="196">
        <v>87</v>
      </c>
      <c r="F1207" s="196">
        <v>87.9</v>
      </c>
      <c r="G1207" s="196">
        <f t="shared" si="19"/>
        <v>43.95</v>
      </c>
      <c r="H1207" s="196">
        <v>3000</v>
      </c>
      <c r="I1207" s="196">
        <v>263790</v>
      </c>
      <c r="J1207" s="196"/>
    </row>
    <row r="1208" spans="1:10" ht="14.4">
      <c r="A1208" s="196" t="s">
        <v>351</v>
      </c>
      <c r="B1208" s="197">
        <v>42139</v>
      </c>
      <c r="C1208" s="196">
        <v>89.5</v>
      </c>
      <c r="D1208" s="196">
        <v>89.5</v>
      </c>
      <c r="E1208" s="196">
        <v>87</v>
      </c>
      <c r="F1208" s="196">
        <v>88.5</v>
      </c>
      <c r="G1208" s="196">
        <f t="shared" si="19"/>
        <v>44.25</v>
      </c>
      <c r="H1208" s="196">
        <v>39612</v>
      </c>
      <c r="I1208" s="196">
        <v>3506374</v>
      </c>
      <c r="J1208" s="196"/>
    </row>
    <row r="1209" spans="1:10" ht="14.4">
      <c r="A1209" s="196" t="s">
        <v>351</v>
      </c>
      <c r="B1209" s="197">
        <v>42142</v>
      </c>
      <c r="C1209" s="196">
        <v>88</v>
      </c>
      <c r="D1209" s="196">
        <v>88</v>
      </c>
      <c r="E1209" s="196">
        <v>87</v>
      </c>
      <c r="F1209" s="196">
        <v>87</v>
      </c>
      <c r="G1209" s="196">
        <f t="shared" si="19"/>
        <v>43.5</v>
      </c>
      <c r="H1209" s="196">
        <v>1772</v>
      </c>
      <c r="I1209" s="196">
        <v>154934</v>
      </c>
      <c r="J1209" s="196"/>
    </row>
    <row r="1210" spans="1:10" ht="14.4">
      <c r="A1210" s="196" t="s">
        <v>351</v>
      </c>
      <c r="B1210" s="197">
        <v>42143</v>
      </c>
      <c r="C1210" s="196">
        <v>86.5</v>
      </c>
      <c r="D1210" s="196">
        <v>87</v>
      </c>
      <c r="E1210" s="196">
        <v>86</v>
      </c>
      <c r="F1210" s="196">
        <v>87</v>
      </c>
      <c r="G1210" s="196">
        <f t="shared" si="19"/>
        <v>43.5</v>
      </c>
      <c r="H1210" s="196">
        <v>50536</v>
      </c>
      <c r="I1210" s="196">
        <v>4396531</v>
      </c>
      <c r="J1210" s="196"/>
    </row>
    <row r="1211" spans="1:10" ht="14.4">
      <c r="A1211" s="196" t="s">
        <v>351</v>
      </c>
      <c r="B1211" s="197">
        <v>42144</v>
      </c>
      <c r="C1211" s="196">
        <v>86</v>
      </c>
      <c r="D1211" s="196">
        <v>87</v>
      </c>
      <c r="E1211" s="196">
        <v>86</v>
      </c>
      <c r="F1211" s="196">
        <v>87</v>
      </c>
      <c r="G1211" s="196">
        <f t="shared" si="19"/>
        <v>43.5</v>
      </c>
      <c r="H1211" s="196">
        <v>8200</v>
      </c>
      <c r="I1211" s="196">
        <v>713200</v>
      </c>
      <c r="J1211" s="196"/>
    </row>
    <row r="1212" spans="1:10" ht="14.4">
      <c r="A1212" s="196" t="s">
        <v>351</v>
      </c>
      <c r="B1212" s="197">
        <v>42145</v>
      </c>
      <c r="C1212" s="196">
        <v>86.5</v>
      </c>
      <c r="D1212" s="196">
        <v>86.5</v>
      </c>
      <c r="E1212" s="196">
        <v>86</v>
      </c>
      <c r="F1212" s="196">
        <v>86.1</v>
      </c>
      <c r="G1212" s="196">
        <f t="shared" si="19"/>
        <v>43.05</v>
      </c>
      <c r="H1212" s="196">
        <v>23053</v>
      </c>
      <c r="I1212" s="196">
        <v>1982966.9</v>
      </c>
      <c r="J1212" s="196"/>
    </row>
    <row r="1213" spans="1:10" ht="14.4">
      <c r="A1213" s="196" t="s">
        <v>351</v>
      </c>
      <c r="B1213" s="197">
        <v>42146</v>
      </c>
      <c r="C1213" s="196">
        <v>87</v>
      </c>
      <c r="D1213" s="196">
        <v>88</v>
      </c>
      <c r="E1213" s="196">
        <v>86.1</v>
      </c>
      <c r="F1213" s="196">
        <v>88</v>
      </c>
      <c r="G1213" s="196">
        <f t="shared" si="19"/>
        <v>44</v>
      </c>
      <c r="H1213" s="196">
        <v>25300</v>
      </c>
      <c r="I1213" s="196">
        <v>2210262.9</v>
      </c>
      <c r="J1213" s="196"/>
    </row>
    <row r="1214" spans="1:10" ht="14.4">
      <c r="A1214" s="196" t="s">
        <v>351</v>
      </c>
      <c r="B1214" s="197">
        <v>42149</v>
      </c>
      <c r="C1214" s="196">
        <v>87</v>
      </c>
      <c r="D1214" s="196">
        <v>88.9</v>
      </c>
      <c r="E1214" s="196">
        <v>86.6</v>
      </c>
      <c r="F1214" s="196">
        <v>87</v>
      </c>
      <c r="G1214" s="196">
        <f t="shared" si="19"/>
        <v>43.5</v>
      </c>
      <c r="H1214" s="196">
        <v>73990</v>
      </c>
      <c r="I1214" s="196">
        <v>6436018.5999999996</v>
      </c>
      <c r="J1214" s="196"/>
    </row>
    <row r="1215" spans="1:10" ht="14.4">
      <c r="A1215" s="196" t="s">
        <v>351</v>
      </c>
      <c r="B1215" s="197">
        <v>42150</v>
      </c>
      <c r="C1215" s="196">
        <v>88.9</v>
      </c>
      <c r="D1215" s="196">
        <v>90</v>
      </c>
      <c r="E1215" s="196">
        <v>87.1</v>
      </c>
      <c r="F1215" s="196">
        <v>89.9</v>
      </c>
      <c r="G1215" s="196">
        <f t="shared" si="19"/>
        <v>44.95</v>
      </c>
      <c r="H1215" s="196">
        <v>5480</v>
      </c>
      <c r="I1215" s="196">
        <v>478502.5</v>
      </c>
      <c r="J1215" s="196"/>
    </row>
    <row r="1216" spans="1:10" ht="14.4">
      <c r="A1216" s="196" t="s">
        <v>351</v>
      </c>
      <c r="B1216" s="197">
        <v>42151</v>
      </c>
      <c r="C1216" s="196">
        <v>89.8</v>
      </c>
      <c r="D1216" s="196">
        <v>89.8</v>
      </c>
      <c r="E1216" s="196">
        <v>86</v>
      </c>
      <c r="F1216" s="196">
        <v>89.1</v>
      </c>
      <c r="G1216" s="196">
        <f t="shared" si="19"/>
        <v>44.55</v>
      </c>
      <c r="H1216" s="196">
        <v>38300</v>
      </c>
      <c r="I1216" s="196">
        <v>3352397.5</v>
      </c>
      <c r="J1216" s="196"/>
    </row>
    <row r="1217" spans="1:10" ht="14.4">
      <c r="A1217" s="196" t="s">
        <v>351</v>
      </c>
      <c r="B1217" s="197">
        <v>42152</v>
      </c>
      <c r="C1217" s="196">
        <v>88</v>
      </c>
      <c r="D1217" s="196">
        <v>88</v>
      </c>
      <c r="E1217" s="196">
        <v>88</v>
      </c>
      <c r="F1217" s="196">
        <v>88</v>
      </c>
      <c r="G1217" s="196">
        <f t="shared" si="19"/>
        <v>44</v>
      </c>
      <c r="H1217" s="196">
        <v>11000</v>
      </c>
      <c r="I1217" s="196">
        <v>968000</v>
      </c>
      <c r="J1217" s="196"/>
    </row>
    <row r="1218" spans="1:10" ht="14.4">
      <c r="A1218" s="196" t="s">
        <v>351</v>
      </c>
      <c r="B1218" s="197">
        <v>42153</v>
      </c>
      <c r="C1218" s="196">
        <v>88.9</v>
      </c>
      <c r="D1218" s="196">
        <v>89.5</v>
      </c>
      <c r="E1218" s="196">
        <v>88.5</v>
      </c>
      <c r="F1218" s="196">
        <v>89</v>
      </c>
      <c r="G1218" s="196">
        <f t="shared" si="19"/>
        <v>44.5</v>
      </c>
      <c r="H1218" s="196">
        <v>22527</v>
      </c>
      <c r="I1218" s="196">
        <v>2006935</v>
      </c>
      <c r="J1218" s="196"/>
    </row>
    <row r="1219" spans="1:10" ht="14.4">
      <c r="A1219" s="196" t="s">
        <v>351</v>
      </c>
      <c r="B1219" s="197">
        <v>42156</v>
      </c>
      <c r="C1219" s="196">
        <v>89.6</v>
      </c>
      <c r="D1219" s="196">
        <v>91.5</v>
      </c>
      <c r="E1219" s="196">
        <v>87</v>
      </c>
      <c r="F1219" s="196">
        <v>89.9</v>
      </c>
      <c r="G1219" s="196">
        <f t="shared" si="19"/>
        <v>44.95</v>
      </c>
      <c r="H1219" s="196">
        <v>291997</v>
      </c>
      <c r="I1219" s="196">
        <v>26183010.800000001</v>
      </c>
      <c r="J1219" s="196"/>
    </row>
    <row r="1220" spans="1:10" ht="14.4">
      <c r="A1220" s="196" t="s">
        <v>351</v>
      </c>
      <c r="B1220" s="197">
        <v>42158</v>
      </c>
      <c r="C1220" s="196">
        <v>93.1</v>
      </c>
      <c r="D1220" s="196">
        <v>96.6</v>
      </c>
      <c r="E1220" s="196">
        <v>93</v>
      </c>
      <c r="F1220" s="196">
        <v>93.4</v>
      </c>
      <c r="G1220" s="196">
        <f t="shared" si="19"/>
        <v>46.7</v>
      </c>
      <c r="H1220" s="196">
        <v>727887</v>
      </c>
      <c r="I1220" s="196">
        <v>69022234</v>
      </c>
      <c r="J1220" s="196"/>
    </row>
    <row r="1221" spans="1:10" ht="14.4">
      <c r="A1221" s="196" t="s">
        <v>351</v>
      </c>
      <c r="B1221" s="197">
        <v>42159</v>
      </c>
      <c r="C1221" s="196">
        <v>94</v>
      </c>
      <c r="D1221" s="196">
        <v>94</v>
      </c>
      <c r="E1221" s="196">
        <v>91.5</v>
      </c>
      <c r="F1221" s="196">
        <v>92.5</v>
      </c>
      <c r="G1221" s="196">
        <f t="shared" si="19"/>
        <v>46.25</v>
      </c>
      <c r="H1221" s="196">
        <v>60695</v>
      </c>
      <c r="I1221" s="196">
        <v>5605741.9000000004</v>
      </c>
      <c r="J1221" s="196"/>
    </row>
    <row r="1222" spans="1:10" ht="14.4">
      <c r="A1222" s="196" t="s">
        <v>351</v>
      </c>
      <c r="B1222" s="197">
        <v>42160</v>
      </c>
      <c r="C1222" s="196">
        <v>91.3</v>
      </c>
      <c r="D1222" s="196">
        <v>92.7</v>
      </c>
      <c r="E1222" s="196">
        <v>90.5</v>
      </c>
      <c r="F1222" s="196">
        <v>91.3</v>
      </c>
      <c r="G1222" s="196">
        <f t="shared" si="19"/>
        <v>45.65</v>
      </c>
      <c r="H1222" s="196">
        <v>72496</v>
      </c>
      <c r="I1222" s="196">
        <v>6637684.9000000004</v>
      </c>
      <c r="J1222" s="196"/>
    </row>
    <row r="1223" spans="1:10" ht="14.4">
      <c r="A1223" s="196" t="s">
        <v>351</v>
      </c>
      <c r="B1223" s="197">
        <v>42163</v>
      </c>
      <c r="C1223" s="196">
        <v>93.9</v>
      </c>
      <c r="D1223" s="196">
        <v>93.9</v>
      </c>
      <c r="E1223" s="196">
        <v>90</v>
      </c>
      <c r="F1223" s="196">
        <v>90.1</v>
      </c>
      <c r="G1223" s="196">
        <f t="shared" si="19"/>
        <v>45.05</v>
      </c>
      <c r="H1223" s="196">
        <v>18832</v>
      </c>
      <c r="I1223" s="196">
        <v>1710148.9</v>
      </c>
      <c r="J1223" s="196"/>
    </row>
    <row r="1224" spans="1:10" ht="14.4">
      <c r="A1224" s="196" t="s">
        <v>351</v>
      </c>
      <c r="B1224" s="197">
        <v>42164</v>
      </c>
      <c r="C1224" s="196">
        <v>90.2</v>
      </c>
      <c r="D1224" s="196">
        <v>92.8</v>
      </c>
      <c r="E1224" s="196">
        <v>90.2</v>
      </c>
      <c r="F1224" s="196">
        <v>91.2</v>
      </c>
      <c r="G1224" s="196">
        <f t="shared" si="19"/>
        <v>45.6</v>
      </c>
      <c r="H1224" s="196">
        <v>16231</v>
      </c>
      <c r="I1224" s="196">
        <v>1479547.3</v>
      </c>
      <c r="J1224" s="196"/>
    </row>
    <row r="1225" spans="1:10" ht="14.4">
      <c r="A1225" s="196" t="s">
        <v>351</v>
      </c>
      <c r="B1225" s="197">
        <v>42165</v>
      </c>
      <c r="C1225" s="196">
        <v>92.1</v>
      </c>
      <c r="D1225" s="196">
        <v>92.1</v>
      </c>
      <c r="E1225" s="196">
        <v>91.2</v>
      </c>
      <c r="F1225" s="196">
        <v>91.3</v>
      </c>
      <c r="G1225" s="196">
        <f t="shared" si="19"/>
        <v>45.65</v>
      </c>
      <c r="H1225" s="196">
        <v>55769</v>
      </c>
      <c r="I1225" s="196">
        <v>5108174.0999999996</v>
      </c>
      <c r="J1225" s="196"/>
    </row>
    <row r="1226" spans="1:10" ht="14.4">
      <c r="A1226" s="196" t="s">
        <v>351</v>
      </c>
      <c r="B1226" s="197">
        <v>42166</v>
      </c>
      <c r="C1226" s="196">
        <v>91.3</v>
      </c>
      <c r="D1226" s="196">
        <v>93</v>
      </c>
      <c r="E1226" s="196">
        <v>91.3</v>
      </c>
      <c r="F1226" s="196">
        <v>92.6</v>
      </c>
      <c r="G1226" s="196">
        <f t="shared" si="19"/>
        <v>46.3</v>
      </c>
      <c r="H1226" s="196">
        <v>33704</v>
      </c>
      <c r="I1226" s="196">
        <v>3097298</v>
      </c>
      <c r="J1226" s="196"/>
    </row>
    <row r="1227" spans="1:10" ht="14.4">
      <c r="A1227" s="196" t="s">
        <v>351</v>
      </c>
      <c r="B1227" s="197">
        <v>42167</v>
      </c>
      <c r="C1227" s="196">
        <v>92</v>
      </c>
      <c r="D1227" s="196">
        <v>93</v>
      </c>
      <c r="E1227" s="196">
        <v>92</v>
      </c>
      <c r="F1227" s="196">
        <v>92.5</v>
      </c>
      <c r="G1227" s="196">
        <f t="shared" si="19"/>
        <v>46.25</v>
      </c>
      <c r="H1227" s="196">
        <v>58721</v>
      </c>
      <c r="I1227" s="196">
        <v>5434257</v>
      </c>
      <c r="J1227" s="196"/>
    </row>
    <row r="1228" spans="1:10" ht="14.4">
      <c r="A1228" s="196" t="s">
        <v>351</v>
      </c>
      <c r="B1228" s="197">
        <v>42170</v>
      </c>
      <c r="C1228" s="196">
        <v>92.5</v>
      </c>
      <c r="D1228" s="196">
        <v>92.9</v>
      </c>
      <c r="E1228" s="196">
        <v>92</v>
      </c>
      <c r="F1228" s="196">
        <v>92</v>
      </c>
      <c r="G1228" s="196">
        <f t="shared" si="19"/>
        <v>46</v>
      </c>
      <c r="H1228" s="196">
        <v>20994</v>
      </c>
      <c r="I1228" s="196">
        <v>1931838</v>
      </c>
      <c r="J1228" s="196"/>
    </row>
    <row r="1229" spans="1:10" ht="14.4">
      <c r="A1229" s="196" t="s">
        <v>351</v>
      </c>
      <c r="B1229" s="197">
        <v>42171</v>
      </c>
      <c r="C1229" s="196">
        <v>91.8</v>
      </c>
      <c r="D1229" s="196">
        <v>91.8</v>
      </c>
      <c r="E1229" s="196">
        <v>91</v>
      </c>
      <c r="F1229" s="196">
        <v>91.4</v>
      </c>
      <c r="G1229" s="196">
        <f t="shared" si="19"/>
        <v>45.7</v>
      </c>
      <c r="H1229" s="196">
        <v>45744</v>
      </c>
      <c r="I1229" s="196">
        <v>4185268.3</v>
      </c>
      <c r="J1229" s="196"/>
    </row>
    <row r="1230" spans="1:10" ht="14.4">
      <c r="A1230" s="196" t="s">
        <v>351</v>
      </c>
      <c r="B1230" s="197">
        <v>42172</v>
      </c>
      <c r="C1230" s="196">
        <v>91.4</v>
      </c>
      <c r="D1230" s="196">
        <v>92</v>
      </c>
      <c r="E1230" s="196">
        <v>91.2</v>
      </c>
      <c r="F1230" s="196">
        <v>91.9</v>
      </c>
      <c r="G1230" s="196">
        <f t="shared" si="19"/>
        <v>45.95</v>
      </c>
      <c r="H1230" s="196">
        <v>17436</v>
      </c>
      <c r="I1230" s="196">
        <v>1602609</v>
      </c>
      <c r="J1230" s="196"/>
    </row>
    <row r="1231" spans="1:10" ht="14.4">
      <c r="A1231" s="196" t="s">
        <v>351</v>
      </c>
      <c r="B1231" s="197">
        <v>42173</v>
      </c>
      <c r="C1231" s="196">
        <v>91.5</v>
      </c>
      <c r="D1231" s="196">
        <v>91.5</v>
      </c>
      <c r="E1231" s="196">
        <v>91.4</v>
      </c>
      <c r="F1231" s="196">
        <v>91.5</v>
      </c>
      <c r="G1231" s="196">
        <f t="shared" si="19"/>
        <v>45.75</v>
      </c>
      <c r="H1231" s="196">
        <v>1200</v>
      </c>
      <c r="I1231" s="196">
        <v>109780</v>
      </c>
      <c r="J1231" s="196"/>
    </row>
    <row r="1232" spans="1:10" ht="14.4">
      <c r="A1232" s="196" t="s">
        <v>351</v>
      </c>
      <c r="B1232" s="197">
        <v>42174</v>
      </c>
      <c r="C1232" s="196">
        <v>92</v>
      </c>
      <c r="D1232" s="196">
        <v>93.9</v>
      </c>
      <c r="E1232" s="196">
        <v>91.5</v>
      </c>
      <c r="F1232" s="196">
        <v>92</v>
      </c>
      <c r="G1232" s="196">
        <f t="shared" si="19"/>
        <v>46</v>
      </c>
      <c r="H1232" s="196">
        <v>19046</v>
      </c>
      <c r="I1232" s="196">
        <v>1752146.5</v>
      </c>
      <c r="J1232" s="196"/>
    </row>
    <row r="1233" spans="1:10" ht="14.4">
      <c r="A1233" s="196" t="s">
        <v>351</v>
      </c>
      <c r="B1233" s="197">
        <v>42177</v>
      </c>
      <c r="C1233" s="196">
        <v>92</v>
      </c>
      <c r="D1233" s="196">
        <v>92.8</v>
      </c>
      <c r="E1233" s="196">
        <v>91.6</v>
      </c>
      <c r="F1233" s="196">
        <v>92</v>
      </c>
      <c r="G1233" s="196">
        <f t="shared" si="19"/>
        <v>46</v>
      </c>
      <c r="H1233" s="196">
        <v>23446</v>
      </c>
      <c r="I1233" s="196">
        <v>2156992</v>
      </c>
      <c r="J1233" s="196"/>
    </row>
    <row r="1234" spans="1:10" ht="14.4">
      <c r="A1234" s="196" t="s">
        <v>351</v>
      </c>
      <c r="B1234" s="197">
        <v>42178</v>
      </c>
      <c r="C1234" s="196">
        <v>91.7</v>
      </c>
      <c r="D1234" s="196">
        <v>93</v>
      </c>
      <c r="E1234" s="196">
        <v>91.6</v>
      </c>
      <c r="F1234" s="196">
        <v>93</v>
      </c>
      <c r="G1234" s="196">
        <f t="shared" si="19"/>
        <v>46.5</v>
      </c>
      <c r="H1234" s="196">
        <v>35311</v>
      </c>
      <c r="I1234" s="196">
        <v>3271132.7</v>
      </c>
      <c r="J1234" s="196"/>
    </row>
    <row r="1235" spans="1:10" ht="14.4">
      <c r="A1235" s="196" t="s">
        <v>351</v>
      </c>
      <c r="B1235" s="197">
        <v>42179</v>
      </c>
      <c r="C1235" s="196">
        <v>93.5</v>
      </c>
      <c r="D1235" s="196">
        <v>94</v>
      </c>
      <c r="E1235" s="196">
        <v>92.7</v>
      </c>
      <c r="F1235" s="196">
        <v>92.7</v>
      </c>
      <c r="G1235" s="196">
        <f t="shared" si="19"/>
        <v>46.35</v>
      </c>
      <c r="H1235" s="196">
        <v>13958</v>
      </c>
      <c r="I1235" s="196">
        <v>1308201.8999999999</v>
      </c>
      <c r="J1235" s="196"/>
    </row>
    <row r="1236" spans="1:10" ht="14.4">
      <c r="A1236" s="196" t="s">
        <v>351</v>
      </c>
      <c r="B1236" s="197">
        <v>42180</v>
      </c>
      <c r="C1236" s="196">
        <v>92.7</v>
      </c>
      <c r="D1236" s="196">
        <v>92.8</v>
      </c>
      <c r="E1236" s="196">
        <v>91</v>
      </c>
      <c r="F1236" s="196">
        <v>91.2</v>
      </c>
      <c r="G1236" s="196">
        <f t="shared" si="19"/>
        <v>45.6</v>
      </c>
      <c r="H1236" s="196">
        <v>9541</v>
      </c>
      <c r="I1236" s="196">
        <v>872475.7</v>
      </c>
      <c r="J1236" s="196"/>
    </row>
    <row r="1237" spans="1:10" ht="14.4">
      <c r="A1237" s="196" t="s">
        <v>351</v>
      </c>
      <c r="B1237" s="197">
        <v>42181</v>
      </c>
      <c r="C1237" s="196">
        <v>92.4</v>
      </c>
      <c r="D1237" s="196">
        <v>92.4</v>
      </c>
      <c r="E1237" s="196">
        <v>91</v>
      </c>
      <c r="F1237" s="196">
        <v>91</v>
      </c>
      <c r="G1237" s="196">
        <f t="shared" si="19"/>
        <v>45.5</v>
      </c>
      <c r="H1237" s="196">
        <v>25964</v>
      </c>
      <c r="I1237" s="196">
        <v>2362729.4</v>
      </c>
      <c r="J1237" s="196"/>
    </row>
    <row r="1238" spans="1:10" ht="14.4">
      <c r="A1238" s="196" t="s">
        <v>351</v>
      </c>
      <c r="B1238" s="197">
        <v>42184</v>
      </c>
      <c r="C1238" s="196">
        <v>90.5</v>
      </c>
      <c r="D1238" s="196">
        <v>94</v>
      </c>
      <c r="E1238" s="196">
        <v>90.5</v>
      </c>
      <c r="F1238" s="196">
        <v>90.7</v>
      </c>
      <c r="G1238" s="196">
        <f t="shared" si="19"/>
        <v>45.35</v>
      </c>
      <c r="H1238" s="196">
        <v>214518</v>
      </c>
      <c r="I1238" s="196">
        <v>19444811.300000001</v>
      </c>
      <c r="J1238" s="196"/>
    </row>
    <row r="1239" spans="1:10" ht="14.4">
      <c r="A1239" s="196" t="s">
        <v>351</v>
      </c>
      <c r="B1239" s="197">
        <v>42185</v>
      </c>
      <c r="C1239" s="196">
        <v>93</v>
      </c>
      <c r="D1239" s="196">
        <v>93</v>
      </c>
      <c r="E1239" s="196">
        <v>91</v>
      </c>
      <c r="F1239" s="196">
        <v>91</v>
      </c>
      <c r="G1239" s="196">
        <f t="shared" si="19"/>
        <v>45.5</v>
      </c>
      <c r="H1239" s="196">
        <v>21047</v>
      </c>
      <c r="I1239" s="196">
        <v>1915326</v>
      </c>
      <c r="J1239" s="196"/>
    </row>
    <row r="1240" spans="1:10" ht="14.4">
      <c r="A1240" s="196" t="s">
        <v>351</v>
      </c>
      <c r="B1240" s="197">
        <v>42187</v>
      </c>
      <c r="C1240" s="196">
        <v>92</v>
      </c>
      <c r="D1240" s="196">
        <v>92.2</v>
      </c>
      <c r="E1240" s="196">
        <v>91</v>
      </c>
      <c r="F1240" s="196">
        <v>91</v>
      </c>
      <c r="G1240" s="196">
        <f t="shared" si="19"/>
        <v>45.5</v>
      </c>
      <c r="H1240" s="196">
        <v>60398</v>
      </c>
      <c r="I1240" s="196">
        <v>5496538.4000000004</v>
      </c>
      <c r="J1240" s="196"/>
    </row>
    <row r="1241" spans="1:10" ht="14.4">
      <c r="A1241" s="196" t="s">
        <v>351</v>
      </c>
      <c r="B1241" s="197">
        <v>42188</v>
      </c>
      <c r="C1241" s="196">
        <v>92</v>
      </c>
      <c r="D1241" s="196">
        <v>92</v>
      </c>
      <c r="E1241" s="196">
        <v>91.6</v>
      </c>
      <c r="F1241" s="196">
        <v>91.6</v>
      </c>
      <c r="G1241" s="196">
        <f t="shared" si="19"/>
        <v>45.8</v>
      </c>
      <c r="H1241" s="196">
        <v>135</v>
      </c>
      <c r="I1241" s="196">
        <v>12368</v>
      </c>
      <c r="J1241" s="196"/>
    </row>
    <row r="1242" spans="1:10" ht="14.4">
      <c r="A1242" s="196" t="s">
        <v>351</v>
      </c>
      <c r="B1242" s="197">
        <v>42191</v>
      </c>
      <c r="C1242" s="196">
        <v>91</v>
      </c>
      <c r="D1242" s="196">
        <v>92</v>
      </c>
      <c r="E1242" s="196">
        <v>91</v>
      </c>
      <c r="F1242" s="196">
        <v>91.1</v>
      </c>
      <c r="G1242" s="196">
        <f t="shared" si="19"/>
        <v>45.55</v>
      </c>
      <c r="H1242" s="196">
        <v>33302</v>
      </c>
      <c r="I1242" s="196">
        <v>3034114</v>
      </c>
      <c r="J1242" s="196"/>
    </row>
    <row r="1243" spans="1:10" ht="14.4">
      <c r="A1243" s="196" t="s">
        <v>351</v>
      </c>
      <c r="B1243" s="197">
        <v>42192</v>
      </c>
      <c r="C1243" s="196">
        <v>90.2</v>
      </c>
      <c r="D1243" s="196">
        <v>90.9</v>
      </c>
      <c r="E1243" s="196">
        <v>89.3</v>
      </c>
      <c r="F1243" s="196">
        <v>89.8</v>
      </c>
      <c r="G1243" s="196">
        <f t="shared" si="19"/>
        <v>44.9</v>
      </c>
      <c r="H1243" s="196">
        <v>2013</v>
      </c>
      <c r="I1243" s="196">
        <v>181033.60000000001</v>
      </c>
      <c r="J1243" s="196"/>
    </row>
    <row r="1244" spans="1:10" ht="14.4">
      <c r="A1244" s="196" t="s">
        <v>351</v>
      </c>
      <c r="B1244" s="197">
        <v>42193</v>
      </c>
      <c r="C1244" s="196">
        <v>91</v>
      </c>
      <c r="D1244" s="196">
        <v>91</v>
      </c>
      <c r="E1244" s="196">
        <v>91</v>
      </c>
      <c r="F1244" s="196">
        <v>89.8</v>
      </c>
      <c r="G1244" s="196">
        <f t="shared" si="19"/>
        <v>44.9</v>
      </c>
      <c r="H1244" s="196">
        <v>5</v>
      </c>
      <c r="I1244" s="196">
        <v>455</v>
      </c>
      <c r="J1244" s="196"/>
    </row>
    <row r="1245" spans="1:10" ht="14.4">
      <c r="A1245" s="196" t="s">
        <v>351</v>
      </c>
      <c r="B1245" s="197">
        <v>42194</v>
      </c>
      <c r="C1245" s="196">
        <v>90.9</v>
      </c>
      <c r="D1245" s="196">
        <v>92</v>
      </c>
      <c r="E1245" s="196">
        <v>90</v>
      </c>
      <c r="F1245" s="196">
        <v>91</v>
      </c>
      <c r="G1245" s="196">
        <f t="shared" si="19"/>
        <v>45.5</v>
      </c>
      <c r="H1245" s="196">
        <v>35860</v>
      </c>
      <c r="I1245" s="196">
        <v>3259683.5</v>
      </c>
      <c r="J1245" s="196"/>
    </row>
    <row r="1246" spans="1:10" ht="14.4">
      <c r="A1246" s="196" t="s">
        <v>351</v>
      </c>
      <c r="B1246" s="197">
        <v>42195</v>
      </c>
      <c r="C1246" s="196">
        <v>92.9</v>
      </c>
      <c r="D1246" s="196">
        <v>92.9</v>
      </c>
      <c r="E1246" s="196">
        <v>90.5</v>
      </c>
      <c r="F1246" s="196">
        <v>92</v>
      </c>
      <c r="G1246" s="196">
        <f t="shared" si="19"/>
        <v>46</v>
      </c>
      <c r="H1246" s="196">
        <v>22904</v>
      </c>
      <c r="I1246" s="196">
        <v>2104022.4</v>
      </c>
      <c r="J1246" s="196"/>
    </row>
    <row r="1247" spans="1:10" ht="14.4">
      <c r="A1247" s="196" t="s">
        <v>351</v>
      </c>
      <c r="B1247" s="197">
        <v>42198</v>
      </c>
      <c r="C1247" s="196">
        <v>93</v>
      </c>
      <c r="D1247" s="196">
        <v>93</v>
      </c>
      <c r="E1247" s="196">
        <v>93</v>
      </c>
      <c r="F1247" s="196">
        <v>93</v>
      </c>
      <c r="G1247" s="196">
        <f t="shared" si="19"/>
        <v>46.5</v>
      </c>
      <c r="H1247" s="196">
        <v>102</v>
      </c>
      <c r="I1247" s="196">
        <v>9486</v>
      </c>
      <c r="J1247" s="196"/>
    </row>
    <row r="1248" spans="1:10" ht="14.4">
      <c r="A1248" s="196" t="s">
        <v>351</v>
      </c>
      <c r="B1248" s="197">
        <v>42199</v>
      </c>
      <c r="C1248" s="196">
        <v>92</v>
      </c>
      <c r="D1248" s="196">
        <v>94</v>
      </c>
      <c r="E1248" s="196">
        <v>92</v>
      </c>
      <c r="F1248" s="196">
        <v>93</v>
      </c>
      <c r="G1248" s="196">
        <f t="shared" si="19"/>
        <v>46.5</v>
      </c>
      <c r="H1248" s="196">
        <v>61004</v>
      </c>
      <c r="I1248" s="196">
        <v>5674068.5</v>
      </c>
      <c r="J1248" s="196"/>
    </row>
    <row r="1249" spans="1:10" ht="14.4">
      <c r="A1249" s="196" t="s">
        <v>351</v>
      </c>
      <c r="B1249" s="197">
        <v>42200</v>
      </c>
      <c r="C1249" s="196">
        <v>93.9</v>
      </c>
      <c r="D1249" s="196">
        <v>95</v>
      </c>
      <c r="E1249" s="196">
        <v>93.5</v>
      </c>
      <c r="F1249" s="196">
        <v>94.3</v>
      </c>
      <c r="G1249" s="196">
        <f t="shared" si="19"/>
        <v>47.15</v>
      </c>
      <c r="H1249" s="196">
        <v>231124</v>
      </c>
      <c r="I1249" s="196">
        <v>21846740.399999999</v>
      </c>
      <c r="J1249" s="196"/>
    </row>
    <row r="1250" spans="1:10" ht="14.4">
      <c r="A1250" s="196" t="s">
        <v>351</v>
      </c>
      <c r="B1250" s="197">
        <v>42201</v>
      </c>
      <c r="C1250" s="196">
        <v>94.9</v>
      </c>
      <c r="D1250" s="196">
        <v>95</v>
      </c>
      <c r="E1250" s="196">
        <v>92.5</v>
      </c>
      <c r="F1250" s="196">
        <v>92.8</v>
      </c>
      <c r="G1250" s="196">
        <f t="shared" si="19"/>
        <v>46.4</v>
      </c>
      <c r="H1250" s="196">
        <v>40799</v>
      </c>
      <c r="I1250" s="196">
        <v>3798809.1</v>
      </c>
      <c r="J1250" s="196"/>
    </row>
    <row r="1251" spans="1:10" ht="14.4">
      <c r="A1251" s="196" t="s">
        <v>351</v>
      </c>
      <c r="B1251" s="197">
        <v>42202</v>
      </c>
      <c r="C1251" s="196">
        <v>93.1</v>
      </c>
      <c r="D1251" s="196">
        <v>94.6</v>
      </c>
      <c r="E1251" s="196">
        <v>93.1</v>
      </c>
      <c r="F1251" s="196">
        <v>93.5</v>
      </c>
      <c r="G1251" s="196">
        <f t="shared" si="19"/>
        <v>46.75</v>
      </c>
      <c r="H1251" s="196">
        <v>8402</v>
      </c>
      <c r="I1251" s="196">
        <v>788978.9</v>
      </c>
      <c r="J1251" s="196"/>
    </row>
    <row r="1252" spans="1:10" ht="14.4">
      <c r="A1252" s="196" t="s">
        <v>351</v>
      </c>
      <c r="B1252" s="197">
        <v>42205</v>
      </c>
      <c r="C1252" s="196">
        <v>94.5</v>
      </c>
      <c r="D1252" s="196">
        <v>94.5</v>
      </c>
      <c r="E1252" s="196">
        <v>93.5</v>
      </c>
      <c r="F1252" s="196">
        <v>94</v>
      </c>
      <c r="G1252" s="196">
        <f t="shared" si="19"/>
        <v>47</v>
      </c>
      <c r="H1252" s="196">
        <v>8780</v>
      </c>
      <c r="I1252" s="196">
        <v>825404.2</v>
      </c>
      <c r="J1252" s="196"/>
    </row>
    <row r="1253" spans="1:10" ht="14.4">
      <c r="A1253" s="196" t="s">
        <v>351</v>
      </c>
      <c r="B1253" s="197">
        <v>42206</v>
      </c>
      <c r="C1253" s="196">
        <v>94.3</v>
      </c>
      <c r="D1253" s="196">
        <v>94.3</v>
      </c>
      <c r="E1253" s="196">
        <v>93.6</v>
      </c>
      <c r="F1253" s="196">
        <v>94</v>
      </c>
      <c r="G1253" s="196">
        <f t="shared" si="19"/>
        <v>47</v>
      </c>
      <c r="H1253" s="196">
        <v>15550</v>
      </c>
      <c r="I1253" s="196">
        <v>1459847.2</v>
      </c>
      <c r="J1253" s="196"/>
    </row>
    <row r="1254" spans="1:10" ht="14.4">
      <c r="A1254" s="196" t="s">
        <v>351</v>
      </c>
      <c r="B1254" s="197">
        <v>42207</v>
      </c>
      <c r="C1254" s="196">
        <v>93.3</v>
      </c>
      <c r="D1254" s="196">
        <v>94.5</v>
      </c>
      <c r="E1254" s="196">
        <v>93.3</v>
      </c>
      <c r="F1254" s="196">
        <v>94.1</v>
      </c>
      <c r="G1254" s="196">
        <f t="shared" si="19"/>
        <v>47.05</v>
      </c>
      <c r="H1254" s="196">
        <v>25414</v>
      </c>
      <c r="I1254" s="196">
        <v>2390081.2999999998</v>
      </c>
      <c r="J1254" s="196"/>
    </row>
    <row r="1255" spans="1:10" ht="14.4">
      <c r="A1255" s="196" t="s">
        <v>351</v>
      </c>
      <c r="B1255" s="197">
        <v>42208</v>
      </c>
      <c r="C1255" s="196">
        <v>94.5</v>
      </c>
      <c r="D1255" s="196">
        <v>95</v>
      </c>
      <c r="E1255" s="196">
        <v>93</v>
      </c>
      <c r="F1255" s="196">
        <v>95</v>
      </c>
      <c r="G1255" s="196">
        <f t="shared" si="19"/>
        <v>47.5</v>
      </c>
      <c r="H1255" s="196">
        <v>52420</v>
      </c>
      <c r="I1255" s="196">
        <v>4958646.2</v>
      </c>
      <c r="J1255" s="196"/>
    </row>
    <row r="1256" spans="1:10" ht="14.4">
      <c r="A1256" s="196" t="s">
        <v>351</v>
      </c>
      <c r="B1256" s="197">
        <v>42209</v>
      </c>
      <c r="C1256" s="196">
        <v>95</v>
      </c>
      <c r="D1256" s="196">
        <v>96.9</v>
      </c>
      <c r="E1256" s="196">
        <v>95</v>
      </c>
      <c r="F1256" s="196">
        <v>96</v>
      </c>
      <c r="G1256" s="196">
        <f t="shared" si="19"/>
        <v>48</v>
      </c>
      <c r="H1256" s="196">
        <v>156650</v>
      </c>
      <c r="I1256" s="196">
        <v>14978958.6</v>
      </c>
      <c r="J1256" s="196"/>
    </row>
    <row r="1257" spans="1:10" ht="14.4">
      <c r="A1257" s="196" t="s">
        <v>351</v>
      </c>
      <c r="B1257" s="197">
        <v>42212</v>
      </c>
      <c r="C1257" s="196">
        <v>97</v>
      </c>
      <c r="D1257" s="196">
        <v>98.7</v>
      </c>
      <c r="E1257" s="196">
        <v>96.2</v>
      </c>
      <c r="F1257" s="196">
        <v>96.9</v>
      </c>
      <c r="G1257" s="196">
        <f t="shared" si="19"/>
        <v>48.45</v>
      </c>
      <c r="H1257" s="196">
        <v>291172</v>
      </c>
      <c r="I1257" s="196">
        <v>28363137.899999999</v>
      </c>
      <c r="J1257" s="196"/>
    </row>
    <row r="1258" spans="1:10" ht="14.4">
      <c r="A1258" s="196" t="s">
        <v>351</v>
      </c>
      <c r="B1258" s="197">
        <v>42213</v>
      </c>
      <c r="C1258" s="196">
        <v>98.5</v>
      </c>
      <c r="D1258" s="196">
        <v>98.5</v>
      </c>
      <c r="E1258" s="196">
        <v>97.9</v>
      </c>
      <c r="F1258" s="196">
        <v>97.9</v>
      </c>
      <c r="G1258" s="196">
        <f t="shared" si="19"/>
        <v>48.95</v>
      </c>
      <c r="H1258" s="196">
        <v>22782</v>
      </c>
      <c r="I1258" s="196">
        <v>2237662.4</v>
      </c>
      <c r="J1258" s="196"/>
    </row>
    <row r="1259" spans="1:10" ht="14.4">
      <c r="A1259" s="196" t="s">
        <v>351</v>
      </c>
      <c r="B1259" s="197">
        <v>42214</v>
      </c>
      <c r="C1259" s="196">
        <v>98.1</v>
      </c>
      <c r="D1259" s="196">
        <v>100</v>
      </c>
      <c r="E1259" s="196">
        <v>97.1</v>
      </c>
      <c r="F1259" s="196">
        <v>99.7</v>
      </c>
      <c r="G1259" s="196">
        <f t="shared" si="19"/>
        <v>49.85</v>
      </c>
      <c r="H1259" s="196">
        <v>248306</v>
      </c>
      <c r="I1259" s="196">
        <v>24573812.899999999</v>
      </c>
      <c r="J1259" s="196"/>
    </row>
    <row r="1260" spans="1:10" ht="14.4">
      <c r="A1260" s="196" t="s">
        <v>351</v>
      </c>
      <c r="B1260" s="197">
        <v>42215</v>
      </c>
      <c r="C1260" s="196">
        <v>101</v>
      </c>
      <c r="D1260" s="196">
        <v>103</v>
      </c>
      <c r="E1260" s="196">
        <v>101</v>
      </c>
      <c r="F1260" s="196">
        <v>102.1</v>
      </c>
      <c r="G1260" s="196">
        <f t="shared" si="19"/>
        <v>51.05</v>
      </c>
      <c r="H1260" s="196">
        <v>166286</v>
      </c>
      <c r="I1260" s="196">
        <v>16945785.399999999</v>
      </c>
      <c r="J1260" s="196"/>
    </row>
    <row r="1261" spans="1:10" s="211" customFormat="1" ht="14.4">
      <c r="A1261" s="209" t="s">
        <v>351</v>
      </c>
      <c r="B1261" s="210">
        <v>42219</v>
      </c>
      <c r="C1261" s="209">
        <v>103</v>
      </c>
      <c r="D1261" s="209">
        <v>104</v>
      </c>
      <c r="E1261" s="209">
        <v>102.8</v>
      </c>
      <c r="F1261" s="209">
        <v>103.4</v>
      </c>
      <c r="G1261" s="209">
        <f t="shared" si="19"/>
        <v>51.7</v>
      </c>
      <c r="H1261" s="209">
        <v>88504</v>
      </c>
      <c r="I1261" s="209">
        <v>9143453.0999999996</v>
      </c>
      <c r="J1261" s="209" t="s">
        <v>2389</v>
      </c>
    </row>
    <row r="1262" spans="1:10" ht="14.4">
      <c r="A1262" s="196" t="s">
        <v>351</v>
      </c>
      <c r="B1262" s="197">
        <v>42220</v>
      </c>
      <c r="C1262" s="196">
        <v>104.5</v>
      </c>
      <c r="D1262" s="196">
        <v>106</v>
      </c>
      <c r="E1262" s="196">
        <v>104</v>
      </c>
      <c r="F1262" s="196">
        <v>105.2</v>
      </c>
      <c r="G1262" s="196">
        <f t="shared" si="19"/>
        <v>52.6</v>
      </c>
      <c r="H1262" s="196">
        <v>323709</v>
      </c>
      <c r="I1262" s="196">
        <v>33925799.299999997</v>
      </c>
      <c r="J1262" s="196"/>
    </row>
    <row r="1263" spans="1:10" ht="14.4">
      <c r="A1263" s="196" t="s">
        <v>351</v>
      </c>
      <c r="B1263" s="197">
        <v>42221</v>
      </c>
      <c r="C1263" s="196">
        <v>106.5</v>
      </c>
      <c r="D1263" s="196">
        <v>111</v>
      </c>
      <c r="E1263" s="196">
        <v>106.5</v>
      </c>
      <c r="F1263" s="196">
        <v>110</v>
      </c>
      <c r="G1263" s="196">
        <f t="shared" si="19"/>
        <v>55</v>
      </c>
      <c r="H1263" s="196">
        <v>447126</v>
      </c>
      <c r="I1263" s="196">
        <v>48876144.100000001</v>
      </c>
      <c r="J1263" s="196"/>
    </row>
    <row r="1264" spans="1:10" ht="14.4">
      <c r="A1264" s="196" t="s">
        <v>351</v>
      </c>
      <c r="B1264" s="197">
        <v>42222</v>
      </c>
      <c r="C1264" s="196">
        <v>110</v>
      </c>
      <c r="D1264" s="196">
        <v>113</v>
      </c>
      <c r="E1264" s="196">
        <v>107.2</v>
      </c>
      <c r="F1264" s="196">
        <v>112.7</v>
      </c>
      <c r="G1264" s="196">
        <f t="shared" si="19"/>
        <v>56.35</v>
      </c>
      <c r="H1264" s="196">
        <v>475257</v>
      </c>
      <c r="I1264" s="196">
        <v>52663949.200000003</v>
      </c>
      <c r="J1264" s="196"/>
    </row>
    <row r="1265" spans="1:10" ht="14.4">
      <c r="A1265" s="196" t="s">
        <v>351</v>
      </c>
      <c r="B1265" s="197">
        <v>42223</v>
      </c>
      <c r="C1265" s="196">
        <v>113</v>
      </c>
      <c r="D1265" s="196">
        <v>113</v>
      </c>
      <c r="E1265" s="196">
        <v>109.2</v>
      </c>
      <c r="F1265" s="196">
        <v>111</v>
      </c>
      <c r="G1265" s="196">
        <f t="shared" ref="G1265:G1328" si="20">F1265/2</f>
        <v>55.5</v>
      </c>
      <c r="H1265" s="196">
        <v>59750</v>
      </c>
      <c r="I1265" s="196">
        <v>6640600.2000000002</v>
      </c>
      <c r="J1265" s="196"/>
    </row>
    <row r="1266" spans="1:10" ht="14.4">
      <c r="A1266" s="196" t="s">
        <v>351</v>
      </c>
      <c r="B1266" s="197">
        <v>42226</v>
      </c>
      <c r="C1266" s="196">
        <v>110.1</v>
      </c>
      <c r="D1266" s="196">
        <v>111.5</v>
      </c>
      <c r="E1266" s="196">
        <v>110</v>
      </c>
      <c r="F1266" s="196">
        <v>110</v>
      </c>
      <c r="G1266" s="196">
        <f t="shared" si="20"/>
        <v>55</v>
      </c>
      <c r="H1266" s="196">
        <v>126894</v>
      </c>
      <c r="I1266" s="196">
        <v>13967446.5</v>
      </c>
      <c r="J1266" s="196"/>
    </row>
    <row r="1267" spans="1:10" ht="14.4">
      <c r="A1267" s="196" t="s">
        <v>351</v>
      </c>
      <c r="B1267" s="197">
        <v>42227</v>
      </c>
      <c r="C1267" s="196">
        <v>110</v>
      </c>
      <c r="D1267" s="196">
        <v>115.5</v>
      </c>
      <c r="E1267" s="196">
        <v>110</v>
      </c>
      <c r="F1267" s="196">
        <v>114.9</v>
      </c>
      <c r="G1267" s="196">
        <f t="shared" si="20"/>
        <v>57.45</v>
      </c>
      <c r="H1267" s="196">
        <v>194508</v>
      </c>
      <c r="I1267" s="196">
        <v>22109419.100000001</v>
      </c>
      <c r="J1267" s="196"/>
    </row>
    <row r="1268" spans="1:10" ht="14.4">
      <c r="A1268" s="196" t="s">
        <v>351</v>
      </c>
      <c r="B1268" s="197">
        <v>42228</v>
      </c>
      <c r="C1268" s="196">
        <v>115.5</v>
      </c>
      <c r="D1268" s="196">
        <v>116</v>
      </c>
      <c r="E1268" s="196">
        <v>113.1</v>
      </c>
      <c r="F1268" s="196">
        <v>114</v>
      </c>
      <c r="G1268" s="196">
        <f t="shared" si="20"/>
        <v>57</v>
      </c>
      <c r="H1268" s="196">
        <v>65981</v>
      </c>
      <c r="I1268" s="196">
        <v>7567935.0999999996</v>
      </c>
      <c r="J1268" s="196"/>
    </row>
    <row r="1269" spans="1:10" ht="14.4">
      <c r="A1269" s="196" t="s">
        <v>351</v>
      </c>
      <c r="B1269" s="197">
        <v>42229</v>
      </c>
      <c r="C1269" s="196">
        <v>115.9</v>
      </c>
      <c r="D1269" s="196">
        <v>115.9</v>
      </c>
      <c r="E1269" s="196">
        <v>111</v>
      </c>
      <c r="F1269" s="196">
        <v>112.1</v>
      </c>
      <c r="G1269" s="196">
        <f t="shared" si="20"/>
        <v>56.05</v>
      </c>
      <c r="H1269" s="196">
        <v>43827</v>
      </c>
      <c r="I1269" s="196">
        <v>4913332.0999999996</v>
      </c>
      <c r="J1269" s="196"/>
    </row>
    <row r="1270" spans="1:10" ht="14.4">
      <c r="A1270" s="196" t="s">
        <v>351</v>
      </c>
      <c r="B1270" s="197">
        <v>42230</v>
      </c>
      <c r="C1270" s="196">
        <v>110.5</v>
      </c>
      <c r="D1270" s="196">
        <v>114</v>
      </c>
      <c r="E1270" s="196">
        <v>110.5</v>
      </c>
      <c r="F1270" s="196">
        <v>113.1</v>
      </c>
      <c r="G1270" s="196">
        <f t="shared" si="20"/>
        <v>56.55</v>
      </c>
      <c r="H1270" s="196">
        <v>85990</v>
      </c>
      <c r="I1270" s="196">
        <v>9692777.3000000007</v>
      </c>
      <c r="J1270" s="196"/>
    </row>
    <row r="1271" spans="1:10" ht="14.4">
      <c r="A1271" s="196" t="s">
        <v>351</v>
      </c>
      <c r="B1271" s="197">
        <v>42233</v>
      </c>
      <c r="C1271" s="196">
        <v>120</v>
      </c>
      <c r="D1271" s="196">
        <v>122.9</v>
      </c>
      <c r="E1271" s="196">
        <v>118.2</v>
      </c>
      <c r="F1271" s="196">
        <v>120.6</v>
      </c>
      <c r="G1271" s="196">
        <f t="shared" si="20"/>
        <v>60.3</v>
      </c>
      <c r="H1271" s="196">
        <v>549569</v>
      </c>
      <c r="I1271" s="196">
        <v>66157369.200000003</v>
      </c>
      <c r="J1271" s="196"/>
    </row>
    <row r="1272" spans="1:10" ht="14.4">
      <c r="A1272" s="196" t="s">
        <v>351</v>
      </c>
      <c r="B1272" s="197">
        <v>42234</v>
      </c>
      <c r="C1272" s="196">
        <v>126</v>
      </c>
      <c r="D1272" s="196">
        <v>126</v>
      </c>
      <c r="E1272" s="196">
        <v>121.1</v>
      </c>
      <c r="F1272" s="196">
        <v>123.6</v>
      </c>
      <c r="G1272" s="196">
        <f t="shared" si="20"/>
        <v>61.8</v>
      </c>
      <c r="H1272" s="196">
        <v>138156</v>
      </c>
      <c r="I1272" s="196">
        <v>17156997.5</v>
      </c>
      <c r="J1272" s="196"/>
    </row>
    <row r="1273" spans="1:10" ht="14.4">
      <c r="A1273" s="196" t="s">
        <v>351</v>
      </c>
      <c r="B1273" s="197">
        <v>42235</v>
      </c>
      <c r="C1273" s="196">
        <v>124</v>
      </c>
      <c r="D1273" s="196">
        <v>124.5</v>
      </c>
      <c r="E1273" s="196">
        <v>120</v>
      </c>
      <c r="F1273" s="196">
        <v>120.1</v>
      </c>
      <c r="G1273" s="196">
        <f t="shared" si="20"/>
        <v>60.05</v>
      </c>
      <c r="H1273" s="196">
        <v>62979</v>
      </c>
      <c r="I1273" s="196">
        <v>7798201.7999999998</v>
      </c>
      <c r="J1273" s="196"/>
    </row>
    <row r="1274" spans="1:10" ht="14.4">
      <c r="A1274" s="196" t="s">
        <v>351</v>
      </c>
      <c r="B1274" s="197">
        <v>42236</v>
      </c>
      <c r="C1274" s="196">
        <v>121.5</v>
      </c>
      <c r="D1274" s="196">
        <v>121.5</v>
      </c>
      <c r="E1274" s="196">
        <v>118</v>
      </c>
      <c r="F1274" s="196">
        <v>118.8</v>
      </c>
      <c r="G1274" s="196">
        <f t="shared" si="20"/>
        <v>59.4</v>
      </c>
      <c r="H1274" s="196">
        <v>99805</v>
      </c>
      <c r="I1274" s="196">
        <v>11875172.5</v>
      </c>
      <c r="J1274" s="196"/>
    </row>
    <row r="1275" spans="1:10" ht="14.4">
      <c r="A1275" s="196" t="s">
        <v>351</v>
      </c>
      <c r="B1275" s="197">
        <v>42237</v>
      </c>
      <c r="C1275" s="196">
        <v>118.8</v>
      </c>
      <c r="D1275" s="196">
        <v>120.6</v>
      </c>
      <c r="E1275" s="196">
        <v>118.8</v>
      </c>
      <c r="F1275" s="196">
        <v>120</v>
      </c>
      <c r="G1275" s="196">
        <f t="shared" si="20"/>
        <v>60</v>
      </c>
      <c r="H1275" s="196">
        <v>50569</v>
      </c>
      <c r="I1275" s="196">
        <v>6058178</v>
      </c>
      <c r="J1275" s="196"/>
    </row>
    <row r="1276" spans="1:10" ht="14.4">
      <c r="A1276" s="196" t="s">
        <v>351</v>
      </c>
      <c r="B1276" s="197">
        <v>42240</v>
      </c>
      <c r="C1276" s="196">
        <v>120</v>
      </c>
      <c r="D1276" s="196">
        <v>120</v>
      </c>
      <c r="E1276" s="196">
        <v>111</v>
      </c>
      <c r="F1276" s="196">
        <v>115.2</v>
      </c>
      <c r="G1276" s="196">
        <f t="shared" si="20"/>
        <v>57.6</v>
      </c>
      <c r="H1276" s="196">
        <v>60715</v>
      </c>
      <c r="I1276" s="196">
        <v>6910392.7000000002</v>
      </c>
      <c r="J1276" s="196"/>
    </row>
    <row r="1277" spans="1:10" ht="14.4">
      <c r="A1277" s="196" t="s">
        <v>351</v>
      </c>
      <c r="B1277" s="197">
        <v>42241</v>
      </c>
      <c r="C1277" s="196">
        <v>114.1</v>
      </c>
      <c r="D1277" s="196">
        <v>114.1</v>
      </c>
      <c r="E1277" s="196">
        <v>108</v>
      </c>
      <c r="F1277" s="196">
        <v>110.1</v>
      </c>
      <c r="G1277" s="196">
        <f t="shared" si="20"/>
        <v>55.05</v>
      </c>
      <c r="H1277" s="196">
        <v>146067</v>
      </c>
      <c r="I1277" s="196">
        <v>16043038</v>
      </c>
      <c r="J1277" s="196"/>
    </row>
    <row r="1278" spans="1:10" ht="14.4">
      <c r="A1278" s="196" t="s">
        <v>351</v>
      </c>
      <c r="B1278" s="197">
        <v>42242</v>
      </c>
      <c r="C1278" s="196">
        <v>112.9</v>
      </c>
      <c r="D1278" s="196">
        <v>114.9</v>
      </c>
      <c r="E1278" s="196">
        <v>109.1</v>
      </c>
      <c r="F1278" s="196">
        <v>111.5</v>
      </c>
      <c r="G1278" s="196">
        <f t="shared" si="20"/>
        <v>55.75</v>
      </c>
      <c r="H1278" s="196">
        <v>19117</v>
      </c>
      <c r="I1278" s="196">
        <v>2121419</v>
      </c>
      <c r="J1278" s="196"/>
    </row>
    <row r="1279" spans="1:10" ht="14.4">
      <c r="A1279" s="196" t="s">
        <v>351</v>
      </c>
      <c r="B1279" s="197">
        <v>42243</v>
      </c>
      <c r="C1279" s="196">
        <v>113</v>
      </c>
      <c r="D1279" s="196">
        <v>115</v>
      </c>
      <c r="E1279" s="196">
        <v>113</v>
      </c>
      <c r="F1279" s="196">
        <v>114</v>
      </c>
      <c r="G1279" s="196">
        <f t="shared" si="20"/>
        <v>57</v>
      </c>
      <c r="H1279" s="196">
        <v>100303</v>
      </c>
      <c r="I1279" s="196">
        <v>11439479.6</v>
      </c>
      <c r="J1279" s="196"/>
    </row>
    <row r="1280" spans="1:10" ht="14.4">
      <c r="A1280" s="196" t="s">
        <v>351</v>
      </c>
      <c r="B1280" s="197">
        <v>42244</v>
      </c>
      <c r="C1280" s="196">
        <v>114</v>
      </c>
      <c r="D1280" s="196">
        <v>118</v>
      </c>
      <c r="E1280" s="196">
        <v>114</v>
      </c>
      <c r="F1280" s="196">
        <v>116.2</v>
      </c>
      <c r="G1280" s="196">
        <f t="shared" si="20"/>
        <v>58.1</v>
      </c>
      <c r="H1280" s="196">
        <v>167886</v>
      </c>
      <c r="I1280" s="196">
        <v>19382356.5</v>
      </c>
      <c r="J1280" s="196"/>
    </row>
    <row r="1281" spans="1:10" ht="14.4">
      <c r="A1281" s="196" t="s">
        <v>351</v>
      </c>
      <c r="B1281" s="197">
        <v>42247</v>
      </c>
      <c r="C1281" s="196">
        <v>118</v>
      </c>
      <c r="D1281" s="196">
        <v>118</v>
      </c>
      <c r="E1281" s="196">
        <v>114</v>
      </c>
      <c r="F1281" s="196">
        <v>114</v>
      </c>
      <c r="G1281" s="196">
        <f t="shared" si="20"/>
        <v>57</v>
      </c>
      <c r="H1281" s="196">
        <v>65240</v>
      </c>
      <c r="I1281" s="196">
        <v>7469607</v>
      </c>
      <c r="J1281" s="196"/>
    </row>
    <row r="1282" spans="1:10" ht="14.4">
      <c r="A1282" s="196" t="s">
        <v>351</v>
      </c>
      <c r="B1282" s="197">
        <v>42248</v>
      </c>
      <c r="C1282" s="196">
        <v>114.5</v>
      </c>
      <c r="D1282" s="196">
        <v>117</v>
      </c>
      <c r="E1282" s="196">
        <v>114.2</v>
      </c>
      <c r="F1282" s="196">
        <v>114.8</v>
      </c>
      <c r="G1282" s="196">
        <f t="shared" si="20"/>
        <v>57.4</v>
      </c>
      <c r="H1282" s="196">
        <v>177979</v>
      </c>
      <c r="I1282" s="196">
        <v>20466177.199999999</v>
      </c>
      <c r="J1282" s="196"/>
    </row>
    <row r="1283" spans="1:10" ht="14.4">
      <c r="A1283" s="196" t="s">
        <v>351</v>
      </c>
      <c r="B1283" s="197">
        <v>42249</v>
      </c>
      <c r="C1283" s="196">
        <v>114</v>
      </c>
      <c r="D1283" s="196">
        <v>114.1</v>
      </c>
      <c r="E1283" s="196">
        <v>112.3</v>
      </c>
      <c r="F1283" s="196">
        <v>112.5</v>
      </c>
      <c r="G1283" s="196">
        <f t="shared" si="20"/>
        <v>56.25</v>
      </c>
      <c r="H1283" s="196">
        <v>66204</v>
      </c>
      <c r="I1283" s="196">
        <v>7544634.7000000002</v>
      </c>
      <c r="J1283" s="196"/>
    </row>
    <row r="1284" spans="1:10" ht="14.4">
      <c r="A1284" s="196" t="s">
        <v>351</v>
      </c>
      <c r="B1284" s="197">
        <v>42250</v>
      </c>
      <c r="C1284" s="196">
        <v>112.5</v>
      </c>
      <c r="D1284" s="196">
        <v>114</v>
      </c>
      <c r="E1284" s="196">
        <v>112.5</v>
      </c>
      <c r="F1284" s="196">
        <v>114</v>
      </c>
      <c r="G1284" s="196">
        <f t="shared" si="20"/>
        <v>57</v>
      </c>
      <c r="H1284" s="196">
        <v>14550</v>
      </c>
      <c r="I1284" s="196">
        <v>1645585</v>
      </c>
      <c r="J1284" s="196"/>
    </row>
    <row r="1285" spans="1:10" ht="14.4">
      <c r="A1285" s="196" t="s">
        <v>351</v>
      </c>
      <c r="B1285" s="197">
        <v>42251</v>
      </c>
      <c r="C1285" s="196">
        <v>114</v>
      </c>
      <c r="D1285" s="196">
        <v>114</v>
      </c>
      <c r="E1285" s="196">
        <v>111.1</v>
      </c>
      <c r="F1285" s="196">
        <v>112.2</v>
      </c>
      <c r="G1285" s="196">
        <f t="shared" si="20"/>
        <v>56.1</v>
      </c>
      <c r="H1285" s="196">
        <v>8508</v>
      </c>
      <c r="I1285" s="196">
        <v>962310.9</v>
      </c>
      <c r="J1285" s="196"/>
    </row>
    <row r="1286" spans="1:10" ht="14.4">
      <c r="A1286" s="196" t="s">
        <v>351</v>
      </c>
      <c r="B1286" s="197">
        <v>42254</v>
      </c>
      <c r="C1286" s="196">
        <v>111.1</v>
      </c>
      <c r="D1286" s="196">
        <v>111.1</v>
      </c>
      <c r="E1286" s="196">
        <v>107</v>
      </c>
      <c r="F1286" s="196">
        <v>107.5</v>
      </c>
      <c r="G1286" s="196">
        <f t="shared" si="20"/>
        <v>53.75</v>
      </c>
      <c r="H1286" s="196">
        <v>35628</v>
      </c>
      <c r="I1286" s="196">
        <v>3834228.7</v>
      </c>
      <c r="J1286" s="196"/>
    </row>
    <row r="1287" spans="1:10" ht="14.4">
      <c r="A1287" s="196" t="s">
        <v>351</v>
      </c>
      <c r="B1287" s="197">
        <v>42255</v>
      </c>
      <c r="C1287" s="196">
        <v>108</v>
      </c>
      <c r="D1287" s="196">
        <v>109.5</v>
      </c>
      <c r="E1287" s="196">
        <v>107</v>
      </c>
      <c r="F1287" s="196">
        <v>107.2</v>
      </c>
      <c r="G1287" s="196">
        <f t="shared" si="20"/>
        <v>53.6</v>
      </c>
      <c r="H1287" s="196">
        <v>35531</v>
      </c>
      <c r="I1287" s="196">
        <v>3820643.5</v>
      </c>
      <c r="J1287" s="196"/>
    </row>
    <row r="1288" spans="1:10" ht="14.4">
      <c r="A1288" s="196" t="s">
        <v>351</v>
      </c>
      <c r="B1288" s="197">
        <v>42256</v>
      </c>
      <c r="C1288" s="196">
        <v>108</v>
      </c>
      <c r="D1288" s="196">
        <v>112</v>
      </c>
      <c r="E1288" s="196">
        <v>108</v>
      </c>
      <c r="F1288" s="196">
        <v>110.9</v>
      </c>
      <c r="G1288" s="196">
        <f t="shared" si="20"/>
        <v>55.45</v>
      </c>
      <c r="H1288" s="196">
        <v>17016</v>
      </c>
      <c r="I1288" s="196">
        <v>1880973.2</v>
      </c>
      <c r="J1288" s="196"/>
    </row>
    <row r="1289" spans="1:10" ht="14.4">
      <c r="A1289" s="196" t="s">
        <v>351</v>
      </c>
      <c r="B1289" s="197">
        <v>42257</v>
      </c>
      <c r="C1289" s="196">
        <v>111.5</v>
      </c>
      <c r="D1289" s="196">
        <v>111.5</v>
      </c>
      <c r="E1289" s="196">
        <v>108</v>
      </c>
      <c r="F1289" s="196">
        <v>108</v>
      </c>
      <c r="G1289" s="196">
        <f t="shared" si="20"/>
        <v>54</v>
      </c>
      <c r="H1289" s="196">
        <v>54009</v>
      </c>
      <c r="I1289" s="196">
        <v>5855747.7999999998</v>
      </c>
      <c r="J1289" s="196"/>
    </row>
    <row r="1290" spans="1:10" ht="14.4">
      <c r="A1290" s="196" t="s">
        <v>351</v>
      </c>
      <c r="B1290" s="197">
        <v>42258</v>
      </c>
      <c r="C1290" s="196">
        <v>108</v>
      </c>
      <c r="D1290" s="196">
        <v>108.1</v>
      </c>
      <c r="E1290" s="196">
        <v>107.6</v>
      </c>
      <c r="F1290" s="196">
        <v>108</v>
      </c>
      <c r="G1290" s="196">
        <f t="shared" si="20"/>
        <v>54</v>
      </c>
      <c r="H1290" s="196">
        <v>59943</v>
      </c>
      <c r="I1290" s="196">
        <v>6473668.7000000002</v>
      </c>
      <c r="J1290" s="196"/>
    </row>
    <row r="1291" spans="1:10" ht="14.4">
      <c r="A1291" s="196" t="s">
        <v>351</v>
      </c>
      <c r="B1291" s="197">
        <v>42261</v>
      </c>
      <c r="C1291" s="196">
        <v>108</v>
      </c>
      <c r="D1291" s="196">
        <v>108</v>
      </c>
      <c r="E1291" s="196">
        <v>107.6</v>
      </c>
      <c r="F1291" s="196">
        <v>108</v>
      </c>
      <c r="G1291" s="196">
        <f t="shared" si="20"/>
        <v>54</v>
      </c>
      <c r="H1291" s="196">
        <v>68420</v>
      </c>
      <c r="I1291" s="196">
        <v>7388843.5999999996</v>
      </c>
      <c r="J1291" s="196"/>
    </row>
    <row r="1292" spans="1:10" ht="14.4">
      <c r="A1292" s="196" t="s">
        <v>351</v>
      </c>
      <c r="B1292" s="197">
        <v>42262</v>
      </c>
      <c r="C1292" s="196">
        <v>109</v>
      </c>
      <c r="D1292" s="196">
        <v>109</v>
      </c>
      <c r="E1292" s="196">
        <v>108</v>
      </c>
      <c r="F1292" s="196">
        <v>109</v>
      </c>
      <c r="G1292" s="196">
        <f t="shared" si="20"/>
        <v>54.5</v>
      </c>
      <c r="H1292" s="196">
        <v>77888</v>
      </c>
      <c r="I1292" s="196">
        <v>8460211.5999999996</v>
      </c>
      <c r="J1292" s="196"/>
    </row>
    <row r="1293" spans="1:10" ht="14.4">
      <c r="A1293" s="196" t="s">
        <v>351</v>
      </c>
      <c r="B1293" s="197">
        <v>42263</v>
      </c>
      <c r="C1293" s="196">
        <v>109</v>
      </c>
      <c r="D1293" s="196">
        <v>109</v>
      </c>
      <c r="E1293" s="196">
        <v>107.5</v>
      </c>
      <c r="F1293" s="196">
        <v>107.7</v>
      </c>
      <c r="G1293" s="196">
        <f t="shared" si="20"/>
        <v>53.85</v>
      </c>
      <c r="H1293" s="196">
        <v>58797</v>
      </c>
      <c r="I1293" s="196">
        <v>6370766</v>
      </c>
      <c r="J1293" s="196"/>
    </row>
    <row r="1294" spans="1:10" ht="14.4">
      <c r="A1294" s="196" t="s">
        <v>351</v>
      </c>
      <c r="B1294" s="197">
        <v>42264</v>
      </c>
      <c r="C1294" s="196">
        <v>108</v>
      </c>
      <c r="D1294" s="196">
        <v>110</v>
      </c>
      <c r="E1294" s="196">
        <v>107.5</v>
      </c>
      <c r="F1294" s="196">
        <v>108.1</v>
      </c>
      <c r="G1294" s="196">
        <f t="shared" si="20"/>
        <v>54.05</v>
      </c>
      <c r="H1294" s="196">
        <v>419891</v>
      </c>
      <c r="I1294" s="196">
        <v>45336315</v>
      </c>
      <c r="J1294" s="196"/>
    </row>
    <row r="1295" spans="1:10" ht="14.4">
      <c r="A1295" s="196" t="s">
        <v>351</v>
      </c>
      <c r="B1295" s="197">
        <v>42265</v>
      </c>
      <c r="C1295" s="196">
        <v>108.6</v>
      </c>
      <c r="D1295" s="196">
        <v>110</v>
      </c>
      <c r="E1295" s="196">
        <v>108</v>
      </c>
      <c r="F1295" s="196">
        <v>108.8</v>
      </c>
      <c r="G1295" s="196">
        <f t="shared" si="20"/>
        <v>54.4</v>
      </c>
      <c r="H1295" s="196">
        <v>8292</v>
      </c>
      <c r="I1295" s="196">
        <v>901639.2</v>
      </c>
      <c r="J1295" s="196"/>
    </row>
    <row r="1296" spans="1:10" ht="14.4">
      <c r="A1296" s="196" t="s">
        <v>351</v>
      </c>
      <c r="B1296" s="197">
        <v>42268</v>
      </c>
      <c r="C1296" s="196">
        <v>110</v>
      </c>
      <c r="D1296" s="196">
        <v>110</v>
      </c>
      <c r="E1296" s="196">
        <v>109</v>
      </c>
      <c r="F1296" s="196">
        <v>109.9</v>
      </c>
      <c r="G1296" s="196">
        <f t="shared" si="20"/>
        <v>54.95</v>
      </c>
      <c r="H1296" s="196">
        <v>25625</v>
      </c>
      <c r="I1296" s="196">
        <v>2812420.7</v>
      </c>
      <c r="J1296" s="196"/>
    </row>
    <row r="1297" spans="1:10" ht="14.4">
      <c r="A1297" s="196" t="s">
        <v>351</v>
      </c>
      <c r="B1297" s="197">
        <v>42269</v>
      </c>
      <c r="C1297" s="196">
        <v>109.5</v>
      </c>
      <c r="D1297" s="196">
        <v>109.9</v>
      </c>
      <c r="E1297" s="196">
        <v>109</v>
      </c>
      <c r="F1297" s="196">
        <v>109.1</v>
      </c>
      <c r="G1297" s="196">
        <f t="shared" si="20"/>
        <v>54.55</v>
      </c>
      <c r="H1297" s="196">
        <v>18730</v>
      </c>
      <c r="I1297" s="196">
        <v>2043400.5</v>
      </c>
      <c r="J1297" s="196"/>
    </row>
    <row r="1298" spans="1:10" ht="14.4">
      <c r="A1298" s="196" t="s">
        <v>351</v>
      </c>
      <c r="B1298" s="197">
        <v>42270</v>
      </c>
      <c r="C1298" s="196">
        <v>109.4</v>
      </c>
      <c r="D1298" s="196">
        <v>109.4</v>
      </c>
      <c r="E1298" s="196">
        <v>108.6</v>
      </c>
      <c r="F1298" s="196">
        <v>108.9</v>
      </c>
      <c r="G1298" s="196">
        <f t="shared" si="20"/>
        <v>54.45</v>
      </c>
      <c r="H1298" s="196">
        <v>7366</v>
      </c>
      <c r="I1298" s="196">
        <v>802534.1</v>
      </c>
      <c r="J1298" s="196"/>
    </row>
    <row r="1299" spans="1:10" ht="14.4">
      <c r="A1299" s="196" t="s">
        <v>351</v>
      </c>
      <c r="B1299" s="197">
        <v>42272</v>
      </c>
      <c r="C1299" s="196">
        <v>108.6</v>
      </c>
      <c r="D1299" s="196">
        <v>109</v>
      </c>
      <c r="E1299" s="196">
        <v>108</v>
      </c>
      <c r="F1299" s="196">
        <v>108.4</v>
      </c>
      <c r="G1299" s="196">
        <f t="shared" si="20"/>
        <v>54.2</v>
      </c>
      <c r="H1299" s="196">
        <v>26580</v>
      </c>
      <c r="I1299" s="196">
        <v>2883056</v>
      </c>
      <c r="J1299" s="196"/>
    </row>
    <row r="1300" spans="1:10" ht="14.4">
      <c r="A1300" s="196" t="s">
        <v>351</v>
      </c>
      <c r="B1300" s="197">
        <v>42275</v>
      </c>
      <c r="C1300" s="196">
        <v>108.5</v>
      </c>
      <c r="D1300" s="196">
        <v>108.5</v>
      </c>
      <c r="E1300" s="196">
        <v>108</v>
      </c>
      <c r="F1300" s="196">
        <v>108</v>
      </c>
      <c r="G1300" s="196">
        <f t="shared" si="20"/>
        <v>54</v>
      </c>
      <c r="H1300" s="196">
        <v>22100</v>
      </c>
      <c r="I1300" s="196">
        <v>2388780</v>
      </c>
      <c r="J1300" s="196"/>
    </row>
    <row r="1301" spans="1:10" ht="14.4">
      <c r="A1301" s="196" t="s">
        <v>351</v>
      </c>
      <c r="B1301" s="197">
        <v>42276</v>
      </c>
      <c r="C1301" s="196">
        <v>108.1</v>
      </c>
      <c r="D1301" s="196">
        <v>109</v>
      </c>
      <c r="E1301" s="196">
        <v>108.1</v>
      </c>
      <c r="F1301" s="196">
        <v>109</v>
      </c>
      <c r="G1301" s="196">
        <f t="shared" si="20"/>
        <v>54.5</v>
      </c>
      <c r="H1301" s="196">
        <v>10007</v>
      </c>
      <c r="I1301" s="196">
        <v>1085683.5</v>
      </c>
      <c r="J1301" s="196"/>
    </row>
    <row r="1302" spans="1:10" ht="14.4">
      <c r="A1302" s="196" t="s">
        <v>351</v>
      </c>
      <c r="B1302" s="197">
        <v>42277</v>
      </c>
      <c r="C1302" s="196">
        <v>118.2</v>
      </c>
      <c r="D1302" s="196">
        <v>118.2</v>
      </c>
      <c r="E1302" s="196">
        <v>105</v>
      </c>
      <c r="F1302" s="196">
        <v>108.4</v>
      </c>
      <c r="G1302" s="196">
        <f t="shared" si="20"/>
        <v>54.2</v>
      </c>
      <c r="H1302" s="196">
        <v>16955</v>
      </c>
      <c r="I1302" s="196">
        <v>1840985.6</v>
      </c>
      <c r="J1302" s="196"/>
    </row>
    <row r="1303" spans="1:10" ht="14.4">
      <c r="A1303" s="196" t="s">
        <v>351</v>
      </c>
      <c r="B1303" s="197">
        <v>42278</v>
      </c>
      <c r="C1303" s="196">
        <v>108</v>
      </c>
      <c r="D1303" s="196">
        <v>109</v>
      </c>
      <c r="E1303" s="196">
        <v>108</v>
      </c>
      <c r="F1303" s="196">
        <v>108.9</v>
      </c>
      <c r="G1303" s="196">
        <f t="shared" si="20"/>
        <v>54.45</v>
      </c>
      <c r="H1303" s="196">
        <v>4500</v>
      </c>
      <c r="I1303" s="196">
        <v>489947</v>
      </c>
      <c r="J1303" s="196"/>
    </row>
    <row r="1304" spans="1:10" ht="14.4">
      <c r="A1304" s="196" t="s">
        <v>351</v>
      </c>
      <c r="B1304" s="197">
        <v>42279</v>
      </c>
      <c r="C1304" s="196">
        <v>109.2</v>
      </c>
      <c r="D1304" s="196">
        <v>117</v>
      </c>
      <c r="E1304" s="196">
        <v>109</v>
      </c>
      <c r="F1304" s="196">
        <v>114.1</v>
      </c>
      <c r="G1304" s="196">
        <f t="shared" si="20"/>
        <v>57.05</v>
      </c>
      <c r="H1304" s="196">
        <v>216003</v>
      </c>
      <c r="I1304" s="196">
        <v>24106475.600000001</v>
      </c>
      <c r="J1304" s="196"/>
    </row>
    <row r="1305" spans="1:10" ht="14.4">
      <c r="A1305" s="196" t="s">
        <v>351</v>
      </c>
      <c r="B1305" s="197">
        <v>42282</v>
      </c>
      <c r="C1305" s="196">
        <v>114.9</v>
      </c>
      <c r="D1305" s="196">
        <v>120</v>
      </c>
      <c r="E1305" s="196">
        <v>114.9</v>
      </c>
      <c r="F1305" s="196">
        <v>119.8</v>
      </c>
      <c r="G1305" s="196">
        <f t="shared" si="20"/>
        <v>59.9</v>
      </c>
      <c r="H1305" s="196">
        <v>330564</v>
      </c>
      <c r="I1305" s="196">
        <v>39195271.100000001</v>
      </c>
      <c r="J1305" s="196"/>
    </row>
    <row r="1306" spans="1:10" ht="14.4">
      <c r="A1306" s="196" t="s">
        <v>351</v>
      </c>
      <c r="B1306" s="197">
        <v>42283</v>
      </c>
      <c r="C1306" s="196">
        <v>122</v>
      </c>
      <c r="D1306" s="196">
        <v>124</v>
      </c>
      <c r="E1306" s="196">
        <v>119.5</v>
      </c>
      <c r="F1306" s="196">
        <v>123.1</v>
      </c>
      <c r="G1306" s="196">
        <f t="shared" si="20"/>
        <v>61.55</v>
      </c>
      <c r="H1306" s="196">
        <v>276998</v>
      </c>
      <c r="I1306" s="196">
        <v>33939019.100000001</v>
      </c>
      <c r="J1306" s="196"/>
    </row>
    <row r="1307" spans="1:10" ht="14.4">
      <c r="A1307" s="196" t="s">
        <v>351</v>
      </c>
      <c r="B1307" s="197">
        <v>42284</v>
      </c>
      <c r="C1307" s="196">
        <v>124</v>
      </c>
      <c r="D1307" s="196">
        <v>124</v>
      </c>
      <c r="E1307" s="196">
        <v>120.5</v>
      </c>
      <c r="F1307" s="196">
        <v>121.1</v>
      </c>
      <c r="G1307" s="196">
        <f t="shared" si="20"/>
        <v>60.55</v>
      </c>
      <c r="H1307" s="196">
        <v>43917</v>
      </c>
      <c r="I1307" s="196">
        <v>5343747.5</v>
      </c>
      <c r="J1307" s="196"/>
    </row>
    <row r="1308" spans="1:10" ht="14.4">
      <c r="A1308" s="196" t="s">
        <v>351</v>
      </c>
      <c r="B1308" s="197">
        <v>42285</v>
      </c>
      <c r="C1308" s="196">
        <v>119.8</v>
      </c>
      <c r="D1308" s="196">
        <v>123</v>
      </c>
      <c r="E1308" s="196">
        <v>119.8</v>
      </c>
      <c r="F1308" s="196">
        <v>121.6</v>
      </c>
      <c r="G1308" s="196">
        <f t="shared" si="20"/>
        <v>60.8</v>
      </c>
      <c r="H1308" s="196">
        <v>37279</v>
      </c>
      <c r="I1308" s="196">
        <v>4508508.0999999996</v>
      </c>
      <c r="J1308" s="196"/>
    </row>
    <row r="1309" spans="1:10" ht="14.4">
      <c r="A1309" s="196" t="s">
        <v>351</v>
      </c>
      <c r="B1309" s="197">
        <v>42286</v>
      </c>
      <c r="C1309" s="196">
        <v>121</v>
      </c>
      <c r="D1309" s="196">
        <v>128</v>
      </c>
      <c r="E1309" s="196">
        <v>121</v>
      </c>
      <c r="F1309" s="196">
        <v>126.8</v>
      </c>
      <c r="G1309" s="196">
        <f t="shared" si="20"/>
        <v>63.4</v>
      </c>
      <c r="H1309" s="196">
        <v>501869</v>
      </c>
      <c r="I1309" s="196">
        <v>63132563.200000003</v>
      </c>
      <c r="J1309" s="196"/>
    </row>
    <row r="1310" spans="1:10" ht="14.4">
      <c r="A1310" s="196" t="s">
        <v>351</v>
      </c>
      <c r="B1310" s="197">
        <v>42289</v>
      </c>
      <c r="C1310" s="196">
        <v>128</v>
      </c>
      <c r="D1310" s="196">
        <v>128.69999999999999</v>
      </c>
      <c r="E1310" s="196">
        <v>126.2</v>
      </c>
      <c r="F1310" s="196">
        <v>126.7</v>
      </c>
      <c r="G1310" s="196">
        <f t="shared" si="20"/>
        <v>63.35</v>
      </c>
      <c r="H1310" s="196">
        <v>56729</v>
      </c>
      <c r="I1310" s="196">
        <v>7221931.2000000002</v>
      </c>
      <c r="J1310" s="196"/>
    </row>
    <row r="1311" spans="1:10" ht="14.4">
      <c r="A1311" s="196" t="s">
        <v>351</v>
      </c>
      <c r="B1311" s="197">
        <v>42290</v>
      </c>
      <c r="C1311" s="196">
        <v>126.7</v>
      </c>
      <c r="D1311" s="196">
        <v>126.7</v>
      </c>
      <c r="E1311" s="196">
        <v>121</v>
      </c>
      <c r="F1311" s="196">
        <v>124.2</v>
      </c>
      <c r="G1311" s="196">
        <f t="shared" si="20"/>
        <v>62.1</v>
      </c>
      <c r="H1311" s="196">
        <v>274108</v>
      </c>
      <c r="I1311" s="196">
        <v>33680374.600000001</v>
      </c>
      <c r="J1311" s="196"/>
    </row>
    <row r="1312" spans="1:10" ht="14.4">
      <c r="A1312" s="196" t="s">
        <v>351</v>
      </c>
      <c r="B1312" s="197">
        <v>42291</v>
      </c>
      <c r="C1312" s="196">
        <v>125</v>
      </c>
      <c r="D1312" s="196">
        <v>125.9</v>
      </c>
      <c r="E1312" s="196">
        <v>121.9</v>
      </c>
      <c r="F1312" s="196">
        <v>122.1</v>
      </c>
      <c r="G1312" s="196">
        <f t="shared" si="20"/>
        <v>61.05</v>
      </c>
      <c r="H1312" s="196">
        <v>41915</v>
      </c>
      <c r="I1312" s="196">
        <v>5158688.5</v>
      </c>
      <c r="J1312" s="196"/>
    </row>
    <row r="1313" spans="1:10" ht="14.4">
      <c r="A1313" s="196" t="s">
        <v>351</v>
      </c>
      <c r="B1313" s="197">
        <v>42292</v>
      </c>
      <c r="C1313" s="196">
        <v>122.1</v>
      </c>
      <c r="D1313" s="196">
        <v>122.5</v>
      </c>
      <c r="E1313" s="196">
        <v>118.5</v>
      </c>
      <c r="F1313" s="196">
        <v>119.6</v>
      </c>
      <c r="G1313" s="196">
        <f t="shared" si="20"/>
        <v>59.8</v>
      </c>
      <c r="H1313" s="196">
        <v>43376</v>
      </c>
      <c r="I1313" s="196">
        <v>5211670</v>
      </c>
      <c r="J1313" s="196"/>
    </row>
    <row r="1314" spans="1:10" ht="14.4">
      <c r="A1314" s="196" t="s">
        <v>351</v>
      </c>
      <c r="B1314" s="197">
        <v>42293</v>
      </c>
      <c r="C1314" s="196">
        <v>120.9</v>
      </c>
      <c r="D1314" s="196">
        <v>122</v>
      </c>
      <c r="E1314" s="196">
        <v>119.1</v>
      </c>
      <c r="F1314" s="196">
        <v>119.5</v>
      </c>
      <c r="G1314" s="196">
        <f t="shared" si="20"/>
        <v>59.75</v>
      </c>
      <c r="H1314" s="196">
        <v>82355</v>
      </c>
      <c r="I1314" s="196">
        <v>10028818.5</v>
      </c>
      <c r="J1314" s="196"/>
    </row>
    <row r="1315" spans="1:10" ht="14.4">
      <c r="A1315" s="196" t="s">
        <v>351</v>
      </c>
      <c r="B1315" s="197">
        <v>42296</v>
      </c>
      <c r="C1315" s="196">
        <v>120.5</v>
      </c>
      <c r="D1315" s="196">
        <v>121</v>
      </c>
      <c r="E1315" s="196">
        <v>118.5</v>
      </c>
      <c r="F1315" s="196">
        <v>119.6</v>
      </c>
      <c r="G1315" s="196">
        <f t="shared" si="20"/>
        <v>59.8</v>
      </c>
      <c r="H1315" s="196">
        <v>42129</v>
      </c>
      <c r="I1315" s="196">
        <v>5038363.5</v>
      </c>
      <c r="J1315" s="196"/>
    </row>
    <row r="1316" spans="1:10" ht="14.4">
      <c r="A1316" s="196" t="s">
        <v>351</v>
      </c>
      <c r="B1316" s="197">
        <v>42297</v>
      </c>
      <c r="C1316" s="196">
        <v>119.9</v>
      </c>
      <c r="D1316" s="196">
        <v>122.5</v>
      </c>
      <c r="E1316" s="196">
        <v>119.9</v>
      </c>
      <c r="F1316" s="196">
        <v>120.5</v>
      </c>
      <c r="G1316" s="196">
        <f t="shared" si="20"/>
        <v>60.25</v>
      </c>
      <c r="H1316" s="196">
        <v>29095</v>
      </c>
      <c r="I1316" s="196">
        <v>3515002.5</v>
      </c>
      <c r="J1316" s="196"/>
    </row>
    <row r="1317" spans="1:10" ht="14.4">
      <c r="A1317" s="196" t="s">
        <v>351</v>
      </c>
      <c r="B1317" s="197">
        <v>42298</v>
      </c>
      <c r="C1317" s="196">
        <v>120.9</v>
      </c>
      <c r="D1317" s="196">
        <v>122.4</v>
      </c>
      <c r="E1317" s="196">
        <v>120</v>
      </c>
      <c r="F1317" s="196">
        <v>122</v>
      </c>
      <c r="G1317" s="196">
        <f t="shared" si="20"/>
        <v>61</v>
      </c>
      <c r="H1317" s="196">
        <v>29376</v>
      </c>
      <c r="I1317" s="196">
        <v>3545548.4</v>
      </c>
      <c r="J1317" s="196"/>
    </row>
    <row r="1318" spans="1:10" ht="14.4">
      <c r="A1318" s="196" t="s">
        <v>351</v>
      </c>
      <c r="B1318" s="197">
        <v>42299</v>
      </c>
      <c r="C1318" s="196">
        <v>120.1</v>
      </c>
      <c r="D1318" s="196">
        <v>121</v>
      </c>
      <c r="E1318" s="196">
        <v>119.5</v>
      </c>
      <c r="F1318" s="196">
        <v>119.8</v>
      </c>
      <c r="G1318" s="196">
        <f t="shared" si="20"/>
        <v>59.9</v>
      </c>
      <c r="H1318" s="196">
        <v>35813</v>
      </c>
      <c r="I1318" s="196">
        <v>4323106.5999999996</v>
      </c>
      <c r="J1318" s="196"/>
    </row>
    <row r="1319" spans="1:10" ht="14.4">
      <c r="A1319" s="196" t="s">
        <v>351</v>
      </c>
      <c r="B1319" s="197">
        <v>42300</v>
      </c>
      <c r="C1319" s="196">
        <v>119.1</v>
      </c>
      <c r="D1319" s="196">
        <v>120.9</v>
      </c>
      <c r="E1319" s="196">
        <v>119.1</v>
      </c>
      <c r="F1319" s="196">
        <v>120.6</v>
      </c>
      <c r="G1319" s="196">
        <f t="shared" si="20"/>
        <v>60.3</v>
      </c>
      <c r="H1319" s="196">
        <v>75982</v>
      </c>
      <c r="I1319" s="196">
        <v>9130499.6999999993</v>
      </c>
      <c r="J1319" s="196"/>
    </row>
    <row r="1320" spans="1:10" ht="14.4">
      <c r="A1320" s="196" t="s">
        <v>351</v>
      </c>
      <c r="B1320" s="197">
        <v>42303</v>
      </c>
      <c r="C1320" s="196">
        <v>120.7</v>
      </c>
      <c r="D1320" s="196">
        <v>122.3</v>
      </c>
      <c r="E1320" s="196">
        <v>120</v>
      </c>
      <c r="F1320" s="196">
        <v>120.6</v>
      </c>
      <c r="G1320" s="196">
        <f t="shared" si="20"/>
        <v>60.3</v>
      </c>
      <c r="H1320" s="196">
        <v>42080</v>
      </c>
      <c r="I1320" s="196">
        <v>5094832</v>
      </c>
      <c r="J1320" s="196"/>
    </row>
    <row r="1321" spans="1:10" ht="14.4">
      <c r="A1321" s="196" t="s">
        <v>351</v>
      </c>
      <c r="B1321" s="197">
        <v>42305</v>
      </c>
      <c r="C1321" s="196">
        <v>120.1</v>
      </c>
      <c r="D1321" s="196">
        <v>120.5</v>
      </c>
      <c r="E1321" s="196">
        <v>120</v>
      </c>
      <c r="F1321" s="196">
        <v>120</v>
      </c>
      <c r="G1321" s="196">
        <f t="shared" si="20"/>
        <v>60</v>
      </c>
      <c r="H1321" s="196">
        <v>48540</v>
      </c>
      <c r="I1321" s="196">
        <v>5825441.5</v>
      </c>
      <c r="J1321" s="196"/>
    </row>
    <row r="1322" spans="1:10" ht="14.4">
      <c r="A1322" s="196" t="s">
        <v>351</v>
      </c>
      <c r="B1322" s="197">
        <v>42306</v>
      </c>
      <c r="C1322" s="196">
        <v>119.1</v>
      </c>
      <c r="D1322" s="196">
        <v>122</v>
      </c>
      <c r="E1322" s="196">
        <v>119</v>
      </c>
      <c r="F1322" s="196">
        <v>119.6</v>
      </c>
      <c r="G1322" s="196">
        <f t="shared" si="20"/>
        <v>59.8</v>
      </c>
      <c r="H1322" s="196">
        <v>22245</v>
      </c>
      <c r="I1322" s="196">
        <v>2659360</v>
      </c>
      <c r="J1322" s="196"/>
    </row>
    <row r="1323" spans="1:10" ht="14.4">
      <c r="A1323" s="196" t="s">
        <v>351</v>
      </c>
      <c r="B1323" s="197">
        <v>42307</v>
      </c>
      <c r="C1323" s="196">
        <v>119</v>
      </c>
      <c r="D1323" s="196">
        <v>119.8</v>
      </c>
      <c r="E1323" s="196">
        <v>118.6</v>
      </c>
      <c r="F1323" s="196">
        <v>119</v>
      </c>
      <c r="G1323" s="196">
        <f t="shared" si="20"/>
        <v>59.5</v>
      </c>
      <c r="H1323" s="196">
        <v>16210</v>
      </c>
      <c r="I1323" s="196">
        <v>1929141.2</v>
      </c>
      <c r="J1323" s="196"/>
    </row>
    <row r="1324" spans="1:10" ht="14.4">
      <c r="A1324" s="196" t="s">
        <v>351</v>
      </c>
      <c r="B1324" s="197">
        <v>42310</v>
      </c>
      <c r="C1324" s="196">
        <v>119</v>
      </c>
      <c r="D1324" s="196">
        <v>119</v>
      </c>
      <c r="E1324" s="196">
        <v>119</v>
      </c>
      <c r="F1324" s="196">
        <v>119</v>
      </c>
      <c r="G1324" s="196">
        <f t="shared" si="20"/>
        <v>59.5</v>
      </c>
      <c r="H1324" s="196">
        <v>9220</v>
      </c>
      <c r="I1324" s="196">
        <v>1097180</v>
      </c>
      <c r="J1324" s="196"/>
    </row>
    <row r="1325" spans="1:10" ht="14.4">
      <c r="A1325" s="196" t="s">
        <v>351</v>
      </c>
      <c r="B1325" s="197">
        <v>42311</v>
      </c>
      <c r="C1325" s="196">
        <v>119</v>
      </c>
      <c r="D1325" s="196">
        <v>119.1</v>
      </c>
      <c r="E1325" s="196">
        <v>118</v>
      </c>
      <c r="F1325" s="196">
        <v>118.7</v>
      </c>
      <c r="G1325" s="196">
        <f t="shared" si="20"/>
        <v>59.35</v>
      </c>
      <c r="H1325" s="196">
        <v>105647</v>
      </c>
      <c r="I1325" s="196">
        <v>12566083</v>
      </c>
      <c r="J1325" s="196"/>
    </row>
    <row r="1326" spans="1:10" ht="14.4">
      <c r="A1326" s="196" t="s">
        <v>351</v>
      </c>
      <c r="B1326" s="197">
        <v>42312</v>
      </c>
      <c r="C1326" s="196">
        <v>118.7</v>
      </c>
      <c r="D1326" s="196">
        <v>118.7</v>
      </c>
      <c r="E1326" s="196">
        <v>114</v>
      </c>
      <c r="F1326" s="196">
        <v>115</v>
      </c>
      <c r="G1326" s="196">
        <f t="shared" si="20"/>
        <v>57.5</v>
      </c>
      <c r="H1326" s="196">
        <v>53033</v>
      </c>
      <c r="I1326" s="196">
        <v>6112777.7000000002</v>
      </c>
      <c r="J1326" s="196"/>
    </row>
    <row r="1327" spans="1:10" ht="14.4">
      <c r="A1327" s="196" t="s">
        <v>351</v>
      </c>
      <c r="B1327" s="197">
        <v>42313</v>
      </c>
      <c r="C1327" s="196">
        <v>115</v>
      </c>
      <c r="D1327" s="196">
        <v>118</v>
      </c>
      <c r="E1327" s="196">
        <v>115</v>
      </c>
      <c r="F1327" s="196">
        <v>116.9</v>
      </c>
      <c r="G1327" s="196">
        <f t="shared" si="20"/>
        <v>58.45</v>
      </c>
      <c r="H1327" s="196">
        <v>8192</v>
      </c>
      <c r="I1327" s="196">
        <v>954664</v>
      </c>
      <c r="J1327" s="196"/>
    </row>
    <row r="1328" spans="1:10" ht="14.4">
      <c r="A1328" s="196" t="s">
        <v>351</v>
      </c>
      <c r="B1328" s="197">
        <v>42314</v>
      </c>
      <c r="C1328" s="196">
        <v>118</v>
      </c>
      <c r="D1328" s="196">
        <v>122</v>
      </c>
      <c r="E1328" s="196">
        <v>118</v>
      </c>
      <c r="F1328" s="196">
        <v>120</v>
      </c>
      <c r="G1328" s="196">
        <f t="shared" si="20"/>
        <v>60</v>
      </c>
      <c r="H1328" s="196">
        <v>9968</v>
      </c>
      <c r="I1328" s="196">
        <v>1191392</v>
      </c>
      <c r="J1328" s="196"/>
    </row>
    <row r="1329" spans="1:10" ht="14.4">
      <c r="A1329" s="196" t="s">
        <v>351</v>
      </c>
      <c r="B1329" s="197">
        <v>42317</v>
      </c>
      <c r="C1329" s="196">
        <v>120</v>
      </c>
      <c r="D1329" s="196">
        <v>120</v>
      </c>
      <c r="E1329" s="196">
        <v>120</v>
      </c>
      <c r="F1329" s="196">
        <v>120</v>
      </c>
      <c r="G1329" s="196">
        <f t="shared" ref="G1329:G1392" si="21">F1329/2</f>
        <v>60</v>
      </c>
      <c r="H1329" s="196">
        <v>1800</v>
      </c>
      <c r="I1329" s="196">
        <v>216000</v>
      </c>
      <c r="J1329" s="196"/>
    </row>
    <row r="1330" spans="1:10" ht="14.4">
      <c r="A1330" s="196" t="s">
        <v>351</v>
      </c>
      <c r="B1330" s="197">
        <v>42319</v>
      </c>
      <c r="C1330" s="196">
        <v>119.7</v>
      </c>
      <c r="D1330" s="196">
        <v>120</v>
      </c>
      <c r="E1330" s="196">
        <v>117.5</v>
      </c>
      <c r="F1330" s="196">
        <v>118.8</v>
      </c>
      <c r="G1330" s="196">
        <f t="shared" si="21"/>
        <v>59.4</v>
      </c>
      <c r="H1330" s="196">
        <v>17310</v>
      </c>
      <c r="I1330" s="196">
        <v>2065799.5</v>
      </c>
      <c r="J1330" s="196"/>
    </row>
    <row r="1331" spans="1:10" ht="14.4">
      <c r="A1331" s="196" t="s">
        <v>351</v>
      </c>
      <c r="B1331" s="197">
        <v>42320</v>
      </c>
      <c r="C1331" s="196">
        <v>119.9</v>
      </c>
      <c r="D1331" s="196">
        <v>120</v>
      </c>
      <c r="E1331" s="196">
        <v>118.4</v>
      </c>
      <c r="F1331" s="196">
        <v>119.2</v>
      </c>
      <c r="G1331" s="196">
        <f t="shared" si="21"/>
        <v>59.6</v>
      </c>
      <c r="H1331" s="196">
        <v>12890</v>
      </c>
      <c r="I1331" s="196">
        <v>1542661.2</v>
      </c>
      <c r="J1331" s="196"/>
    </row>
    <row r="1332" spans="1:10" ht="14.4">
      <c r="A1332" s="196" t="s">
        <v>351</v>
      </c>
      <c r="B1332" s="197">
        <v>42321</v>
      </c>
      <c r="C1332" s="196">
        <v>119.3</v>
      </c>
      <c r="D1332" s="196">
        <v>120</v>
      </c>
      <c r="E1332" s="196">
        <v>118.3</v>
      </c>
      <c r="F1332" s="196">
        <v>119.8</v>
      </c>
      <c r="G1332" s="196">
        <f t="shared" si="21"/>
        <v>59.9</v>
      </c>
      <c r="H1332" s="196">
        <v>12846</v>
      </c>
      <c r="I1332" s="196">
        <v>1537889.5</v>
      </c>
      <c r="J1332" s="196"/>
    </row>
    <row r="1333" spans="1:10" ht="14.4">
      <c r="A1333" s="196" t="s">
        <v>351</v>
      </c>
      <c r="B1333" s="197">
        <v>42324</v>
      </c>
      <c r="C1333" s="196">
        <v>120</v>
      </c>
      <c r="D1333" s="196">
        <v>120</v>
      </c>
      <c r="E1333" s="196">
        <v>116.2</v>
      </c>
      <c r="F1333" s="196">
        <v>117.6</v>
      </c>
      <c r="G1333" s="196">
        <f t="shared" si="21"/>
        <v>58.8</v>
      </c>
      <c r="H1333" s="196">
        <v>31630</v>
      </c>
      <c r="I1333" s="196">
        <v>3729337.7</v>
      </c>
      <c r="J1333" s="196"/>
    </row>
    <row r="1334" spans="1:10" ht="14.4">
      <c r="A1334" s="196" t="s">
        <v>351</v>
      </c>
      <c r="B1334" s="197">
        <v>42325</v>
      </c>
      <c r="C1334" s="196">
        <v>116.5</v>
      </c>
      <c r="D1334" s="196">
        <v>118</v>
      </c>
      <c r="E1334" s="196">
        <v>116</v>
      </c>
      <c r="F1334" s="196">
        <v>116.9</v>
      </c>
      <c r="G1334" s="196">
        <f t="shared" si="21"/>
        <v>58.45</v>
      </c>
      <c r="H1334" s="196">
        <v>23832</v>
      </c>
      <c r="I1334" s="196">
        <v>2785182.1</v>
      </c>
      <c r="J1334" s="196"/>
    </row>
    <row r="1335" spans="1:10" ht="14.4">
      <c r="A1335" s="196" t="s">
        <v>351</v>
      </c>
      <c r="B1335" s="197">
        <v>42326</v>
      </c>
      <c r="C1335" s="196">
        <v>117</v>
      </c>
      <c r="D1335" s="196">
        <v>117.9</v>
      </c>
      <c r="E1335" s="196">
        <v>117</v>
      </c>
      <c r="F1335" s="196">
        <v>117</v>
      </c>
      <c r="G1335" s="196">
        <f t="shared" si="21"/>
        <v>58.5</v>
      </c>
      <c r="H1335" s="196">
        <v>58189</v>
      </c>
      <c r="I1335" s="196">
        <v>6812920.4000000004</v>
      </c>
      <c r="J1335" s="196"/>
    </row>
    <row r="1336" spans="1:10" ht="14.4">
      <c r="A1336" s="196" t="s">
        <v>351</v>
      </c>
      <c r="B1336" s="197">
        <v>42327</v>
      </c>
      <c r="C1336" s="196">
        <v>117</v>
      </c>
      <c r="D1336" s="196">
        <v>119.9</v>
      </c>
      <c r="E1336" s="196">
        <v>116.8</v>
      </c>
      <c r="F1336" s="196">
        <v>118.9</v>
      </c>
      <c r="G1336" s="196">
        <f t="shared" si="21"/>
        <v>59.45</v>
      </c>
      <c r="H1336" s="196">
        <v>132980</v>
      </c>
      <c r="I1336" s="196">
        <v>15722444.800000001</v>
      </c>
      <c r="J1336" s="196"/>
    </row>
    <row r="1337" spans="1:10" ht="14.4">
      <c r="A1337" s="196" t="s">
        <v>351</v>
      </c>
      <c r="B1337" s="197">
        <v>42328</v>
      </c>
      <c r="C1337" s="196">
        <v>119.5</v>
      </c>
      <c r="D1337" s="196">
        <v>120</v>
      </c>
      <c r="E1337" s="196">
        <v>118.1</v>
      </c>
      <c r="F1337" s="196">
        <v>120</v>
      </c>
      <c r="G1337" s="196">
        <f t="shared" si="21"/>
        <v>60</v>
      </c>
      <c r="H1337" s="196">
        <v>88662</v>
      </c>
      <c r="I1337" s="196">
        <v>10623471.9</v>
      </c>
      <c r="J1337" s="196"/>
    </row>
    <row r="1338" spans="1:10" ht="14.4">
      <c r="A1338" s="196" t="s">
        <v>351</v>
      </c>
      <c r="B1338" s="197">
        <v>42331</v>
      </c>
      <c r="C1338" s="196">
        <v>122</v>
      </c>
      <c r="D1338" s="196">
        <v>122</v>
      </c>
      <c r="E1338" s="196">
        <v>119.5</v>
      </c>
      <c r="F1338" s="196">
        <v>120</v>
      </c>
      <c r="G1338" s="196">
        <f t="shared" si="21"/>
        <v>60</v>
      </c>
      <c r="H1338" s="196">
        <v>102842</v>
      </c>
      <c r="I1338" s="196">
        <v>12412200</v>
      </c>
      <c r="J1338" s="196"/>
    </row>
    <row r="1339" spans="1:10" ht="14.4">
      <c r="A1339" s="196" t="s">
        <v>351</v>
      </c>
      <c r="B1339" s="197">
        <v>42332</v>
      </c>
      <c r="C1339" s="196">
        <v>119.9</v>
      </c>
      <c r="D1339" s="196">
        <v>119.9</v>
      </c>
      <c r="E1339" s="196">
        <v>117.5</v>
      </c>
      <c r="F1339" s="196">
        <v>119</v>
      </c>
      <c r="G1339" s="196">
        <f t="shared" si="21"/>
        <v>59.5</v>
      </c>
      <c r="H1339" s="196">
        <v>2352</v>
      </c>
      <c r="I1339" s="196">
        <v>279024.40000000002</v>
      </c>
      <c r="J1339" s="196"/>
    </row>
    <row r="1340" spans="1:10" ht="14.4">
      <c r="A1340" s="196" t="s">
        <v>351</v>
      </c>
      <c r="B1340" s="197">
        <v>42334</v>
      </c>
      <c r="C1340" s="196">
        <v>117.9</v>
      </c>
      <c r="D1340" s="196">
        <v>118</v>
      </c>
      <c r="E1340" s="196">
        <v>115.8</v>
      </c>
      <c r="F1340" s="196">
        <v>116.8</v>
      </c>
      <c r="G1340" s="196">
        <f t="shared" si="21"/>
        <v>58.4</v>
      </c>
      <c r="H1340" s="196">
        <v>18512</v>
      </c>
      <c r="I1340" s="196">
        <v>2167217.1</v>
      </c>
      <c r="J1340" s="196"/>
    </row>
    <row r="1341" spans="1:10" ht="14.4">
      <c r="A1341" s="196" t="s">
        <v>351</v>
      </c>
      <c r="B1341" s="197">
        <v>42335</v>
      </c>
      <c r="C1341" s="196">
        <v>116.2</v>
      </c>
      <c r="D1341" s="196">
        <v>117.5</v>
      </c>
      <c r="E1341" s="196">
        <v>116</v>
      </c>
      <c r="F1341" s="196">
        <v>117.3</v>
      </c>
      <c r="G1341" s="196">
        <f t="shared" si="21"/>
        <v>58.65</v>
      </c>
      <c r="H1341" s="196">
        <v>16465</v>
      </c>
      <c r="I1341" s="196">
        <v>1922185.3</v>
      </c>
      <c r="J1341" s="196"/>
    </row>
    <row r="1342" spans="1:10" ht="14.4">
      <c r="A1342" s="196" t="s">
        <v>351</v>
      </c>
      <c r="B1342" s="197">
        <v>42338</v>
      </c>
      <c r="C1342" s="196">
        <v>117</v>
      </c>
      <c r="D1342" s="196">
        <v>117.5</v>
      </c>
      <c r="E1342" s="196">
        <v>116.2</v>
      </c>
      <c r="F1342" s="196">
        <v>117</v>
      </c>
      <c r="G1342" s="196">
        <f t="shared" si="21"/>
        <v>58.5</v>
      </c>
      <c r="H1342" s="196">
        <v>6200</v>
      </c>
      <c r="I1342" s="196">
        <v>724419</v>
      </c>
      <c r="J1342" s="196"/>
    </row>
    <row r="1343" spans="1:10" ht="14.4">
      <c r="A1343" s="196" t="s">
        <v>351</v>
      </c>
      <c r="B1343" s="197">
        <v>42339</v>
      </c>
      <c r="C1343" s="196">
        <v>117</v>
      </c>
      <c r="D1343" s="196">
        <v>120</v>
      </c>
      <c r="E1343" s="196">
        <v>117</v>
      </c>
      <c r="F1343" s="196">
        <v>119.1</v>
      </c>
      <c r="G1343" s="196">
        <f t="shared" si="21"/>
        <v>59.55</v>
      </c>
      <c r="H1343" s="196">
        <v>23000</v>
      </c>
      <c r="I1343" s="196">
        <v>2721033.4</v>
      </c>
      <c r="J1343" s="196"/>
    </row>
    <row r="1344" spans="1:10" ht="14.4">
      <c r="A1344" s="196" t="s">
        <v>351</v>
      </c>
      <c r="B1344" s="197">
        <v>42340</v>
      </c>
      <c r="C1344" s="196">
        <v>119</v>
      </c>
      <c r="D1344" s="196">
        <v>119</v>
      </c>
      <c r="E1344" s="196">
        <v>117</v>
      </c>
      <c r="F1344" s="196">
        <v>117.3</v>
      </c>
      <c r="G1344" s="196">
        <f t="shared" si="21"/>
        <v>58.65</v>
      </c>
      <c r="H1344" s="196">
        <v>31538</v>
      </c>
      <c r="I1344" s="196">
        <v>3716699.1</v>
      </c>
      <c r="J1344" s="196"/>
    </row>
    <row r="1345" spans="1:10" ht="14.4">
      <c r="A1345" s="196" t="s">
        <v>351</v>
      </c>
      <c r="B1345" s="197">
        <v>42341</v>
      </c>
      <c r="C1345" s="196">
        <v>117.6</v>
      </c>
      <c r="D1345" s="196">
        <v>118.8</v>
      </c>
      <c r="E1345" s="196">
        <v>117.5</v>
      </c>
      <c r="F1345" s="196">
        <v>118</v>
      </c>
      <c r="G1345" s="196">
        <f t="shared" si="21"/>
        <v>59</v>
      </c>
      <c r="H1345" s="196">
        <v>5136</v>
      </c>
      <c r="I1345" s="196">
        <v>604316.6</v>
      </c>
      <c r="J1345" s="196"/>
    </row>
    <row r="1346" spans="1:10" ht="14.4">
      <c r="A1346" s="196" t="s">
        <v>351</v>
      </c>
      <c r="B1346" s="197">
        <v>42342</v>
      </c>
      <c r="C1346" s="196">
        <v>118.9</v>
      </c>
      <c r="D1346" s="196">
        <v>118.9</v>
      </c>
      <c r="E1346" s="196">
        <v>116.5</v>
      </c>
      <c r="F1346" s="196">
        <v>116.7</v>
      </c>
      <c r="G1346" s="196">
        <f t="shared" si="21"/>
        <v>58.35</v>
      </c>
      <c r="H1346" s="196">
        <v>12132</v>
      </c>
      <c r="I1346" s="196">
        <v>1418557.7</v>
      </c>
      <c r="J1346" s="196"/>
    </row>
    <row r="1347" spans="1:10" ht="14.4">
      <c r="A1347" s="196" t="s">
        <v>351</v>
      </c>
      <c r="B1347" s="197">
        <v>42345</v>
      </c>
      <c r="C1347" s="196">
        <v>117</v>
      </c>
      <c r="D1347" s="196">
        <v>117</v>
      </c>
      <c r="E1347" s="196">
        <v>115.6</v>
      </c>
      <c r="F1347" s="196">
        <v>116.3</v>
      </c>
      <c r="G1347" s="196">
        <f t="shared" si="21"/>
        <v>58.15</v>
      </c>
      <c r="H1347" s="196">
        <v>21910</v>
      </c>
      <c r="I1347" s="196">
        <v>2548030</v>
      </c>
      <c r="J1347" s="196"/>
    </row>
    <row r="1348" spans="1:10" ht="14.4">
      <c r="A1348" s="196" t="s">
        <v>351</v>
      </c>
      <c r="B1348" s="197">
        <v>42346</v>
      </c>
      <c r="C1348" s="196">
        <v>115.5</v>
      </c>
      <c r="D1348" s="196">
        <v>116.9</v>
      </c>
      <c r="E1348" s="196">
        <v>115.2</v>
      </c>
      <c r="F1348" s="196">
        <v>116.9</v>
      </c>
      <c r="G1348" s="196">
        <f t="shared" si="21"/>
        <v>58.45</v>
      </c>
      <c r="H1348" s="196">
        <v>66540</v>
      </c>
      <c r="I1348" s="196">
        <v>7719428.5</v>
      </c>
      <c r="J1348" s="196"/>
    </row>
    <row r="1349" spans="1:10" ht="14.4">
      <c r="A1349" s="196" t="s">
        <v>351</v>
      </c>
      <c r="B1349" s="197">
        <v>42347</v>
      </c>
      <c r="C1349" s="196">
        <v>116.9</v>
      </c>
      <c r="D1349" s="196">
        <v>117</v>
      </c>
      <c r="E1349" s="196">
        <v>115.1</v>
      </c>
      <c r="F1349" s="196">
        <v>115.6</v>
      </c>
      <c r="G1349" s="196">
        <f t="shared" si="21"/>
        <v>57.8</v>
      </c>
      <c r="H1349" s="196">
        <v>11751</v>
      </c>
      <c r="I1349" s="196">
        <v>1361036</v>
      </c>
      <c r="J1349" s="196"/>
    </row>
    <row r="1350" spans="1:10" ht="14.4">
      <c r="A1350" s="196" t="s">
        <v>351</v>
      </c>
      <c r="B1350" s="197">
        <v>42348</v>
      </c>
      <c r="C1350" s="196">
        <v>115.1</v>
      </c>
      <c r="D1350" s="196">
        <v>116.5</v>
      </c>
      <c r="E1350" s="196">
        <v>114</v>
      </c>
      <c r="F1350" s="196">
        <v>115.5</v>
      </c>
      <c r="G1350" s="196">
        <f t="shared" si="21"/>
        <v>57.75</v>
      </c>
      <c r="H1350" s="196">
        <v>60792</v>
      </c>
      <c r="I1350" s="196">
        <v>7008398.2000000002</v>
      </c>
      <c r="J1350" s="196"/>
    </row>
    <row r="1351" spans="1:10" ht="14.4">
      <c r="A1351" s="196" t="s">
        <v>351</v>
      </c>
      <c r="B1351" s="197">
        <v>42349</v>
      </c>
      <c r="C1351" s="196">
        <v>115.2</v>
      </c>
      <c r="D1351" s="196">
        <v>117.9</v>
      </c>
      <c r="E1351" s="196">
        <v>115.2</v>
      </c>
      <c r="F1351" s="196">
        <v>116.9</v>
      </c>
      <c r="G1351" s="196">
        <f t="shared" si="21"/>
        <v>58.45</v>
      </c>
      <c r="H1351" s="196">
        <v>28726</v>
      </c>
      <c r="I1351" s="196">
        <v>3329893.2</v>
      </c>
      <c r="J1351" s="196"/>
    </row>
    <row r="1352" spans="1:10" ht="14.4">
      <c r="A1352" s="196" t="s">
        <v>351</v>
      </c>
      <c r="B1352" s="197">
        <v>42352</v>
      </c>
      <c r="C1352" s="196">
        <v>115.9</v>
      </c>
      <c r="D1352" s="196">
        <v>116.9</v>
      </c>
      <c r="E1352" s="196">
        <v>115.8</v>
      </c>
      <c r="F1352" s="196">
        <v>116.7</v>
      </c>
      <c r="G1352" s="196">
        <f t="shared" si="21"/>
        <v>58.35</v>
      </c>
      <c r="H1352" s="196">
        <v>22550</v>
      </c>
      <c r="I1352" s="196">
        <v>2623810</v>
      </c>
      <c r="J1352" s="196"/>
    </row>
    <row r="1353" spans="1:10" ht="14.4">
      <c r="A1353" s="196" t="s">
        <v>351</v>
      </c>
      <c r="B1353" s="197">
        <v>42353</v>
      </c>
      <c r="C1353" s="196">
        <v>117.2</v>
      </c>
      <c r="D1353" s="196">
        <v>117.2</v>
      </c>
      <c r="E1353" s="196">
        <v>115.8</v>
      </c>
      <c r="F1353" s="196">
        <v>116.3</v>
      </c>
      <c r="G1353" s="196">
        <f t="shared" si="21"/>
        <v>58.15</v>
      </c>
      <c r="H1353" s="196">
        <v>23465</v>
      </c>
      <c r="I1353" s="196">
        <v>2736776.4</v>
      </c>
      <c r="J1353" s="196"/>
    </row>
    <row r="1354" spans="1:10" ht="14.4">
      <c r="A1354" s="196" t="s">
        <v>351</v>
      </c>
      <c r="B1354" s="197">
        <v>42354</v>
      </c>
      <c r="C1354" s="196">
        <v>116</v>
      </c>
      <c r="D1354" s="196">
        <v>117</v>
      </c>
      <c r="E1354" s="196">
        <v>116</v>
      </c>
      <c r="F1354" s="196">
        <v>116.5</v>
      </c>
      <c r="G1354" s="196">
        <f t="shared" si="21"/>
        <v>58.25</v>
      </c>
      <c r="H1354" s="196">
        <v>20260</v>
      </c>
      <c r="I1354" s="196">
        <v>2359463</v>
      </c>
      <c r="J1354" s="196"/>
    </row>
    <row r="1355" spans="1:10" ht="14.4">
      <c r="A1355" s="196" t="s">
        <v>351</v>
      </c>
      <c r="B1355" s="197">
        <v>42355</v>
      </c>
      <c r="C1355" s="196">
        <v>116.1</v>
      </c>
      <c r="D1355" s="196">
        <v>119.9</v>
      </c>
      <c r="E1355" s="196">
        <v>116</v>
      </c>
      <c r="F1355" s="196">
        <v>119.4</v>
      </c>
      <c r="G1355" s="196">
        <f t="shared" si="21"/>
        <v>59.7</v>
      </c>
      <c r="H1355" s="196">
        <v>10134</v>
      </c>
      <c r="I1355" s="196">
        <v>1196976.2</v>
      </c>
      <c r="J1355" s="196"/>
    </row>
    <row r="1356" spans="1:10" ht="14.4">
      <c r="A1356" s="196" t="s">
        <v>351</v>
      </c>
      <c r="B1356" s="197">
        <v>42356</v>
      </c>
      <c r="C1356" s="196">
        <v>119</v>
      </c>
      <c r="D1356" s="196">
        <v>121.9</v>
      </c>
      <c r="E1356" s="196">
        <v>119</v>
      </c>
      <c r="F1356" s="196">
        <v>119.8</v>
      </c>
      <c r="G1356" s="196">
        <f t="shared" si="21"/>
        <v>59.9</v>
      </c>
      <c r="H1356" s="196">
        <v>130304</v>
      </c>
      <c r="I1356" s="196">
        <v>15632879</v>
      </c>
      <c r="J1356" s="196"/>
    </row>
    <row r="1357" spans="1:10" ht="14.4">
      <c r="A1357" s="196" t="s">
        <v>351</v>
      </c>
      <c r="B1357" s="197">
        <v>42359</v>
      </c>
      <c r="C1357" s="196">
        <v>119.1</v>
      </c>
      <c r="D1357" s="196">
        <v>119.8</v>
      </c>
      <c r="E1357" s="196">
        <v>119</v>
      </c>
      <c r="F1357" s="196">
        <v>119.3</v>
      </c>
      <c r="G1357" s="196">
        <f t="shared" si="21"/>
        <v>59.65</v>
      </c>
      <c r="H1357" s="196">
        <v>4500</v>
      </c>
      <c r="I1357" s="196">
        <v>537193.19999999995</v>
      </c>
      <c r="J1357" s="196"/>
    </row>
    <row r="1358" spans="1:10" ht="14.4">
      <c r="A1358" s="196" t="s">
        <v>351</v>
      </c>
      <c r="B1358" s="197">
        <v>42360</v>
      </c>
      <c r="C1358" s="196">
        <v>119</v>
      </c>
      <c r="D1358" s="196">
        <v>119.9</v>
      </c>
      <c r="E1358" s="196">
        <v>119</v>
      </c>
      <c r="F1358" s="196">
        <v>119.3</v>
      </c>
      <c r="G1358" s="196">
        <f t="shared" si="21"/>
        <v>59.65</v>
      </c>
      <c r="H1358" s="196">
        <v>10710</v>
      </c>
      <c r="I1358" s="196">
        <v>1277251</v>
      </c>
      <c r="J1358" s="196"/>
    </row>
    <row r="1359" spans="1:10" ht="14.4">
      <c r="A1359" s="196" t="s">
        <v>351</v>
      </c>
      <c r="B1359" s="197">
        <v>42361</v>
      </c>
      <c r="C1359" s="196">
        <v>119.4</v>
      </c>
      <c r="D1359" s="196">
        <v>119.4</v>
      </c>
      <c r="E1359" s="196">
        <v>119.4</v>
      </c>
      <c r="F1359" s="196">
        <v>119.4</v>
      </c>
      <c r="G1359" s="196">
        <f t="shared" si="21"/>
        <v>59.7</v>
      </c>
      <c r="H1359" s="196">
        <v>501</v>
      </c>
      <c r="I1359" s="196">
        <v>59819.4</v>
      </c>
      <c r="J1359" s="196"/>
    </row>
    <row r="1360" spans="1:10" ht="14.4">
      <c r="A1360" s="196" t="s">
        <v>351</v>
      </c>
      <c r="B1360" s="197">
        <v>42366</v>
      </c>
      <c r="C1360" s="196">
        <v>119</v>
      </c>
      <c r="D1360" s="196">
        <v>119</v>
      </c>
      <c r="E1360" s="196">
        <v>118</v>
      </c>
      <c r="F1360" s="196">
        <v>118.6</v>
      </c>
      <c r="G1360" s="196">
        <f t="shared" si="21"/>
        <v>59.3</v>
      </c>
      <c r="H1360" s="196">
        <v>8325</v>
      </c>
      <c r="I1360" s="196">
        <v>987697.5</v>
      </c>
      <c r="J1360" s="196"/>
    </row>
    <row r="1361" spans="1:10" ht="14.4">
      <c r="A1361" s="196" t="s">
        <v>351</v>
      </c>
      <c r="B1361" s="197">
        <v>42367</v>
      </c>
      <c r="C1361" s="196">
        <v>119.5</v>
      </c>
      <c r="D1361" s="196">
        <v>119.9</v>
      </c>
      <c r="E1361" s="196">
        <v>119.5</v>
      </c>
      <c r="F1361" s="196">
        <v>119.6</v>
      </c>
      <c r="G1361" s="196">
        <f t="shared" si="21"/>
        <v>59.8</v>
      </c>
      <c r="H1361" s="196">
        <v>2500</v>
      </c>
      <c r="I1361" s="196">
        <v>299087.59999999998</v>
      </c>
      <c r="J1361" s="196"/>
    </row>
    <row r="1362" spans="1:10" ht="14.4">
      <c r="A1362" s="196" t="s">
        <v>351</v>
      </c>
      <c r="B1362" s="197">
        <v>42368</v>
      </c>
      <c r="C1362" s="196">
        <v>119.5</v>
      </c>
      <c r="D1362" s="196">
        <v>121</v>
      </c>
      <c r="E1362" s="196">
        <v>119.5</v>
      </c>
      <c r="F1362" s="196">
        <v>120.2</v>
      </c>
      <c r="G1362" s="196">
        <f t="shared" si="21"/>
        <v>60.1</v>
      </c>
      <c r="H1362" s="196">
        <v>25825</v>
      </c>
      <c r="I1362" s="196">
        <v>3101924</v>
      </c>
      <c r="J1362" s="196"/>
    </row>
    <row r="1363" spans="1:10" ht="14.4">
      <c r="A1363" s="196" t="s">
        <v>351</v>
      </c>
      <c r="B1363" s="197">
        <v>42369</v>
      </c>
      <c r="C1363" s="196">
        <v>120.8</v>
      </c>
      <c r="D1363" s="196">
        <v>121.5</v>
      </c>
      <c r="E1363" s="196">
        <v>120</v>
      </c>
      <c r="F1363" s="196">
        <v>120.9</v>
      </c>
      <c r="G1363" s="196">
        <f t="shared" si="21"/>
        <v>60.45</v>
      </c>
      <c r="H1363" s="196">
        <v>15100</v>
      </c>
      <c r="I1363" s="196">
        <v>1826300.5</v>
      </c>
      <c r="J1363" s="196"/>
    </row>
    <row r="1364" spans="1:10" ht="14.4">
      <c r="A1364" s="196" t="s">
        <v>351</v>
      </c>
      <c r="B1364" s="197">
        <v>42373</v>
      </c>
      <c r="C1364" s="196">
        <v>122</v>
      </c>
      <c r="D1364" s="196">
        <v>122</v>
      </c>
      <c r="E1364" s="196">
        <v>119.6</v>
      </c>
      <c r="F1364" s="196">
        <v>120.5</v>
      </c>
      <c r="G1364" s="196">
        <f t="shared" si="21"/>
        <v>60.25</v>
      </c>
      <c r="H1364" s="196">
        <v>41256</v>
      </c>
      <c r="I1364" s="196">
        <v>4960340</v>
      </c>
      <c r="J1364" s="196"/>
    </row>
    <row r="1365" spans="1:10" ht="14.4">
      <c r="A1365" s="196" t="s">
        <v>351</v>
      </c>
      <c r="B1365" s="197">
        <v>42374</v>
      </c>
      <c r="C1365" s="196">
        <v>119.6</v>
      </c>
      <c r="D1365" s="196">
        <v>119.8</v>
      </c>
      <c r="E1365" s="196">
        <v>119</v>
      </c>
      <c r="F1365" s="196">
        <v>119.2</v>
      </c>
      <c r="G1365" s="196">
        <f t="shared" si="21"/>
        <v>59.6</v>
      </c>
      <c r="H1365" s="196">
        <v>19623</v>
      </c>
      <c r="I1365" s="196">
        <v>2341659.5</v>
      </c>
      <c r="J1365" s="196"/>
    </row>
    <row r="1366" spans="1:10" ht="14.4">
      <c r="A1366" s="196" t="s">
        <v>351</v>
      </c>
      <c r="B1366" s="197">
        <v>42375</v>
      </c>
      <c r="C1366" s="196">
        <v>118</v>
      </c>
      <c r="D1366" s="196">
        <v>119.6</v>
      </c>
      <c r="E1366" s="196">
        <v>117.5</v>
      </c>
      <c r="F1366" s="196">
        <v>119.1</v>
      </c>
      <c r="G1366" s="196">
        <f t="shared" si="21"/>
        <v>59.55</v>
      </c>
      <c r="H1366" s="196">
        <v>13255</v>
      </c>
      <c r="I1366" s="196">
        <v>1575710</v>
      </c>
      <c r="J1366" s="196"/>
    </row>
    <row r="1367" spans="1:10" ht="14.4">
      <c r="A1367" s="196" t="s">
        <v>351</v>
      </c>
      <c r="B1367" s="197">
        <v>42376</v>
      </c>
      <c r="C1367" s="196">
        <v>118.1</v>
      </c>
      <c r="D1367" s="196">
        <v>119</v>
      </c>
      <c r="E1367" s="196">
        <v>117.5</v>
      </c>
      <c r="F1367" s="196">
        <v>118.5</v>
      </c>
      <c r="G1367" s="196">
        <f t="shared" si="21"/>
        <v>59.25</v>
      </c>
      <c r="H1367" s="196">
        <v>10852</v>
      </c>
      <c r="I1367" s="196">
        <v>1279114.2</v>
      </c>
      <c r="J1367" s="196"/>
    </row>
    <row r="1368" spans="1:10" ht="14.4">
      <c r="A1368" s="196" t="s">
        <v>351</v>
      </c>
      <c r="B1368" s="197">
        <v>42377</v>
      </c>
      <c r="C1368" s="196">
        <v>117.1</v>
      </c>
      <c r="D1368" s="196">
        <v>117.1</v>
      </c>
      <c r="E1368" s="196">
        <v>115</v>
      </c>
      <c r="F1368" s="196">
        <v>116.4</v>
      </c>
      <c r="G1368" s="196">
        <f t="shared" si="21"/>
        <v>58.2</v>
      </c>
      <c r="H1368" s="196">
        <v>28375</v>
      </c>
      <c r="I1368" s="196">
        <v>3286586</v>
      </c>
      <c r="J1368" s="196"/>
    </row>
    <row r="1369" spans="1:10" ht="14.4">
      <c r="A1369" s="196" t="s">
        <v>351</v>
      </c>
      <c r="B1369" s="197">
        <v>42380</v>
      </c>
      <c r="C1369" s="196">
        <v>115.5</v>
      </c>
      <c r="D1369" s="196">
        <v>115.5</v>
      </c>
      <c r="E1369" s="196">
        <v>111.1</v>
      </c>
      <c r="F1369" s="196">
        <v>114</v>
      </c>
      <c r="G1369" s="196">
        <f t="shared" si="21"/>
        <v>57</v>
      </c>
      <c r="H1369" s="196">
        <v>29426</v>
      </c>
      <c r="I1369" s="196">
        <v>3330141.5</v>
      </c>
      <c r="J1369" s="196"/>
    </row>
    <row r="1370" spans="1:10" ht="14.4">
      <c r="A1370" s="196" t="s">
        <v>351</v>
      </c>
      <c r="B1370" s="197">
        <v>42381</v>
      </c>
      <c r="C1370" s="196">
        <v>113.5</v>
      </c>
      <c r="D1370" s="196">
        <v>113.5</v>
      </c>
      <c r="E1370" s="196">
        <v>111.6</v>
      </c>
      <c r="F1370" s="196">
        <v>111.9</v>
      </c>
      <c r="G1370" s="196">
        <f t="shared" si="21"/>
        <v>55.95</v>
      </c>
      <c r="H1370" s="196">
        <v>148935</v>
      </c>
      <c r="I1370" s="196">
        <v>16805645.899999999</v>
      </c>
      <c r="J1370" s="196"/>
    </row>
    <row r="1371" spans="1:10" ht="14.4">
      <c r="A1371" s="196" t="s">
        <v>351</v>
      </c>
      <c r="B1371" s="197">
        <v>42382</v>
      </c>
      <c r="C1371" s="196">
        <v>111.9</v>
      </c>
      <c r="D1371" s="196">
        <v>114</v>
      </c>
      <c r="E1371" s="196">
        <v>111.9</v>
      </c>
      <c r="F1371" s="196">
        <v>112.4</v>
      </c>
      <c r="G1371" s="196">
        <f t="shared" si="21"/>
        <v>56.2</v>
      </c>
      <c r="H1371" s="196">
        <v>49047</v>
      </c>
      <c r="I1371" s="196">
        <v>5506583.0999999996</v>
      </c>
      <c r="J1371" s="196"/>
    </row>
    <row r="1372" spans="1:10" ht="14.4">
      <c r="A1372" s="196" t="s">
        <v>351</v>
      </c>
      <c r="B1372" s="197">
        <v>42383</v>
      </c>
      <c r="C1372" s="196">
        <v>111.3</v>
      </c>
      <c r="D1372" s="196">
        <v>112</v>
      </c>
      <c r="E1372" s="196">
        <v>110</v>
      </c>
      <c r="F1372" s="196">
        <v>111</v>
      </c>
      <c r="G1372" s="196">
        <f t="shared" si="21"/>
        <v>55.5</v>
      </c>
      <c r="H1372" s="196">
        <v>38034</v>
      </c>
      <c r="I1372" s="196">
        <v>4211354.9000000004</v>
      </c>
      <c r="J1372" s="196"/>
    </row>
    <row r="1373" spans="1:10" ht="14.4">
      <c r="A1373" s="196" t="s">
        <v>351</v>
      </c>
      <c r="B1373" s="197">
        <v>42387</v>
      </c>
      <c r="C1373" s="196">
        <v>109.1</v>
      </c>
      <c r="D1373" s="196">
        <v>109.1</v>
      </c>
      <c r="E1373" s="196">
        <v>103.1</v>
      </c>
      <c r="F1373" s="196">
        <v>103.7</v>
      </c>
      <c r="G1373" s="196">
        <f t="shared" si="21"/>
        <v>51.85</v>
      </c>
      <c r="H1373" s="196">
        <v>20257</v>
      </c>
      <c r="I1373" s="196">
        <v>2125538.2999999998</v>
      </c>
      <c r="J1373" s="196"/>
    </row>
    <row r="1374" spans="1:10" ht="14.4">
      <c r="A1374" s="196" t="s">
        <v>351</v>
      </c>
      <c r="B1374" s="197">
        <v>42388</v>
      </c>
      <c r="C1374" s="196">
        <v>105</v>
      </c>
      <c r="D1374" s="196">
        <v>106</v>
      </c>
      <c r="E1374" s="196">
        <v>98</v>
      </c>
      <c r="F1374" s="196">
        <v>104.3</v>
      </c>
      <c r="G1374" s="196">
        <f t="shared" si="21"/>
        <v>52.15</v>
      </c>
      <c r="H1374" s="196">
        <v>177886</v>
      </c>
      <c r="I1374" s="196">
        <v>17886891</v>
      </c>
      <c r="J1374" s="196"/>
    </row>
    <row r="1375" spans="1:10" ht="14.4">
      <c r="A1375" s="196" t="s">
        <v>351</v>
      </c>
      <c r="B1375" s="197">
        <v>42389</v>
      </c>
      <c r="C1375" s="196">
        <v>106</v>
      </c>
      <c r="D1375" s="196">
        <v>107.9</v>
      </c>
      <c r="E1375" s="196">
        <v>102</v>
      </c>
      <c r="F1375" s="196">
        <v>105.4</v>
      </c>
      <c r="G1375" s="196">
        <f t="shared" si="21"/>
        <v>52.7</v>
      </c>
      <c r="H1375" s="196">
        <v>15799</v>
      </c>
      <c r="I1375" s="196">
        <v>1646003.9</v>
      </c>
      <c r="J1375" s="196"/>
    </row>
    <row r="1376" spans="1:10" ht="14.4">
      <c r="A1376" s="196" t="s">
        <v>351</v>
      </c>
      <c r="B1376" s="197">
        <v>42390</v>
      </c>
      <c r="C1376" s="196">
        <v>103</v>
      </c>
      <c r="D1376" s="196">
        <v>110</v>
      </c>
      <c r="E1376" s="196">
        <v>102.5</v>
      </c>
      <c r="F1376" s="196">
        <v>109.4</v>
      </c>
      <c r="G1376" s="196">
        <f t="shared" si="21"/>
        <v>54.7</v>
      </c>
      <c r="H1376" s="196">
        <v>24052</v>
      </c>
      <c r="I1376" s="196">
        <v>2572727.5</v>
      </c>
      <c r="J1376" s="196"/>
    </row>
    <row r="1377" spans="1:10" ht="14.4">
      <c r="A1377" s="196" t="s">
        <v>351</v>
      </c>
      <c r="B1377" s="197">
        <v>42391</v>
      </c>
      <c r="C1377" s="196">
        <v>110</v>
      </c>
      <c r="D1377" s="196">
        <v>111</v>
      </c>
      <c r="E1377" s="196">
        <v>109.8</v>
      </c>
      <c r="F1377" s="196">
        <v>109.9</v>
      </c>
      <c r="G1377" s="196">
        <f t="shared" si="21"/>
        <v>54.95</v>
      </c>
      <c r="H1377" s="196">
        <v>44937</v>
      </c>
      <c r="I1377" s="196">
        <v>4965749.9000000004</v>
      </c>
      <c r="J1377" s="196"/>
    </row>
    <row r="1378" spans="1:10" ht="14.4">
      <c r="A1378" s="196" t="s">
        <v>351</v>
      </c>
      <c r="B1378" s="197">
        <v>42394</v>
      </c>
      <c r="C1378" s="196">
        <v>109.9</v>
      </c>
      <c r="D1378" s="196">
        <v>112</v>
      </c>
      <c r="E1378" s="196">
        <v>108</v>
      </c>
      <c r="F1378" s="196">
        <v>111.3</v>
      </c>
      <c r="G1378" s="196">
        <f t="shared" si="21"/>
        <v>55.65</v>
      </c>
      <c r="H1378" s="196">
        <v>5713</v>
      </c>
      <c r="I1378" s="196">
        <v>626343.1</v>
      </c>
      <c r="J1378" s="196"/>
    </row>
    <row r="1379" spans="1:10" ht="14.4">
      <c r="A1379" s="196" t="s">
        <v>351</v>
      </c>
      <c r="B1379" s="197">
        <v>42395</v>
      </c>
      <c r="C1379" s="196">
        <v>108.1</v>
      </c>
      <c r="D1379" s="196">
        <v>110</v>
      </c>
      <c r="E1379" s="196">
        <v>108</v>
      </c>
      <c r="F1379" s="196">
        <v>109.5</v>
      </c>
      <c r="G1379" s="196">
        <f t="shared" si="21"/>
        <v>54.75</v>
      </c>
      <c r="H1379" s="196">
        <v>2291</v>
      </c>
      <c r="I1379" s="196">
        <v>249220</v>
      </c>
      <c r="J1379" s="196"/>
    </row>
    <row r="1380" spans="1:10" ht="14.4">
      <c r="A1380" s="196" t="s">
        <v>351</v>
      </c>
      <c r="B1380" s="197">
        <v>42396</v>
      </c>
      <c r="C1380" s="196">
        <v>109.9</v>
      </c>
      <c r="D1380" s="196">
        <v>112</v>
      </c>
      <c r="E1380" s="196">
        <v>109.9</v>
      </c>
      <c r="F1380" s="196">
        <v>111.4</v>
      </c>
      <c r="G1380" s="196">
        <f t="shared" si="21"/>
        <v>55.7</v>
      </c>
      <c r="H1380" s="196">
        <v>16530</v>
      </c>
      <c r="I1380" s="196">
        <v>1823557</v>
      </c>
      <c r="J1380" s="196"/>
    </row>
    <row r="1381" spans="1:10" ht="14.4">
      <c r="A1381" s="196" t="s">
        <v>351</v>
      </c>
      <c r="B1381" s="197">
        <v>42397</v>
      </c>
      <c r="C1381" s="196">
        <v>110</v>
      </c>
      <c r="D1381" s="196">
        <v>112</v>
      </c>
      <c r="E1381" s="196">
        <v>110</v>
      </c>
      <c r="F1381" s="196">
        <v>110.7</v>
      </c>
      <c r="G1381" s="196">
        <f t="shared" si="21"/>
        <v>55.35</v>
      </c>
      <c r="H1381" s="196">
        <v>13260</v>
      </c>
      <c r="I1381" s="196">
        <v>1468392</v>
      </c>
      <c r="J1381" s="196"/>
    </row>
    <row r="1382" spans="1:10" ht="14.4">
      <c r="A1382" s="196" t="s">
        <v>351</v>
      </c>
      <c r="B1382" s="197">
        <v>42398</v>
      </c>
      <c r="C1382" s="196">
        <v>112.4</v>
      </c>
      <c r="D1382" s="196">
        <v>113.9</v>
      </c>
      <c r="E1382" s="196">
        <v>110.1</v>
      </c>
      <c r="F1382" s="196">
        <v>112</v>
      </c>
      <c r="G1382" s="196">
        <f t="shared" si="21"/>
        <v>56</v>
      </c>
      <c r="H1382" s="196">
        <v>1670</v>
      </c>
      <c r="I1382" s="196">
        <v>187347</v>
      </c>
      <c r="J1382" s="196"/>
    </row>
    <row r="1383" spans="1:10" ht="14.4">
      <c r="A1383" s="196" t="s">
        <v>351</v>
      </c>
      <c r="B1383" s="197">
        <v>42401</v>
      </c>
      <c r="C1383" s="196">
        <v>113</v>
      </c>
      <c r="D1383" s="196">
        <v>114.9</v>
      </c>
      <c r="E1383" s="196">
        <v>113</v>
      </c>
      <c r="F1383" s="196">
        <v>114.6</v>
      </c>
      <c r="G1383" s="196">
        <f t="shared" si="21"/>
        <v>57.3</v>
      </c>
      <c r="H1383" s="196">
        <v>10014</v>
      </c>
      <c r="I1383" s="196">
        <v>1143512.2</v>
      </c>
      <c r="J1383" s="196"/>
    </row>
    <row r="1384" spans="1:10" ht="14.4">
      <c r="A1384" s="196" t="s">
        <v>351</v>
      </c>
      <c r="B1384" s="197">
        <v>42402</v>
      </c>
      <c r="C1384" s="196">
        <v>113.8</v>
      </c>
      <c r="D1384" s="196">
        <v>116</v>
      </c>
      <c r="E1384" s="196">
        <v>113.8</v>
      </c>
      <c r="F1384" s="196">
        <v>115.8</v>
      </c>
      <c r="G1384" s="196">
        <f t="shared" si="21"/>
        <v>57.9</v>
      </c>
      <c r="H1384" s="196">
        <v>46051</v>
      </c>
      <c r="I1384" s="196">
        <v>5313639.8</v>
      </c>
      <c r="J1384" s="196"/>
    </row>
    <row r="1385" spans="1:10" ht="14.4">
      <c r="A1385" s="196" t="s">
        <v>351</v>
      </c>
      <c r="B1385" s="197">
        <v>42403</v>
      </c>
      <c r="C1385" s="196">
        <v>116</v>
      </c>
      <c r="D1385" s="196">
        <v>116</v>
      </c>
      <c r="E1385" s="196">
        <v>114.8</v>
      </c>
      <c r="F1385" s="196">
        <v>115.3</v>
      </c>
      <c r="G1385" s="196">
        <f t="shared" si="21"/>
        <v>57.65</v>
      </c>
      <c r="H1385" s="196">
        <v>7262</v>
      </c>
      <c r="I1385" s="196">
        <v>836608</v>
      </c>
      <c r="J1385" s="196"/>
    </row>
    <row r="1386" spans="1:10" ht="14.4">
      <c r="A1386" s="196" t="s">
        <v>351</v>
      </c>
      <c r="B1386" s="197">
        <v>42405</v>
      </c>
      <c r="C1386" s="196">
        <v>113</v>
      </c>
      <c r="D1386" s="196">
        <v>116.9</v>
      </c>
      <c r="E1386" s="196">
        <v>113</v>
      </c>
      <c r="F1386" s="196">
        <v>116.8</v>
      </c>
      <c r="G1386" s="196">
        <f t="shared" si="21"/>
        <v>58.4</v>
      </c>
      <c r="H1386" s="196">
        <v>11082</v>
      </c>
      <c r="I1386" s="196">
        <v>1281611</v>
      </c>
      <c r="J1386" s="196"/>
    </row>
    <row r="1387" spans="1:10" ht="14.4">
      <c r="A1387" s="196" t="s">
        <v>351</v>
      </c>
      <c r="B1387" s="197">
        <v>42408</v>
      </c>
      <c r="C1387" s="196">
        <v>114</v>
      </c>
      <c r="D1387" s="196">
        <v>116</v>
      </c>
      <c r="E1387" s="196">
        <v>114</v>
      </c>
      <c r="F1387" s="196">
        <v>115.7</v>
      </c>
      <c r="G1387" s="196">
        <f t="shared" si="21"/>
        <v>57.85</v>
      </c>
      <c r="H1387" s="196">
        <v>7868</v>
      </c>
      <c r="I1387" s="196">
        <v>906741.6</v>
      </c>
      <c r="J1387" s="196"/>
    </row>
    <row r="1388" spans="1:10" ht="14.4">
      <c r="A1388" s="196" t="s">
        <v>351</v>
      </c>
      <c r="B1388" s="197">
        <v>42409</v>
      </c>
      <c r="C1388" s="196">
        <v>115.8</v>
      </c>
      <c r="D1388" s="196">
        <v>115.8</v>
      </c>
      <c r="E1388" s="196">
        <v>114</v>
      </c>
      <c r="F1388" s="196">
        <v>114.9</v>
      </c>
      <c r="G1388" s="196">
        <f t="shared" si="21"/>
        <v>57.45</v>
      </c>
      <c r="H1388" s="196">
        <v>5050</v>
      </c>
      <c r="I1388" s="196">
        <v>580165</v>
      </c>
      <c r="J1388" s="196"/>
    </row>
    <row r="1389" spans="1:10" ht="14.4">
      <c r="A1389" s="196" t="s">
        <v>351</v>
      </c>
      <c r="B1389" s="197">
        <v>42410</v>
      </c>
      <c r="C1389" s="196">
        <v>114.8</v>
      </c>
      <c r="D1389" s="196">
        <v>116.5</v>
      </c>
      <c r="E1389" s="196">
        <v>112.5</v>
      </c>
      <c r="F1389" s="196">
        <v>115.3</v>
      </c>
      <c r="G1389" s="196">
        <f t="shared" si="21"/>
        <v>57.65</v>
      </c>
      <c r="H1389" s="196">
        <v>6300</v>
      </c>
      <c r="I1389" s="196">
        <v>724632.8</v>
      </c>
      <c r="J1389" s="196"/>
    </row>
    <row r="1390" spans="1:10" ht="14.4">
      <c r="A1390" s="196" t="s">
        <v>351</v>
      </c>
      <c r="B1390" s="197">
        <v>42411</v>
      </c>
      <c r="C1390" s="196">
        <v>115</v>
      </c>
      <c r="D1390" s="196">
        <v>115</v>
      </c>
      <c r="E1390" s="196">
        <v>110.1</v>
      </c>
      <c r="F1390" s="196">
        <v>114</v>
      </c>
      <c r="G1390" s="196">
        <f t="shared" si="21"/>
        <v>57</v>
      </c>
      <c r="H1390" s="196">
        <v>5177</v>
      </c>
      <c r="I1390" s="196">
        <v>591770.69999999995</v>
      </c>
      <c r="J1390" s="196"/>
    </row>
    <row r="1391" spans="1:10" ht="14.4">
      <c r="A1391" s="196" t="s">
        <v>351</v>
      </c>
      <c r="B1391" s="197">
        <v>42412</v>
      </c>
      <c r="C1391" s="196">
        <v>110.2</v>
      </c>
      <c r="D1391" s="196">
        <v>113.9</v>
      </c>
      <c r="E1391" s="196">
        <v>109.5</v>
      </c>
      <c r="F1391" s="196">
        <v>111.4</v>
      </c>
      <c r="G1391" s="196">
        <f t="shared" si="21"/>
        <v>55.7</v>
      </c>
      <c r="H1391" s="196">
        <v>8480</v>
      </c>
      <c r="I1391" s="196">
        <v>937318.8</v>
      </c>
      <c r="J1391" s="196"/>
    </row>
    <row r="1392" spans="1:10" ht="14.4">
      <c r="A1392" s="196" t="s">
        <v>351</v>
      </c>
      <c r="B1392" s="197">
        <v>42415</v>
      </c>
      <c r="C1392" s="196">
        <v>110</v>
      </c>
      <c r="D1392" s="196">
        <v>110</v>
      </c>
      <c r="E1392" s="196">
        <v>109</v>
      </c>
      <c r="F1392" s="196">
        <v>109.1</v>
      </c>
      <c r="G1392" s="196">
        <f t="shared" si="21"/>
        <v>54.55</v>
      </c>
      <c r="H1392" s="196">
        <v>9380</v>
      </c>
      <c r="I1392" s="196">
        <v>1027068.5</v>
      </c>
      <c r="J1392" s="196"/>
    </row>
    <row r="1393" spans="1:10" ht="14.4">
      <c r="A1393" s="196" t="s">
        <v>351</v>
      </c>
      <c r="B1393" s="197">
        <v>42416</v>
      </c>
      <c r="C1393" s="196">
        <v>111.9</v>
      </c>
      <c r="D1393" s="196">
        <v>111.9</v>
      </c>
      <c r="E1393" s="196">
        <v>107</v>
      </c>
      <c r="F1393" s="196">
        <v>107.1</v>
      </c>
      <c r="G1393" s="196">
        <f t="shared" ref="G1393:G1456" si="22">F1393/2</f>
        <v>53.55</v>
      </c>
      <c r="H1393" s="196">
        <v>10945</v>
      </c>
      <c r="I1393" s="196">
        <v>1185760.7</v>
      </c>
      <c r="J1393" s="196"/>
    </row>
    <row r="1394" spans="1:10" ht="14.4">
      <c r="A1394" s="196" t="s">
        <v>351</v>
      </c>
      <c r="B1394" s="197">
        <v>42417</v>
      </c>
      <c r="C1394" s="196">
        <v>110</v>
      </c>
      <c r="D1394" s="196">
        <v>110</v>
      </c>
      <c r="E1394" s="196">
        <v>104</v>
      </c>
      <c r="F1394" s="196">
        <v>104.9</v>
      </c>
      <c r="G1394" s="196">
        <f t="shared" si="22"/>
        <v>52.45</v>
      </c>
      <c r="H1394" s="196">
        <v>17022</v>
      </c>
      <c r="I1394" s="196">
        <v>1815969.7</v>
      </c>
      <c r="J1394" s="196"/>
    </row>
    <row r="1395" spans="1:10" ht="14.4">
      <c r="A1395" s="196" t="s">
        <v>351</v>
      </c>
      <c r="B1395" s="197">
        <v>42418</v>
      </c>
      <c r="C1395" s="196">
        <v>105</v>
      </c>
      <c r="D1395" s="196">
        <v>107.5</v>
      </c>
      <c r="E1395" s="196">
        <v>103</v>
      </c>
      <c r="F1395" s="196">
        <v>103</v>
      </c>
      <c r="G1395" s="196">
        <f t="shared" si="22"/>
        <v>51.5</v>
      </c>
      <c r="H1395" s="196">
        <v>56591</v>
      </c>
      <c r="I1395" s="196">
        <v>5837131.7000000002</v>
      </c>
      <c r="J1395" s="196"/>
    </row>
    <row r="1396" spans="1:10" ht="14.4">
      <c r="A1396" s="196" t="s">
        <v>351</v>
      </c>
      <c r="B1396" s="197">
        <v>42419</v>
      </c>
      <c r="C1396" s="196">
        <v>103</v>
      </c>
      <c r="D1396" s="196">
        <v>105</v>
      </c>
      <c r="E1396" s="196">
        <v>103</v>
      </c>
      <c r="F1396" s="196">
        <v>103.1</v>
      </c>
      <c r="G1396" s="196">
        <f t="shared" si="22"/>
        <v>51.55</v>
      </c>
      <c r="H1396" s="196">
        <v>37096</v>
      </c>
      <c r="I1396" s="196">
        <v>3823593.6</v>
      </c>
      <c r="J1396" s="196"/>
    </row>
    <row r="1397" spans="1:10" ht="14.4">
      <c r="A1397" s="196" t="s">
        <v>351</v>
      </c>
      <c r="B1397" s="197">
        <v>42423</v>
      </c>
      <c r="C1397" s="196">
        <v>103.2</v>
      </c>
      <c r="D1397" s="196">
        <v>103.2</v>
      </c>
      <c r="E1397" s="196">
        <v>102</v>
      </c>
      <c r="F1397" s="196">
        <v>102.9</v>
      </c>
      <c r="G1397" s="196">
        <f t="shared" si="22"/>
        <v>51.45</v>
      </c>
      <c r="H1397" s="196">
        <v>55547</v>
      </c>
      <c r="I1397" s="196">
        <v>5715342.4000000004</v>
      </c>
      <c r="J1397" s="196"/>
    </row>
    <row r="1398" spans="1:10" ht="14.4">
      <c r="A1398" s="196" t="s">
        <v>351</v>
      </c>
      <c r="B1398" s="197">
        <v>42424</v>
      </c>
      <c r="C1398" s="196">
        <v>102</v>
      </c>
      <c r="D1398" s="196">
        <v>102.9</v>
      </c>
      <c r="E1398" s="196">
        <v>102</v>
      </c>
      <c r="F1398" s="196">
        <v>102.4</v>
      </c>
      <c r="G1398" s="196">
        <f t="shared" si="22"/>
        <v>51.2</v>
      </c>
      <c r="H1398" s="196">
        <v>18192</v>
      </c>
      <c r="I1398" s="196">
        <v>1860834.4</v>
      </c>
      <c r="J1398" s="196"/>
    </row>
    <row r="1399" spans="1:10" ht="14.4">
      <c r="A1399" s="196" t="s">
        <v>351</v>
      </c>
      <c r="B1399" s="197">
        <v>42425</v>
      </c>
      <c r="C1399" s="196">
        <v>102.5</v>
      </c>
      <c r="D1399" s="196">
        <v>103</v>
      </c>
      <c r="E1399" s="196">
        <v>101.6</v>
      </c>
      <c r="F1399" s="196">
        <v>103</v>
      </c>
      <c r="G1399" s="196">
        <f t="shared" si="22"/>
        <v>51.5</v>
      </c>
      <c r="H1399" s="196">
        <v>1156</v>
      </c>
      <c r="I1399" s="196">
        <v>118835.5</v>
      </c>
      <c r="J1399" s="196"/>
    </row>
    <row r="1400" spans="1:10" ht="14.4">
      <c r="A1400" s="196" t="s">
        <v>351</v>
      </c>
      <c r="B1400" s="197">
        <v>42426</v>
      </c>
      <c r="C1400" s="196">
        <v>103</v>
      </c>
      <c r="D1400" s="196">
        <v>103</v>
      </c>
      <c r="E1400" s="196">
        <v>102</v>
      </c>
      <c r="F1400" s="196">
        <v>102.5</v>
      </c>
      <c r="G1400" s="196">
        <f t="shared" si="22"/>
        <v>51.25</v>
      </c>
      <c r="H1400" s="196">
        <v>284951</v>
      </c>
      <c r="I1400" s="196">
        <v>29205818.899999999</v>
      </c>
      <c r="J1400" s="196"/>
    </row>
    <row r="1401" spans="1:10" ht="14.4">
      <c r="A1401" s="196" t="s">
        <v>351</v>
      </c>
      <c r="B1401" s="197">
        <v>42429</v>
      </c>
      <c r="C1401" s="196">
        <v>102</v>
      </c>
      <c r="D1401" s="196">
        <v>102.1</v>
      </c>
      <c r="E1401" s="196">
        <v>101.9</v>
      </c>
      <c r="F1401" s="196">
        <v>102</v>
      </c>
      <c r="G1401" s="196">
        <f t="shared" si="22"/>
        <v>51</v>
      </c>
      <c r="H1401" s="196">
        <v>96100</v>
      </c>
      <c r="I1401" s="196">
        <v>9801250</v>
      </c>
      <c r="J1401" s="196"/>
    </row>
    <row r="1402" spans="1:10" ht="14.4">
      <c r="A1402" s="196" t="s">
        <v>351</v>
      </c>
      <c r="B1402" s="197">
        <v>42430</v>
      </c>
      <c r="C1402" s="196">
        <v>101.6</v>
      </c>
      <c r="D1402" s="196">
        <v>101.6</v>
      </c>
      <c r="E1402" s="196">
        <v>98</v>
      </c>
      <c r="F1402" s="196">
        <v>100</v>
      </c>
      <c r="G1402" s="196">
        <f t="shared" si="22"/>
        <v>50</v>
      </c>
      <c r="H1402" s="196">
        <v>29145</v>
      </c>
      <c r="I1402" s="196">
        <v>2913083.3</v>
      </c>
      <c r="J1402" s="196"/>
    </row>
    <row r="1403" spans="1:10" ht="14.4">
      <c r="A1403" s="196" t="s">
        <v>351</v>
      </c>
      <c r="B1403" s="197">
        <v>42431</v>
      </c>
      <c r="C1403" s="196">
        <v>100</v>
      </c>
      <c r="D1403" s="196">
        <v>100</v>
      </c>
      <c r="E1403" s="196">
        <v>98.2</v>
      </c>
      <c r="F1403" s="196">
        <v>100</v>
      </c>
      <c r="G1403" s="196">
        <f t="shared" si="22"/>
        <v>50</v>
      </c>
      <c r="H1403" s="196">
        <v>32250</v>
      </c>
      <c r="I1403" s="196">
        <v>3224955</v>
      </c>
      <c r="J1403" s="196"/>
    </row>
    <row r="1404" spans="1:10" ht="14.4">
      <c r="A1404" s="196" t="s">
        <v>351</v>
      </c>
      <c r="B1404" s="197">
        <v>42432</v>
      </c>
      <c r="C1404" s="196">
        <v>98</v>
      </c>
      <c r="D1404" s="196">
        <v>101</v>
      </c>
      <c r="E1404" s="196">
        <v>98</v>
      </c>
      <c r="F1404" s="196">
        <v>100.6</v>
      </c>
      <c r="G1404" s="196">
        <f t="shared" si="22"/>
        <v>50.3</v>
      </c>
      <c r="H1404" s="196">
        <v>27975</v>
      </c>
      <c r="I1404" s="196">
        <v>2750055</v>
      </c>
      <c r="J1404" s="196"/>
    </row>
    <row r="1405" spans="1:10" ht="14.4">
      <c r="A1405" s="196" t="s">
        <v>351</v>
      </c>
      <c r="B1405" s="197">
        <v>42433</v>
      </c>
      <c r="C1405" s="196">
        <v>101.8</v>
      </c>
      <c r="D1405" s="196">
        <v>101.8</v>
      </c>
      <c r="E1405" s="196">
        <v>100</v>
      </c>
      <c r="F1405" s="196">
        <v>101.6</v>
      </c>
      <c r="G1405" s="196">
        <f t="shared" si="22"/>
        <v>50.8</v>
      </c>
      <c r="H1405" s="196">
        <v>3201</v>
      </c>
      <c r="I1405" s="196">
        <v>323575.8</v>
      </c>
      <c r="J1405" s="196"/>
    </row>
    <row r="1406" spans="1:10" ht="14.4">
      <c r="A1406" s="196" t="s">
        <v>351</v>
      </c>
      <c r="B1406" s="197">
        <v>42437</v>
      </c>
      <c r="C1406" s="196">
        <v>99.2</v>
      </c>
      <c r="D1406" s="196">
        <v>99.2</v>
      </c>
      <c r="E1406" s="196">
        <v>95</v>
      </c>
      <c r="F1406" s="196">
        <v>96.7</v>
      </c>
      <c r="G1406" s="196">
        <f t="shared" si="22"/>
        <v>48.35</v>
      </c>
      <c r="H1406" s="196">
        <v>14242</v>
      </c>
      <c r="I1406" s="196">
        <v>1393491.5</v>
      </c>
      <c r="J1406" s="196"/>
    </row>
    <row r="1407" spans="1:10" ht="14.4">
      <c r="A1407" s="196" t="s">
        <v>351</v>
      </c>
      <c r="B1407" s="197">
        <v>42438</v>
      </c>
      <c r="C1407" s="196">
        <v>96</v>
      </c>
      <c r="D1407" s="196">
        <v>96</v>
      </c>
      <c r="E1407" s="196">
        <v>88</v>
      </c>
      <c r="F1407" s="196">
        <v>93.8</v>
      </c>
      <c r="G1407" s="196">
        <f t="shared" si="22"/>
        <v>46.9</v>
      </c>
      <c r="H1407" s="196">
        <v>13989</v>
      </c>
      <c r="I1407" s="196">
        <v>1305353.7</v>
      </c>
      <c r="J1407" s="196"/>
    </row>
    <row r="1408" spans="1:10" ht="14.4">
      <c r="A1408" s="196" t="s">
        <v>351</v>
      </c>
      <c r="B1408" s="197">
        <v>42439</v>
      </c>
      <c r="C1408" s="196">
        <v>95</v>
      </c>
      <c r="D1408" s="196">
        <v>99.9</v>
      </c>
      <c r="E1408" s="196">
        <v>95</v>
      </c>
      <c r="F1408" s="196">
        <v>98.2</v>
      </c>
      <c r="G1408" s="196">
        <f t="shared" si="22"/>
        <v>49.1</v>
      </c>
      <c r="H1408" s="196">
        <v>46306</v>
      </c>
      <c r="I1408" s="196">
        <v>4455761.5</v>
      </c>
      <c r="J1408" s="196"/>
    </row>
    <row r="1409" spans="1:10" ht="14.4">
      <c r="A1409" s="196" t="s">
        <v>351</v>
      </c>
      <c r="B1409" s="197">
        <v>42440</v>
      </c>
      <c r="C1409" s="196">
        <v>98.2</v>
      </c>
      <c r="D1409" s="196">
        <v>100.9</v>
      </c>
      <c r="E1409" s="196">
        <v>98.2</v>
      </c>
      <c r="F1409" s="196">
        <v>100.7</v>
      </c>
      <c r="G1409" s="196">
        <f t="shared" si="22"/>
        <v>50.35</v>
      </c>
      <c r="H1409" s="196">
        <v>5550</v>
      </c>
      <c r="I1409" s="196">
        <v>550523</v>
      </c>
      <c r="J1409" s="196"/>
    </row>
    <row r="1410" spans="1:10" ht="14.4">
      <c r="A1410" s="196" t="s">
        <v>351</v>
      </c>
      <c r="B1410" s="197">
        <v>42443</v>
      </c>
      <c r="C1410" s="196">
        <v>98.1</v>
      </c>
      <c r="D1410" s="196">
        <v>100</v>
      </c>
      <c r="E1410" s="196">
        <v>95</v>
      </c>
      <c r="F1410" s="196">
        <v>99.7</v>
      </c>
      <c r="G1410" s="196">
        <f t="shared" si="22"/>
        <v>49.85</v>
      </c>
      <c r="H1410" s="196">
        <v>4600</v>
      </c>
      <c r="I1410" s="196">
        <v>456629.3</v>
      </c>
      <c r="J1410" s="196"/>
    </row>
    <row r="1411" spans="1:10" ht="14.4">
      <c r="A1411" s="196" t="s">
        <v>351</v>
      </c>
      <c r="B1411" s="197">
        <v>42444</v>
      </c>
      <c r="C1411" s="196">
        <v>99.8</v>
      </c>
      <c r="D1411" s="196">
        <v>100</v>
      </c>
      <c r="E1411" s="196">
        <v>95.1</v>
      </c>
      <c r="F1411" s="196">
        <v>99.6</v>
      </c>
      <c r="G1411" s="196">
        <f t="shared" si="22"/>
        <v>49.8</v>
      </c>
      <c r="H1411" s="196">
        <v>4367</v>
      </c>
      <c r="I1411" s="196">
        <v>427687.1</v>
      </c>
      <c r="J1411" s="196"/>
    </row>
    <row r="1412" spans="1:10" ht="14.4">
      <c r="A1412" s="196" t="s">
        <v>351</v>
      </c>
      <c r="B1412" s="197">
        <v>42445</v>
      </c>
      <c r="C1412" s="196">
        <v>99</v>
      </c>
      <c r="D1412" s="196">
        <v>108</v>
      </c>
      <c r="E1412" s="196">
        <v>99</v>
      </c>
      <c r="F1412" s="196">
        <v>102.3</v>
      </c>
      <c r="G1412" s="196">
        <f t="shared" si="22"/>
        <v>51.15</v>
      </c>
      <c r="H1412" s="196">
        <v>12420</v>
      </c>
      <c r="I1412" s="196">
        <v>1266580.3</v>
      </c>
      <c r="J1412" s="196"/>
    </row>
    <row r="1413" spans="1:10" ht="14.4">
      <c r="A1413" s="196" t="s">
        <v>351</v>
      </c>
      <c r="B1413" s="197">
        <v>42446</v>
      </c>
      <c r="C1413" s="196">
        <v>105</v>
      </c>
      <c r="D1413" s="196">
        <v>106.5</v>
      </c>
      <c r="E1413" s="196">
        <v>103.5</v>
      </c>
      <c r="F1413" s="196">
        <v>105</v>
      </c>
      <c r="G1413" s="196">
        <f t="shared" si="22"/>
        <v>52.5</v>
      </c>
      <c r="H1413" s="196">
        <v>6507</v>
      </c>
      <c r="I1413" s="196">
        <v>685165.5</v>
      </c>
      <c r="J1413" s="196"/>
    </row>
    <row r="1414" spans="1:10" ht="14.4">
      <c r="A1414" s="196" t="s">
        <v>351</v>
      </c>
      <c r="B1414" s="197">
        <v>42447</v>
      </c>
      <c r="C1414" s="196">
        <v>103</v>
      </c>
      <c r="D1414" s="196">
        <v>105</v>
      </c>
      <c r="E1414" s="196">
        <v>103</v>
      </c>
      <c r="F1414" s="196">
        <v>105</v>
      </c>
      <c r="G1414" s="196">
        <f t="shared" si="22"/>
        <v>52.5</v>
      </c>
      <c r="H1414" s="196">
        <v>600</v>
      </c>
      <c r="I1414" s="196">
        <v>62797.7</v>
      </c>
      <c r="J1414" s="196"/>
    </row>
    <row r="1415" spans="1:10" ht="14.4">
      <c r="A1415" s="196" t="s">
        <v>351</v>
      </c>
      <c r="B1415" s="197">
        <v>42450</v>
      </c>
      <c r="C1415" s="196">
        <v>104</v>
      </c>
      <c r="D1415" s="196">
        <v>104</v>
      </c>
      <c r="E1415" s="196">
        <v>103</v>
      </c>
      <c r="F1415" s="196">
        <v>103.4</v>
      </c>
      <c r="G1415" s="196">
        <f t="shared" si="22"/>
        <v>51.7</v>
      </c>
      <c r="H1415" s="196">
        <v>1000</v>
      </c>
      <c r="I1415" s="196">
        <v>103700</v>
      </c>
      <c r="J1415" s="196"/>
    </row>
    <row r="1416" spans="1:10" ht="14.4">
      <c r="A1416" s="196" t="s">
        <v>351</v>
      </c>
      <c r="B1416" s="197">
        <v>42452</v>
      </c>
      <c r="C1416" s="196" t="s">
        <v>88</v>
      </c>
      <c r="D1416" s="196" t="s">
        <v>88</v>
      </c>
      <c r="E1416" s="196" t="s">
        <v>88</v>
      </c>
      <c r="F1416" s="196">
        <v>103.4</v>
      </c>
      <c r="G1416" s="196">
        <f t="shared" si="22"/>
        <v>51.7</v>
      </c>
      <c r="H1416" s="196">
        <v>0</v>
      </c>
      <c r="I1416" s="196">
        <v>0</v>
      </c>
      <c r="J1416" s="196"/>
    </row>
    <row r="1417" spans="1:10" ht="14.4">
      <c r="A1417" s="196" t="s">
        <v>351</v>
      </c>
      <c r="B1417" s="197">
        <v>42453</v>
      </c>
      <c r="C1417" s="196" t="s">
        <v>88</v>
      </c>
      <c r="D1417" s="196" t="s">
        <v>88</v>
      </c>
      <c r="E1417" s="196" t="s">
        <v>88</v>
      </c>
      <c r="F1417" s="196">
        <v>103.4</v>
      </c>
      <c r="G1417" s="196">
        <f t="shared" si="22"/>
        <v>51.7</v>
      </c>
      <c r="H1417" s="196">
        <v>0</v>
      </c>
      <c r="I1417" s="196">
        <v>0</v>
      </c>
      <c r="J1417" s="196"/>
    </row>
    <row r="1418" spans="1:10" ht="14.4">
      <c r="A1418" s="196" t="s">
        <v>351</v>
      </c>
      <c r="B1418" s="197">
        <v>42457</v>
      </c>
      <c r="C1418" s="196">
        <v>103.5</v>
      </c>
      <c r="D1418" s="196">
        <v>103.5</v>
      </c>
      <c r="E1418" s="196">
        <v>103.5</v>
      </c>
      <c r="F1418" s="196">
        <v>103.4</v>
      </c>
      <c r="G1418" s="196">
        <f t="shared" si="22"/>
        <v>51.7</v>
      </c>
      <c r="H1418" s="196">
        <v>1</v>
      </c>
      <c r="I1418" s="196">
        <v>103.5</v>
      </c>
      <c r="J1418" s="196"/>
    </row>
    <row r="1419" spans="1:10" ht="14.4">
      <c r="A1419" s="196" t="s">
        <v>351</v>
      </c>
      <c r="B1419" s="197">
        <v>42458</v>
      </c>
      <c r="C1419" s="196">
        <v>101</v>
      </c>
      <c r="D1419" s="196">
        <v>101</v>
      </c>
      <c r="E1419" s="196">
        <v>95.1</v>
      </c>
      <c r="F1419" s="196">
        <v>98.1</v>
      </c>
      <c r="G1419" s="196">
        <f t="shared" si="22"/>
        <v>49.05</v>
      </c>
      <c r="H1419" s="196">
        <v>19859</v>
      </c>
      <c r="I1419" s="196">
        <v>1952744.7</v>
      </c>
      <c r="J1419" s="196"/>
    </row>
    <row r="1420" spans="1:10" ht="14.4">
      <c r="A1420" s="196" t="s">
        <v>351</v>
      </c>
      <c r="B1420" s="197">
        <v>42459</v>
      </c>
      <c r="C1420" s="196">
        <v>101</v>
      </c>
      <c r="D1420" s="196">
        <v>101</v>
      </c>
      <c r="E1420" s="196">
        <v>101</v>
      </c>
      <c r="F1420" s="196">
        <v>101</v>
      </c>
      <c r="G1420" s="196">
        <f t="shared" si="22"/>
        <v>50.5</v>
      </c>
      <c r="H1420" s="196">
        <v>300</v>
      </c>
      <c r="I1420" s="196">
        <v>30300</v>
      </c>
      <c r="J1420" s="196"/>
    </row>
    <row r="1421" spans="1:10" ht="14.4">
      <c r="A1421" s="196" t="s">
        <v>351</v>
      </c>
      <c r="B1421" s="197">
        <v>42460</v>
      </c>
      <c r="C1421" s="196">
        <v>101</v>
      </c>
      <c r="D1421" s="196">
        <v>101.5</v>
      </c>
      <c r="E1421" s="196">
        <v>100</v>
      </c>
      <c r="F1421" s="196">
        <v>100.9</v>
      </c>
      <c r="G1421" s="196">
        <f t="shared" si="22"/>
        <v>50.45</v>
      </c>
      <c r="H1421" s="196">
        <v>10677</v>
      </c>
      <c r="I1421" s="196">
        <v>1076279.7</v>
      </c>
      <c r="J1421" s="196"/>
    </row>
    <row r="1422" spans="1:10" s="192" customFormat="1" ht="14.4">
      <c r="A1422" s="198" t="s">
        <v>351</v>
      </c>
      <c r="B1422" s="199">
        <v>42461</v>
      </c>
      <c r="C1422" s="198">
        <v>101.5</v>
      </c>
      <c r="D1422" s="198">
        <v>101.5</v>
      </c>
      <c r="E1422" s="198">
        <v>100</v>
      </c>
      <c r="F1422" s="198">
        <v>100.1</v>
      </c>
      <c r="G1422" s="198">
        <f t="shared" si="22"/>
        <v>50.05</v>
      </c>
      <c r="H1422" s="198">
        <v>8985</v>
      </c>
      <c r="I1422" s="198">
        <v>899965.4</v>
      </c>
      <c r="J1422" s="198">
        <f>AVERAGE(G1422:G1500)</f>
        <v>57.707594936708865</v>
      </c>
    </row>
    <row r="1423" spans="1:10" ht="14.4">
      <c r="A1423" s="196" t="s">
        <v>351</v>
      </c>
      <c r="B1423" s="197">
        <v>42464</v>
      </c>
      <c r="C1423" s="196">
        <v>100</v>
      </c>
      <c r="D1423" s="196">
        <v>102</v>
      </c>
      <c r="E1423" s="196">
        <v>100</v>
      </c>
      <c r="F1423" s="196">
        <v>100.5</v>
      </c>
      <c r="G1423" s="196">
        <f t="shared" si="22"/>
        <v>50.25</v>
      </c>
      <c r="H1423" s="196">
        <v>29782</v>
      </c>
      <c r="I1423" s="196">
        <v>2992475</v>
      </c>
      <c r="J1423" s="196"/>
    </row>
    <row r="1424" spans="1:10" ht="14.4">
      <c r="A1424" s="196" t="s">
        <v>351</v>
      </c>
      <c r="B1424" s="197">
        <v>42465</v>
      </c>
      <c r="C1424" s="196">
        <v>102.9</v>
      </c>
      <c r="D1424" s="196">
        <v>103.8</v>
      </c>
      <c r="E1424" s="196">
        <v>102.9</v>
      </c>
      <c r="F1424" s="196">
        <v>103</v>
      </c>
      <c r="G1424" s="196">
        <f t="shared" si="22"/>
        <v>51.5</v>
      </c>
      <c r="H1424" s="196">
        <v>10726</v>
      </c>
      <c r="I1424" s="196">
        <v>1104352</v>
      </c>
      <c r="J1424" s="196"/>
    </row>
    <row r="1425" spans="1:10" ht="14.4">
      <c r="A1425" s="196" t="s">
        <v>351</v>
      </c>
      <c r="B1425" s="197">
        <v>42466</v>
      </c>
      <c r="C1425" s="196">
        <v>103</v>
      </c>
      <c r="D1425" s="196">
        <v>103.9</v>
      </c>
      <c r="E1425" s="196">
        <v>102.8</v>
      </c>
      <c r="F1425" s="196">
        <v>103.3</v>
      </c>
      <c r="G1425" s="196">
        <f t="shared" si="22"/>
        <v>51.65</v>
      </c>
      <c r="H1425" s="196">
        <v>5144</v>
      </c>
      <c r="I1425" s="196">
        <v>530642</v>
      </c>
      <c r="J1425" s="196"/>
    </row>
    <row r="1426" spans="1:10" ht="14.4">
      <c r="A1426" s="196" t="s">
        <v>351</v>
      </c>
      <c r="B1426" s="197">
        <v>42467</v>
      </c>
      <c r="C1426" s="196">
        <v>104</v>
      </c>
      <c r="D1426" s="196">
        <v>108</v>
      </c>
      <c r="E1426" s="196">
        <v>103.1</v>
      </c>
      <c r="F1426" s="196">
        <v>104.9</v>
      </c>
      <c r="G1426" s="196">
        <f t="shared" si="22"/>
        <v>52.45</v>
      </c>
      <c r="H1426" s="196">
        <v>61405</v>
      </c>
      <c r="I1426" s="196">
        <v>6448494</v>
      </c>
      <c r="J1426" s="196"/>
    </row>
    <row r="1427" spans="1:10" ht="14.4">
      <c r="A1427" s="196" t="s">
        <v>351</v>
      </c>
      <c r="B1427" s="197">
        <v>42468</v>
      </c>
      <c r="C1427" s="196">
        <v>107.9</v>
      </c>
      <c r="D1427" s="196">
        <v>108</v>
      </c>
      <c r="E1427" s="196">
        <v>106.2</v>
      </c>
      <c r="F1427" s="196">
        <v>107.2</v>
      </c>
      <c r="G1427" s="196">
        <f t="shared" si="22"/>
        <v>53.6</v>
      </c>
      <c r="H1427" s="196">
        <v>3667</v>
      </c>
      <c r="I1427" s="196">
        <v>395334.40000000002</v>
      </c>
      <c r="J1427" s="196"/>
    </row>
    <row r="1428" spans="1:10" ht="14.4">
      <c r="A1428" s="196" t="s">
        <v>351</v>
      </c>
      <c r="B1428" s="197">
        <v>42471</v>
      </c>
      <c r="C1428" s="196">
        <v>105.2</v>
      </c>
      <c r="D1428" s="196">
        <v>106.9</v>
      </c>
      <c r="E1428" s="196">
        <v>102</v>
      </c>
      <c r="F1428" s="196">
        <v>106.9</v>
      </c>
      <c r="G1428" s="196">
        <f t="shared" si="22"/>
        <v>53.45</v>
      </c>
      <c r="H1428" s="196">
        <v>1481</v>
      </c>
      <c r="I1428" s="196">
        <v>156802.1</v>
      </c>
      <c r="J1428" s="196"/>
    </row>
    <row r="1429" spans="1:10" ht="14.4">
      <c r="A1429" s="196" t="s">
        <v>351</v>
      </c>
      <c r="B1429" s="197">
        <v>42472</v>
      </c>
      <c r="C1429" s="196">
        <v>107</v>
      </c>
      <c r="D1429" s="196">
        <v>107.1</v>
      </c>
      <c r="E1429" s="196">
        <v>105.2</v>
      </c>
      <c r="F1429" s="196">
        <v>107</v>
      </c>
      <c r="G1429" s="196">
        <f t="shared" si="22"/>
        <v>53.5</v>
      </c>
      <c r="H1429" s="196">
        <v>4994</v>
      </c>
      <c r="I1429" s="196">
        <v>534513.69999999995</v>
      </c>
      <c r="J1429" s="196"/>
    </row>
    <row r="1430" spans="1:10" ht="14.4">
      <c r="A1430" s="196" t="s">
        <v>351</v>
      </c>
      <c r="B1430" s="197">
        <v>42475</v>
      </c>
      <c r="C1430" s="196">
        <v>107.4</v>
      </c>
      <c r="D1430" s="196">
        <v>107.6</v>
      </c>
      <c r="E1430" s="196">
        <v>106.1</v>
      </c>
      <c r="F1430" s="196">
        <v>106.8</v>
      </c>
      <c r="G1430" s="196">
        <f t="shared" si="22"/>
        <v>53.4</v>
      </c>
      <c r="H1430" s="196">
        <v>10275</v>
      </c>
      <c r="I1430" s="196">
        <v>1099725</v>
      </c>
      <c r="J1430" s="196"/>
    </row>
    <row r="1431" spans="1:10" ht="14.4">
      <c r="A1431" s="196" t="s">
        <v>351</v>
      </c>
      <c r="B1431" s="197">
        <v>42478</v>
      </c>
      <c r="C1431" s="196">
        <v>106.5</v>
      </c>
      <c r="D1431" s="196">
        <v>107.4</v>
      </c>
      <c r="E1431" s="196">
        <v>106.1</v>
      </c>
      <c r="F1431" s="196">
        <v>107.4</v>
      </c>
      <c r="G1431" s="196">
        <f t="shared" si="22"/>
        <v>53.7</v>
      </c>
      <c r="H1431" s="196">
        <v>4850</v>
      </c>
      <c r="I1431" s="196">
        <v>519065</v>
      </c>
      <c r="J1431" s="196"/>
    </row>
    <row r="1432" spans="1:10" ht="14.4">
      <c r="A1432" s="196" t="s">
        <v>351</v>
      </c>
      <c r="B1432" s="197">
        <v>42479</v>
      </c>
      <c r="C1432" s="196">
        <v>108.5</v>
      </c>
      <c r="D1432" s="196">
        <v>108.5</v>
      </c>
      <c r="E1432" s="196">
        <v>106.4</v>
      </c>
      <c r="F1432" s="196">
        <v>107</v>
      </c>
      <c r="G1432" s="196">
        <f t="shared" si="22"/>
        <v>53.5</v>
      </c>
      <c r="H1432" s="196">
        <v>6830</v>
      </c>
      <c r="I1432" s="196">
        <v>727970</v>
      </c>
      <c r="J1432" s="196"/>
    </row>
    <row r="1433" spans="1:10" ht="14.4">
      <c r="A1433" s="196" t="s">
        <v>351</v>
      </c>
      <c r="B1433" s="197">
        <v>42480</v>
      </c>
      <c r="C1433" s="196">
        <v>107</v>
      </c>
      <c r="D1433" s="196">
        <v>108.7</v>
      </c>
      <c r="E1433" s="196">
        <v>106.4</v>
      </c>
      <c r="F1433" s="196">
        <v>108.5</v>
      </c>
      <c r="G1433" s="196">
        <f t="shared" si="22"/>
        <v>54.25</v>
      </c>
      <c r="H1433" s="196">
        <v>11768</v>
      </c>
      <c r="I1433" s="196">
        <v>1264707.6000000001</v>
      </c>
      <c r="J1433" s="196"/>
    </row>
    <row r="1434" spans="1:10" ht="14.4">
      <c r="A1434" s="196" t="s">
        <v>351</v>
      </c>
      <c r="B1434" s="197">
        <v>42482</v>
      </c>
      <c r="C1434" s="196">
        <v>108.5</v>
      </c>
      <c r="D1434" s="196">
        <v>114</v>
      </c>
      <c r="E1434" s="196">
        <v>108.3</v>
      </c>
      <c r="F1434" s="196">
        <v>112.4</v>
      </c>
      <c r="G1434" s="196">
        <f t="shared" si="22"/>
        <v>56.2</v>
      </c>
      <c r="H1434" s="196">
        <v>18749</v>
      </c>
      <c r="I1434" s="196">
        <v>2054249</v>
      </c>
      <c r="J1434" s="196"/>
    </row>
    <row r="1435" spans="1:10" ht="14.4">
      <c r="A1435" s="196" t="s">
        <v>351</v>
      </c>
      <c r="B1435" s="197">
        <v>42485</v>
      </c>
      <c r="C1435" s="196">
        <v>112.3</v>
      </c>
      <c r="D1435" s="196">
        <v>113</v>
      </c>
      <c r="E1435" s="196">
        <v>109.2</v>
      </c>
      <c r="F1435" s="196">
        <v>112</v>
      </c>
      <c r="G1435" s="196">
        <f t="shared" si="22"/>
        <v>56</v>
      </c>
      <c r="H1435" s="196">
        <v>11770</v>
      </c>
      <c r="I1435" s="196">
        <v>1318792.3999999999</v>
      </c>
      <c r="J1435" s="196"/>
    </row>
    <row r="1436" spans="1:10" ht="14.4">
      <c r="A1436" s="196" t="s">
        <v>351</v>
      </c>
      <c r="B1436" s="197">
        <v>42486</v>
      </c>
      <c r="C1436" s="196">
        <v>109.1</v>
      </c>
      <c r="D1436" s="196">
        <v>112.9</v>
      </c>
      <c r="E1436" s="196">
        <v>109.1</v>
      </c>
      <c r="F1436" s="196">
        <v>112.9</v>
      </c>
      <c r="G1436" s="196">
        <f t="shared" si="22"/>
        <v>56.45</v>
      </c>
      <c r="H1436" s="196">
        <v>2020</v>
      </c>
      <c r="I1436" s="196">
        <v>227959.2</v>
      </c>
      <c r="J1436" s="196"/>
    </row>
    <row r="1437" spans="1:10" ht="14.4">
      <c r="A1437" s="196" t="s">
        <v>351</v>
      </c>
      <c r="B1437" s="197">
        <v>42487</v>
      </c>
      <c r="C1437" s="196">
        <v>112.8</v>
      </c>
      <c r="D1437" s="196">
        <v>113</v>
      </c>
      <c r="E1437" s="196">
        <v>112.8</v>
      </c>
      <c r="F1437" s="196">
        <v>112.9</v>
      </c>
      <c r="G1437" s="196">
        <f t="shared" si="22"/>
        <v>56.45</v>
      </c>
      <c r="H1437" s="196">
        <v>1554</v>
      </c>
      <c r="I1437" s="196">
        <v>175476.7</v>
      </c>
      <c r="J1437" s="196"/>
    </row>
    <row r="1438" spans="1:10" ht="14.4">
      <c r="A1438" s="196" t="s">
        <v>351</v>
      </c>
      <c r="B1438" s="197">
        <v>42488</v>
      </c>
      <c r="C1438" s="196">
        <v>112</v>
      </c>
      <c r="D1438" s="196">
        <v>113.9</v>
      </c>
      <c r="E1438" s="196">
        <v>109.2</v>
      </c>
      <c r="F1438" s="196">
        <v>113.2</v>
      </c>
      <c r="G1438" s="196">
        <f t="shared" si="22"/>
        <v>56.6</v>
      </c>
      <c r="H1438" s="196">
        <v>7009</v>
      </c>
      <c r="I1438" s="196">
        <v>789529.59999999998</v>
      </c>
      <c r="J1438" s="196"/>
    </row>
    <row r="1439" spans="1:10" ht="14.4">
      <c r="A1439" s="196" t="s">
        <v>351</v>
      </c>
      <c r="B1439" s="197">
        <v>42489</v>
      </c>
      <c r="C1439" s="196">
        <v>109.2</v>
      </c>
      <c r="D1439" s="196">
        <v>114</v>
      </c>
      <c r="E1439" s="196">
        <v>109.2</v>
      </c>
      <c r="F1439" s="196">
        <v>113</v>
      </c>
      <c r="G1439" s="196">
        <f t="shared" si="22"/>
        <v>56.5</v>
      </c>
      <c r="H1439" s="196">
        <v>46324</v>
      </c>
      <c r="I1439" s="196">
        <v>5263504.8</v>
      </c>
      <c r="J1439" s="196"/>
    </row>
    <row r="1440" spans="1:10" ht="14.4">
      <c r="A1440" s="196" t="s">
        <v>351</v>
      </c>
      <c r="B1440" s="197">
        <v>42493</v>
      </c>
      <c r="C1440" s="196">
        <v>113.9</v>
      </c>
      <c r="D1440" s="196">
        <v>113.9</v>
      </c>
      <c r="E1440" s="196">
        <v>112.7</v>
      </c>
      <c r="F1440" s="196">
        <v>113</v>
      </c>
      <c r="G1440" s="196">
        <f t="shared" si="22"/>
        <v>56.5</v>
      </c>
      <c r="H1440" s="196">
        <v>9111</v>
      </c>
      <c r="I1440" s="196">
        <v>1029424.8</v>
      </c>
      <c r="J1440" s="196"/>
    </row>
    <row r="1441" spans="1:10" ht="14.4">
      <c r="A1441" s="196" t="s">
        <v>351</v>
      </c>
      <c r="B1441" s="197">
        <v>42494</v>
      </c>
      <c r="C1441" s="196">
        <v>113.6</v>
      </c>
      <c r="D1441" s="196">
        <v>113.9</v>
      </c>
      <c r="E1441" s="196">
        <v>113</v>
      </c>
      <c r="F1441" s="196">
        <v>113</v>
      </c>
      <c r="G1441" s="196">
        <f t="shared" si="22"/>
        <v>56.5</v>
      </c>
      <c r="H1441" s="196">
        <v>24919</v>
      </c>
      <c r="I1441" s="196">
        <v>2827989</v>
      </c>
      <c r="J1441" s="196"/>
    </row>
    <row r="1442" spans="1:10" ht="14.4">
      <c r="A1442" s="196" t="s">
        <v>351</v>
      </c>
      <c r="B1442" s="197">
        <v>42495</v>
      </c>
      <c r="C1442" s="196">
        <v>112.6</v>
      </c>
      <c r="D1442" s="196">
        <v>112.6</v>
      </c>
      <c r="E1442" s="196">
        <v>112.5</v>
      </c>
      <c r="F1442" s="196">
        <v>112.5</v>
      </c>
      <c r="G1442" s="196">
        <f t="shared" si="22"/>
        <v>56.25</v>
      </c>
      <c r="H1442" s="196">
        <v>525</v>
      </c>
      <c r="I1442" s="196">
        <v>59078.5</v>
      </c>
      <c r="J1442" s="196"/>
    </row>
    <row r="1443" spans="1:10" ht="14.4">
      <c r="A1443" s="196" t="s">
        <v>351</v>
      </c>
      <c r="B1443" s="197">
        <v>42496</v>
      </c>
      <c r="C1443" s="196">
        <v>112</v>
      </c>
      <c r="D1443" s="196">
        <v>113.5</v>
      </c>
      <c r="E1443" s="196">
        <v>112</v>
      </c>
      <c r="F1443" s="196">
        <v>113</v>
      </c>
      <c r="G1443" s="196">
        <f t="shared" si="22"/>
        <v>56.5</v>
      </c>
      <c r="H1443" s="196">
        <v>7696</v>
      </c>
      <c r="I1443" s="196">
        <v>867303</v>
      </c>
      <c r="J1443" s="196"/>
    </row>
    <row r="1444" spans="1:10" ht="14.4">
      <c r="A1444" s="196" t="s">
        <v>351</v>
      </c>
      <c r="B1444" s="197">
        <v>42499</v>
      </c>
      <c r="C1444" s="196">
        <v>112</v>
      </c>
      <c r="D1444" s="196">
        <v>113</v>
      </c>
      <c r="E1444" s="196">
        <v>111</v>
      </c>
      <c r="F1444" s="196">
        <v>111.2</v>
      </c>
      <c r="G1444" s="196">
        <f t="shared" si="22"/>
        <v>55.6</v>
      </c>
      <c r="H1444" s="196">
        <v>7300</v>
      </c>
      <c r="I1444" s="196">
        <v>813666.4</v>
      </c>
      <c r="J1444" s="196"/>
    </row>
    <row r="1445" spans="1:10" ht="14.4">
      <c r="A1445" s="196" t="s">
        <v>351</v>
      </c>
      <c r="B1445" s="197">
        <v>42500</v>
      </c>
      <c r="C1445" s="196">
        <v>113</v>
      </c>
      <c r="D1445" s="196">
        <v>114</v>
      </c>
      <c r="E1445" s="196">
        <v>113</v>
      </c>
      <c r="F1445" s="196">
        <v>113.8</v>
      </c>
      <c r="G1445" s="196">
        <f t="shared" si="22"/>
        <v>56.9</v>
      </c>
      <c r="H1445" s="196">
        <v>60801</v>
      </c>
      <c r="I1445" s="196">
        <v>6921023.2000000002</v>
      </c>
      <c r="J1445" s="196"/>
    </row>
    <row r="1446" spans="1:10" ht="14.4">
      <c r="A1446" s="196" t="s">
        <v>351</v>
      </c>
      <c r="B1446" s="197">
        <v>42501</v>
      </c>
      <c r="C1446" s="196">
        <v>114</v>
      </c>
      <c r="D1446" s="196">
        <v>117</v>
      </c>
      <c r="E1446" s="196">
        <v>113.5</v>
      </c>
      <c r="F1446" s="196">
        <v>117</v>
      </c>
      <c r="G1446" s="196">
        <f t="shared" si="22"/>
        <v>58.5</v>
      </c>
      <c r="H1446" s="196">
        <v>586853</v>
      </c>
      <c r="I1446" s="196">
        <v>67178541.599999994</v>
      </c>
      <c r="J1446" s="196"/>
    </row>
    <row r="1447" spans="1:10" ht="14.4">
      <c r="A1447" s="196" t="s">
        <v>351</v>
      </c>
      <c r="B1447" s="197">
        <v>42502</v>
      </c>
      <c r="C1447" s="196">
        <v>123</v>
      </c>
      <c r="D1447" s="196">
        <v>127</v>
      </c>
      <c r="E1447" s="196">
        <v>122</v>
      </c>
      <c r="F1447" s="196">
        <v>123.9</v>
      </c>
      <c r="G1447" s="196">
        <f t="shared" si="22"/>
        <v>61.95</v>
      </c>
      <c r="H1447" s="196">
        <v>639822</v>
      </c>
      <c r="I1447" s="196">
        <v>78861588.200000003</v>
      </c>
      <c r="J1447" s="196"/>
    </row>
    <row r="1448" spans="1:10" ht="14.4">
      <c r="A1448" s="196" t="s">
        <v>351</v>
      </c>
      <c r="B1448" s="197">
        <v>42503</v>
      </c>
      <c r="C1448" s="196">
        <v>124</v>
      </c>
      <c r="D1448" s="196">
        <v>125.4</v>
      </c>
      <c r="E1448" s="196">
        <v>124</v>
      </c>
      <c r="F1448" s="196">
        <v>124.4</v>
      </c>
      <c r="G1448" s="196">
        <f t="shared" si="22"/>
        <v>62.2</v>
      </c>
      <c r="H1448" s="196">
        <v>80065</v>
      </c>
      <c r="I1448" s="196">
        <v>9990271.5999999996</v>
      </c>
      <c r="J1448" s="196"/>
    </row>
    <row r="1449" spans="1:10" ht="14.4">
      <c r="A1449" s="196" t="s">
        <v>351</v>
      </c>
      <c r="B1449" s="197">
        <v>42506</v>
      </c>
      <c r="C1449" s="196">
        <v>125</v>
      </c>
      <c r="D1449" s="196">
        <v>125.9</v>
      </c>
      <c r="E1449" s="196">
        <v>123.9</v>
      </c>
      <c r="F1449" s="196">
        <v>123.9</v>
      </c>
      <c r="G1449" s="196">
        <f t="shared" si="22"/>
        <v>61.95</v>
      </c>
      <c r="H1449" s="196">
        <v>35005</v>
      </c>
      <c r="I1449" s="196">
        <v>4360916.8</v>
      </c>
      <c r="J1449" s="196"/>
    </row>
    <row r="1450" spans="1:10" ht="14.4">
      <c r="A1450" s="196" t="s">
        <v>351</v>
      </c>
      <c r="B1450" s="197">
        <v>42507</v>
      </c>
      <c r="C1450" s="196">
        <v>124.2</v>
      </c>
      <c r="D1450" s="196">
        <v>124.2</v>
      </c>
      <c r="E1450" s="196">
        <v>121</v>
      </c>
      <c r="F1450" s="196">
        <v>122.9</v>
      </c>
      <c r="G1450" s="196">
        <f t="shared" si="22"/>
        <v>61.45</v>
      </c>
      <c r="H1450" s="196">
        <v>57533</v>
      </c>
      <c r="I1450" s="196">
        <v>7060367.2999999998</v>
      </c>
      <c r="J1450" s="196"/>
    </row>
    <row r="1451" spans="1:10" ht="14.4">
      <c r="A1451" s="196" t="s">
        <v>351</v>
      </c>
      <c r="B1451" s="197">
        <v>42508</v>
      </c>
      <c r="C1451" s="196">
        <v>122.7</v>
      </c>
      <c r="D1451" s="196">
        <v>125</v>
      </c>
      <c r="E1451" s="196">
        <v>122.7</v>
      </c>
      <c r="F1451" s="196">
        <v>123</v>
      </c>
      <c r="G1451" s="196">
        <f t="shared" si="22"/>
        <v>61.5</v>
      </c>
      <c r="H1451" s="196">
        <v>245994</v>
      </c>
      <c r="I1451" s="196">
        <v>30686704.399999999</v>
      </c>
      <c r="J1451" s="196"/>
    </row>
    <row r="1452" spans="1:10" ht="14.4">
      <c r="A1452" s="196" t="s">
        <v>351</v>
      </c>
      <c r="B1452" s="197">
        <v>42509</v>
      </c>
      <c r="C1452" s="196">
        <v>124.4</v>
      </c>
      <c r="D1452" s="196">
        <v>124.4</v>
      </c>
      <c r="E1452" s="196">
        <v>124</v>
      </c>
      <c r="F1452" s="196">
        <v>124.2</v>
      </c>
      <c r="G1452" s="196">
        <f t="shared" si="22"/>
        <v>62.1</v>
      </c>
      <c r="H1452" s="196">
        <v>15790</v>
      </c>
      <c r="I1452" s="196">
        <v>1961034</v>
      </c>
      <c r="J1452" s="196"/>
    </row>
    <row r="1453" spans="1:10" ht="14.4">
      <c r="A1453" s="196" t="s">
        <v>351</v>
      </c>
      <c r="B1453" s="197">
        <v>42510</v>
      </c>
      <c r="C1453" s="196">
        <v>123</v>
      </c>
      <c r="D1453" s="196">
        <v>124.4</v>
      </c>
      <c r="E1453" s="196">
        <v>123</v>
      </c>
      <c r="F1453" s="196">
        <v>123.6</v>
      </c>
      <c r="G1453" s="196">
        <f t="shared" si="22"/>
        <v>61.8</v>
      </c>
      <c r="H1453" s="196">
        <v>15805</v>
      </c>
      <c r="I1453" s="196">
        <v>1956574.5</v>
      </c>
      <c r="J1453" s="196"/>
    </row>
    <row r="1454" spans="1:10" ht="14.4">
      <c r="A1454" s="196" t="s">
        <v>351</v>
      </c>
      <c r="B1454" s="197">
        <v>42514</v>
      </c>
      <c r="C1454" s="196">
        <v>122.8</v>
      </c>
      <c r="D1454" s="196">
        <v>122.8</v>
      </c>
      <c r="E1454" s="196">
        <v>122</v>
      </c>
      <c r="F1454" s="196">
        <v>122.4</v>
      </c>
      <c r="G1454" s="196">
        <f t="shared" si="22"/>
        <v>61.2</v>
      </c>
      <c r="H1454" s="196">
        <v>3913</v>
      </c>
      <c r="I1454" s="196">
        <v>479434.7</v>
      </c>
      <c r="J1454" s="196"/>
    </row>
    <row r="1455" spans="1:10" ht="14.4">
      <c r="A1455" s="196" t="s">
        <v>351</v>
      </c>
      <c r="B1455" s="197">
        <v>42515</v>
      </c>
      <c r="C1455" s="196">
        <v>123</v>
      </c>
      <c r="D1455" s="196">
        <v>123</v>
      </c>
      <c r="E1455" s="196">
        <v>121.1</v>
      </c>
      <c r="F1455" s="196">
        <v>122.3</v>
      </c>
      <c r="G1455" s="196">
        <f t="shared" si="22"/>
        <v>61.15</v>
      </c>
      <c r="H1455" s="196">
        <v>15100</v>
      </c>
      <c r="I1455" s="196">
        <v>1839968.6</v>
      </c>
      <c r="J1455" s="196"/>
    </row>
    <row r="1456" spans="1:10" ht="14.4">
      <c r="A1456" s="196" t="s">
        <v>351</v>
      </c>
      <c r="B1456" s="197">
        <v>42516</v>
      </c>
      <c r="C1456" s="196">
        <v>122.4</v>
      </c>
      <c r="D1456" s="196">
        <v>122.4</v>
      </c>
      <c r="E1456" s="196">
        <v>121</v>
      </c>
      <c r="F1456" s="196">
        <v>121.6</v>
      </c>
      <c r="G1456" s="196">
        <f t="shared" si="22"/>
        <v>60.8</v>
      </c>
      <c r="H1456" s="196">
        <v>22083</v>
      </c>
      <c r="I1456" s="196">
        <v>2686814.6</v>
      </c>
      <c r="J1456" s="196"/>
    </row>
    <row r="1457" spans="1:10" ht="14.4">
      <c r="A1457" s="196" t="s">
        <v>351</v>
      </c>
      <c r="B1457" s="197">
        <v>42517</v>
      </c>
      <c r="C1457" s="196">
        <v>120.5</v>
      </c>
      <c r="D1457" s="196">
        <v>122.5</v>
      </c>
      <c r="E1457" s="196">
        <v>120.5</v>
      </c>
      <c r="F1457" s="196">
        <v>121.8</v>
      </c>
      <c r="G1457" s="196">
        <f t="shared" ref="G1457:G1478" si="23">F1457/2</f>
        <v>60.9</v>
      </c>
      <c r="H1457" s="196">
        <v>3411</v>
      </c>
      <c r="I1457" s="196">
        <v>414927.9</v>
      </c>
      <c r="J1457" s="196"/>
    </row>
    <row r="1458" spans="1:10" ht="14.4">
      <c r="A1458" s="196" t="s">
        <v>351</v>
      </c>
      <c r="B1458" s="197">
        <v>42520</v>
      </c>
      <c r="C1458" s="196">
        <v>121.2</v>
      </c>
      <c r="D1458" s="196">
        <v>121.2</v>
      </c>
      <c r="E1458" s="196">
        <v>118</v>
      </c>
      <c r="F1458" s="196">
        <v>119.2</v>
      </c>
      <c r="G1458" s="196">
        <f t="shared" si="23"/>
        <v>59.6</v>
      </c>
      <c r="H1458" s="196">
        <v>16211</v>
      </c>
      <c r="I1458" s="196">
        <v>1939497.5</v>
      </c>
      <c r="J1458" s="196"/>
    </row>
    <row r="1459" spans="1:10" ht="14.4">
      <c r="A1459" s="196" t="s">
        <v>351</v>
      </c>
      <c r="B1459" s="197">
        <v>42521</v>
      </c>
      <c r="C1459" s="196">
        <v>118</v>
      </c>
      <c r="D1459" s="196">
        <v>118.5</v>
      </c>
      <c r="E1459" s="196">
        <v>116</v>
      </c>
      <c r="F1459" s="196">
        <v>117.7</v>
      </c>
      <c r="G1459" s="196">
        <f t="shared" si="23"/>
        <v>58.85</v>
      </c>
      <c r="H1459" s="196">
        <v>21799</v>
      </c>
      <c r="I1459" s="196">
        <v>2555045.5</v>
      </c>
      <c r="J1459" s="196"/>
    </row>
    <row r="1460" spans="1:10" ht="14.4">
      <c r="A1460" s="196" t="s">
        <v>351</v>
      </c>
      <c r="B1460" s="197">
        <v>42522</v>
      </c>
      <c r="C1460" s="196">
        <v>119</v>
      </c>
      <c r="D1460" s="196">
        <v>119</v>
      </c>
      <c r="E1460" s="196">
        <v>117</v>
      </c>
      <c r="F1460" s="196">
        <v>118.8</v>
      </c>
      <c r="G1460" s="196">
        <f t="shared" si="23"/>
        <v>59.4</v>
      </c>
      <c r="H1460" s="196">
        <v>5554</v>
      </c>
      <c r="I1460" s="196">
        <v>659546</v>
      </c>
      <c r="J1460" s="196"/>
    </row>
    <row r="1461" spans="1:10" ht="14.4">
      <c r="A1461" s="196" t="s">
        <v>351</v>
      </c>
      <c r="B1461" s="197">
        <v>42523</v>
      </c>
      <c r="C1461" s="196">
        <v>119</v>
      </c>
      <c r="D1461" s="196">
        <v>122</v>
      </c>
      <c r="E1461" s="196">
        <v>117.5</v>
      </c>
      <c r="F1461" s="196">
        <v>118.9</v>
      </c>
      <c r="G1461" s="196">
        <f t="shared" si="23"/>
        <v>59.45</v>
      </c>
      <c r="H1461" s="196">
        <v>3976</v>
      </c>
      <c r="I1461" s="196">
        <v>472984</v>
      </c>
      <c r="J1461" s="196"/>
    </row>
    <row r="1462" spans="1:10" ht="14.4">
      <c r="A1462" s="196" t="s">
        <v>351</v>
      </c>
      <c r="B1462" s="197">
        <v>42524</v>
      </c>
      <c r="C1462" s="196">
        <v>121</v>
      </c>
      <c r="D1462" s="196">
        <v>121</v>
      </c>
      <c r="E1462" s="196">
        <v>117.5</v>
      </c>
      <c r="F1462" s="196">
        <v>117.5</v>
      </c>
      <c r="G1462" s="196">
        <f t="shared" si="23"/>
        <v>58.75</v>
      </c>
      <c r="H1462" s="196">
        <v>9606</v>
      </c>
      <c r="I1462" s="196">
        <v>1130364</v>
      </c>
      <c r="J1462" s="196"/>
    </row>
    <row r="1463" spans="1:10" ht="14.4">
      <c r="A1463" s="196" t="s">
        <v>351</v>
      </c>
      <c r="B1463" s="197">
        <v>42527</v>
      </c>
      <c r="C1463" s="196">
        <v>120.2</v>
      </c>
      <c r="D1463" s="196">
        <v>120.2</v>
      </c>
      <c r="E1463" s="196">
        <v>119.5</v>
      </c>
      <c r="F1463" s="196">
        <v>120</v>
      </c>
      <c r="G1463" s="196">
        <f t="shared" si="23"/>
        <v>60</v>
      </c>
      <c r="H1463" s="196">
        <v>593</v>
      </c>
      <c r="I1463" s="196">
        <v>71116.100000000006</v>
      </c>
      <c r="J1463" s="196"/>
    </row>
    <row r="1464" spans="1:10" ht="14.4">
      <c r="A1464" s="196" t="s">
        <v>351</v>
      </c>
      <c r="B1464" s="197">
        <v>42528</v>
      </c>
      <c r="C1464" s="196">
        <v>118.2</v>
      </c>
      <c r="D1464" s="196">
        <v>119.8</v>
      </c>
      <c r="E1464" s="196">
        <v>118.1</v>
      </c>
      <c r="F1464" s="196">
        <v>119</v>
      </c>
      <c r="G1464" s="196">
        <f t="shared" si="23"/>
        <v>59.5</v>
      </c>
      <c r="H1464" s="196">
        <v>5268</v>
      </c>
      <c r="I1464" s="196">
        <v>624312.1</v>
      </c>
      <c r="J1464" s="196"/>
    </row>
    <row r="1465" spans="1:10" ht="14.4">
      <c r="A1465" s="196" t="s">
        <v>351</v>
      </c>
      <c r="B1465" s="197">
        <v>42529</v>
      </c>
      <c r="C1465" s="196">
        <v>118.6</v>
      </c>
      <c r="D1465" s="196">
        <v>119</v>
      </c>
      <c r="E1465" s="196">
        <v>118</v>
      </c>
      <c r="F1465" s="196">
        <v>119</v>
      </c>
      <c r="G1465" s="196">
        <f t="shared" si="23"/>
        <v>59.5</v>
      </c>
      <c r="H1465" s="196">
        <v>12585</v>
      </c>
      <c r="I1465" s="196">
        <v>1495873</v>
      </c>
      <c r="J1465" s="196"/>
    </row>
    <row r="1466" spans="1:10" ht="14.4">
      <c r="A1466" s="196" t="s">
        <v>351</v>
      </c>
      <c r="B1466" s="197">
        <v>42530</v>
      </c>
      <c r="C1466" s="196">
        <v>119</v>
      </c>
      <c r="D1466" s="196">
        <v>119.9</v>
      </c>
      <c r="E1466" s="196">
        <v>118</v>
      </c>
      <c r="F1466" s="196">
        <v>118</v>
      </c>
      <c r="G1466" s="196">
        <f t="shared" si="23"/>
        <v>59</v>
      </c>
      <c r="H1466" s="196">
        <v>1285</v>
      </c>
      <c r="I1466" s="196">
        <v>151675.20000000001</v>
      </c>
      <c r="J1466" s="196"/>
    </row>
    <row r="1467" spans="1:10" ht="14.4">
      <c r="A1467" s="196" t="s">
        <v>351</v>
      </c>
      <c r="B1467" s="197">
        <v>42531</v>
      </c>
      <c r="C1467" s="196">
        <v>120</v>
      </c>
      <c r="D1467" s="196">
        <v>120</v>
      </c>
      <c r="E1467" s="196">
        <v>118</v>
      </c>
      <c r="F1467" s="196">
        <v>119</v>
      </c>
      <c r="G1467" s="196">
        <f t="shared" si="23"/>
        <v>59.5</v>
      </c>
      <c r="H1467" s="196">
        <v>2550</v>
      </c>
      <c r="I1467" s="196">
        <v>301370</v>
      </c>
      <c r="J1467" s="196"/>
    </row>
    <row r="1468" spans="1:10" ht="14.4">
      <c r="A1468" s="196" t="s">
        <v>351</v>
      </c>
      <c r="B1468" s="197">
        <v>42534</v>
      </c>
      <c r="C1468" s="196">
        <v>118.5</v>
      </c>
      <c r="D1468" s="196">
        <v>119</v>
      </c>
      <c r="E1468" s="196">
        <v>117</v>
      </c>
      <c r="F1468" s="196">
        <v>118.3</v>
      </c>
      <c r="G1468" s="196">
        <f t="shared" si="23"/>
        <v>59.15</v>
      </c>
      <c r="H1468" s="196">
        <v>92616</v>
      </c>
      <c r="I1468" s="196">
        <v>10846562.5</v>
      </c>
      <c r="J1468" s="196"/>
    </row>
    <row r="1469" spans="1:10" ht="14.4">
      <c r="A1469" s="196" t="s">
        <v>351</v>
      </c>
      <c r="B1469" s="197">
        <v>42535</v>
      </c>
      <c r="C1469" s="196">
        <v>118.3</v>
      </c>
      <c r="D1469" s="196">
        <v>118.5</v>
      </c>
      <c r="E1469" s="196">
        <v>117.1</v>
      </c>
      <c r="F1469" s="196">
        <v>117.6</v>
      </c>
      <c r="G1469" s="196">
        <f t="shared" si="23"/>
        <v>58.8</v>
      </c>
      <c r="H1469" s="196">
        <v>11440</v>
      </c>
      <c r="I1469" s="196">
        <v>1346780.8</v>
      </c>
      <c r="J1469" s="196"/>
    </row>
    <row r="1470" spans="1:10" ht="14.4">
      <c r="A1470" s="196" t="s">
        <v>351</v>
      </c>
      <c r="B1470" s="197">
        <v>42536</v>
      </c>
      <c r="C1470" s="196">
        <v>116.6</v>
      </c>
      <c r="D1470" s="196">
        <v>119</v>
      </c>
      <c r="E1470" s="196">
        <v>116.5</v>
      </c>
      <c r="F1470" s="196">
        <v>117.3</v>
      </c>
      <c r="G1470" s="196">
        <f t="shared" si="23"/>
        <v>58.65</v>
      </c>
      <c r="H1470" s="196">
        <v>6451</v>
      </c>
      <c r="I1470" s="196">
        <v>755336.5</v>
      </c>
      <c r="J1470" s="196"/>
    </row>
    <row r="1471" spans="1:10" ht="14.4">
      <c r="A1471" s="196" t="s">
        <v>351</v>
      </c>
      <c r="B1471" s="197">
        <v>42537</v>
      </c>
      <c r="C1471" s="196">
        <v>116.5</v>
      </c>
      <c r="D1471" s="196">
        <v>116.6</v>
      </c>
      <c r="E1471" s="196">
        <v>115</v>
      </c>
      <c r="F1471" s="196">
        <v>115.6</v>
      </c>
      <c r="G1471" s="196">
        <f t="shared" si="23"/>
        <v>57.8</v>
      </c>
      <c r="H1471" s="196">
        <v>15480</v>
      </c>
      <c r="I1471" s="196">
        <v>1784666</v>
      </c>
      <c r="J1471" s="196"/>
    </row>
    <row r="1472" spans="1:10" ht="14.4">
      <c r="A1472" s="196" t="s">
        <v>351</v>
      </c>
      <c r="B1472" s="197">
        <v>42538</v>
      </c>
      <c r="C1472" s="196">
        <v>115.1</v>
      </c>
      <c r="D1472" s="196">
        <v>118</v>
      </c>
      <c r="E1472" s="196">
        <v>115.1</v>
      </c>
      <c r="F1472" s="196">
        <v>115.8</v>
      </c>
      <c r="G1472" s="196">
        <f t="shared" si="23"/>
        <v>57.9</v>
      </c>
      <c r="H1472" s="196">
        <v>4483</v>
      </c>
      <c r="I1472" s="196">
        <v>517208.7</v>
      </c>
      <c r="J1472" s="196"/>
    </row>
    <row r="1473" spans="1:10" ht="14.4">
      <c r="A1473" s="196" t="s">
        <v>351</v>
      </c>
      <c r="B1473" s="197">
        <v>42541</v>
      </c>
      <c r="C1473" s="196">
        <v>116</v>
      </c>
      <c r="D1473" s="196">
        <v>116.3</v>
      </c>
      <c r="E1473" s="196">
        <v>116</v>
      </c>
      <c r="F1473" s="196">
        <v>116.2</v>
      </c>
      <c r="G1473" s="196">
        <f t="shared" si="23"/>
        <v>58.1</v>
      </c>
      <c r="H1473" s="196">
        <v>6979</v>
      </c>
      <c r="I1473" s="196">
        <v>810498.9</v>
      </c>
      <c r="J1473" s="196"/>
    </row>
    <row r="1474" spans="1:10" ht="14.4">
      <c r="A1474" s="196" t="s">
        <v>351</v>
      </c>
      <c r="B1474" s="197">
        <v>42542</v>
      </c>
      <c r="C1474" s="196">
        <v>117.5</v>
      </c>
      <c r="D1474" s="196">
        <v>118.5</v>
      </c>
      <c r="E1474" s="196">
        <v>116</v>
      </c>
      <c r="F1474" s="196">
        <v>116</v>
      </c>
      <c r="G1474" s="196">
        <f t="shared" si="23"/>
        <v>58</v>
      </c>
      <c r="H1474" s="196">
        <v>22532</v>
      </c>
      <c r="I1474" s="196">
        <v>2641894.1</v>
      </c>
      <c r="J1474" s="196"/>
    </row>
    <row r="1475" spans="1:10" ht="14.4">
      <c r="A1475" s="196" t="s">
        <v>351</v>
      </c>
      <c r="B1475" s="197">
        <v>42543</v>
      </c>
      <c r="C1475" s="196">
        <v>116</v>
      </c>
      <c r="D1475" s="196">
        <v>117</v>
      </c>
      <c r="E1475" s="196">
        <v>116</v>
      </c>
      <c r="F1475" s="196">
        <v>116.6</v>
      </c>
      <c r="G1475" s="196">
        <f t="shared" si="23"/>
        <v>58.3</v>
      </c>
      <c r="H1475" s="196">
        <v>1553</v>
      </c>
      <c r="I1475" s="196">
        <v>180462</v>
      </c>
      <c r="J1475" s="196"/>
    </row>
    <row r="1476" spans="1:10" ht="14.4">
      <c r="A1476" s="196" t="s">
        <v>351</v>
      </c>
      <c r="B1476" s="197">
        <v>42544</v>
      </c>
      <c r="C1476" s="196">
        <v>116.6</v>
      </c>
      <c r="D1476" s="196">
        <v>117</v>
      </c>
      <c r="E1476" s="196">
        <v>115</v>
      </c>
      <c r="F1476" s="196">
        <v>115.9</v>
      </c>
      <c r="G1476" s="196">
        <f t="shared" si="23"/>
        <v>57.95</v>
      </c>
      <c r="H1476" s="196">
        <v>114643</v>
      </c>
      <c r="I1476" s="196">
        <v>13319310</v>
      </c>
      <c r="J1476" s="196"/>
    </row>
    <row r="1477" spans="1:10" ht="14.4">
      <c r="A1477" s="196" t="s">
        <v>351</v>
      </c>
      <c r="B1477" s="197">
        <v>42545</v>
      </c>
      <c r="C1477" s="196">
        <v>115</v>
      </c>
      <c r="D1477" s="196">
        <v>116</v>
      </c>
      <c r="E1477" s="196">
        <v>114</v>
      </c>
      <c r="F1477" s="196">
        <v>115.5</v>
      </c>
      <c r="G1477" s="196">
        <f t="shared" si="23"/>
        <v>57.75</v>
      </c>
      <c r="H1477" s="196">
        <v>28730</v>
      </c>
      <c r="I1477" s="196">
        <v>3293245</v>
      </c>
      <c r="J1477" s="196"/>
    </row>
    <row r="1478" spans="1:10" ht="14.4">
      <c r="A1478" s="196" t="s">
        <v>351</v>
      </c>
      <c r="B1478" s="197">
        <v>42548</v>
      </c>
      <c r="C1478" s="196">
        <v>115</v>
      </c>
      <c r="D1478" s="196">
        <v>115.5</v>
      </c>
      <c r="E1478" s="196">
        <v>113.1</v>
      </c>
      <c r="F1478" s="196">
        <v>114</v>
      </c>
      <c r="G1478" s="196">
        <f t="shared" si="23"/>
        <v>57</v>
      </c>
      <c r="H1478" s="196">
        <v>305150</v>
      </c>
      <c r="I1478" s="196">
        <v>35039511</v>
      </c>
      <c r="J1478" s="196"/>
    </row>
    <row r="1479" spans="1:10" ht="14.4">
      <c r="A1479" s="196" t="s">
        <v>351</v>
      </c>
      <c r="B1479" s="197">
        <v>42549</v>
      </c>
      <c r="C1479" s="196" t="s">
        <v>88</v>
      </c>
      <c r="D1479" s="196">
        <v>113.5</v>
      </c>
      <c r="E1479" s="196">
        <v>113.5</v>
      </c>
      <c r="F1479" s="196" t="s">
        <v>88</v>
      </c>
      <c r="G1479" s="196">
        <f>G1478</f>
        <v>57</v>
      </c>
      <c r="H1479" s="196">
        <v>450000</v>
      </c>
      <c r="I1479" s="196">
        <v>51075000</v>
      </c>
      <c r="J1479" s="196"/>
    </row>
    <row r="1480" spans="1:10" ht="14.4">
      <c r="A1480" s="196" t="s">
        <v>351</v>
      </c>
      <c r="B1480" s="197">
        <v>42549</v>
      </c>
      <c r="C1480" s="196">
        <v>113</v>
      </c>
      <c r="D1480" s="196">
        <v>115.7</v>
      </c>
      <c r="E1480" s="196">
        <v>113</v>
      </c>
      <c r="F1480" s="196">
        <v>115</v>
      </c>
      <c r="G1480" s="196">
        <f>F1480/2</f>
        <v>57.5</v>
      </c>
      <c r="H1480" s="196">
        <v>95379</v>
      </c>
      <c r="I1480" s="196">
        <v>10968520.9</v>
      </c>
      <c r="J1480" s="196"/>
    </row>
    <row r="1481" spans="1:10" ht="14.4">
      <c r="A1481" s="196" t="s">
        <v>351</v>
      </c>
      <c r="B1481" s="197">
        <v>42555</v>
      </c>
      <c r="C1481" s="196">
        <v>52.7</v>
      </c>
      <c r="D1481" s="196">
        <v>58.6</v>
      </c>
      <c r="E1481" s="196">
        <v>52.7</v>
      </c>
      <c r="F1481" s="196">
        <v>57.5</v>
      </c>
      <c r="G1481" s="196">
        <f t="shared" ref="G1481:G1544" si="24">F1481</f>
        <v>57.5</v>
      </c>
      <c r="H1481" s="196">
        <v>12725</v>
      </c>
      <c r="I1481" s="196">
        <v>736273</v>
      </c>
      <c r="J1481" s="196"/>
    </row>
    <row r="1482" spans="1:10" ht="14.4">
      <c r="A1482" s="196" t="s">
        <v>351</v>
      </c>
      <c r="B1482" s="197">
        <v>42556</v>
      </c>
      <c r="C1482" s="196">
        <v>56</v>
      </c>
      <c r="D1482" s="196">
        <v>56</v>
      </c>
      <c r="E1482" s="196">
        <v>56</v>
      </c>
      <c r="F1482" s="196">
        <v>56</v>
      </c>
      <c r="G1482" s="196">
        <f t="shared" si="24"/>
        <v>56</v>
      </c>
      <c r="H1482" s="196">
        <v>1000</v>
      </c>
      <c r="I1482" s="196">
        <v>56000</v>
      </c>
      <c r="J1482" s="196"/>
    </row>
    <row r="1483" spans="1:10" ht="14.4">
      <c r="A1483" s="196" t="s">
        <v>351</v>
      </c>
      <c r="B1483" s="197">
        <v>42558</v>
      </c>
      <c r="C1483" s="196">
        <v>54.2</v>
      </c>
      <c r="D1483" s="196">
        <v>58.5</v>
      </c>
      <c r="E1483" s="196">
        <v>54.2</v>
      </c>
      <c r="F1483" s="196">
        <v>58.4</v>
      </c>
      <c r="G1483" s="196">
        <f t="shared" si="24"/>
        <v>58.4</v>
      </c>
      <c r="H1483" s="196">
        <v>702</v>
      </c>
      <c r="I1483" s="196">
        <v>40917.9</v>
      </c>
      <c r="J1483" s="196"/>
    </row>
    <row r="1484" spans="1:10" ht="14.4">
      <c r="A1484" s="196" t="s">
        <v>351</v>
      </c>
      <c r="B1484" s="197">
        <v>42559</v>
      </c>
      <c r="C1484" s="196">
        <v>58.5</v>
      </c>
      <c r="D1484" s="196">
        <v>58.9</v>
      </c>
      <c r="E1484" s="196">
        <v>58</v>
      </c>
      <c r="F1484" s="196">
        <v>58.3</v>
      </c>
      <c r="G1484" s="196">
        <f t="shared" si="24"/>
        <v>58.3</v>
      </c>
      <c r="H1484" s="196">
        <v>42239</v>
      </c>
      <c r="I1484" s="196">
        <v>2456944.5</v>
      </c>
      <c r="J1484" s="196"/>
    </row>
    <row r="1485" spans="1:10" ht="14.4">
      <c r="A1485" s="196" t="s">
        <v>351</v>
      </c>
      <c r="B1485" s="197">
        <v>42562</v>
      </c>
      <c r="C1485" s="196">
        <v>59.9</v>
      </c>
      <c r="D1485" s="196">
        <v>59.9</v>
      </c>
      <c r="E1485" s="196">
        <v>58.5</v>
      </c>
      <c r="F1485" s="196">
        <v>59.5</v>
      </c>
      <c r="G1485" s="196">
        <f t="shared" si="24"/>
        <v>59.5</v>
      </c>
      <c r="H1485" s="196">
        <v>8260</v>
      </c>
      <c r="I1485" s="196">
        <v>486169.59999999998</v>
      </c>
      <c r="J1485" s="196"/>
    </row>
    <row r="1486" spans="1:10" ht="14.4">
      <c r="A1486" s="196" t="s">
        <v>351</v>
      </c>
      <c r="B1486" s="197">
        <v>42563</v>
      </c>
      <c r="C1486" s="196">
        <v>58.2</v>
      </c>
      <c r="D1486" s="196">
        <v>59</v>
      </c>
      <c r="E1486" s="196">
        <v>58.1</v>
      </c>
      <c r="F1486" s="196">
        <v>58.3</v>
      </c>
      <c r="G1486" s="196">
        <f t="shared" si="24"/>
        <v>58.3</v>
      </c>
      <c r="H1486" s="196">
        <v>4866</v>
      </c>
      <c r="I1486" s="196">
        <v>283841.59999999998</v>
      </c>
      <c r="J1486" s="196"/>
    </row>
    <row r="1487" spans="1:10" ht="14.4">
      <c r="A1487" s="196" t="s">
        <v>351</v>
      </c>
      <c r="B1487" s="197">
        <v>42564</v>
      </c>
      <c r="C1487" s="196">
        <v>58</v>
      </c>
      <c r="D1487" s="196">
        <v>59</v>
      </c>
      <c r="E1487" s="196">
        <v>56.7</v>
      </c>
      <c r="F1487" s="196">
        <v>58.2</v>
      </c>
      <c r="G1487" s="196">
        <f t="shared" si="24"/>
        <v>58.2</v>
      </c>
      <c r="H1487" s="196">
        <v>54702</v>
      </c>
      <c r="I1487" s="196">
        <v>3132852.5</v>
      </c>
      <c r="J1487" s="196"/>
    </row>
    <row r="1488" spans="1:10" ht="14.4">
      <c r="A1488" s="196" t="s">
        <v>351</v>
      </c>
      <c r="B1488" s="197">
        <v>42565</v>
      </c>
      <c r="C1488" s="196">
        <v>59</v>
      </c>
      <c r="D1488" s="196">
        <v>59</v>
      </c>
      <c r="E1488" s="196">
        <v>58</v>
      </c>
      <c r="F1488" s="196">
        <v>58.1</v>
      </c>
      <c r="G1488" s="196">
        <f t="shared" si="24"/>
        <v>58.1</v>
      </c>
      <c r="H1488" s="196">
        <v>135133</v>
      </c>
      <c r="I1488" s="196">
        <v>7839538</v>
      </c>
      <c r="J1488" s="196"/>
    </row>
    <row r="1489" spans="1:10" ht="14.4">
      <c r="A1489" s="196" t="s">
        <v>351</v>
      </c>
      <c r="B1489" s="197">
        <v>42566</v>
      </c>
      <c r="C1489" s="196">
        <v>59</v>
      </c>
      <c r="D1489" s="196">
        <v>59</v>
      </c>
      <c r="E1489" s="196">
        <v>58</v>
      </c>
      <c r="F1489" s="196">
        <v>58</v>
      </c>
      <c r="G1489" s="196">
        <f t="shared" si="24"/>
        <v>58</v>
      </c>
      <c r="H1489" s="196">
        <v>11130</v>
      </c>
      <c r="I1489" s="196">
        <v>645820</v>
      </c>
      <c r="J1489" s="196"/>
    </row>
    <row r="1490" spans="1:10" ht="14.4">
      <c r="A1490" s="196" t="s">
        <v>351</v>
      </c>
      <c r="B1490" s="197">
        <v>42569</v>
      </c>
      <c r="C1490" s="196">
        <v>58</v>
      </c>
      <c r="D1490" s="196">
        <v>59</v>
      </c>
      <c r="E1490" s="196">
        <v>57.8</v>
      </c>
      <c r="F1490" s="196">
        <v>58</v>
      </c>
      <c r="G1490" s="196">
        <f t="shared" si="24"/>
        <v>58</v>
      </c>
      <c r="H1490" s="196">
        <v>107907</v>
      </c>
      <c r="I1490" s="196">
        <v>6267035.2000000002</v>
      </c>
      <c r="J1490" s="196"/>
    </row>
    <row r="1491" spans="1:10" ht="14.4">
      <c r="A1491" s="193" t="s">
        <v>351</v>
      </c>
      <c r="B1491" s="194">
        <v>42571</v>
      </c>
      <c r="C1491" s="193">
        <v>58.5</v>
      </c>
      <c r="D1491" s="193">
        <v>58.9</v>
      </c>
      <c r="E1491" s="193">
        <v>57.1</v>
      </c>
      <c r="F1491" s="193">
        <v>58</v>
      </c>
      <c r="G1491" s="196">
        <f t="shared" si="24"/>
        <v>58</v>
      </c>
      <c r="H1491" s="193">
        <v>21790</v>
      </c>
      <c r="I1491" s="193">
        <v>1263101.1000000001</v>
      </c>
      <c r="J1491" s="193"/>
    </row>
    <row r="1492" spans="1:10" ht="14.4">
      <c r="A1492" s="193" t="s">
        <v>351</v>
      </c>
      <c r="B1492" s="194">
        <v>42572</v>
      </c>
      <c r="C1492" s="193">
        <v>58.9</v>
      </c>
      <c r="D1492" s="193">
        <v>58.9</v>
      </c>
      <c r="E1492" s="193">
        <v>58</v>
      </c>
      <c r="F1492" s="193">
        <v>58</v>
      </c>
      <c r="G1492" s="196">
        <f t="shared" si="24"/>
        <v>58</v>
      </c>
      <c r="H1492" s="193">
        <v>1061</v>
      </c>
      <c r="I1492" s="193">
        <v>61592.9</v>
      </c>
      <c r="J1492" s="193"/>
    </row>
    <row r="1493" spans="1:10" ht="14.4">
      <c r="A1493" s="193" t="s">
        <v>351</v>
      </c>
      <c r="B1493" s="194">
        <v>42573</v>
      </c>
      <c r="C1493" s="193">
        <v>58</v>
      </c>
      <c r="D1493" s="193">
        <v>58.9</v>
      </c>
      <c r="E1493" s="193">
        <v>58</v>
      </c>
      <c r="F1493" s="193">
        <v>58.6</v>
      </c>
      <c r="G1493" s="196">
        <f t="shared" si="24"/>
        <v>58.6</v>
      </c>
      <c r="H1493" s="193">
        <v>2567</v>
      </c>
      <c r="I1493" s="193">
        <v>150196.1</v>
      </c>
      <c r="J1493" s="193"/>
    </row>
    <row r="1494" spans="1:10" ht="14.4">
      <c r="A1494" s="193" t="s">
        <v>351</v>
      </c>
      <c r="B1494" s="194">
        <v>42576</v>
      </c>
      <c r="C1494" s="193">
        <v>58.1</v>
      </c>
      <c r="D1494" s="193">
        <v>58.9</v>
      </c>
      <c r="E1494" s="193">
        <v>56</v>
      </c>
      <c r="F1494" s="193">
        <v>58.5</v>
      </c>
      <c r="G1494" s="196">
        <f t="shared" si="24"/>
        <v>58.5</v>
      </c>
      <c r="H1494" s="193">
        <v>13019</v>
      </c>
      <c r="I1494" s="193">
        <v>748137.6</v>
      </c>
      <c r="J1494" s="193"/>
    </row>
    <row r="1495" spans="1:10" ht="14.4">
      <c r="A1495" s="193" t="s">
        <v>351</v>
      </c>
      <c r="B1495" s="194">
        <v>42577</v>
      </c>
      <c r="C1495" s="193">
        <v>58.5</v>
      </c>
      <c r="D1495" s="193">
        <v>58.9</v>
      </c>
      <c r="E1495" s="193">
        <v>58.5</v>
      </c>
      <c r="F1495" s="193">
        <v>58.9</v>
      </c>
      <c r="G1495" s="196">
        <f t="shared" si="24"/>
        <v>58.9</v>
      </c>
      <c r="H1495" s="193">
        <v>4409</v>
      </c>
      <c r="I1495" s="193">
        <v>258402.1</v>
      </c>
      <c r="J1495" s="193"/>
    </row>
    <row r="1496" spans="1:10" ht="14.4">
      <c r="A1496" s="193" t="s">
        <v>351</v>
      </c>
      <c r="B1496" s="194">
        <v>42578</v>
      </c>
      <c r="C1496" s="193">
        <v>58.9</v>
      </c>
      <c r="D1496" s="193">
        <v>58.9</v>
      </c>
      <c r="E1496" s="193">
        <v>57.5</v>
      </c>
      <c r="F1496" s="193">
        <v>58.4</v>
      </c>
      <c r="G1496" s="196">
        <f t="shared" si="24"/>
        <v>58.4</v>
      </c>
      <c r="H1496" s="193">
        <v>44301</v>
      </c>
      <c r="I1496" s="193">
        <v>2557160.6</v>
      </c>
      <c r="J1496" s="193"/>
    </row>
    <row r="1497" spans="1:10" ht="14.4">
      <c r="A1497" s="193" t="s">
        <v>351</v>
      </c>
      <c r="B1497" s="194">
        <v>42579</v>
      </c>
      <c r="C1497" s="193">
        <v>58</v>
      </c>
      <c r="D1497" s="193">
        <v>59.6</v>
      </c>
      <c r="E1497" s="193">
        <v>58</v>
      </c>
      <c r="F1497" s="193">
        <v>59</v>
      </c>
      <c r="G1497" s="196">
        <f t="shared" si="24"/>
        <v>59</v>
      </c>
      <c r="H1497" s="193">
        <v>15874</v>
      </c>
      <c r="I1497" s="193">
        <v>933086</v>
      </c>
      <c r="J1497" s="193"/>
    </row>
    <row r="1498" spans="1:10" ht="14.4">
      <c r="A1498" s="193" t="s">
        <v>351</v>
      </c>
      <c r="B1498" s="194">
        <v>42580</v>
      </c>
      <c r="C1498" s="193">
        <v>58</v>
      </c>
      <c r="D1498" s="193">
        <v>59.5</v>
      </c>
      <c r="E1498" s="193">
        <v>58</v>
      </c>
      <c r="F1498" s="193">
        <v>59.4</v>
      </c>
      <c r="G1498" s="196">
        <f t="shared" si="24"/>
        <v>59.4</v>
      </c>
      <c r="H1498" s="193">
        <v>29290</v>
      </c>
      <c r="I1498" s="193">
        <v>1730870</v>
      </c>
      <c r="J1498" s="193"/>
    </row>
    <row r="1499" spans="1:10" ht="14.4">
      <c r="A1499" s="193" t="s">
        <v>351</v>
      </c>
      <c r="B1499" s="194">
        <v>42583</v>
      </c>
      <c r="C1499" s="193">
        <v>59.5</v>
      </c>
      <c r="D1499" s="193">
        <v>59.5</v>
      </c>
      <c r="E1499" s="193">
        <v>58.5</v>
      </c>
      <c r="F1499" s="193">
        <v>59.3</v>
      </c>
      <c r="G1499" s="196">
        <f t="shared" si="24"/>
        <v>59.3</v>
      </c>
      <c r="H1499" s="193">
        <v>6370</v>
      </c>
      <c r="I1499" s="193">
        <v>377903.1</v>
      </c>
      <c r="J1499" s="193"/>
    </row>
    <row r="1500" spans="1:10" ht="14.4">
      <c r="A1500" s="193" t="s">
        <v>351</v>
      </c>
      <c r="B1500" s="194">
        <v>42584</v>
      </c>
      <c r="C1500" s="193">
        <v>59.3</v>
      </c>
      <c r="D1500" s="193">
        <v>60</v>
      </c>
      <c r="E1500" s="193">
        <v>59.3</v>
      </c>
      <c r="F1500" s="193">
        <v>59.8</v>
      </c>
      <c r="G1500" s="196">
        <f t="shared" si="24"/>
        <v>59.8</v>
      </c>
      <c r="H1500" s="193">
        <v>93927</v>
      </c>
      <c r="I1500" s="193">
        <v>5605181.5999999996</v>
      </c>
      <c r="J1500" s="193"/>
    </row>
    <row r="1501" spans="1:10" customFormat="1" ht="14.4">
      <c r="A1501" t="s">
        <v>351</v>
      </c>
      <c r="B1501" s="647">
        <v>42583</v>
      </c>
      <c r="C1501">
        <v>59.5</v>
      </c>
      <c r="D1501">
        <v>59.5</v>
      </c>
      <c r="E1501">
        <v>58.5</v>
      </c>
      <c r="F1501">
        <v>59.3</v>
      </c>
      <c r="G1501" s="196">
        <f t="shared" si="24"/>
        <v>59.3</v>
      </c>
      <c r="H1501">
        <v>6370</v>
      </c>
      <c r="I1501">
        <v>377903.1</v>
      </c>
    </row>
    <row r="1502" spans="1:10" customFormat="1" ht="14.4">
      <c r="A1502" t="s">
        <v>351</v>
      </c>
      <c r="B1502" s="647">
        <v>42584</v>
      </c>
      <c r="C1502">
        <v>59.3</v>
      </c>
      <c r="D1502">
        <v>60</v>
      </c>
      <c r="E1502">
        <v>59.3</v>
      </c>
      <c r="F1502">
        <v>59.8</v>
      </c>
      <c r="G1502" s="196">
        <f t="shared" si="24"/>
        <v>59.8</v>
      </c>
      <c r="H1502">
        <v>93927</v>
      </c>
      <c r="I1502">
        <v>5605181.5999999996</v>
      </c>
    </row>
    <row r="1503" spans="1:10" customFormat="1" ht="14.4">
      <c r="A1503" t="s">
        <v>351</v>
      </c>
      <c r="B1503" s="647">
        <v>42585</v>
      </c>
      <c r="C1503">
        <v>60</v>
      </c>
      <c r="D1503">
        <v>60</v>
      </c>
      <c r="E1503">
        <v>59</v>
      </c>
      <c r="F1503">
        <v>59.8</v>
      </c>
      <c r="G1503" s="196">
        <f t="shared" si="24"/>
        <v>59.8</v>
      </c>
      <c r="H1503">
        <v>76339</v>
      </c>
      <c r="I1503">
        <v>4561093.0999999996</v>
      </c>
    </row>
    <row r="1504" spans="1:10" customFormat="1" ht="14.4">
      <c r="A1504" t="s">
        <v>351</v>
      </c>
      <c r="B1504" s="647">
        <v>42586</v>
      </c>
      <c r="C1504">
        <v>59</v>
      </c>
      <c r="D1504">
        <v>60</v>
      </c>
      <c r="E1504">
        <v>58.6</v>
      </c>
      <c r="F1504">
        <v>59.4</v>
      </c>
      <c r="G1504" s="196">
        <f t="shared" si="24"/>
        <v>59.4</v>
      </c>
      <c r="H1504">
        <v>31316</v>
      </c>
      <c r="I1504">
        <v>1848774.7</v>
      </c>
    </row>
    <row r="1505" spans="1:9" customFormat="1" ht="14.4">
      <c r="A1505" t="s">
        <v>351</v>
      </c>
      <c r="B1505" s="647">
        <v>42587</v>
      </c>
      <c r="C1505">
        <v>58.4</v>
      </c>
      <c r="D1505">
        <v>59.2</v>
      </c>
      <c r="E1505">
        <v>58.2</v>
      </c>
      <c r="F1505">
        <v>58.9</v>
      </c>
      <c r="G1505" s="196">
        <f t="shared" si="24"/>
        <v>58.9</v>
      </c>
      <c r="H1505">
        <v>11432</v>
      </c>
      <c r="I1505">
        <v>673880.6</v>
      </c>
    </row>
    <row r="1506" spans="1:9" customFormat="1" ht="14.4">
      <c r="A1506" t="s">
        <v>351</v>
      </c>
      <c r="B1506" s="647">
        <v>42590</v>
      </c>
      <c r="C1506">
        <v>59</v>
      </c>
      <c r="D1506">
        <v>59.2</v>
      </c>
      <c r="E1506">
        <v>58.2</v>
      </c>
      <c r="F1506">
        <v>58.3</v>
      </c>
      <c r="G1506" s="196">
        <f t="shared" si="24"/>
        <v>58.3</v>
      </c>
      <c r="H1506">
        <v>2086</v>
      </c>
      <c r="I1506">
        <v>122041</v>
      </c>
    </row>
    <row r="1507" spans="1:9" customFormat="1" ht="14.4">
      <c r="A1507" t="s">
        <v>351</v>
      </c>
      <c r="B1507" s="647">
        <v>42591</v>
      </c>
      <c r="C1507">
        <v>58.9</v>
      </c>
      <c r="D1507">
        <v>59.3</v>
      </c>
      <c r="E1507">
        <v>58.8</v>
      </c>
      <c r="F1507">
        <v>59</v>
      </c>
      <c r="G1507" s="196">
        <f t="shared" si="24"/>
        <v>59</v>
      </c>
      <c r="H1507">
        <v>36111</v>
      </c>
      <c r="I1507">
        <v>2127482.7999999998</v>
      </c>
    </row>
    <row r="1508" spans="1:9" customFormat="1" ht="14.4">
      <c r="A1508" t="s">
        <v>351</v>
      </c>
      <c r="B1508" s="647">
        <v>42592</v>
      </c>
      <c r="C1508">
        <v>59</v>
      </c>
      <c r="D1508">
        <v>59.5</v>
      </c>
      <c r="E1508">
        <v>57.1</v>
      </c>
      <c r="F1508">
        <v>58.9</v>
      </c>
      <c r="G1508" s="196">
        <f t="shared" si="24"/>
        <v>58.9</v>
      </c>
      <c r="H1508">
        <v>75373</v>
      </c>
      <c r="I1508">
        <v>4442755</v>
      </c>
    </row>
    <row r="1509" spans="1:9" customFormat="1" ht="14.4">
      <c r="A1509" t="s">
        <v>351</v>
      </c>
      <c r="B1509" s="647">
        <v>42593</v>
      </c>
      <c r="C1509">
        <v>59.3</v>
      </c>
      <c r="D1509">
        <v>59.3</v>
      </c>
      <c r="E1509">
        <v>58.3</v>
      </c>
      <c r="F1509">
        <v>58.6</v>
      </c>
      <c r="G1509" s="196">
        <f t="shared" si="24"/>
        <v>58.6</v>
      </c>
      <c r="H1509">
        <v>5722</v>
      </c>
      <c r="I1509">
        <v>335047.40000000002</v>
      </c>
    </row>
    <row r="1510" spans="1:9" customFormat="1" ht="14.4">
      <c r="A1510" t="s">
        <v>351</v>
      </c>
      <c r="B1510" s="647">
        <v>42594</v>
      </c>
      <c r="C1510">
        <v>58.7</v>
      </c>
      <c r="D1510">
        <v>59</v>
      </c>
      <c r="E1510">
        <v>58.2</v>
      </c>
      <c r="F1510">
        <v>58.6</v>
      </c>
      <c r="G1510" s="196">
        <f t="shared" si="24"/>
        <v>58.6</v>
      </c>
      <c r="H1510">
        <v>9498</v>
      </c>
      <c r="I1510">
        <v>555981.6</v>
      </c>
    </row>
    <row r="1511" spans="1:9" customFormat="1" ht="14.4">
      <c r="A1511" t="s">
        <v>351</v>
      </c>
      <c r="B1511" s="647">
        <v>42597</v>
      </c>
      <c r="C1511">
        <v>59</v>
      </c>
      <c r="D1511">
        <v>59</v>
      </c>
      <c r="E1511">
        <v>58.5</v>
      </c>
      <c r="F1511">
        <v>58.9</v>
      </c>
      <c r="G1511" s="196">
        <f t="shared" si="24"/>
        <v>58.9</v>
      </c>
      <c r="H1511">
        <v>61609</v>
      </c>
      <c r="I1511">
        <v>3609991</v>
      </c>
    </row>
    <row r="1512" spans="1:9" customFormat="1" ht="14.4">
      <c r="A1512" t="s">
        <v>351</v>
      </c>
      <c r="B1512" s="647">
        <v>42598</v>
      </c>
      <c r="C1512">
        <v>58.6</v>
      </c>
      <c r="D1512">
        <v>59</v>
      </c>
      <c r="E1512">
        <v>58.5</v>
      </c>
      <c r="F1512">
        <v>58.9</v>
      </c>
      <c r="G1512" s="196">
        <f t="shared" si="24"/>
        <v>58.9</v>
      </c>
      <c r="H1512">
        <v>4595</v>
      </c>
      <c r="I1512">
        <v>270611</v>
      </c>
    </row>
    <row r="1513" spans="1:9" customFormat="1" ht="14.4">
      <c r="A1513" t="s">
        <v>351</v>
      </c>
      <c r="B1513" s="647">
        <v>42600</v>
      </c>
      <c r="C1513">
        <v>59</v>
      </c>
      <c r="D1513">
        <v>59</v>
      </c>
      <c r="E1513">
        <v>58.3</v>
      </c>
      <c r="F1513">
        <v>58.9</v>
      </c>
      <c r="G1513" s="196">
        <f t="shared" si="24"/>
        <v>58.9</v>
      </c>
      <c r="H1513">
        <v>10272</v>
      </c>
      <c r="I1513">
        <v>600348.19999999995</v>
      </c>
    </row>
    <row r="1514" spans="1:9" customFormat="1" ht="14.4">
      <c r="A1514" t="s">
        <v>351</v>
      </c>
      <c r="B1514" s="647">
        <v>42601</v>
      </c>
      <c r="C1514">
        <v>58.9</v>
      </c>
      <c r="D1514">
        <v>58.9</v>
      </c>
      <c r="E1514">
        <v>58.3</v>
      </c>
      <c r="F1514">
        <v>58.4</v>
      </c>
      <c r="G1514" s="196">
        <f t="shared" si="24"/>
        <v>58.4</v>
      </c>
      <c r="H1514">
        <v>15176</v>
      </c>
      <c r="I1514">
        <v>887964.4</v>
      </c>
    </row>
    <row r="1515" spans="1:9" customFormat="1" ht="14.4">
      <c r="A1515" t="s">
        <v>351</v>
      </c>
      <c r="B1515" s="647">
        <v>42604</v>
      </c>
      <c r="C1515">
        <v>58.3</v>
      </c>
      <c r="D1515">
        <v>59.5</v>
      </c>
      <c r="E1515">
        <v>58.3</v>
      </c>
      <c r="F1515">
        <v>59.2</v>
      </c>
      <c r="G1515" s="196">
        <f t="shared" si="24"/>
        <v>59.2</v>
      </c>
      <c r="H1515">
        <v>282942</v>
      </c>
      <c r="I1515">
        <v>16628208.699999999</v>
      </c>
    </row>
    <row r="1516" spans="1:9" customFormat="1" ht="14.4">
      <c r="A1516" t="s">
        <v>351</v>
      </c>
      <c r="B1516" s="647">
        <v>42605</v>
      </c>
      <c r="C1516">
        <v>59.5</v>
      </c>
      <c r="D1516">
        <v>63.5</v>
      </c>
      <c r="E1516">
        <v>59.5</v>
      </c>
      <c r="F1516">
        <v>63.2</v>
      </c>
      <c r="G1516" s="196">
        <f t="shared" si="24"/>
        <v>63.2</v>
      </c>
      <c r="H1516">
        <v>1129565</v>
      </c>
      <c r="I1516">
        <v>70298294.5</v>
      </c>
    </row>
    <row r="1517" spans="1:9" customFormat="1" ht="14.4">
      <c r="A1517" t="s">
        <v>351</v>
      </c>
      <c r="B1517" s="647">
        <v>42606</v>
      </c>
      <c r="C1517">
        <v>63.5</v>
      </c>
      <c r="D1517">
        <v>63.9</v>
      </c>
      <c r="E1517">
        <v>62.3</v>
      </c>
      <c r="F1517">
        <v>62.9</v>
      </c>
      <c r="G1517" s="196">
        <f t="shared" si="24"/>
        <v>62.9</v>
      </c>
      <c r="H1517">
        <v>106959</v>
      </c>
      <c r="I1517">
        <v>6746978.7000000002</v>
      </c>
    </row>
    <row r="1518" spans="1:9" customFormat="1" ht="14.4">
      <c r="A1518" t="s">
        <v>351</v>
      </c>
      <c r="B1518" s="647">
        <v>42607</v>
      </c>
      <c r="C1518">
        <v>63</v>
      </c>
      <c r="D1518">
        <v>63</v>
      </c>
      <c r="E1518">
        <v>62</v>
      </c>
      <c r="F1518">
        <v>62</v>
      </c>
      <c r="G1518" s="196">
        <f t="shared" si="24"/>
        <v>62</v>
      </c>
      <c r="H1518">
        <v>110928</v>
      </c>
      <c r="I1518">
        <v>6883985.0999999996</v>
      </c>
    </row>
    <row r="1519" spans="1:9" customFormat="1" ht="14.4">
      <c r="A1519" t="s">
        <v>351</v>
      </c>
      <c r="B1519" s="647">
        <v>42608</v>
      </c>
      <c r="C1519">
        <v>62.9</v>
      </c>
      <c r="D1519">
        <v>62.9</v>
      </c>
      <c r="E1519">
        <v>61.8</v>
      </c>
      <c r="F1519">
        <v>62</v>
      </c>
      <c r="G1519" s="196">
        <f t="shared" si="24"/>
        <v>62</v>
      </c>
      <c r="H1519">
        <v>340111</v>
      </c>
      <c r="I1519">
        <v>21087307</v>
      </c>
    </row>
    <row r="1520" spans="1:9" customFormat="1" ht="14.4">
      <c r="A1520" t="s">
        <v>351</v>
      </c>
      <c r="B1520" s="647">
        <v>42611</v>
      </c>
      <c r="C1520">
        <v>62</v>
      </c>
      <c r="D1520">
        <v>62.4</v>
      </c>
      <c r="E1520">
        <v>61.1</v>
      </c>
      <c r="F1520">
        <v>62.2</v>
      </c>
      <c r="G1520" s="196">
        <f t="shared" si="24"/>
        <v>62.2</v>
      </c>
      <c r="H1520">
        <v>54227</v>
      </c>
      <c r="I1520">
        <v>3337079.4</v>
      </c>
    </row>
    <row r="1521" spans="1:9" customFormat="1" ht="14.4">
      <c r="A1521" t="s">
        <v>351</v>
      </c>
      <c r="B1521" s="647">
        <v>42612</v>
      </c>
      <c r="C1521">
        <v>61.5</v>
      </c>
      <c r="D1521">
        <v>63</v>
      </c>
      <c r="E1521">
        <v>61.5</v>
      </c>
      <c r="F1521">
        <v>62.2</v>
      </c>
      <c r="G1521" s="196">
        <f t="shared" si="24"/>
        <v>62.2</v>
      </c>
      <c r="H1521">
        <v>28932</v>
      </c>
      <c r="I1521">
        <v>1801085.8</v>
      </c>
    </row>
    <row r="1522" spans="1:9" customFormat="1" ht="14.4">
      <c r="A1522" t="s">
        <v>351</v>
      </c>
      <c r="B1522" s="647">
        <v>42613</v>
      </c>
      <c r="C1522">
        <v>62.9</v>
      </c>
      <c r="D1522">
        <v>64</v>
      </c>
      <c r="E1522">
        <v>62.9</v>
      </c>
      <c r="F1522">
        <v>63.5</v>
      </c>
      <c r="G1522" s="196">
        <f t="shared" si="24"/>
        <v>63.5</v>
      </c>
      <c r="H1522">
        <v>184409</v>
      </c>
      <c r="I1522">
        <v>11712291</v>
      </c>
    </row>
    <row r="1523" spans="1:9" customFormat="1" ht="14.4">
      <c r="A1523" t="s">
        <v>351</v>
      </c>
      <c r="B1523" s="647">
        <v>42614</v>
      </c>
      <c r="C1523">
        <v>63.4</v>
      </c>
      <c r="D1523">
        <v>64.2</v>
      </c>
      <c r="E1523">
        <v>63.4</v>
      </c>
      <c r="F1523">
        <v>63.8</v>
      </c>
      <c r="G1523" s="196">
        <f t="shared" si="24"/>
        <v>63.8</v>
      </c>
      <c r="H1523">
        <v>77447</v>
      </c>
      <c r="I1523">
        <v>4953333.3</v>
      </c>
    </row>
    <row r="1524" spans="1:9" customFormat="1" ht="14.4">
      <c r="A1524" t="s">
        <v>351</v>
      </c>
      <c r="B1524" s="647">
        <v>42615</v>
      </c>
      <c r="C1524">
        <v>64</v>
      </c>
      <c r="D1524">
        <v>64.2</v>
      </c>
      <c r="E1524">
        <v>63.1</v>
      </c>
      <c r="F1524">
        <v>63.3</v>
      </c>
      <c r="G1524" s="196">
        <f t="shared" si="24"/>
        <v>63.3</v>
      </c>
      <c r="H1524">
        <v>64064</v>
      </c>
      <c r="I1524">
        <v>4089870.4</v>
      </c>
    </row>
    <row r="1525" spans="1:9" customFormat="1" ht="14.4">
      <c r="A1525" t="s">
        <v>351</v>
      </c>
      <c r="B1525" s="647">
        <v>42618</v>
      </c>
      <c r="C1525">
        <v>64</v>
      </c>
      <c r="D1525">
        <v>64</v>
      </c>
      <c r="E1525">
        <v>63</v>
      </c>
      <c r="F1525">
        <v>63.7</v>
      </c>
      <c r="G1525" s="196">
        <f t="shared" si="24"/>
        <v>63.7</v>
      </c>
      <c r="H1525">
        <v>17778</v>
      </c>
      <c r="I1525">
        <v>1131833.3999999999</v>
      </c>
    </row>
    <row r="1526" spans="1:9" customFormat="1" ht="14.4">
      <c r="A1526" t="s">
        <v>351</v>
      </c>
      <c r="B1526" s="647">
        <v>42619</v>
      </c>
      <c r="C1526">
        <v>63</v>
      </c>
      <c r="D1526">
        <v>63.8</v>
      </c>
      <c r="E1526">
        <v>63</v>
      </c>
      <c r="F1526">
        <v>63.7</v>
      </c>
      <c r="G1526" s="196">
        <f t="shared" si="24"/>
        <v>63.7</v>
      </c>
      <c r="H1526">
        <v>15696</v>
      </c>
      <c r="I1526">
        <v>992735</v>
      </c>
    </row>
    <row r="1527" spans="1:9" customFormat="1" ht="14.4">
      <c r="A1527" t="s">
        <v>351</v>
      </c>
      <c r="B1527" s="647">
        <v>42620</v>
      </c>
      <c r="C1527">
        <v>63</v>
      </c>
      <c r="D1527">
        <v>63.8</v>
      </c>
      <c r="E1527">
        <v>62.5</v>
      </c>
      <c r="F1527">
        <v>63</v>
      </c>
      <c r="G1527" s="196">
        <f t="shared" si="24"/>
        <v>63</v>
      </c>
      <c r="H1527">
        <v>59487</v>
      </c>
      <c r="I1527">
        <v>3748060.9</v>
      </c>
    </row>
    <row r="1528" spans="1:9" customFormat="1" ht="14.4">
      <c r="A1528" t="s">
        <v>351</v>
      </c>
      <c r="B1528" s="647">
        <v>42621</v>
      </c>
      <c r="C1528">
        <v>63.5</v>
      </c>
      <c r="D1528">
        <v>63.7</v>
      </c>
      <c r="E1528">
        <v>62.5</v>
      </c>
      <c r="F1528">
        <v>63.2</v>
      </c>
      <c r="G1528" s="196">
        <f t="shared" si="24"/>
        <v>63.2</v>
      </c>
      <c r="H1528">
        <v>24191</v>
      </c>
      <c r="I1528">
        <v>1528147.5</v>
      </c>
    </row>
    <row r="1529" spans="1:9" customFormat="1" ht="14.4">
      <c r="A1529" t="s">
        <v>351</v>
      </c>
      <c r="B1529" s="647">
        <v>42622</v>
      </c>
      <c r="C1529">
        <v>62.6</v>
      </c>
      <c r="D1529">
        <v>63.4</v>
      </c>
      <c r="E1529">
        <v>62.5</v>
      </c>
      <c r="F1529">
        <v>62.6</v>
      </c>
      <c r="G1529" s="196">
        <f t="shared" si="24"/>
        <v>62.6</v>
      </c>
      <c r="H1529">
        <v>417712</v>
      </c>
      <c r="I1529">
        <v>26109778</v>
      </c>
    </row>
    <row r="1530" spans="1:9" customFormat="1" ht="14.4">
      <c r="A1530" t="s">
        <v>351</v>
      </c>
      <c r="B1530" s="647">
        <v>42626</v>
      </c>
      <c r="C1530">
        <v>62.6</v>
      </c>
      <c r="D1530">
        <v>63</v>
      </c>
      <c r="E1530">
        <v>62.1</v>
      </c>
      <c r="F1530">
        <v>62.6</v>
      </c>
      <c r="G1530" s="196">
        <f t="shared" si="24"/>
        <v>62.6</v>
      </c>
      <c r="H1530">
        <v>20225</v>
      </c>
      <c r="I1530">
        <v>1266802.7</v>
      </c>
    </row>
    <row r="1531" spans="1:9" customFormat="1" ht="14.4">
      <c r="A1531" t="s">
        <v>351</v>
      </c>
      <c r="B1531" s="647">
        <v>42627</v>
      </c>
      <c r="C1531">
        <v>63.5</v>
      </c>
      <c r="D1531">
        <v>63.5</v>
      </c>
      <c r="E1531">
        <v>62.1</v>
      </c>
      <c r="F1531">
        <v>62.9</v>
      </c>
      <c r="G1531" s="196">
        <f t="shared" si="24"/>
        <v>62.9</v>
      </c>
      <c r="H1531">
        <v>20466</v>
      </c>
      <c r="I1531">
        <v>1281200</v>
      </c>
    </row>
    <row r="1532" spans="1:9" customFormat="1" ht="14.4">
      <c r="A1532" t="s">
        <v>351</v>
      </c>
      <c r="B1532" s="647">
        <v>42628</v>
      </c>
      <c r="C1532">
        <v>63</v>
      </c>
      <c r="D1532">
        <v>63</v>
      </c>
      <c r="E1532">
        <v>62.3</v>
      </c>
      <c r="F1532">
        <v>62.7</v>
      </c>
      <c r="G1532" s="196">
        <f t="shared" si="24"/>
        <v>62.7</v>
      </c>
      <c r="H1532">
        <v>224035</v>
      </c>
      <c r="I1532">
        <v>14012416.4</v>
      </c>
    </row>
    <row r="1533" spans="1:9" customFormat="1" ht="14.4">
      <c r="A1533" t="s">
        <v>351</v>
      </c>
      <c r="B1533" s="647">
        <v>42632</v>
      </c>
      <c r="C1533">
        <v>63.5</v>
      </c>
      <c r="D1533">
        <v>63.5</v>
      </c>
      <c r="E1533">
        <v>62.5</v>
      </c>
      <c r="F1533">
        <v>62.5</v>
      </c>
      <c r="G1533" s="196">
        <f t="shared" si="24"/>
        <v>62.5</v>
      </c>
      <c r="H1533">
        <v>25987</v>
      </c>
      <c r="I1533">
        <v>1649672.5</v>
      </c>
    </row>
    <row r="1534" spans="1:9" customFormat="1" ht="14.4">
      <c r="A1534" t="s">
        <v>351</v>
      </c>
      <c r="B1534" s="647">
        <v>42633</v>
      </c>
      <c r="C1534">
        <v>62.4</v>
      </c>
      <c r="D1534">
        <v>62.5</v>
      </c>
      <c r="E1534">
        <v>62</v>
      </c>
      <c r="F1534">
        <v>62.5</v>
      </c>
      <c r="G1534" s="196">
        <f t="shared" si="24"/>
        <v>62.5</v>
      </c>
      <c r="H1534">
        <v>42960</v>
      </c>
      <c r="I1534">
        <v>2672269</v>
      </c>
    </row>
    <row r="1535" spans="1:9" customFormat="1" ht="14.4">
      <c r="A1535" t="s">
        <v>351</v>
      </c>
      <c r="B1535" s="647">
        <v>42634</v>
      </c>
      <c r="C1535">
        <v>62.5</v>
      </c>
      <c r="D1535">
        <v>64.2</v>
      </c>
      <c r="E1535">
        <v>61</v>
      </c>
      <c r="F1535">
        <v>64</v>
      </c>
      <c r="G1535" s="196">
        <f t="shared" si="24"/>
        <v>64</v>
      </c>
      <c r="H1535">
        <v>591433</v>
      </c>
      <c r="I1535">
        <v>37239090.399999999</v>
      </c>
    </row>
    <row r="1536" spans="1:9" customFormat="1" ht="14.4">
      <c r="A1536" t="s">
        <v>351</v>
      </c>
      <c r="B1536" s="647">
        <v>42635</v>
      </c>
      <c r="C1536">
        <v>63.9</v>
      </c>
      <c r="D1536">
        <v>63.9</v>
      </c>
      <c r="E1536">
        <v>63.5</v>
      </c>
      <c r="F1536">
        <v>63.5</v>
      </c>
      <c r="G1536" s="196">
        <f t="shared" si="24"/>
        <v>63.5</v>
      </c>
      <c r="H1536">
        <v>24094</v>
      </c>
      <c r="I1536">
        <v>1530343</v>
      </c>
    </row>
    <row r="1537" spans="1:9" customFormat="1" ht="14.4">
      <c r="A1537" t="s">
        <v>351</v>
      </c>
      <c r="B1537" s="647">
        <v>42636</v>
      </c>
      <c r="C1537">
        <v>64</v>
      </c>
      <c r="D1537">
        <v>64</v>
      </c>
      <c r="E1537">
        <v>63.5</v>
      </c>
      <c r="F1537">
        <v>63.5</v>
      </c>
      <c r="G1537" s="196">
        <f t="shared" si="24"/>
        <v>63.5</v>
      </c>
      <c r="H1537">
        <v>16743</v>
      </c>
      <c r="I1537">
        <v>1063243.6000000001</v>
      </c>
    </row>
    <row r="1538" spans="1:9" customFormat="1" ht="14.4">
      <c r="A1538" t="s">
        <v>351</v>
      </c>
      <c r="B1538" s="647">
        <v>42639</v>
      </c>
      <c r="C1538">
        <v>64</v>
      </c>
      <c r="D1538">
        <v>64</v>
      </c>
      <c r="E1538">
        <v>62</v>
      </c>
      <c r="F1538">
        <v>63</v>
      </c>
      <c r="G1538" s="196">
        <f t="shared" si="24"/>
        <v>63</v>
      </c>
      <c r="H1538">
        <v>6066</v>
      </c>
      <c r="I1538">
        <v>381649</v>
      </c>
    </row>
    <row r="1539" spans="1:9" customFormat="1" ht="14.4">
      <c r="A1539" t="s">
        <v>351</v>
      </c>
      <c r="B1539" s="647">
        <v>42640</v>
      </c>
      <c r="C1539">
        <v>62.1</v>
      </c>
      <c r="D1539">
        <v>63</v>
      </c>
      <c r="E1539">
        <v>62.1</v>
      </c>
      <c r="F1539">
        <v>63</v>
      </c>
      <c r="G1539" s="196">
        <f t="shared" si="24"/>
        <v>63</v>
      </c>
      <c r="H1539">
        <v>5370</v>
      </c>
      <c r="I1539">
        <v>337977</v>
      </c>
    </row>
    <row r="1540" spans="1:9" customFormat="1" ht="14.4">
      <c r="A1540" t="s">
        <v>351</v>
      </c>
      <c r="B1540" s="647">
        <v>42641</v>
      </c>
      <c r="C1540">
        <v>62.4</v>
      </c>
      <c r="D1540">
        <v>63.9</v>
      </c>
      <c r="E1540">
        <v>62.4</v>
      </c>
      <c r="F1540">
        <v>63.5</v>
      </c>
      <c r="G1540" s="196">
        <f t="shared" si="24"/>
        <v>63.5</v>
      </c>
      <c r="H1540">
        <v>14766</v>
      </c>
      <c r="I1540">
        <v>935824.3</v>
      </c>
    </row>
    <row r="1541" spans="1:9" customFormat="1" ht="14.4">
      <c r="A1541" t="s">
        <v>351</v>
      </c>
      <c r="B1541" s="647">
        <v>42642</v>
      </c>
      <c r="C1541">
        <v>63.1</v>
      </c>
      <c r="D1541">
        <v>64.8</v>
      </c>
      <c r="E1541">
        <v>63.1</v>
      </c>
      <c r="F1541">
        <v>64.5</v>
      </c>
      <c r="G1541" s="196">
        <f t="shared" si="24"/>
        <v>64.5</v>
      </c>
      <c r="H1541">
        <v>213858</v>
      </c>
      <c r="I1541">
        <v>13741319.4</v>
      </c>
    </row>
    <row r="1542" spans="1:9" customFormat="1" ht="14.4">
      <c r="A1542" t="s">
        <v>351</v>
      </c>
      <c r="B1542" s="647">
        <v>42643</v>
      </c>
      <c r="C1542">
        <v>64.7</v>
      </c>
      <c r="D1542">
        <v>65.599999999999994</v>
      </c>
      <c r="E1542">
        <v>64.5</v>
      </c>
      <c r="F1542">
        <v>64.7</v>
      </c>
      <c r="G1542" s="196">
        <f t="shared" si="24"/>
        <v>64.7</v>
      </c>
      <c r="H1542">
        <v>205460</v>
      </c>
      <c r="I1542">
        <v>13386294.5</v>
      </c>
    </row>
    <row r="1543" spans="1:9" customFormat="1" ht="14.4">
      <c r="A1543" t="s">
        <v>351</v>
      </c>
      <c r="B1543" s="647">
        <v>42646</v>
      </c>
      <c r="C1543">
        <v>64.5</v>
      </c>
      <c r="D1543">
        <v>65</v>
      </c>
      <c r="E1543">
        <v>64.400000000000006</v>
      </c>
      <c r="F1543">
        <v>65</v>
      </c>
      <c r="G1543" s="196">
        <f t="shared" si="24"/>
        <v>65</v>
      </c>
      <c r="H1543">
        <v>240505</v>
      </c>
      <c r="I1543">
        <v>15618184</v>
      </c>
    </row>
    <row r="1544" spans="1:9" customFormat="1" ht="14.4">
      <c r="A1544" t="s">
        <v>351</v>
      </c>
      <c r="B1544" s="647">
        <v>42647</v>
      </c>
      <c r="C1544">
        <v>65</v>
      </c>
      <c r="D1544">
        <v>65.5</v>
      </c>
      <c r="E1544">
        <v>65</v>
      </c>
      <c r="F1544">
        <v>65</v>
      </c>
      <c r="G1544" s="196">
        <f t="shared" si="24"/>
        <v>65</v>
      </c>
      <c r="H1544">
        <v>83004</v>
      </c>
      <c r="I1544">
        <v>5404785.9000000004</v>
      </c>
    </row>
    <row r="1545" spans="1:9" customFormat="1" ht="14.4">
      <c r="A1545" t="s">
        <v>351</v>
      </c>
      <c r="B1545" s="647">
        <v>42648</v>
      </c>
      <c r="C1545">
        <v>64.7</v>
      </c>
      <c r="D1545">
        <v>65.400000000000006</v>
      </c>
      <c r="E1545">
        <v>64.5</v>
      </c>
      <c r="F1545">
        <v>65</v>
      </c>
      <c r="G1545" s="196">
        <f t="shared" ref="G1545:G1608" si="25">F1545</f>
        <v>65</v>
      </c>
      <c r="H1545">
        <v>145150</v>
      </c>
      <c r="I1545">
        <v>9433471</v>
      </c>
    </row>
    <row r="1546" spans="1:9" customFormat="1" ht="14.4">
      <c r="A1546" t="s">
        <v>351</v>
      </c>
      <c r="B1546" s="647">
        <v>42649</v>
      </c>
      <c r="C1546">
        <v>65</v>
      </c>
      <c r="D1546">
        <v>65</v>
      </c>
      <c r="E1546">
        <v>64.2</v>
      </c>
      <c r="F1546">
        <v>64.400000000000006</v>
      </c>
      <c r="G1546" s="196">
        <f t="shared" si="25"/>
        <v>64.400000000000006</v>
      </c>
      <c r="H1546">
        <v>23478</v>
      </c>
      <c r="I1546">
        <v>1516927.3</v>
      </c>
    </row>
    <row r="1547" spans="1:9" customFormat="1" ht="14.4">
      <c r="A1547" t="s">
        <v>351</v>
      </c>
      <c r="B1547" s="647">
        <v>42650</v>
      </c>
      <c r="C1547">
        <v>64.3</v>
      </c>
      <c r="D1547">
        <v>64.3</v>
      </c>
      <c r="E1547">
        <v>64</v>
      </c>
      <c r="F1547">
        <v>64.3</v>
      </c>
      <c r="G1547" s="196">
        <f t="shared" si="25"/>
        <v>64.3</v>
      </c>
      <c r="H1547">
        <v>45251</v>
      </c>
      <c r="I1547">
        <v>2896267.3</v>
      </c>
    </row>
    <row r="1548" spans="1:9" customFormat="1" ht="14.4">
      <c r="A1548" t="s">
        <v>351</v>
      </c>
      <c r="B1548" s="647">
        <v>42653</v>
      </c>
      <c r="C1548">
        <v>64.3</v>
      </c>
      <c r="D1548">
        <v>64.3</v>
      </c>
      <c r="E1548">
        <v>63.6</v>
      </c>
      <c r="F1548">
        <v>63.6</v>
      </c>
      <c r="G1548" s="196">
        <f t="shared" si="25"/>
        <v>63.6</v>
      </c>
      <c r="H1548">
        <v>2821</v>
      </c>
      <c r="I1548">
        <v>180435.6</v>
      </c>
    </row>
    <row r="1549" spans="1:9" customFormat="1" ht="14.4">
      <c r="A1549" t="s">
        <v>351</v>
      </c>
      <c r="B1549" s="647">
        <v>42654</v>
      </c>
      <c r="C1549">
        <v>63.6</v>
      </c>
      <c r="D1549">
        <v>64</v>
      </c>
      <c r="E1549">
        <v>62.8</v>
      </c>
      <c r="F1549">
        <v>64</v>
      </c>
      <c r="G1549" s="196">
        <f t="shared" si="25"/>
        <v>64</v>
      </c>
      <c r="H1549">
        <v>50173</v>
      </c>
      <c r="I1549">
        <v>3204459.6</v>
      </c>
    </row>
    <row r="1550" spans="1:9" customFormat="1" ht="14.4">
      <c r="A1550" t="s">
        <v>351</v>
      </c>
      <c r="B1550" s="647">
        <v>42655</v>
      </c>
      <c r="C1550">
        <v>63.5</v>
      </c>
      <c r="D1550">
        <v>64</v>
      </c>
      <c r="E1550">
        <v>62.7</v>
      </c>
      <c r="F1550">
        <v>62.9</v>
      </c>
      <c r="G1550" s="196">
        <f t="shared" si="25"/>
        <v>62.9</v>
      </c>
      <c r="H1550">
        <v>16250</v>
      </c>
      <c r="I1550">
        <v>1023736.2</v>
      </c>
    </row>
    <row r="1551" spans="1:9" customFormat="1" ht="14.4">
      <c r="A1551" t="s">
        <v>351</v>
      </c>
      <c r="B1551" s="647">
        <v>42656</v>
      </c>
      <c r="C1551">
        <v>63.4</v>
      </c>
      <c r="D1551">
        <v>63.4</v>
      </c>
      <c r="E1551">
        <v>62.6</v>
      </c>
      <c r="F1551">
        <v>62.7</v>
      </c>
      <c r="G1551" s="196">
        <f t="shared" si="25"/>
        <v>62.7</v>
      </c>
      <c r="H1551">
        <v>16950</v>
      </c>
      <c r="I1551">
        <v>1066887.5</v>
      </c>
    </row>
    <row r="1552" spans="1:9" customFormat="1" ht="14.4">
      <c r="A1552" t="s">
        <v>351</v>
      </c>
      <c r="B1552" s="647">
        <v>42657</v>
      </c>
      <c r="C1552">
        <v>62.7</v>
      </c>
      <c r="D1552">
        <v>63.9</v>
      </c>
      <c r="E1552">
        <v>62.5</v>
      </c>
      <c r="F1552">
        <v>62.8</v>
      </c>
      <c r="G1552" s="196">
        <f t="shared" si="25"/>
        <v>62.8</v>
      </c>
      <c r="H1552">
        <v>12670</v>
      </c>
      <c r="I1552">
        <v>796614.5</v>
      </c>
    </row>
    <row r="1553" spans="1:9" customFormat="1" ht="14.4">
      <c r="A1553" t="s">
        <v>351</v>
      </c>
      <c r="B1553" s="647">
        <v>42660</v>
      </c>
      <c r="C1553">
        <v>64</v>
      </c>
      <c r="D1553">
        <v>64</v>
      </c>
      <c r="E1553">
        <v>62</v>
      </c>
      <c r="F1553">
        <v>63</v>
      </c>
      <c r="G1553" s="196">
        <f t="shared" si="25"/>
        <v>63</v>
      </c>
      <c r="H1553">
        <v>10979</v>
      </c>
      <c r="I1553">
        <v>683994.5</v>
      </c>
    </row>
    <row r="1554" spans="1:9" customFormat="1" ht="14.4">
      <c r="A1554" t="s">
        <v>351</v>
      </c>
      <c r="B1554" s="647">
        <v>42661</v>
      </c>
      <c r="C1554">
        <v>63.9</v>
      </c>
      <c r="D1554">
        <v>64</v>
      </c>
      <c r="E1554">
        <v>62.6</v>
      </c>
      <c r="F1554">
        <v>64</v>
      </c>
      <c r="G1554" s="196">
        <f t="shared" si="25"/>
        <v>64</v>
      </c>
      <c r="H1554">
        <v>200549</v>
      </c>
      <c r="I1554">
        <v>12832039.4</v>
      </c>
    </row>
    <row r="1555" spans="1:9" customFormat="1" ht="14.4">
      <c r="A1555" t="s">
        <v>351</v>
      </c>
      <c r="B1555" s="647">
        <v>42662</v>
      </c>
      <c r="C1555">
        <v>64</v>
      </c>
      <c r="D1555">
        <v>64</v>
      </c>
      <c r="E1555">
        <v>63</v>
      </c>
      <c r="F1555">
        <v>64</v>
      </c>
      <c r="G1555" s="196">
        <f t="shared" si="25"/>
        <v>64</v>
      </c>
      <c r="H1555">
        <v>408603</v>
      </c>
      <c r="I1555">
        <v>26150572.300000001</v>
      </c>
    </row>
    <row r="1556" spans="1:9" customFormat="1" ht="14.4">
      <c r="A1556" t="s">
        <v>351</v>
      </c>
      <c r="B1556" s="647">
        <v>42663</v>
      </c>
      <c r="C1556">
        <v>64</v>
      </c>
      <c r="D1556">
        <v>64</v>
      </c>
      <c r="E1556">
        <v>63.5</v>
      </c>
      <c r="F1556">
        <v>64</v>
      </c>
      <c r="G1556" s="196">
        <f t="shared" si="25"/>
        <v>64</v>
      </c>
      <c r="H1556">
        <v>702983</v>
      </c>
      <c r="I1556">
        <v>44986805.299999997</v>
      </c>
    </row>
    <row r="1557" spans="1:9" customFormat="1" ht="14.4">
      <c r="A1557" t="s">
        <v>351</v>
      </c>
      <c r="B1557" s="647">
        <v>42664</v>
      </c>
      <c r="C1557">
        <v>64</v>
      </c>
      <c r="D1557">
        <v>64</v>
      </c>
      <c r="E1557">
        <v>63.3</v>
      </c>
      <c r="F1557">
        <v>63.8</v>
      </c>
      <c r="G1557" s="196">
        <f t="shared" si="25"/>
        <v>63.8</v>
      </c>
      <c r="H1557">
        <v>12169</v>
      </c>
      <c r="I1557">
        <v>774684.2</v>
      </c>
    </row>
    <row r="1558" spans="1:9" customFormat="1" ht="14.4">
      <c r="A1558" t="s">
        <v>351</v>
      </c>
      <c r="B1558" s="647">
        <v>42667</v>
      </c>
      <c r="C1558">
        <v>63.2</v>
      </c>
      <c r="D1558">
        <v>63.9</v>
      </c>
      <c r="E1558">
        <v>63.2</v>
      </c>
      <c r="F1558">
        <v>63.8</v>
      </c>
      <c r="G1558" s="196">
        <f t="shared" si="25"/>
        <v>63.8</v>
      </c>
      <c r="H1558">
        <v>1014</v>
      </c>
      <c r="I1558">
        <v>64721.8</v>
      </c>
    </row>
    <row r="1559" spans="1:9" customFormat="1" ht="14.4">
      <c r="A1559" t="s">
        <v>351</v>
      </c>
      <c r="B1559" s="647">
        <v>42668</v>
      </c>
      <c r="C1559">
        <v>63.2</v>
      </c>
      <c r="D1559">
        <v>63.8</v>
      </c>
      <c r="E1559">
        <v>63</v>
      </c>
      <c r="F1559">
        <v>63.7</v>
      </c>
      <c r="G1559" s="196">
        <f t="shared" si="25"/>
        <v>63.7</v>
      </c>
      <c r="H1559">
        <v>4176</v>
      </c>
      <c r="I1559">
        <v>264728</v>
      </c>
    </row>
    <row r="1560" spans="1:9" customFormat="1" ht="14.4">
      <c r="A1560" t="s">
        <v>351</v>
      </c>
      <c r="B1560" s="647">
        <v>42669</v>
      </c>
      <c r="C1560">
        <v>63</v>
      </c>
      <c r="D1560">
        <v>63.4</v>
      </c>
      <c r="E1560">
        <v>63</v>
      </c>
      <c r="F1560">
        <v>63.4</v>
      </c>
      <c r="G1560" s="196">
        <f t="shared" si="25"/>
        <v>63.4</v>
      </c>
      <c r="H1560">
        <v>785</v>
      </c>
      <c r="I1560">
        <v>49675</v>
      </c>
    </row>
    <row r="1561" spans="1:9" customFormat="1" ht="14.4">
      <c r="A1561" t="s">
        <v>351</v>
      </c>
      <c r="B1561" s="647">
        <v>42670</v>
      </c>
      <c r="C1561">
        <v>63</v>
      </c>
      <c r="D1561">
        <v>63</v>
      </c>
      <c r="E1561">
        <v>62.9</v>
      </c>
      <c r="F1561">
        <v>63</v>
      </c>
      <c r="G1561" s="196">
        <f t="shared" si="25"/>
        <v>63</v>
      </c>
      <c r="H1561">
        <v>305</v>
      </c>
      <c r="I1561">
        <v>19212.5</v>
      </c>
    </row>
    <row r="1562" spans="1:9" customFormat="1" ht="14.4">
      <c r="A1562" t="s">
        <v>351</v>
      </c>
      <c r="B1562" s="647">
        <v>42671</v>
      </c>
      <c r="C1562">
        <v>62.9</v>
      </c>
      <c r="D1562">
        <v>62.9</v>
      </c>
      <c r="E1562">
        <v>62.9</v>
      </c>
      <c r="F1562">
        <v>63.3</v>
      </c>
      <c r="G1562" s="196">
        <f t="shared" si="25"/>
        <v>63.3</v>
      </c>
      <c r="H1562">
        <v>2281</v>
      </c>
      <c r="I1562">
        <v>144080.4</v>
      </c>
    </row>
    <row r="1563" spans="1:9" customFormat="1" ht="14.4">
      <c r="A1563" t="s">
        <v>351</v>
      </c>
      <c r="B1563" s="647">
        <v>42674</v>
      </c>
      <c r="C1563">
        <v>62</v>
      </c>
      <c r="D1563">
        <v>63</v>
      </c>
      <c r="E1563">
        <v>62</v>
      </c>
      <c r="F1563">
        <v>63</v>
      </c>
      <c r="G1563" s="196">
        <f t="shared" si="25"/>
        <v>63</v>
      </c>
      <c r="H1563">
        <v>6141</v>
      </c>
      <c r="I1563">
        <v>386891.6</v>
      </c>
    </row>
    <row r="1564" spans="1:9" customFormat="1" ht="14.4">
      <c r="A1564" t="s">
        <v>351</v>
      </c>
      <c r="B1564" s="647">
        <v>42675</v>
      </c>
      <c r="C1564">
        <v>62.4</v>
      </c>
      <c r="D1564">
        <v>63</v>
      </c>
      <c r="E1564">
        <v>62.4</v>
      </c>
      <c r="F1564">
        <v>62.9</v>
      </c>
      <c r="G1564" s="196">
        <f t="shared" si="25"/>
        <v>62.9</v>
      </c>
      <c r="H1564">
        <v>600</v>
      </c>
      <c r="I1564">
        <v>37740</v>
      </c>
    </row>
    <row r="1565" spans="1:9" customFormat="1" ht="14.4">
      <c r="A1565" t="s">
        <v>351</v>
      </c>
      <c r="B1565" s="647">
        <v>42676</v>
      </c>
      <c r="C1565" t="e">
        <v>#VALUE!</v>
      </c>
      <c r="D1565" t="e">
        <v>#VALUE!</v>
      </c>
      <c r="E1565" t="e">
        <v>#VALUE!</v>
      </c>
      <c r="F1565">
        <v>62.2</v>
      </c>
      <c r="G1565" s="196">
        <f t="shared" si="25"/>
        <v>62.2</v>
      </c>
      <c r="H1565">
        <v>616067</v>
      </c>
      <c r="I1565">
        <v>38200346.600000001</v>
      </c>
    </row>
    <row r="1566" spans="1:9" customFormat="1" ht="14.4">
      <c r="A1566" t="s">
        <v>351</v>
      </c>
      <c r="B1566" s="647">
        <v>42677</v>
      </c>
      <c r="C1566">
        <v>63.5</v>
      </c>
      <c r="D1566">
        <v>63.5</v>
      </c>
      <c r="E1566">
        <v>63</v>
      </c>
      <c r="F1566">
        <v>63.1</v>
      </c>
      <c r="G1566" s="196">
        <f t="shared" si="25"/>
        <v>63.1</v>
      </c>
      <c r="H1566">
        <v>320</v>
      </c>
      <c r="I1566">
        <v>20195.5</v>
      </c>
    </row>
    <row r="1567" spans="1:9" customFormat="1" ht="14.4">
      <c r="A1567" t="s">
        <v>351</v>
      </c>
      <c r="B1567" s="647">
        <v>42678</v>
      </c>
      <c r="C1567">
        <v>63.4</v>
      </c>
      <c r="D1567">
        <v>63.4</v>
      </c>
      <c r="E1567">
        <v>63.4</v>
      </c>
      <c r="F1567">
        <v>63.1</v>
      </c>
      <c r="G1567" s="196">
        <f t="shared" si="25"/>
        <v>63.1</v>
      </c>
      <c r="H1567">
        <v>10</v>
      </c>
      <c r="I1567">
        <v>634</v>
      </c>
    </row>
    <row r="1568" spans="1:9" customFormat="1" ht="14.4">
      <c r="A1568" t="s">
        <v>351</v>
      </c>
      <c r="B1568" s="647">
        <v>42681</v>
      </c>
      <c r="C1568">
        <v>63</v>
      </c>
      <c r="D1568">
        <v>63</v>
      </c>
      <c r="E1568">
        <v>62.7</v>
      </c>
      <c r="F1568">
        <v>62.6</v>
      </c>
      <c r="G1568" s="196">
        <f t="shared" si="25"/>
        <v>62.6</v>
      </c>
      <c r="H1568">
        <v>7996</v>
      </c>
      <c r="I1568">
        <v>501185.3</v>
      </c>
    </row>
    <row r="1569" spans="1:9" customFormat="1" ht="14.4">
      <c r="A1569" t="s">
        <v>351</v>
      </c>
      <c r="B1569" s="647">
        <v>42682</v>
      </c>
      <c r="C1569" t="e">
        <v>#VALUE!</v>
      </c>
      <c r="D1569" t="e">
        <v>#VALUE!</v>
      </c>
      <c r="E1569" t="e">
        <v>#VALUE!</v>
      </c>
      <c r="F1569">
        <v>62.6</v>
      </c>
      <c r="G1569" s="196">
        <f t="shared" si="25"/>
        <v>62.6</v>
      </c>
      <c r="H1569">
        <v>0</v>
      </c>
      <c r="I1569">
        <v>0</v>
      </c>
    </row>
    <row r="1570" spans="1:9" customFormat="1" ht="14.4">
      <c r="A1570" t="s">
        <v>351</v>
      </c>
      <c r="B1570" s="647">
        <v>42683</v>
      </c>
      <c r="C1570">
        <v>63.4</v>
      </c>
      <c r="D1570" t="e">
        <v>#VALUE!</v>
      </c>
      <c r="E1570">
        <v>62</v>
      </c>
      <c r="F1570">
        <v>62</v>
      </c>
      <c r="G1570" s="196">
        <f t="shared" si="25"/>
        <v>62</v>
      </c>
      <c r="H1570">
        <v>1981</v>
      </c>
      <c r="I1570">
        <v>123221</v>
      </c>
    </row>
    <row r="1571" spans="1:9" customFormat="1" ht="14.4">
      <c r="A1571" t="s">
        <v>351</v>
      </c>
      <c r="B1571" s="647">
        <v>42684</v>
      </c>
      <c r="C1571">
        <v>62</v>
      </c>
      <c r="D1571">
        <v>63.3</v>
      </c>
      <c r="E1571">
        <v>62</v>
      </c>
      <c r="F1571">
        <v>62</v>
      </c>
      <c r="G1571" s="196">
        <f t="shared" si="25"/>
        <v>62</v>
      </c>
      <c r="H1571">
        <v>1202</v>
      </c>
      <c r="I1571">
        <v>74591.600000000006</v>
      </c>
    </row>
    <row r="1572" spans="1:9" customFormat="1" ht="14.4">
      <c r="A1572" t="s">
        <v>351</v>
      </c>
      <c r="B1572" s="647">
        <v>42685</v>
      </c>
      <c r="C1572" t="e">
        <v>#VALUE!</v>
      </c>
      <c r="D1572" t="e">
        <v>#VALUE!</v>
      </c>
      <c r="E1572" t="e">
        <v>#VALUE!</v>
      </c>
      <c r="F1572">
        <v>62</v>
      </c>
      <c r="G1572" s="196">
        <f t="shared" si="25"/>
        <v>62</v>
      </c>
      <c r="H1572">
        <v>0</v>
      </c>
      <c r="I1572">
        <v>0</v>
      </c>
    </row>
    <row r="1573" spans="1:9" customFormat="1" ht="14.4">
      <c r="A1573" t="s">
        <v>351</v>
      </c>
      <c r="B1573" s="647">
        <v>42689</v>
      </c>
      <c r="C1573">
        <v>62</v>
      </c>
      <c r="D1573">
        <v>63</v>
      </c>
      <c r="E1573">
        <v>62</v>
      </c>
      <c r="F1573">
        <v>61.5</v>
      </c>
      <c r="G1573" s="196">
        <f t="shared" si="25"/>
        <v>61.5</v>
      </c>
      <c r="H1573">
        <v>1062</v>
      </c>
      <c r="I1573">
        <v>195018.5</v>
      </c>
    </row>
    <row r="1574" spans="1:9" customFormat="1" ht="14.4">
      <c r="A1574" t="s">
        <v>351</v>
      </c>
      <c r="B1574" s="647">
        <v>42690</v>
      </c>
      <c r="C1574">
        <v>63</v>
      </c>
      <c r="D1574" t="e">
        <v>#VALUE!</v>
      </c>
      <c r="E1574">
        <v>63</v>
      </c>
      <c r="F1574">
        <v>62</v>
      </c>
      <c r="G1574" s="196">
        <f t="shared" si="25"/>
        <v>62</v>
      </c>
      <c r="H1574">
        <v>91616</v>
      </c>
      <c r="I1574">
        <v>5681291.7000000002</v>
      </c>
    </row>
    <row r="1575" spans="1:9" customFormat="1" ht="14.4">
      <c r="A1575" t="s">
        <v>351</v>
      </c>
      <c r="B1575" s="647">
        <v>42691</v>
      </c>
      <c r="C1575">
        <v>62.5</v>
      </c>
      <c r="D1575">
        <v>62.5</v>
      </c>
      <c r="E1575">
        <v>61</v>
      </c>
      <c r="F1575">
        <v>61.2</v>
      </c>
      <c r="G1575" s="196">
        <f t="shared" si="25"/>
        <v>61.2</v>
      </c>
      <c r="H1575">
        <v>14322</v>
      </c>
      <c r="I1575">
        <v>877281</v>
      </c>
    </row>
    <row r="1576" spans="1:9" customFormat="1" ht="14.4">
      <c r="A1576" t="s">
        <v>351</v>
      </c>
      <c r="B1576" s="647">
        <v>42692</v>
      </c>
      <c r="C1576">
        <v>62</v>
      </c>
      <c r="D1576">
        <v>62.5</v>
      </c>
      <c r="E1576">
        <v>61.2</v>
      </c>
      <c r="F1576">
        <v>61.6</v>
      </c>
      <c r="G1576" s="196">
        <f t="shared" si="25"/>
        <v>61.6</v>
      </c>
      <c r="H1576">
        <v>10653</v>
      </c>
      <c r="I1576">
        <v>834237.2</v>
      </c>
    </row>
    <row r="1577" spans="1:9" customFormat="1" ht="14.4">
      <c r="A1577" t="s">
        <v>351</v>
      </c>
      <c r="B1577" s="647">
        <v>42695</v>
      </c>
      <c r="C1577">
        <v>61</v>
      </c>
      <c r="D1577" t="e">
        <v>#VALUE!</v>
      </c>
      <c r="E1577" t="e">
        <v>#VALUE!</v>
      </c>
      <c r="F1577">
        <v>61</v>
      </c>
      <c r="G1577" s="196">
        <f t="shared" si="25"/>
        <v>61</v>
      </c>
      <c r="H1577">
        <v>41003</v>
      </c>
      <c r="I1577">
        <v>2501183</v>
      </c>
    </row>
    <row r="1578" spans="1:9" customFormat="1" ht="14.4">
      <c r="A1578" t="s">
        <v>351</v>
      </c>
      <c r="B1578" s="647">
        <v>42696</v>
      </c>
      <c r="C1578">
        <v>60.5</v>
      </c>
      <c r="D1578">
        <v>60.5</v>
      </c>
      <c r="E1578">
        <v>60.1</v>
      </c>
      <c r="F1578">
        <v>59.3</v>
      </c>
      <c r="G1578" s="196">
        <f t="shared" si="25"/>
        <v>59.3</v>
      </c>
      <c r="H1578">
        <v>125037</v>
      </c>
      <c r="I1578">
        <v>7498612.5</v>
      </c>
    </row>
    <row r="1579" spans="1:9" customFormat="1" ht="14.4">
      <c r="A1579" t="s">
        <v>351</v>
      </c>
      <c r="B1579" s="647">
        <v>42697</v>
      </c>
      <c r="C1579" t="e">
        <v>#VALUE!</v>
      </c>
      <c r="D1579" t="e">
        <v>#VALUE!</v>
      </c>
      <c r="E1579" t="e">
        <v>#VALUE!</v>
      </c>
      <c r="F1579">
        <v>59.6</v>
      </c>
      <c r="G1579" s="196">
        <f t="shared" si="25"/>
        <v>59.6</v>
      </c>
      <c r="H1579">
        <v>307406</v>
      </c>
      <c r="I1579">
        <v>18441315.899999999</v>
      </c>
    </row>
    <row r="1580" spans="1:9" customFormat="1" ht="14.4">
      <c r="A1580" t="s">
        <v>351</v>
      </c>
      <c r="B1580" s="647">
        <v>42698</v>
      </c>
      <c r="C1580">
        <v>60</v>
      </c>
      <c r="D1580">
        <v>60</v>
      </c>
      <c r="E1580">
        <v>59.8</v>
      </c>
      <c r="F1580">
        <v>60</v>
      </c>
      <c r="G1580" s="196">
        <f t="shared" si="25"/>
        <v>60</v>
      </c>
      <c r="H1580">
        <v>14176</v>
      </c>
      <c r="I1580">
        <v>849927.1</v>
      </c>
    </row>
    <row r="1581" spans="1:9" customFormat="1" ht="14.4">
      <c r="A1581" t="s">
        <v>351</v>
      </c>
      <c r="B1581" s="647">
        <v>42699</v>
      </c>
      <c r="C1581">
        <v>60</v>
      </c>
      <c r="D1581">
        <v>61</v>
      </c>
      <c r="E1581">
        <v>60</v>
      </c>
      <c r="F1581">
        <v>60</v>
      </c>
      <c r="G1581" s="196">
        <f t="shared" si="25"/>
        <v>60</v>
      </c>
      <c r="H1581">
        <v>6553</v>
      </c>
      <c r="I1581">
        <v>393730</v>
      </c>
    </row>
    <row r="1582" spans="1:9" customFormat="1" ht="14.4">
      <c r="A1582" t="s">
        <v>351</v>
      </c>
      <c r="B1582" s="647">
        <v>42702</v>
      </c>
      <c r="C1582">
        <v>60</v>
      </c>
      <c r="D1582">
        <v>60</v>
      </c>
      <c r="E1582">
        <v>60</v>
      </c>
      <c r="F1582">
        <v>60</v>
      </c>
      <c r="G1582" s="196">
        <f t="shared" si="25"/>
        <v>60</v>
      </c>
      <c r="H1582">
        <v>10000</v>
      </c>
      <c r="I1582">
        <v>600000</v>
      </c>
    </row>
    <row r="1583" spans="1:9" customFormat="1" ht="14.4">
      <c r="A1583" t="s">
        <v>351</v>
      </c>
      <c r="B1583" s="647">
        <v>42703</v>
      </c>
      <c r="C1583" t="e">
        <v>#VALUE!</v>
      </c>
      <c r="D1583">
        <v>60.1</v>
      </c>
      <c r="E1583" t="e">
        <v>#VALUE!</v>
      </c>
      <c r="F1583">
        <v>60</v>
      </c>
      <c r="G1583" s="196">
        <f t="shared" si="25"/>
        <v>60</v>
      </c>
      <c r="H1583">
        <v>50600</v>
      </c>
      <c r="I1583">
        <v>3036050</v>
      </c>
    </row>
    <row r="1584" spans="1:9" customFormat="1" ht="14.4">
      <c r="A1584" t="s">
        <v>351</v>
      </c>
      <c r="B1584" s="647">
        <v>42704</v>
      </c>
      <c r="C1584">
        <v>60</v>
      </c>
      <c r="D1584">
        <v>61.8</v>
      </c>
      <c r="E1584">
        <v>60</v>
      </c>
      <c r="F1584">
        <v>59.6</v>
      </c>
      <c r="G1584" s="196">
        <f t="shared" si="25"/>
        <v>59.6</v>
      </c>
      <c r="H1584">
        <v>29469</v>
      </c>
      <c r="I1584">
        <v>1771439.7</v>
      </c>
    </row>
    <row r="1585" spans="1:9" customFormat="1" ht="14.4">
      <c r="A1585" t="s">
        <v>351</v>
      </c>
      <c r="B1585" s="647">
        <v>42705</v>
      </c>
      <c r="C1585" t="e">
        <v>#VALUE!</v>
      </c>
      <c r="D1585">
        <v>61.9</v>
      </c>
      <c r="E1585" t="e">
        <v>#VALUE!</v>
      </c>
      <c r="F1585">
        <v>61.9</v>
      </c>
      <c r="G1585" s="196">
        <f t="shared" si="25"/>
        <v>61.9</v>
      </c>
      <c r="H1585">
        <v>37648</v>
      </c>
      <c r="I1585">
        <v>2294078</v>
      </c>
    </row>
    <row r="1586" spans="1:9" customFormat="1" ht="14.4">
      <c r="A1586" t="s">
        <v>351</v>
      </c>
      <c r="B1586" s="647">
        <v>42706</v>
      </c>
      <c r="C1586">
        <v>61.9</v>
      </c>
      <c r="D1586" t="e">
        <v>#VALUE!</v>
      </c>
      <c r="E1586">
        <v>60.3</v>
      </c>
      <c r="F1586">
        <v>60.3</v>
      </c>
      <c r="G1586" s="196">
        <f t="shared" si="25"/>
        <v>60.3</v>
      </c>
      <c r="H1586">
        <v>3058</v>
      </c>
      <c r="I1586">
        <v>184613.2</v>
      </c>
    </row>
    <row r="1587" spans="1:9" customFormat="1" ht="14.4">
      <c r="A1587" t="s">
        <v>351</v>
      </c>
      <c r="B1587" s="647">
        <v>42709</v>
      </c>
      <c r="C1587">
        <v>61.5</v>
      </c>
      <c r="D1587" t="e">
        <v>#VALUE!</v>
      </c>
      <c r="E1587">
        <v>61.4</v>
      </c>
      <c r="F1587">
        <v>61.5</v>
      </c>
      <c r="G1587" s="196">
        <f t="shared" si="25"/>
        <v>61.5</v>
      </c>
      <c r="H1587">
        <v>1160</v>
      </c>
      <c r="I1587">
        <v>71334</v>
      </c>
    </row>
    <row r="1588" spans="1:9" customFormat="1" ht="14.4">
      <c r="A1588" t="s">
        <v>351</v>
      </c>
      <c r="B1588" s="647">
        <v>42710</v>
      </c>
      <c r="C1588">
        <v>61.3</v>
      </c>
      <c r="D1588">
        <v>61.3</v>
      </c>
      <c r="E1588">
        <v>60.5</v>
      </c>
      <c r="F1588">
        <v>60.9</v>
      </c>
      <c r="G1588" s="196">
        <f t="shared" si="25"/>
        <v>60.9</v>
      </c>
      <c r="H1588">
        <v>2170</v>
      </c>
      <c r="I1588">
        <v>131940</v>
      </c>
    </row>
    <row r="1589" spans="1:9" customFormat="1" ht="14.4">
      <c r="A1589" t="s">
        <v>351</v>
      </c>
      <c r="B1589" s="647">
        <v>42711</v>
      </c>
      <c r="C1589">
        <v>60.9</v>
      </c>
      <c r="D1589" t="e">
        <v>#VALUE!</v>
      </c>
      <c r="E1589">
        <v>59.9</v>
      </c>
      <c r="F1589">
        <v>60</v>
      </c>
      <c r="G1589" s="196">
        <f t="shared" si="25"/>
        <v>60</v>
      </c>
      <c r="H1589">
        <v>116778</v>
      </c>
      <c r="I1589">
        <v>7007953.4000000004</v>
      </c>
    </row>
    <row r="1590" spans="1:9" customFormat="1" ht="14.4">
      <c r="A1590" t="s">
        <v>351</v>
      </c>
      <c r="B1590" s="647">
        <v>42712</v>
      </c>
      <c r="C1590">
        <v>60</v>
      </c>
      <c r="D1590">
        <v>60.6</v>
      </c>
      <c r="E1590">
        <v>59.5</v>
      </c>
      <c r="F1590">
        <v>60</v>
      </c>
      <c r="G1590" s="196">
        <f t="shared" si="25"/>
        <v>60</v>
      </c>
      <c r="H1590">
        <v>44322</v>
      </c>
      <c r="I1590">
        <v>2659079</v>
      </c>
    </row>
    <row r="1591" spans="1:9" customFormat="1" ht="14.4">
      <c r="A1591" t="s">
        <v>351</v>
      </c>
      <c r="B1591" s="647">
        <v>42713</v>
      </c>
      <c r="C1591">
        <v>60</v>
      </c>
      <c r="D1591">
        <v>60</v>
      </c>
      <c r="E1591">
        <v>59.6</v>
      </c>
      <c r="F1591">
        <v>59.9</v>
      </c>
      <c r="G1591" s="196">
        <f t="shared" si="25"/>
        <v>59.9</v>
      </c>
      <c r="H1591">
        <v>714</v>
      </c>
      <c r="I1591">
        <v>42804</v>
      </c>
    </row>
    <row r="1592" spans="1:9" customFormat="1" ht="14.4">
      <c r="A1592" t="s">
        <v>351</v>
      </c>
      <c r="B1592" s="647">
        <v>42718</v>
      </c>
      <c r="C1592">
        <v>59.5</v>
      </c>
      <c r="D1592">
        <v>59.6</v>
      </c>
      <c r="E1592">
        <v>59.5</v>
      </c>
      <c r="F1592">
        <v>59.6</v>
      </c>
      <c r="G1592" s="196">
        <f t="shared" si="25"/>
        <v>59.6</v>
      </c>
      <c r="H1592">
        <v>40105</v>
      </c>
      <c r="I1592">
        <v>2390247.5</v>
      </c>
    </row>
    <row r="1593" spans="1:9" customFormat="1" ht="14.4">
      <c r="A1593" t="s">
        <v>351</v>
      </c>
      <c r="B1593" s="647">
        <v>42719</v>
      </c>
      <c r="C1593">
        <v>60</v>
      </c>
      <c r="D1593">
        <v>60</v>
      </c>
      <c r="E1593">
        <v>60</v>
      </c>
      <c r="F1593">
        <v>60</v>
      </c>
      <c r="G1593" s="196">
        <f t="shared" si="25"/>
        <v>60</v>
      </c>
      <c r="H1593">
        <v>200000</v>
      </c>
      <c r="I1593">
        <v>12000000</v>
      </c>
    </row>
    <row r="1594" spans="1:9" customFormat="1" ht="14.4">
      <c r="A1594" t="s">
        <v>351</v>
      </c>
      <c r="B1594" s="647">
        <v>42720</v>
      </c>
      <c r="C1594">
        <v>59.3</v>
      </c>
      <c r="D1594">
        <v>60</v>
      </c>
      <c r="E1594">
        <v>59.3</v>
      </c>
      <c r="F1594">
        <v>59.4</v>
      </c>
      <c r="G1594" s="196">
        <f t="shared" si="25"/>
        <v>59.4</v>
      </c>
      <c r="H1594">
        <v>215</v>
      </c>
      <c r="I1594">
        <v>12764.2</v>
      </c>
    </row>
    <row r="1595" spans="1:9" customFormat="1" ht="14.4">
      <c r="A1595" t="s">
        <v>351</v>
      </c>
      <c r="B1595" s="647">
        <v>42723</v>
      </c>
      <c r="C1595">
        <v>60.8</v>
      </c>
      <c r="D1595">
        <v>61</v>
      </c>
      <c r="E1595">
        <v>59.5</v>
      </c>
      <c r="F1595">
        <v>59.9</v>
      </c>
      <c r="G1595" s="196">
        <f t="shared" si="25"/>
        <v>59.9</v>
      </c>
      <c r="H1595">
        <v>1101</v>
      </c>
      <c r="I1595">
        <v>66089</v>
      </c>
    </row>
    <row r="1596" spans="1:9" customFormat="1" ht="14.4">
      <c r="A1596" t="s">
        <v>351</v>
      </c>
      <c r="B1596" s="647">
        <v>42724</v>
      </c>
      <c r="C1596">
        <v>59.7</v>
      </c>
      <c r="D1596">
        <v>61</v>
      </c>
      <c r="E1596">
        <v>59.7</v>
      </c>
      <c r="F1596">
        <v>59.8</v>
      </c>
      <c r="G1596" s="196">
        <f t="shared" si="25"/>
        <v>59.8</v>
      </c>
      <c r="H1596">
        <v>551</v>
      </c>
      <c r="I1596">
        <v>32961</v>
      </c>
    </row>
    <row r="1597" spans="1:9" customFormat="1" ht="14.4">
      <c r="A1597" t="s">
        <v>351</v>
      </c>
      <c r="B1597" s="647">
        <v>42725</v>
      </c>
      <c r="C1597">
        <v>59.6</v>
      </c>
      <c r="D1597">
        <v>61</v>
      </c>
      <c r="E1597">
        <v>59.6</v>
      </c>
      <c r="F1597">
        <v>60</v>
      </c>
      <c r="G1597" s="196">
        <f t="shared" si="25"/>
        <v>60</v>
      </c>
      <c r="H1597">
        <v>10708</v>
      </c>
      <c r="I1597">
        <v>642339.6</v>
      </c>
    </row>
    <row r="1598" spans="1:9" customFormat="1" ht="14.4">
      <c r="A1598" t="s">
        <v>351</v>
      </c>
      <c r="B1598" s="647">
        <v>42726</v>
      </c>
      <c r="C1598">
        <v>60</v>
      </c>
      <c r="D1598">
        <v>60</v>
      </c>
      <c r="E1598">
        <v>60</v>
      </c>
      <c r="F1598">
        <v>60</v>
      </c>
      <c r="G1598" s="196">
        <f t="shared" si="25"/>
        <v>60</v>
      </c>
      <c r="H1598">
        <v>1800</v>
      </c>
      <c r="I1598">
        <v>108000</v>
      </c>
    </row>
    <row r="1599" spans="1:9" customFormat="1" ht="14.4">
      <c r="A1599" t="s">
        <v>351</v>
      </c>
      <c r="B1599" s="647">
        <v>42727</v>
      </c>
      <c r="C1599">
        <v>59.8</v>
      </c>
      <c r="D1599">
        <v>60.5</v>
      </c>
      <c r="E1599">
        <v>59.8</v>
      </c>
      <c r="F1599">
        <v>59.8</v>
      </c>
      <c r="G1599" s="196">
        <f t="shared" si="25"/>
        <v>59.8</v>
      </c>
      <c r="H1599">
        <v>1030</v>
      </c>
      <c r="I1599">
        <v>61601</v>
      </c>
    </row>
    <row r="1600" spans="1:9" customFormat="1" ht="14.4">
      <c r="A1600" t="s">
        <v>351</v>
      </c>
      <c r="B1600" s="647">
        <v>42731</v>
      </c>
      <c r="C1600">
        <v>60.4</v>
      </c>
      <c r="D1600">
        <v>60.4</v>
      </c>
      <c r="E1600">
        <v>59.8</v>
      </c>
      <c r="F1600">
        <v>59.8</v>
      </c>
      <c r="G1600" s="196">
        <f t="shared" si="25"/>
        <v>59.8</v>
      </c>
      <c r="H1600">
        <v>2304</v>
      </c>
      <c r="I1600">
        <v>137859.79999999999</v>
      </c>
    </row>
    <row r="1601" spans="1:9" customFormat="1" ht="14.4">
      <c r="A1601" t="s">
        <v>351</v>
      </c>
      <c r="B1601" s="647">
        <v>42732</v>
      </c>
      <c r="C1601">
        <v>61</v>
      </c>
      <c r="D1601">
        <v>61</v>
      </c>
      <c r="E1601">
        <v>60.6</v>
      </c>
      <c r="F1601">
        <v>60.7</v>
      </c>
      <c r="G1601" s="196">
        <f t="shared" si="25"/>
        <v>60.7</v>
      </c>
      <c r="H1601">
        <v>466</v>
      </c>
      <c r="I1601">
        <v>28266</v>
      </c>
    </row>
    <row r="1602" spans="1:9" customFormat="1" ht="14.4">
      <c r="A1602" t="s">
        <v>351</v>
      </c>
      <c r="B1602" s="647">
        <v>42733</v>
      </c>
      <c r="C1602">
        <v>61.5</v>
      </c>
      <c r="D1602">
        <v>61.5</v>
      </c>
      <c r="E1602">
        <v>61.5</v>
      </c>
      <c r="F1602">
        <v>61.5</v>
      </c>
      <c r="G1602" s="196">
        <f t="shared" si="25"/>
        <v>61.5</v>
      </c>
      <c r="H1602">
        <v>200</v>
      </c>
      <c r="I1602">
        <v>12300</v>
      </c>
    </row>
    <row r="1603" spans="1:9" customFormat="1" ht="14.4">
      <c r="A1603" t="s">
        <v>351</v>
      </c>
      <c r="B1603" s="647">
        <v>42734</v>
      </c>
      <c r="C1603">
        <v>60.6</v>
      </c>
      <c r="D1603">
        <v>61.5</v>
      </c>
      <c r="E1603">
        <v>60.5</v>
      </c>
      <c r="F1603">
        <v>60.5</v>
      </c>
      <c r="G1603" s="196">
        <f t="shared" si="25"/>
        <v>60.5</v>
      </c>
      <c r="H1603">
        <v>9600</v>
      </c>
      <c r="I1603">
        <v>580930</v>
      </c>
    </row>
    <row r="1604" spans="1:9" customFormat="1" ht="14.4">
      <c r="A1604" t="s">
        <v>351</v>
      </c>
      <c r="B1604" s="647">
        <v>42737</v>
      </c>
      <c r="C1604">
        <v>60.5</v>
      </c>
      <c r="D1604">
        <v>61.5</v>
      </c>
      <c r="E1604">
        <v>60.5</v>
      </c>
      <c r="F1604">
        <v>60.5</v>
      </c>
      <c r="G1604" s="196">
        <f t="shared" si="25"/>
        <v>60.5</v>
      </c>
      <c r="H1604">
        <v>820</v>
      </c>
      <c r="I1604">
        <v>49620</v>
      </c>
    </row>
    <row r="1605" spans="1:9" customFormat="1" ht="14.4">
      <c r="A1605" t="s">
        <v>351</v>
      </c>
      <c r="B1605" s="647">
        <v>42738</v>
      </c>
      <c r="C1605">
        <v>60.1</v>
      </c>
      <c r="D1605">
        <v>60.2</v>
      </c>
      <c r="E1605">
        <v>59.9</v>
      </c>
      <c r="F1605">
        <v>60</v>
      </c>
      <c r="G1605" s="196">
        <f t="shared" si="25"/>
        <v>60</v>
      </c>
      <c r="H1605">
        <v>17642</v>
      </c>
      <c r="I1605">
        <v>1058699.8999999999</v>
      </c>
    </row>
    <row r="1606" spans="1:9" customFormat="1" ht="14.4">
      <c r="A1606" t="s">
        <v>351</v>
      </c>
      <c r="B1606" s="647">
        <v>42739</v>
      </c>
      <c r="C1606">
        <v>60</v>
      </c>
      <c r="D1606">
        <v>60</v>
      </c>
      <c r="E1606">
        <v>59.8</v>
      </c>
      <c r="F1606">
        <v>60</v>
      </c>
      <c r="G1606" s="196">
        <f t="shared" si="25"/>
        <v>60</v>
      </c>
      <c r="H1606">
        <v>5259</v>
      </c>
      <c r="I1606">
        <v>315492.2</v>
      </c>
    </row>
    <row r="1607" spans="1:9" customFormat="1" ht="14.4">
      <c r="A1607" t="s">
        <v>351</v>
      </c>
      <c r="B1607" s="647">
        <v>42740</v>
      </c>
      <c r="C1607" t="e">
        <v>#VALUE!</v>
      </c>
      <c r="D1607" t="e">
        <v>#VALUE!</v>
      </c>
      <c r="E1607" t="e">
        <v>#VALUE!</v>
      </c>
      <c r="F1607">
        <v>60</v>
      </c>
      <c r="G1607" s="196">
        <f t="shared" si="25"/>
        <v>60</v>
      </c>
      <c r="H1607">
        <v>0</v>
      </c>
      <c r="I1607">
        <v>0</v>
      </c>
    </row>
    <row r="1608" spans="1:9" customFormat="1" ht="14.4">
      <c r="A1608" t="s">
        <v>351</v>
      </c>
      <c r="B1608" s="647">
        <v>42741</v>
      </c>
      <c r="C1608">
        <v>59.9</v>
      </c>
      <c r="D1608">
        <v>59.9</v>
      </c>
      <c r="E1608">
        <v>59.9</v>
      </c>
      <c r="F1608">
        <v>59.9</v>
      </c>
      <c r="G1608" s="196">
        <f t="shared" si="25"/>
        <v>59.9</v>
      </c>
      <c r="H1608">
        <v>6000</v>
      </c>
      <c r="I1608">
        <v>359400</v>
      </c>
    </row>
    <row r="1609" spans="1:9" customFormat="1" ht="14.4">
      <c r="A1609" t="s">
        <v>351</v>
      </c>
      <c r="B1609" s="647">
        <v>42744</v>
      </c>
      <c r="C1609">
        <v>59.9</v>
      </c>
      <c r="D1609">
        <v>60</v>
      </c>
      <c r="E1609">
        <v>59.9</v>
      </c>
      <c r="F1609">
        <v>60</v>
      </c>
      <c r="G1609" s="196">
        <f t="shared" ref="G1609:G1672" si="26">F1609</f>
        <v>60</v>
      </c>
      <c r="H1609">
        <v>27116</v>
      </c>
      <c r="I1609">
        <v>1625960</v>
      </c>
    </row>
    <row r="1610" spans="1:9" customFormat="1" ht="14.4">
      <c r="A1610" t="s">
        <v>351</v>
      </c>
      <c r="B1610" s="647">
        <v>42745</v>
      </c>
      <c r="C1610">
        <v>60</v>
      </c>
      <c r="D1610">
        <v>61</v>
      </c>
      <c r="E1610">
        <v>60</v>
      </c>
      <c r="F1610">
        <v>60.2</v>
      </c>
      <c r="G1610" s="196">
        <f t="shared" si="26"/>
        <v>60.2</v>
      </c>
      <c r="H1610">
        <v>4642</v>
      </c>
      <c r="I1610">
        <v>280352</v>
      </c>
    </row>
    <row r="1611" spans="1:9" customFormat="1" ht="14.4">
      <c r="A1611" t="s">
        <v>351</v>
      </c>
      <c r="B1611" s="647">
        <v>42746</v>
      </c>
      <c r="C1611">
        <v>60.2</v>
      </c>
      <c r="D1611">
        <v>60.5</v>
      </c>
      <c r="E1611">
        <v>60</v>
      </c>
      <c r="F1611">
        <v>60.3</v>
      </c>
      <c r="G1611" s="196">
        <f t="shared" si="26"/>
        <v>60.3</v>
      </c>
      <c r="H1611">
        <v>64050</v>
      </c>
      <c r="I1611">
        <v>3867385</v>
      </c>
    </row>
    <row r="1612" spans="1:9" customFormat="1" ht="14.4">
      <c r="A1612" t="s">
        <v>351</v>
      </c>
      <c r="B1612" s="647">
        <v>42748</v>
      </c>
      <c r="C1612">
        <v>60.1</v>
      </c>
      <c r="D1612">
        <v>60.7</v>
      </c>
      <c r="E1612">
        <v>59.1</v>
      </c>
      <c r="F1612">
        <v>60.6</v>
      </c>
      <c r="G1612" s="196">
        <f t="shared" si="26"/>
        <v>60.6</v>
      </c>
      <c r="H1612">
        <v>14044</v>
      </c>
      <c r="I1612">
        <v>850060.80000000005</v>
      </c>
    </row>
    <row r="1613" spans="1:9" customFormat="1" ht="14.4">
      <c r="A1613" t="s">
        <v>351</v>
      </c>
      <c r="B1613" s="647">
        <v>42751</v>
      </c>
      <c r="C1613">
        <v>61</v>
      </c>
      <c r="D1613">
        <v>61</v>
      </c>
      <c r="E1613">
        <v>61</v>
      </c>
      <c r="F1613">
        <v>61</v>
      </c>
      <c r="G1613" s="196">
        <f t="shared" si="26"/>
        <v>61</v>
      </c>
      <c r="H1613">
        <v>310</v>
      </c>
      <c r="I1613">
        <v>18910</v>
      </c>
    </row>
    <row r="1614" spans="1:9" customFormat="1" ht="14.4">
      <c r="A1614" t="s">
        <v>351</v>
      </c>
      <c r="B1614" s="647">
        <v>42752</v>
      </c>
      <c r="C1614">
        <v>60</v>
      </c>
      <c r="D1614">
        <v>61</v>
      </c>
      <c r="E1614">
        <v>60</v>
      </c>
      <c r="F1614">
        <v>60</v>
      </c>
      <c r="G1614" s="196">
        <f t="shared" si="26"/>
        <v>60</v>
      </c>
      <c r="H1614">
        <v>14092</v>
      </c>
      <c r="I1614">
        <v>847608</v>
      </c>
    </row>
    <row r="1615" spans="1:9" customFormat="1" ht="14.4">
      <c r="A1615" t="s">
        <v>351</v>
      </c>
      <c r="B1615" s="647">
        <v>42753</v>
      </c>
      <c r="C1615">
        <v>59.6</v>
      </c>
      <c r="D1615">
        <v>60.9</v>
      </c>
      <c r="E1615">
        <v>59.1</v>
      </c>
      <c r="F1615">
        <v>60</v>
      </c>
      <c r="G1615" s="196">
        <f t="shared" si="26"/>
        <v>60</v>
      </c>
      <c r="H1615">
        <v>12800</v>
      </c>
      <c r="I1615">
        <v>762467</v>
      </c>
    </row>
    <row r="1616" spans="1:9" customFormat="1" ht="14.4">
      <c r="A1616" t="s">
        <v>351</v>
      </c>
      <c r="B1616" s="647">
        <v>42754</v>
      </c>
      <c r="C1616">
        <v>60</v>
      </c>
      <c r="D1616">
        <v>60</v>
      </c>
      <c r="E1616">
        <v>60</v>
      </c>
      <c r="F1616">
        <v>60</v>
      </c>
      <c r="G1616" s="196">
        <f t="shared" si="26"/>
        <v>60</v>
      </c>
      <c r="H1616">
        <v>2000</v>
      </c>
      <c r="I1616">
        <v>120000</v>
      </c>
    </row>
    <row r="1617" spans="1:9" customFormat="1" ht="14.4">
      <c r="A1617" t="s">
        <v>351</v>
      </c>
      <c r="B1617" s="647">
        <v>42755</v>
      </c>
      <c r="C1617">
        <v>60</v>
      </c>
      <c r="D1617">
        <v>60</v>
      </c>
      <c r="E1617">
        <v>60</v>
      </c>
      <c r="F1617">
        <v>60</v>
      </c>
      <c r="G1617" s="196">
        <f t="shared" si="26"/>
        <v>60</v>
      </c>
      <c r="H1617">
        <v>70</v>
      </c>
      <c r="I1617">
        <v>4200</v>
      </c>
    </row>
    <row r="1618" spans="1:9" customFormat="1" ht="14.4">
      <c r="A1618" t="s">
        <v>351</v>
      </c>
      <c r="B1618" s="647">
        <v>42758</v>
      </c>
      <c r="C1618">
        <v>60.5</v>
      </c>
      <c r="D1618">
        <v>60.5</v>
      </c>
      <c r="E1618">
        <v>59.6</v>
      </c>
      <c r="F1618">
        <v>60</v>
      </c>
      <c r="G1618" s="196">
        <f t="shared" si="26"/>
        <v>60</v>
      </c>
      <c r="H1618">
        <v>10128</v>
      </c>
      <c r="I1618">
        <v>607718.80000000005</v>
      </c>
    </row>
    <row r="1619" spans="1:9" customFormat="1" ht="14.4">
      <c r="A1619" t="s">
        <v>351</v>
      </c>
      <c r="B1619" s="647">
        <v>42759</v>
      </c>
      <c r="C1619">
        <v>59.6</v>
      </c>
      <c r="D1619">
        <v>59.6</v>
      </c>
      <c r="E1619">
        <v>59.5</v>
      </c>
      <c r="F1619">
        <v>59.5</v>
      </c>
      <c r="G1619" s="196">
        <f t="shared" si="26"/>
        <v>59.5</v>
      </c>
      <c r="H1619">
        <v>18173</v>
      </c>
      <c r="I1619">
        <v>1081295.3</v>
      </c>
    </row>
    <row r="1620" spans="1:9" customFormat="1" ht="14.4">
      <c r="A1620" t="s">
        <v>351</v>
      </c>
      <c r="B1620" s="647">
        <v>42760</v>
      </c>
      <c r="C1620">
        <v>59.5</v>
      </c>
      <c r="D1620">
        <v>60.9</v>
      </c>
      <c r="E1620">
        <v>59</v>
      </c>
      <c r="F1620">
        <v>59.2</v>
      </c>
      <c r="G1620" s="196">
        <f t="shared" si="26"/>
        <v>59.2</v>
      </c>
      <c r="H1620">
        <v>2515</v>
      </c>
      <c r="I1620">
        <v>148994.5</v>
      </c>
    </row>
    <row r="1621" spans="1:9" customFormat="1" ht="14.4">
      <c r="A1621" t="s">
        <v>351</v>
      </c>
      <c r="B1621" s="647">
        <v>42761</v>
      </c>
      <c r="C1621">
        <v>60</v>
      </c>
      <c r="D1621">
        <v>60</v>
      </c>
      <c r="E1621">
        <v>60</v>
      </c>
      <c r="F1621">
        <v>60</v>
      </c>
      <c r="G1621" s="196">
        <f t="shared" si="26"/>
        <v>60</v>
      </c>
      <c r="H1621">
        <v>73470</v>
      </c>
      <c r="I1621">
        <v>4408200</v>
      </c>
    </row>
    <row r="1622" spans="1:9" customFormat="1" ht="14.4">
      <c r="A1622" t="s">
        <v>351</v>
      </c>
      <c r="B1622" s="647">
        <v>42762</v>
      </c>
      <c r="C1622">
        <v>59.8</v>
      </c>
      <c r="D1622">
        <v>59.8</v>
      </c>
      <c r="E1622">
        <v>59</v>
      </c>
      <c r="F1622">
        <v>59</v>
      </c>
      <c r="G1622" s="196">
        <f t="shared" si="26"/>
        <v>59</v>
      </c>
      <c r="H1622">
        <v>12024</v>
      </c>
      <c r="I1622">
        <v>710616</v>
      </c>
    </row>
    <row r="1623" spans="1:9" customFormat="1" ht="14.4">
      <c r="A1623" t="s">
        <v>351</v>
      </c>
      <c r="B1623" s="647">
        <v>42765</v>
      </c>
      <c r="C1623">
        <v>59</v>
      </c>
      <c r="D1623">
        <v>59</v>
      </c>
      <c r="E1623">
        <v>58</v>
      </c>
      <c r="F1623">
        <v>59</v>
      </c>
      <c r="G1623" s="196">
        <f t="shared" si="26"/>
        <v>59</v>
      </c>
      <c r="H1623">
        <v>831</v>
      </c>
      <c r="I1623">
        <v>48899</v>
      </c>
    </row>
    <row r="1624" spans="1:9" customFormat="1" ht="14.4">
      <c r="A1624" t="s">
        <v>351</v>
      </c>
      <c r="B1624" s="647">
        <v>42766</v>
      </c>
      <c r="C1624">
        <v>59</v>
      </c>
      <c r="D1624">
        <v>59</v>
      </c>
      <c r="E1624">
        <v>58</v>
      </c>
      <c r="F1624">
        <v>59</v>
      </c>
      <c r="G1624" s="196">
        <f t="shared" si="26"/>
        <v>59</v>
      </c>
      <c r="H1624">
        <v>7954</v>
      </c>
      <c r="I1624">
        <v>469276</v>
      </c>
    </row>
    <row r="1625" spans="1:9" customFormat="1" ht="14.4">
      <c r="A1625" t="s">
        <v>351</v>
      </c>
      <c r="B1625" s="647">
        <v>42767</v>
      </c>
      <c r="C1625" t="e">
        <v>#VALUE!</v>
      </c>
      <c r="D1625" t="e">
        <v>#VALUE!</v>
      </c>
      <c r="E1625" t="e">
        <v>#VALUE!</v>
      </c>
      <c r="F1625">
        <v>59</v>
      </c>
      <c r="G1625" s="196">
        <f t="shared" si="26"/>
        <v>59</v>
      </c>
      <c r="H1625">
        <v>0</v>
      </c>
      <c r="I1625">
        <v>0</v>
      </c>
    </row>
    <row r="1626" spans="1:9" customFormat="1" ht="14.4">
      <c r="A1626" t="s">
        <v>351</v>
      </c>
      <c r="B1626" s="647">
        <v>42768</v>
      </c>
      <c r="C1626">
        <v>59</v>
      </c>
      <c r="D1626">
        <v>59</v>
      </c>
      <c r="E1626">
        <v>58</v>
      </c>
      <c r="F1626">
        <v>58</v>
      </c>
      <c r="G1626" s="196">
        <f t="shared" si="26"/>
        <v>58</v>
      </c>
      <c r="H1626">
        <v>1370</v>
      </c>
      <c r="I1626">
        <v>79530</v>
      </c>
    </row>
    <row r="1627" spans="1:9" customFormat="1" ht="14.4">
      <c r="A1627" t="s">
        <v>351</v>
      </c>
      <c r="B1627" s="647">
        <v>42769</v>
      </c>
      <c r="C1627">
        <v>58.4</v>
      </c>
      <c r="D1627">
        <v>58.8</v>
      </c>
      <c r="E1627">
        <v>58</v>
      </c>
      <c r="F1627">
        <v>58.8</v>
      </c>
      <c r="G1627" s="196">
        <f t="shared" si="26"/>
        <v>58.8</v>
      </c>
      <c r="H1627">
        <v>2480</v>
      </c>
      <c r="I1627">
        <v>144072</v>
      </c>
    </row>
    <row r="1628" spans="1:9" customFormat="1" ht="14.4">
      <c r="A1628" t="s">
        <v>351</v>
      </c>
      <c r="B1628" s="647">
        <v>42772</v>
      </c>
      <c r="C1628">
        <v>57.2</v>
      </c>
      <c r="D1628">
        <v>57.2</v>
      </c>
      <c r="E1628">
        <v>57</v>
      </c>
      <c r="F1628">
        <v>57</v>
      </c>
      <c r="G1628" s="196">
        <f t="shared" si="26"/>
        <v>57</v>
      </c>
      <c r="H1628">
        <v>13916</v>
      </c>
      <c r="I1628">
        <v>793402.1</v>
      </c>
    </row>
    <row r="1629" spans="1:9" customFormat="1" ht="14.4">
      <c r="A1629" t="s">
        <v>351</v>
      </c>
      <c r="B1629" s="647">
        <v>42773</v>
      </c>
      <c r="C1629">
        <v>57</v>
      </c>
      <c r="D1629">
        <v>58.6</v>
      </c>
      <c r="E1629">
        <v>57</v>
      </c>
      <c r="F1629">
        <v>57.7</v>
      </c>
      <c r="G1629" s="196">
        <f t="shared" si="26"/>
        <v>57.7</v>
      </c>
      <c r="H1629">
        <v>15105</v>
      </c>
      <c r="I1629">
        <v>866600.7</v>
      </c>
    </row>
    <row r="1630" spans="1:9" customFormat="1" ht="14.4">
      <c r="A1630" t="s">
        <v>351</v>
      </c>
      <c r="B1630" s="647">
        <v>42774</v>
      </c>
      <c r="C1630">
        <v>58.9</v>
      </c>
      <c r="D1630">
        <v>58.9</v>
      </c>
      <c r="E1630">
        <v>58.9</v>
      </c>
      <c r="F1630">
        <v>57.7</v>
      </c>
      <c r="G1630" s="196">
        <f t="shared" si="26"/>
        <v>57.7</v>
      </c>
      <c r="H1630">
        <v>1</v>
      </c>
      <c r="I1630">
        <v>58.9</v>
      </c>
    </row>
    <row r="1631" spans="1:9" customFormat="1" ht="14.4">
      <c r="A1631" t="s">
        <v>351</v>
      </c>
      <c r="B1631" s="647">
        <v>42775</v>
      </c>
      <c r="C1631">
        <v>58</v>
      </c>
      <c r="D1631">
        <v>58.9</v>
      </c>
      <c r="E1631">
        <v>56</v>
      </c>
      <c r="F1631">
        <v>57.3</v>
      </c>
      <c r="G1631" s="196">
        <f t="shared" si="26"/>
        <v>57.3</v>
      </c>
      <c r="H1631">
        <v>3764</v>
      </c>
      <c r="I1631">
        <v>216198.7</v>
      </c>
    </row>
    <row r="1632" spans="1:9" customFormat="1" ht="14.4">
      <c r="A1632" t="s">
        <v>351</v>
      </c>
      <c r="B1632" s="647">
        <v>42779</v>
      </c>
      <c r="C1632">
        <v>59</v>
      </c>
      <c r="D1632">
        <v>60</v>
      </c>
      <c r="E1632">
        <v>59</v>
      </c>
      <c r="F1632">
        <v>59.5</v>
      </c>
      <c r="G1632" s="196">
        <f t="shared" si="26"/>
        <v>59.5</v>
      </c>
      <c r="H1632">
        <v>301</v>
      </c>
      <c r="I1632">
        <v>17910</v>
      </c>
    </row>
    <row r="1633" spans="1:9" customFormat="1" ht="14.4">
      <c r="A1633" t="s">
        <v>351</v>
      </c>
      <c r="B1633" s="647">
        <v>42780</v>
      </c>
      <c r="C1633">
        <v>59.9</v>
      </c>
      <c r="D1633">
        <v>60</v>
      </c>
      <c r="E1633">
        <v>59.9</v>
      </c>
      <c r="F1633">
        <v>60</v>
      </c>
      <c r="G1633" s="196">
        <f t="shared" si="26"/>
        <v>60</v>
      </c>
      <c r="H1633">
        <v>29679</v>
      </c>
      <c r="I1633">
        <v>1780191.8</v>
      </c>
    </row>
    <row r="1634" spans="1:9" customFormat="1" ht="14.4">
      <c r="A1634" t="s">
        <v>351</v>
      </c>
      <c r="B1634" s="647">
        <v>42781</v>
      </c>
      <c r="C1634">
        <v>59.9</v>
      </c>
      <c r="D1634">
        <v>60</v>
      </c>
      <c r="E1634">
        <v>59.5</v>
      </c>
      <c r="F1634">
        <v>60</v>
      </c>
      <c r="G1634" s="196">
        <f t="shared" si="26"/>
        <v>60</v>
      </c>
      <c r="H1634">
        <v>101321</v>
      </c>
      <c r="I1634">
        <v>6075790</v>
      </c>
    </row>
    <row r="1635" spans="1:9" customFormat="1" ht="14.4">
      <c r="A1635" t="s">
        <v>351</v>
      </c>
      <c r="B1635" s="647">
        <v>42782</v>
      </c>
      <c r="C1635">
        <v>60.1</v>
      </c>
      <c r="D1635">
        <v>60.1</v>
      </c>
      <c r="E1635">
        <v>60</v>
      </c>
      <c r="F1635">
        <v>60</v>
      </c>
      <c r="G1635" s="196">
        <f t="shared" si="26"/>
        <v>60</v>
      </c>
      <c r="H1635">
        <v>12200</v>
      </c>
      <c r="I1635">
        <v>732010</v>
      </c>
    </row>
    <row r="1636" spans="1:9" customFormat="1" ht="14.4">
      <c r="A1636" t="s">
        <v>351</v>
      </c>
      <c r="B1636" s="647">
        <v>42783</v>
      </c>
      <c r="C1636" t="e">
        <v>#VALUE!</v>
      </c>
      <c r="D1636" t="e">
        <v>#VALUE!</v>
      </c>
      <c r="E1636" t="e">
        <v>#VALUE!</v>
      </c>
      <c r="F1636">
        <v>60</v>
      </c>
      <c r="G1636" s="196">
        <f t="shared" si="26"/>
        <v>60</v>
      </c>
      <c r="H1636">
        <v>0</v>
      </c>
      <c r="I1636">
        <v>0</v>
      </c>
    </row>
    <row r="1637" spans="1:9" customFormat="1" ht="14.4">
      <c r="A1637" t="s">
        <v>351</v>
      </c>
      <c r="B1637" s="647">
        <v>42786</v>
      </c>
      <c r="C1637">
        <v>59</v>
      </c>
      <c r="D1637">
        <v>60.3</v>
      </c>
      <c r="E1637">
        <v>59</v>
      </c>
      <c r="F1637">
        <v>59</v>
      </c>
      <c r="G1637" s="196">
        <f t="shared" si="26"/>
        <v>59</v>
      </c>
      <c r="H1637">
        <v>15212</v>
      </c>
      <c r="I1637">
        <v>897710.6</v>
      </c>
    </row>
    <row r="1638" spans="1:9" customFormat="1" ht="14.4">
      <c r="A1638" t="s">
        <v>351</v>
      </c>
      <c r="B1638" s="647">
        <v>42787</v>
      </c>
      <c r="C1638">
        <v>59</v>
      </c>
      <c r="D1638">
        <v>59</v>
      </c>
      <c r="E1638">
        <v>58</v>
      </c>
      <c r="F1638">
        <v>58</v>
      </c>
      <c r="G1638" s="196">
        <f t="shared" si="26"/>
        <v>58</v>
      </c>
      <c r="H1638">
        <v>3590</v>
      </c>
      <c r="I1638">
        <v>210978.1</v>
      </c>
    </row>
    <row r="1639" spans="1:9" customFormat="1" ht="14.4">
      <c r="A1639" t="s">
        <v>351</v>
      </c>
      <c r="B1639" s="647">
        <v>42788</v>
      </c>
      <c r="C1639">
        <v>57</v>
      </c>
      <c r="D1639">
        <v>59.5</v>
      </c>
      <c r="E1639">
        <v>57</v>
      </c>
      <c r="F1639">
        <v>59</v>
      </c>
      <c r="G1639" s="196">
        <f t="shared" si="26"/>
        <v>59</v>
      </c>
      <c r="H1639">
        <v>308</v>
      </c>
      <c r="I1639">
        <v>18187.2</v>
      </c>
    </row>
    <row r="1640" spans="1:9" customFormat="1" ht="14.4">
      <c r="A1640" t="s">
        <v>351</v>
      </c>
      <c r="B1640" s="647">
        <v>42789</v>
      </c>
      <c r="C1640">
        <v>59.5</v>
      </c>
      <c r="D1640">
        <v>59.5</v>
      </c>
      <c r="E1640">
        <v>58.2</v>
      </c>
      <c r="F1640">
        <v>58.2</v>
      </c>
      <c r="G1640" s="196">
        <f t="shared" si="26"/>
        <v>58.2</v>
      </c>
      <c r="H1640">
        <v>564</v>
      </c>
      <c r="I1640">
        <v>33113</v>
      </c>
    </row>
    <row r="1641" spans="1:9" customFormat="1" ht="14.4">
      <c r="A1641" t="s">
        <v>351</v>
      </c>
      <c r="B1641" s="647">
        <v>42793</v>
      </c>
      <c r="C1641">
        <v>56.6</v>
      </c>
      <c r="D1641">
        <v>60</v>
      </c>
      <c r="E1641">
        <v>56.6</v>
      </c>
      <c r="F1641">
        <f>F1640</f>
        <v>58.2</v>
      </c>
      <c r="G1641" s="196">
        <f t="shared" si="26"/>
        <v>58.2</v>
      </c>
      <c r="H1641">
        <v>3013</v>
      </c>
      <c r="I1641">
        <v>180471.2</v>
      </c>
    </row>
    <row r="1642" spans="1:9" customFormat="1" ht="14.4">
      <c r="B1642" s="647">
        <v>42794</v>
      </c>
      <c r="C1642">
        <v>59.7</v>
      </c>
      <c r="D1642">
        <v>59.7</v>
      </c>
      <c r="E1642">
        <v>57.8</v>
      </c>
      <c r="F1642">
        <v>57.8</v>
      </c>
      <c r="G1642" s="196">
        <f t="shared" si="26"/>
        <v>57.8</v>
      </c>
      <c r="H1642">
        <v>31311</v>
      </c>
      <c r="I1642">
        <v>1814566.5</v>
      </c>
    </row>
    <row r="1643" spans="1:9" customFormat="1" ht="14.4">
      <c r="B1643" s="647">
        <v>42795</v>
      </c>
      <c r="C1643">
        <v>57.8</v>
      </c>
      <c r="D1643">
        <v>57.8</v>
      </c>
      <c r="E1643">
        <v>56</v>
      </c>
      <c r="F1643">
        <v>57.7</v>
      </c>
      <c r="G1643" s="196">
        <f t="shared" si="26"/>
        <v>57.7</v>
      </c>
      <c r="H1643">
        <v>5868</v>
      </c>
      <c r="I1643">
        <v>330310.59999999998</v>
      </c>
    </row>
    <row r="1644" spans="1:9" customFormat="1" ht="14.4">
      <c r="B1644" s="647">
        <v>42796</v>
      </c>
      <c r="C1644">
        <v>57.6</v>
      </c>
      <c r="D1644">
        <v>57.6</v>
      </c>
      <c r="E1644">
        <v>57.6</v>
      </c>
      <c r="F1644">
        <v>57.6</v>
      </c>
      <c r="G1644" s="196">
        <f t="shared" si="26"/>
        <v>57.6</v>
      </c>
      <c r="H1644">
        <v>101</v>
      </c>
      <c r="I1644">
        <v>5817.6</v>
      </c>
    </row>
    <row r="1645" spans="1:9" customFormat="1" ht="14.4">
      <c r="B1645" s="647">
        <v>42797</v>
      </c>
      <c r="C1645">
        <v>56.8</v>
      </c>
      <c r="D1645">
        <v>57.4</v>
      </c>
      <c r="E1645">
        <v>56.3</v>
      </c>
      <c r="F1645">
        <v>57.2</v>
      </c>
      <c r="G1645" s="196">
        <f t="shared" si="26"/>
        <v>57.2</v>
      </c>
      <c r="H1645">
        <v>3900</v>
      </c>
      <c r="I1645">
        <v>222953.5</v>
      </c>
    </row>
    <row r="1646" spans="1:9" customFormat="1" ht="14.4">
      <c r="B1646" s="647">
        <v>42800</v>
      </c>
      <c r="C1646">
        <v>57.4</v>
      </c>
      <c r="D1646">
        <v>57.4</v>
      </c>
      <c r="E1646">
        <v>55.5</v>
      </c>
      <c r="F1646">
        <v>56.3</v>
      </c>
      <c r="G1646" s="196">
        <f t="shared" si="26"/>
        <v>56.3</v>
      </c>
      <c r="H1646">
        <v>1810</v>
      </c>
      <c r="I1646">
        <v>101925.1</v>
      </c>
    </row>
    <row r="1647" spans="1:9" customFormat="1" ht="14.4">
      <c r="B1647" s="647">
        <v>42801</v>
      </c>
      <c r="C1647">
        <v>57</v>
      </c>
      <c r="D1647">
        <v>57</v>
      </c>
      <c r="E1647">
        <v>55.3</v>
      </c>
      <c r="F1647">
        <v>56.5</v>
      </c>
      <c r="G1647" s="196">
        <f t="shared" si="26"/>
        <v>56.5</v>
      </c>
      <c r="H1647">
        <v>6700</v>
      </c>
      <c r="I1647">
        <v>378315</v>
      </c>
    </row>
    <row r="1648" spans="1:9" customFormat="1" ht="14.4">
      <c r="B1648" s="647">
        <v>42802</v>
      </c>
      <c r="C1648">
        <v>57</v>
      </c>
      <c r="D1648">
        <v>57</v>
      </c>
      <c r="E1648">
        <v>55</v>
      </c>
      <c r="F1648">
        <v>55.3</v>
      </c>
      <c r="G1648" s="196">
        <f t="shared" si="26"/>
        <v>55.3</v>
      </c>
      <c r="H1648">
        <v>14123</v>
      </c>
      <c r="I1648">
        <v>785824</v>
      </c>
    </row>
    <row r="1649" spans="2:9" customFormat="1" ht="14.4">
      <c r="B1649" s="647">
        <v>42803</v>
      </c>
      <c r="C1649">
        <v>57</v>
      </c>
      <c r="D1649">
        <v>57</v>
      </c>
      <c r="E1649">
        <v>54.9</v>
      </c>
      <c r="F1649">
        <v>55</v>
      </c>
      <c r="G1649" s="196">
        <f t="shared" si="26"/>
        <v>55</v>
      </c>
      <c r="H1649">
        <v>2803</v>
      </c>
      <c r="I1649">
        <v>154348.79999999999</v>
      </c>
    </row>
    <row r="1650" spans="2:9" customFormat="1" ht="14.4">
      <c r="B1650" s="647">
        <v>42804</v>
      </c>
      <c r="C1650">
        <v>57</v>
      </c>
      <c r="D1650">
        <v>57</v>
      </c>
      <c r="E1650">
        <v>54.9</v>
      </c>
      <c r="F1650">
        <v>55</v>
      </c>
      <c r="G1650" s="196">
        <f t="shared" si="26"/>
        <v>55</v>
      </c>
      <c r="H1650">
        <v>4287</v>
      </c>
      <c r="I1650">
        <v>235780</v>
      </c>
    </row>
    <row r="1651" spans="2:9" customFormat="1" ht="14.4">
      <c r="B1651" s="647">
        <v>42807</v>
      </c>
      <c r="C1651">
        <v>55</v>
      </c>
      <c r="D1651">
        <v>55</v>
      </c>
      <c r="E1651">
        <v>55</v>
      </c>
      <c r="F1651">
        <v>55</v>
      </c>
      <c r="G1651" s="196">
        <f t="shared" si="26"/>
        <v>55</v>
      </c>
      <c r="H1651">
        <v>2100</v>
      </c>
      <c r="I1651">
        <v>115500</v>
      </c>
    </row>
    <row r="1652" spans="2:9" customFormat="1" ht="14.4">
      <c r="B1652" s="647">
        <v>42808</v>
      </c>
      <c r="C1652">
        <v>54.5</v>
      </c>
      <c r="D1652">
        <v>55</v>
      </c>
      <c r="E1652">
        <v>54</v>
      </c>
      <c r="F1652">
        <v>54.1</v>
      </c>
      <c r="G1652" s="196">
        <f t="shared" si="26"/>
        <v>54.1</v>
      </c>
      <c r="H1652">
        <v>12917</v>
      </c>
      <c r="I1652">
        <v>701318</v>
      </c>
    </row>
    <row r="1653" spans="2:9" customFormat="1" ht="14.4">
      <c r="B1653" s="647">
        <v>42809</v>
      </c>
      <c r="C1653">
        <v>54.5</v>
      </c>
      <c r="D1653">
        <v>54.5</v>
      </c>
      <c r="E1653">
        <v>54</v>
      </c>
      <c r="F1653">
        <v>54.5</v>
      </c>
      <c r="G1653" s="196">
        <f t="shared" si="26"/>
        <v>54.5</v>
      </c>
      <c r="H1653">
        <v>3016</v>
      </c>
      <c r="I1653">
        <v>163839.20000000001</v>
      </c>
    </row>
    <row r="1654" spans="2:9" customFormat="1" ht="14.4">
      <c r="B1654" s="647">
        <v>42810</v>
      </c>
      <c r="C1654">
        <v>54.5</v>
      </c>
      <c r="D1654">
        <v>54.5</v>
      </c>
      <c r="E1654">
        <v>54.5</v>
      </c>
      <c r="F1654">
        <v>54.5</v>
      </c>
      <c r="G1654" s="196">
        <f t="shared" si="26"/>
        <v>54.5</v>
      </c>
      <c r="H1654">
        <v>5</v>
      </c>
      <c r="I1654">
        <v>272.5</v>
      </c>
    </row>
    <row r="1655" spans="2:9" customFormat="1" ht="14.4">
      <c r="B1655" s="647">
        <v>42811</v>
      </c>
      <c r="C1655">
        <v>54.4</v>
      </c>
      <c r="D1655">
        <v>54.4</v>
      </c>
      <c r="E1655">
        <v>54</v>
      </c>
      <c r="F1655">
        <v>54</v>
      </c>
      <c r="G1655" s="196">
        <f t="shared" si="26"/>
        <v>54</v>
      </c>
      <c r="H1655">
        <v>2932</v>
      </c>
      <c r="I1655">
        <v>159100.79999999999</v>
      </c>
    </row>
    <row r="1656" spans="2:9" customFormat="1" ht="14.4">
      <c r="B1656" s="647">
        <v>42814</v>
      </c>
      <c r="C1656">
        <v>54.5</v>
      </c>
      <c r="D1656">
        <v>54.5</v>
      </c>
      <c r="E1656">
        <v>53</v>
      </c>
      <c r="F1656">
        <v>53.2</v>
      </c>
      <c r="G1656" s="196">
        <f t="shared" si="26"/>
        <v>53.2</v>
      </c>
      <c r="H1656">
        <v>6723</v>
      </c>
      <c r="I1656">
        <v>360905.5</v>
      </c>
    </row>
    <row r="1657" spans="2:9" customFormat="1" ht="14.4">
      <c r="B1657" s="647">
        <v>42815</v>
      </c>
      <c r="C1657">
        <v>53.1</v>
      </c>
      <c r="D1657">
        <v>54.8</v>
      </c>
      <c r="E1657">
        <v>53</v>
      </c>
      <c r="F1657">
        <v>54.8</v>
      </c>
      <c r="G1657" s="196">
        <f t="shared" si="26"/>
        <v>54.8</v>
      </c>
      <c r="H1657">
        <v>2518</v>
      </c>
      <c r="I1657">
        <v>136134.6</v>
      </c>
    </row>
    <row r="1658" spans="2:9" customFormat="1" ht="14.4">
      <c r="B1658" s="647">
        <v>42816</v>
      </c>
      <c r="C1658">
        <v>54.8</v>
      </c>
      <c r="D1658">
        <v>54.8</v>
      </c>
      <c r="E1658">
        <v>53.7</v>
      </c>
      <c r="F1658">
        <v>54.3</v>
      </c>
      <c r="G1658" s="196">
        <f t="shared" si="26"/>
        <v>54.3</v>
      </c>
      <c r="H1658">
        <v>15117</v>
      </c>
      <c r="I1658">
        <v>822810.7</v>
      </c>
    </row>
    <row r="1659" spans="2:9" customFormat="1" ht="14.4">
      <c r="B1659" s="647">
        <v>42817</v>
      </c>
      <c r="C1659">
        <v>54.3</v>
      </c>
      <c r="D1659">
        <v>54.3</v>
      </c>
      <c r="E1659">
        <v>53.7</v>
      </c>
      <c r="F1659">
        <v>54.1</v>
      </c>
      <c r="G1659" s="196">
        <f t="shared" si="26"/>
        <v>54.1</v>
      </c>
      <c r="H1659">
        <v>1975</v>
      </c>
      <c r="I1659">
        <v>106895</v>
      </c>
    </row>
    <row r="1660" spans="2:9" customFormat="1" ht="14.4">
      <c r="B1660" s="647">
        <v>42818</v>
      </c>
      <c r="C1660">
        <v>54.5</v>
      </c>
      <c r="D1660">
        <v>54.5</v>
      </c>
      <c r="E1660">
        <v>54</v>
      </c>
      <c r="F1660">
        <v>54.5</v>
      </c>
      <c r="G1660" s="196">
        <f t="shared" si="26"/>
        <v>54.5</v>
      </c>
      <c r="H1660">
        <v>104</v>
      </c>
      <c r="I1660">
        <v>5666</v>
      </c>
    </row>
    <row r="1661" spans="2:9" customFormat="1" ht="14.4">
      <c r="B1661" s="647">
        <v>42821</v>
      </c>
      <c r="C1661">
        <v>54.5</v>
      </c>
      <c r="D1661">
        <v>54.5</v>
      </c>
      <c r="E1661">
        <v>54.5</v>
      </c>
      <c r="F1661">
        <v>54.5</v>
      </c>
      <c r="G1661" s="196">
        <f t="shared" si="26"/>
        <v>54.5</v>
      </c>
      <c r="H1661">
        <v>500</v>
      </c>
      <c r="I1661">
        <v>27250</v>
      </c>
    </row>
    <row r="1662" spans="2:9" customFormat="1" ht="14.4">
      <c r="B1662" s="647">
        <v>42822</v>
      </c>
      <c r="C1662">
        <v>54.5</v>
      </c>
      <c r="D1662">
        <v>54.5</v>
      </c>
      <c r="E1662">
        <v>53.8</v>
      </c>
      <c r="F1662">
        <v>54</v>
      </c>
      <c r="G1662" s="196">
        <f t="shared" si="26"/>
        <v>54</v>
      </c>
      <c r="H1662">
        <v>1361</v>
      </c>
      <c r="I1662">
        <v>73662.100000000006</v>
      </c>
    </row>
    <row r="1663" spans="2:9" customFormat="1" ht="14.4">
      <c r="B1663" s="647">
        <v>42823</v>
      </c>
      <c r="C1663">
        <v>54.5</v>
      </c>
      <c r="D1663">
        <v>54.6</v>
      </c>
      <c r="E1663">
        <v>54.5</v>
      </c>
      <c r="F1663">
        <v>54.5</v>
      </c>
      <c r="G1663" s="196">
        <f t="shared" si="26"/>
        <v>54.5</v>
      </c>
      <c r="H1663">
        <v>11971</v>
      </c>
      <c r="I1663">
        <v>652424.5</v>
      </c>
    </row>
    <row r="1664" spans="2:9" customFormat="1" ht="14.4">
      <c r="B1664" s="647">
        <v>42824</v>
      </c>
      <c r="C1664">
        <v>54.5</v>
      </c>
      <c r="D1664">
        <v>54.5</v>
      </c>
      <c r="E1664">
        <v>54.5</v>
      </c>
      <c r="F1664">
        <v>54.5</v>
      </c>
      <c r="G1664" s="196">
        <f t="shared" si="26"/>
        <v>54.5</v>
      </c>
      <c r="H1664">
        <v>500</v>
      </c>
      <c r="I1664">
        <v>27250</v>
      </c>
    </row>
    <row r="1665" spans="2:9" customFormat="1" ht="14.4">
      <c r="B1665" s="647">
        <v>42825</v>
      </c>
      <c r="C1665">
        <v>54</v>
      </c>
      <c r="D1665">
        <v>54</v>
      </c>
      <c r="E1665">
        <v>54</v>
      </c>
      <c r="F1665">
        <v>54.5</v>
      </c>
      <c r="G1665" s="196">
        <f t="shared" si="26"/>
        <v>54.5</v>
      </c>
      <c r="H1665">
        <v>1</v>
      </c>
      <c r="I1665">
        <v>54</v>
      </c>
    </row>
    <row r="1666" spans="2:9" customFormat="1" ht="14.4">
      <c r="B1666" s="647">
        <v>42828</v>
      </c>
      <c r="C1666">
        <v>54</v>
      </c>
      <c r="D1666">
        <v>54.5</v>
      </c>
      <c r="E1666">
        <v>54</v>
      </c>
      <c r="F1666">
        <v>54.5</v>
      </c>
      <c r="G1666" s="196">
        <f t="shared" si="26"/>
        <v>54.5</v>
      </c>
      <c r="H1666">
        <v>934</v>
      </c>
      <c r="I1666">
        <v>50603</v>
      </c>
    </row>
    <row r="1667" spans="2:9" customFormat="1" ht="14.4">
      <c r="B1667" s="647">
        <v>42829</v>
      </c>
      <c r="C1667">
        <v>54.5</v>
      </c>
      <c r="D1667">
        <v>55</v>
      </c>
      <c r="E1667">
        <v>54.5</v>
      </c>
      <c r="F1667">
        <v>54.7</v>
      </c>
      <c r="G1667" s="196">
        <f t="shared" si="26"/>
        <v>54.7</v>
      </c>
      <c r="H1667">
        <v>3011</v>
      </c>
      <c r="I1667">
        <v>164759.5</v>
      </c>
    </row>
    <row r="1668" spans="2:9" customFormat="1" ht="14.4">
      <c r="B1668" s="647">
        <v>42830</v>
      </c>
      <c r="C1668">
        <v>56</v>
      </c>
      <c r="D1668">
        <v>57</v>
      </c>
      <c r="E1668">
        <v>55</v>
      </c>
      <c r="F1668">
        <v>55.1</v>
      </c>
      <c r="G1668" s="196">
        <f t="shared" si="26"/>
        <v>55.1</v>
      </c>
      <c r="H1668">
        <v>7386</v>
      </c>
      <c r="I1668">
        <v>411640</v>
      </c>
    </row>
    <row r="1669" spans="2:9" customFormat="1" ht="14.4">
      <c r="B1669" s="647">
        <v>42831</v>
      </c>
      <c r="C1669">
        <v>57</v>
      </c>
      <c r="D1669">
        <v>58</v>
      </c>
      <c r="E1669">
        <v>57</v>
      </c>
      <c r="F1669">
        <v>57</v>
      </c>
      <c r="G1669" s="196">
        <f t="shared" si="26"/>
        <v>57</v>
      </c>
      <c r="H1669">
        <v>4098</v>
      </c>
      <c r="I1669">
        <v>233718</v>
      </c>
    </row>
    <row r="1670" spans="2:9" customFormat="1" ht="14.4">
      <c r="B1670" s="647">
        <v>42832</v>
      </c>
      <c r="C1670">
        <v>56.4</v>
      </c>
      <c r="D1670">
        <v>56.5</v>
      </c>
      <c r="E1670">
        <v>56.4</v>
      </c>
      <c r="F1670">
        <v>56.5</v>
      </c>
      <c r="G1670" s="196">
        <f t="shared" si="26"/>
        <v>56.5</v>
      </c>
      <c r="H1670">
        <v>5050</v>
      </c>
      <c r="I1670">
        <v>285320</v>
      </c>
    </row>
    <row r="1671" spans="2:9" customFormat="1" ht="14.4">
      <c r="B1671" s="647">
        <v>42836</v>
      </c>
      <c r="C1671">
        <v>56.5</v>
      </c>
      <c r="D1671">
        <v>56.5</v>
      </c>
      <c r="E1671">
        <v>56.2</v>
      </c>
      <c r="F1671">
        <v>56.2</v>
      </c>
      <c r="G1671" s="196">
        <f t="shared" si="26"/>
        <v>56.2</v>
      </c>
      <c r="H1671">
        <v>1341</v>
      </c>
      <c r="I1671">
        <v>75384.2</v>
      </c>
    </row>
    <row r="1672" spans="2:9" customFormat="1" ht="14.4">
      <c r="B1672" s="647">
        <v>42837</v>
      </c>
      <c r="C1672">
        <v>56.5</v>
      </c>
      <c r="D1672">
        <v>59.8</v>
      </c>
      <c r="E1672">
        <v>56.5</v>
      </c>
      <c r="F1672">
        <v>59.3</v>
      </c>
      <c r="G1672" s="196">
        <f t="shared" si="26"/>
        <v>59.3</v>
      </c>
      <c r="H1672">
        <v>11361</v>
      </c>
      <c r="I1672">
        <v>657081.80000000005</v>
      </c>
    </row>
    <row r="1673" spans="2:9" customFormat="1" ht="14.4">
      <c r="B1673" s="647">
        <v>42842</v>
      </c>
      <c r="C1673">
        <v>59.9</v>
      </c>
      <c r="D1673">
        <v>59.9</v>
      </c>
      <c r="E1673">
        <v>58.2</v>
      </c>
      <c r="F1673">
        <v>58.2</v>
      </c>
      <c r="G1673" s="196">
        <f t="shared" ref="G1673:G1736" si="27">F1673</f>
        <v>58.2</v>
      </c>
      <c r="H1673">
        <v>10751</v>
      </c>
      <c r="I1673">
        <v>631671.9</v>
      </c>
    </row>
    <row r="1674" spans="2:9" customFormat="1" ht="14.4">
      <c r="B1674" s="647">
        <v>42843</v>
      </c>
      <c r="C1674">
        <v>58.5</v>
      </c>
      <c r="D1674">
        <v>58.5</v>
      </c>
      <c r="E1674">
        <v>58.1</v>
      </c>
      <c r="F1674">
        <v>58.2</v>
      </c>
      <c r="G1674" s="196">
        <f t="shared" si="27"/>
        <v>58.2</v>
      </c>
      <c r="H1674">
        <v>245</v>
      </c>
      <c r="I1674">
        <v>14264.5</v>
      </c>
    </row>
    <row r="1675" spans="2:9" customFormat="1" ht="14.4">
      <c r="B1675" s="647">
        <v>42844</v>
      </c>
      <c r="C1675">
        <v>58.1</v>
      </c>
      <c r="D1675">
        <v>58.5</v>
      </c>
      <c r="E1675">
        <v>58</v>
      </c>
      <c r="F1675">
        <v>58.3</v>
      </c>
      <c r="G1675" s="196">
        <f t="shared" si="27"/>
        <v>58.3</v>
      </c>
      <c r="H1675">
        <v>4880</v>
      </c>
      <c r="I1675">
        <v>283507.09999999998</v>
      </c>
    </row>
    <row r="1676" spans="2:9" customFormat="1" ht="14.4">
      <c r="B1676" s="647">
        <v>42845</v>
      </c>
      <c r="C1676">
        <v>59</v>
      </c>
      <c r="D1676">
        <v>60.5</v>
      </c>
      <c r="E1676">
        <v>59</v>
      </c>
      <c r="F1676">
        <v>60</v>
      </c>
      <c r="G1676" s="196">
        <f t="shared" si="27"/>
        <v>60</v>
      </c>
      <c r="H1676">
        <v>23129</v>
      </c>
      <c r="I1676">
        <v>1379876.1</v>
      </c>
    </row>
    <row r="1677" spans="2:9" customFormat="1" ht="14.4">
      <c r="B1677" s="647">
        <v>42846</v>
      </c>
      <c r="C1677">
        <v>60</v>
      </c>
      <c r="D1677">
        <v>61</v>
      </c>
      <c r="E1677">
        <v>60</v>
      </c>
      <c r="F1677">
        <v>61</v>
      </c>
      <c r="G1677" s="196">
        <f t="shared" si="27"/>
        <v>61</v>
      </c>
      <c r="H1677">
        <v>7036</v>
      </c>
      <c r="I1677">
        <v>426524.8</v>
      </c>
    </row>
    <row r="1678" spans="2:9" customFormat="1" ht="14.4">
      <c r="B1678" s="647">
        <v>42849</v>
      </c>
      <c r="C1678">
        <v>60.1</v>
      </c>
      <c r="D1678">
        <v>60.5</v>
      </c>
      <c r="E1678">
        <v>59.5</v>
      </c>
      <c r="F1678">
        <v>60</v>
      </c>
      <c r="G1678" s="196">
        <f t="shared" si="27"/>
        <v>60</v>
      </c>
      <c r="H1678">
        <v>9960</v>
      </c>
      <c r="I1678">
        <v>597605</v>
      </c>
    </row>
    <row r="1679" spans="2:9" customFormat="1" ht="14.4">
      <c r="B1679" s="647">
        <v>42850</v>
      </c>
      <c r="C1679">
        <v>59.5</v>
      </c>
      <c r="D1679">
        <v>60</v>
      </c>
      <c r="E1679">
        <v>58.5</v>
      </c>
      <c r="F1679">
        <v>58.5</v>
      </c>
      <c r="G1679" s="196">
        <f t="shared" si="27"/>
        <v>58.5</v>
      </c>
      <c r="H1679">
        <v>10227</v>
      </c>
      <c r="I1679">
        <v>601130.19999999995</v>
      </c>
    </row>
    <row r="1680" spans="2:9" customFormat="1" ht="14.4">
      <c r="B1680" s="647">
        <v>42851</v>
      </c>
      <c r="C1680">
        <v>58.6</v>
      </c>
      <c r="D1680">
        <v>60</v>
      </c>
      <c r="E1680">
        <v>58.6</v>
      </c>
      <c r="F1680">
        <v>60</v>
      </c>
      <c r="G1680" s="196">
        <f t="shared" si="27"/>
        <v>60</v>
      </c>
      <c r="H1680">
        <v>3905</v>
      </c>
      <c r="I1680">
        <v>231454.4</v>
      </c>
    </row>
    <row r="1681" spans="2:9" customFormat="1" ht="14.4">
      <c r="B1681" s="647">
        <v>42852</v>
      </c>
      <c r="C1681">
        <v>59.9</v>
      </c>
      <c r="D1681">
        <v>60</v>
      </c>
      <c r="E1681">
        <v>59</v>
      </c>
      <c r="F1681">
        <v>60</v>
      </c>
      <c r="G1681" s="196">
        <f t="shared" si="27"/>
        <v>60</v>
      </c>
      <c r="H1681">
        <v>6150</v>
      </c>
      <c r="I1681">
        <v>363998.9</v>
      </c>
    </row>
    <row r="1682" spans="2:9" customFormat="1" ht="14.4">
      <c r="B1682" s="647">
        <v>42853</v>
      </c>
      <c r="C1682">
        <v>59.1</v>
      </c>
      <c r="D1682">
        <v>60</v>
      </c>
      <c r="E1682">
        <v>59</v>
      </c>
      <c r="F1682">
        <v>59.5</v>
      </c>
      <c r="G1682" s="196">
        <f t="shared" si="27"/>
        <v>59.5</v>
      </c>
      <c r="H1682">
        <v>17067</v>
      </c>
      <c r="I1682">
        <v>1018150</v>
      </c>
    </row>
    <row r="1683" spans="2:9" customFormat="1" ht="14.4">
      <c r="B1683" s="647">
        <v>42857</v>
      </c>
      <c r="C1683">
        <v>60</v>
      </c>
      <c r="D1683">
        <v>61</v>
      </c>
      <c r="E1683">
        <v>60</v>
      </c>
      <c r="F1683">
        <v>60.5</v>
      </c>
      <c r="G1683" s="196">
        <f t="shared" si="27"/>
        <v>60.5</v>
      </c>
      <c r="H1683">
        <v>82374</v>
      </c>
      <c r="I1683">
        <v>4952386.3</v>
      </c>
    </row>
    <row r="1684" spans="2:9" customFormat="1" ht="14.4">
      <c r="B1684" s="647">
        <v>42858</v>
      </c>
      <c r="C1684">
        <v>61</v>
      </c>
      <c r="D1684">
        <v>61.9</v>
      </c>
      <c r="E1684">
        <v>60</v>
      </c>
      <c r="F1684">
        <v>61</v>
      </c>
      <c r="G1684" s="196">
        <f t="shared" si="27"/>
        <v>61</v>
      </c>
      <c r="H1684">
        <v>41126</v>
      </c>
      <c r="I1684">
        <v>2510455.1</v>
      </c>
    </row>
    <row r="1685" spans="2:9" customFormat="1" ht="14.4">
      <c r="B1685" s="647">
        <v>42859</v>
      </c>
      <c r="C1685">
        <v>61</v>
      </c>
      <c r="D1685">
        <v>61.5</v>
      </c>
      <c r="E1685">
        <v>61</v>
      </c>
      <c r="F1685">
        <v>61.1</v>
      </c>
      <c r="G1685" s="196">
        <f t="shared" si="27"/>
        <v>61.1</v>
      </c>
      <c r="H1685">
        <v>84100</v>
      </c>
      <c r="I1685">
        <v>5130650</v>
      </c>
    </row>
    <row r="1686" spans="2:9" customFormat="1" ht="14.4">
      <c r="B1686" s="647">
        <v>42860</v>
      </c>
      <c r="C1686">
        <v>61.1</v>
      </c>
      <c r="D1686">
        <v>64.900000000000006</v>
      </c>
      <c r="E1686">
        <v>61</v>
      </c>
      <c r="F1686">
        <v>64.400000000000006</v>
      </c>
      <c r="G1686" s="196">
        <f t="shared" si="27"/>
        <v>64.400000000000006</v>
      </c>
      <c r="H1686">
        <v>389719</v>
      </c>
      <c r="I1686">
        <v>24648479.199999999</v>
      </c>
    </row>
    <row r="1687" spans="2:9" customFormat="1" ht="14.4">
      <c r="B1687" s="647">
        <v>42863</v>
      </c>
      <c r="C1687">
        <v>64.400000000000006</v>
      </c>
      <c r="D1687">
        <v>64.5</v>
      </c>
      <c r="E1687">
        <v>63</v>
      </c>
      <c r="F1687">
        <v>63.7</v>
      </c>
      <c r="G1687" s="196">
        <f t="shared" si="27"/>
        <v>63.7</v>
      </c>
      <c r="H1687">
        <v>65027</v>
      </c>
      <c r="I1687">
        <v>4147535.9</v>
      </c>
    </row>
    <row r="1688" spans="2:9" customFormat="1" ht="14.4">
      <c r="B1688" s="647">
        <v>42864</v>
      </c>
      <c r="C1688">
        <v>63.9</v>
      </c>
      <c r="D1688">
        <v>64</v>
      </c>
      <c r="E1688">
        <v>62.8</v>
      </c>
      <c r="F1688">
        <v>63</v>
      </c>
      <c r="G1688" s="196">
        <f t="shared" si="27"/>
        <v>63</v>
      </c>
      <c r="H1688">
        <v>27642</v>
      </c>
      <c r="I1688">
        <v>1742372.4</v>
      </c>
    </row>
    <row r="1689" spans="2:9" customFormat="1" ht="14.4">
      <c r="B1689" s="647">
        <v>42867</v>
      </c>
      <c r="C1689">
        <v>63</v>
      </c>
      <c r="D1689">
        <v>63</v>
      </c>
      <c r="E1689">
        <v>62.4</v>
      </c>
      <c r="F1689">
        <v>63</v>
      </c>
      <c r="G1689" s="196">
        <f t="shared" si="27"/>
        <v>63</v>
      </c>
      <c r="H1689">
        <v>43555</v>
      </c>
      <c r="I1689">
        <v>2743715</v>
      </c>
    </row>
    <row r="1690" spans="2:9" customFormat="1" ht="14.4">
      <c r="B1690" s="647">
        <v>42870</v>
      </c>
      <c r="C1690">
        <v>63</v>
      </c>
      <c r="D1690">
        <v>63.1</v>
      </c>
      <c r="E1690">
        <v>62</v>
      </c>
      <c r="F1690">
        <v>62.4</v>
      </c>
      <c r="G1690" s="196">
        <f t="shared" si="27"/>
        <v>62.4</v>
      </c>
      <c r="H1690">
        <v>33700</v>
      </c>
      <c r="I1690">
        <v>2113983.7999999998</v>
      </c>
    </row>
    <row r="1691" spans="2:9" customFormat="1" ht="14.4">
      <c r="B1691" s="647">
        <v>42871</v>
      </c>
      <c r="C1691">
        <v>62</v>
      </c>
      <c r="D1691">
        <v>62</v>
      </c>
      <c r="E1691">
        <v>61.5</v>
      </c>
      <c r="F1691">
        <v>61.5</v>
      </c>
      <c r="G1691" s="196">
        <f t="shared" si="27"/>
        <v>61.5</v>
      </c>
      <c r="H1691">
        <v>14050</v>
      </c>
      <c r="I1691">
        <v>865941.6</v>
      </c>
    </row>
    <row r="1692" spans="2:9" customFormat="1" ht="14.4">
      <c r="B1692" s="647">
        <v>42872</v>
      </c>
      <c r="C1692">
        <v>61.1</v>
      </c>
      <c r="D1692">
        <v>62.3</v>
      </c>
      <c r="E1692">
        <v>61.1</v>
      </c>
      <c r="F1692">
        <v>62</v>
      </c>
      <c r="G1692" s="196">
        <f t="shared" si="27"/>
        <v>62</v>
      </c>
      <c r="H1692">
        <v>149215</v>
      </c>
      <c r="I1692">
        <v>9248943.5</v>
      </c>
    </row>
    <row r="1693" spans="2:9" customFormat="1" ht="14.4">
      <c r="B1693" s="647">
        <v>42873</v>
      </c>
      <c r="C1693">
        <v>62.2</v>
      </c>
      <c r="D1693">
        <v>63</v>
      </c>
      <c r="E1693">
        <v>62</v>
      </c>
      <c r="F1693">
        <v>63</v>
      </c>
      <c r="G1693" s="196">
        <f t="shared" si="27"/>
        <v>63</v>
      </c>
      <c r="H1693">
        <v>111724</v>
      </c>
      <c r="I1693">
        <v>6938771.5</v>
      </c>
    </row>
    <row r="1694" spans="2:9" customFormat="1" ht="14.4">
      <c r="B1694" s="647">
        <v>42874</v>
      </c>
      <c r="C1694">
        <v>63.1</v>
      </c>
      <c r="D1694">
        <v>63.5</v>
      </c>
      <c r="E1694">
        <v>62.5</v>
      </c>
      <c r="F1694">
        <v>62.7</v>
      </c>
      <c r="G1694" s="196">
        <f t="shared" si="27"/>
        <v>62.7</v>
      </c>
      <c r="H1694">
        <v>9627</v>
      </c>
      <c r="I1694">
        <v>606462.19999999995</v>
      </c>
    </row>
    <row r="1695" spans="2:9" customFormat="1" ht="14.4">
      <c r="B1695" s="647">
        <v>42877</v>
      </c>
      <c r="C1695">
        <v>63</v>
      </c>
      <c r="D1695">
        <v>63.4</v>
      </c>
      <c r="E1695">
        <v>62.5</v>
      </c>
      <c r="F1695">
        <v>62.8</v>
      </c>
      <c r="G1695" s="196">
        <f t="shared" si="27"/>
        <v>62.8</v>
      </c>
      <c r="H1695">
        <v>43316</v>
      </c>
      <c r="I1695">
        <v>2717270.5</v>
      </c>
    </row>
    <row r="1696" spans="2:9" customFormat="1" ht="14.4">
      <c r="B1696" s="647">
        <v>42878</v>
      </c>
      <c r="C1696">
        <v>63.2</v>
      </c>
      <c r="D1696">
        <v>63.4</v>
      </c>
      <c r="E1696">
        <v>62.7</v>
      </c>
      <c r="F1696">
        <v>62.7</v>
      </c>
      <c r="G1696" s="196">
        <f t="shared" si="27"/>
        <v>62.7</v>
      </c>
      <c r="H1696">
        <v>3617</v>
      </c>
      <c r="I1696">
        <v>226846.9</v>
      </c>
    </row>
    <row r="1697" spans="2:9" customFormat="1" ht="14.4">
      <c r="B1697" s="647">
        <v>42879</v>
      </c>
      <c r="C1697">
        <v>62.1</v>
      </c>
      <c r="D1697">
        <v>63</v>
      </c>
      <c r="E1697">
        <v>62.1</v>
      </c>
      <c r="F1697">
        <v>63</v>
      </c>
      <c r="G1697" s="196">
        <f t="shared" si="27"/>
        <v>63</v>
      </c>
      <c r="H1697">
        <v>17625</v>
      </c>
      <c r="I1697">
        <v>1109422.5</v>
      </c>
    </row>
    <row r="1698" spans="2:9" customFormat="1" ht="14.4">
      <c r="B1698" s="647">
        <v>42880</v>
      </c>
      <c r="C1698">
        <v>62.5</v>
      </c>
      <c r="D1698">
        <v>63</v>
      </c>
      <c r="E1698">
        <v>62.1</v>
      </c>
      <c r="F1698">
        <v>63</v>
      </c>
      <c r="G1698" s="196">
        <f t="shared" si="27"/>
        <v>63</v>
      </c>
      <c r="H1698">
        <v>157403</v>
      </c>
      <c r="I1698">
        <v>9837490.8000000007</v>
      </c>
    </row>
    <row r="1699" spans="2:9" customFormat="1" ht="14.4">
      <c r="B1699" s="647">
        <v>42881</v>
      </c>
      <c r="C1699">
        <v>62.5</v>
      </c>
      <c r="D1699">
        <v>62.6</v>
      </c>
      <c r="E1699">
        <v>62.5</v>
      </c>
      <c r="F1699">
        <v>62.5</v>
      </c>
      <c r="G1699" s="196">
        <f t="shared" si="27"/>
        <v>62.5</v>
      </c>
      <c r="H1699">
        <v>22107</v>
      </c>
      <c r="I1699">
        <v>1381698.1</v>
      </c>
    </row>
    <row r="1700" spans="2:9" customFormat="1" ht="14.4">
      <c r="B1700" s="647">
        <v>42884</v>
      </c>
      <c r="C1700">
        <v>62.2</v>
      </c>
      <c r="D1700">
        <v>62.5</v>
      </c>
      <c r="E1700">
        <v>62.1</v>
      </c>
      <c r="F1700">
        <v>62.5</v>
      </c>
      <c r="G1700" s="196">
        <f t="shared" si="27"/>
        <v>62.5</v>
      </c>
      <c r="H1700">
        <v>204910</v>
      </c>
      <c r="I1700">
        <v>12806702</v>
      </c>
    </row>
    <row r="1701" spans="2:9" customFormat="1" ht="14.4">
      <c r="B1701" s="647">
        <v>42885</v>
      </c>
      <c r="C1701">
        <v>62.5</v>
      </c>
      <c r="D1701">
        <v>62.5</v>
      </c>
      <c r="E1701">
        <v>62.1</v>
      </c>
      <c r="F1701">
        <v>62.2</v>
      </c>
      <c r="G1701" s="196">
        <f t="shared" si="27"/>
        <v>62.2</v>
      </c>
      <c r="H1701">
        <v>14987</v>
      </c>
      <c r="I1701">
        <v>930894.3</v>
      </c>
    </row>
    <row r="1702" spans="2:9" customFormat="1" ht="14.4">
      <c r="B1702" s="647">
        <v>42886</v>
      </c>
      <c r="C1702">
        <v>61</v>
      </c>
      <c r="D1702">
        <v>61</v>
      </c>
      <c r="E1702">
        <v>57.1</v>
      </c>
      <c r="F1702">
        <v>58.1</v>
      </c>
      <c r="G1702" s="196">
        <f t="shared" si="27"/>
        <v>58.1</v>
      </c>
      <c r="H1702">
        <v>128171</v>
      </c>
      <c r="I1702">
        <v>7457380.7999999998</v>
      </c>
    </row>
    <row r="1703" spans="2:9" customFormat="1" ht="14.4">
      <c r="B1703" s="647">
        <v>42887</v>
      </c>
      <c r="C1703">
        <v>59</v>
      </c>
      <c r="D1703">
        <v>59</v>
      </c>
      <c r="E1703">
        <v>58.5</v>
      </c>
      <c r="F1703">
        <v>58.9</v>
      </c>
      <c r="G1703" s="196">
        <f t="shared" si="27"/>
        <v>58.9</v>
      </c>
      <c r="H1703">
        <v>3138</v>
      </c>
      <c r="I1703">
        <v>184078.2</v>
      </c>
    </row>
    <row r="1704" spans="2:9" customFormat="1" ht="14.4">
      <c r="B1704" s="647">
        <v>42888</v>
      </c>
      <c r="C1704">
        <v>58.9</v>
      </c>
      <c r="D1704">
        <v>59</v>
      </c>
      <c r="E1704">
        <v>58.3</v>
      </c>
      <c r="F1704">
        <v>58.6</v>
      </c>
      <c r="G1704" s="196">
        <f t="shared" si="27"/>
        <v>58.6</v>
      </c>
      <c r="H1704">
        <v>3151</v>
      </c>
      <c r="I1704">
        <v>185212.79999999999</v>
      </c>
    </row>
    <row r="1705" spans="2:9" customFormat="1" ht="14.4">
      <c r="B1705" s="647">
        <v>42891</v>
      </c>
      <c r="C1705">
        <v>58.3</v>
      </c>
      <c r="D1705">
        <v>58.3</v>
      </c>
      <c r="E1705">
        <v>58.1</v>
      </c>
      <c r="F1705">
        <v>58.1</v>
      </c>
      <c r="G1705" s="196">
        <f t="shared" si="27"/>
        <v>58.1</v>
      </c>
      <c r="H1705">
        <v>6072</v>
      </c>
      <c r="I1705">
        <v>353305.4</v>
      </c>
    </row>
    <row r="1706" spans="2:9" customFormat="1" ht="14.4">
      <c r="B1706" s="647">
        <v>42892</v>
      </c>
      <c r="C1706">
        <v>58.2</v>
      </c>
      <c r="D1706">
        <v>58.3</v>
      </c>
      <c r="E1706">
        <v>58</v>
      </c>
      <c r="F1706">
        <v>58</v>
      </c>
      <c r="G1706" s="196">
        <f t="shared" si="27"/>
        <v>58</v>
      </c>
      <c r="H1706">
        <v>22633</v>
      </c>
      <c r="I1706">
        <v>1313577.8999999999</v>
      </c>
    </row>
    <row r="1707" spans="2:9" customFormat="1" ht="14.4">
      <c r="B1707" s="647">
        <v>42893</v>
      </c>
      <c r="C1707">
        <v>59.4</v>
      </c>
      <c r="D1707">
        <v>59.4</v>
      </c>
      <c r="E1707">
        <v>59.4</v>
      </c>
      <c r="F1707">
        <v>59.4</v>
      </c>
      <c r="G1707" s="196">
        <f t="shared" si="27"/>
        <v>59.4</v>
      </c>
      <c r="H1707">
        <v>100</v>
      </c>
      <c r="I1707">
        <v>5940</v>
      </c>
    </row>
    <row r="1708" spans="2:9" customFormat="1" ht="14.4">
      <c r="B1708" s="647">
        <v>42895</v>
      </c>
      <c r="C1708">
        <v>59.2</v>
      </c>
      <c r="D1708">
        <v>59.9</v>
      </c>
      <c r="E1708">
        <v>58.2</v>
      </c>
      <c r="F1708">
        <v>58.5</v>
      </c>
      <c r="G1708" s="196">
        <f t="shared" si="27"/>
        <v>58.5</v>
      </c>
      <c r="H1708">
        <v>24102</v>
      </c>
      <c r="I1708">
        <v>1410279.8</v>
      </c>
    </row>
    <row r="1709" spans="2:9" customFormat="1" ht="14.4">
      <c r="B1709" s="647">
        <v>42898</v>
      </c>
      <c r="C1709">
        <v>58.5</v>
      </c>
      <c r="D1709">
        <v>59.8</v>
      </c>
      <c r="E1709">
        <v>58</v>
      </c>
      <c r="F1709">
        <v>58</v>
      </c>
      <c r="G1709" s="196">
        <f t="shared" si="27"/>
        <v>58</v>
      </c>
      <c r="H1709">
        <v>11099</v>
      </c>
      <c r="I1709">
        <v>649669</v>
      </c>
    </row>
    <row r="1710" spans="2:9" customFormat="1" ht="14.4">
      <c r="B1710" s="647">
        <v>42899</v>
      </c>
      <c r="C1710">
        <v>58.5</v>
      </c>
      <c r="D1710">
        <v>58.5</v>
      </c>
      <c r="E1710">
        <v>58</v>
      </c>
      <c r="F1710">
        <v>58</v>
      </c>
      <c r="G1710" s="196">
        <f t="shared" si="27"/>
        <v>58</v>
      </c>
      <c r="H1710">
        <v>29949</v>
      </c>
      <c r="I1710">
        <v>1737510.1</v>
      </c>
    </row>
    <row r="1711" spans="2:9" customFormat="1" ht="14.4">
      <c r="B1711" s="647">
        <v>42900</v>
      </c>
      <c r="C1711">
        <v>57.8</v>
      </c>
      <c r="D1711">
        <v>58</v>
      </c>
      <c r="E1711">
        <v>57.6</v>
      </c>
      <c r="F1711">
        <v>57.6</v>
      </c>
      <c r="G1711" s="196">
        <f t="shared" si="27"/>
        <v>57.6</v>
      </c>
      <c r="H1711">
        <v>13581</v>
      </c>
      <c r="I1711">
        <v>782326</v>
      </c>
    </row>
    <row r="1712" spans="2:9" customFormat="1" ht="14.4">
      <c r="B1712" s="647">
        <v>42901</v>
      </c>
      <c r="C1712">
        <v>58</v>
      </c>
      <c r="D1712">
        <v>58</v>
      </c>
      <c r="E1712">
        <v>57.5</v>
      </c>
      <c r="F1712">
        <v>58</v>
      </c>
      <c r="G1712" s="196">
        <f t="shared" si="27"/>
        <v>58</v>
      </c>
      <c r="H1712">
        <v>15604</v>
      </c>
      <c r="I1712">
        <v>904607</v>
      </c>
    </row>
    <row r="1713" spans="2:9" customFormat="1" ht="14.4">
      <c r="B1713" s="647">
        <v>42902</v>
      </c>
      <c r="C1713">
        <v>58</v>
      </c>
      <c r="D1713">
        <v>58</v>
      </c>
      <c r="E1713">
        <v>57</v>
      </c>
      <c r="F1713">
        <v>57</v>
      </c>
      <c r="G1713" s="196">
        <f t="shared" si="27"/>
        <v>57</v>
      </c>
      <c r="H1713">
        <v>59006</v>
      </c>
      <c r="I1713">
        <v>3366666</v>
      </c>
    </row>
    <row r="1714" spans="2:9" customFormat="1" ht="14.4">
      <c r="B1714" s="647">
        <v>42905</v>
      </c>
      <c r="C1714">
        <v>58</v>
      </c>
      <c r="D1714">
        <v>58</v>
      </c>
      <c r="E1714">
        <v>57</v>
      </c>
      <c r="F1714">
        <v>57</v>
      </c>
      <c r="G1714" s="196">
        <f t="shared" si="27"/>
        <v>57</v>
      </c>
      <c r="H1714">
        <v>14949</v>
      </c>
      <c r="I1714">
        <v>853703</v>
      </c>
    </row>
    <row r="1715" spans="2:9" customFormat="1" ht="14.4">
      <c r="B1715" s="647">
        <v>42906</v>
      </c>
      <c r="C1715">
        <v>57.2</v>
      </c>
      <c r="D1715">
        <v>57.2</v>
      </c>
      <c r="E1715">
        <v>57</v>
      </c>
      <c r="F1715">
        <v>57</v>
      </c>
      <c r="G1715" s="196">
        <f t="shared" si="27"/>
        <v>57</v>
      </c>
      <c r="H1715">
        <v>6729</v>
      </c>
      <c r="I1715">
        <v>383967</v>
      </c>
    </row>
    <row r="1716" spans="2:9" customFormat="1" ht="14.4">
      <c r="B1716" s="647">
        <v>42907</v>
      </c>
      <c r="C1716">
        <v>57</v>
      </c>
      <c r="D1716">
        <v>57.8</v>
      </c>
      <c r="E1716">
        <v>57</v>
      </c>
      <c r="F1716">
        <v>57</v>
      </c>
      <c r="G1716" s="196">
        <f t="shared" si="27"/>
        <v>57</v>
      </c>
      <c r="H1716">
        <v>103416</v>
      </c>
      <c r="I1716">
        <v>5896762.7999999998</v>
      </c>
    </row>
    <row r="1717" spans="2:9" customFormat="1" ht="14.4">
      <c r="B1717" s="647">
        <v>42908</v>
      </c>
      <c r="C1717">
        <v>57</v>
      </c>
      <c r="D1717">
        <v>57.9</v>
      </c>
      <c r="E1717">
        <v>56.8</v>
      </c>
      <c r="F1717">
        <v>56.9</v>
      </c>
      <c r="G1717" s="196">
        <f t="shared" si="27"/>
        <v>56.9</v>
      </c>
      <c r="H1717">
        <v>196463</v>
      </c>
      <c r="I1717">
        <v>11171314.9</v>
      </c>
    </row>
    <row r="1718" spans="2:9" customFormat="1" ht="14.4">
      <c r="B1718" s="647">
        <v>42909</v>
      </c>
      <c r="C1718">
        <v>57</v>
      </c>
      <c r="D1718">
        <v>57</v>
      </c>
      <c r="E1718">
        <v>56.8</v>
      </c>
      <c r="F1718">
        <v>56.8</v>
      </c>
      <c r="G1718" s="196">
        <f t="shared" si="27"/>
        <v>56.8</v>
      </c>
      <c r="H1718">
        <v>8710</v>
      </c>
      <c r="I1718">
        <v>495219</v>
      </c>
    </row>
    <row r="1719" spans="2:9" customFormat="1" ht="14.4">
      <c r="B1719" s="647">
        <v>42913</v>
      </c>
      <c r="C1719">
        <v>57</v>
      </c>
      <c r="D1719">
        <v>57.5</v>
      </c>
      <c r="E1719">
        <v>56.8</v>
      </c>
      <c r="F1719">
        <v>57</v>
      </c>
      <c r="G1719" s="196">
        <f t="shared" si="27"/>
        <v>57</v>
      </c>
      <c r="H1719">
        <v>11166</v>
      </c>
      <c r="I1719">
        <v>636302.5</v>
      </c>
    </row>
    <row r="1720" spans="2:9" customFormat="1" ht="14.4">
      <c r="B1720" s="647">
        <v>42914</v>
      </c>
      <c r="C1720">
        <v>57</v>
      </c>
      <c r="D1720">
        <v>57.4</v>
      </c>
      <c r="E1720">
        <v>57</v>
      </c>
      <c r="F1720">
        <v>57</v>
      </c>
      <c r="G1720" s="196">
        <f t="shared" si="27"/>
        <v>57</v>
      </c>
      <c r="H1720">
        <v>3187</v>
      </c>
      <c r="I1720">
        <v>181663.8</v>
      </c>
    </row>
    <row r="1721" spans="2:9" customFormat="1" ht="14.4">
      <c r="B1721" s="647">
        <v>42915</v>
      </c>
      <c r="C1721">
        <v>57</v>
      </c>
      <c r="D1721">
        <v>57</v>
      </c>
      <c r="E1721">
        <v>56.8</v>
      </c>
      <c r="F1721">
        <v>57</v>
      </c>
      <c r="G1721" s="196">
        <f t="shared" si="27"/>
        <v>57</v>
      </c>
      <c r="H1721">
        <v>1340</v>
      </c>
      <c r="I1721">
        <v>76360</v>
      </c>
    </row>
    <row r="1722" spans="2:9" customFormat="1" ht="14.4">
      <c r="B1722" s="647">
        <v>42916</v>
      </c>
      <c r="C1722">
        <v>57</v>
      </c>
      <c r="D1722">
        <v>57</v>
      </c>
      <c r="E1722">
        <v>56.5</v>
      </c>
      <c r="F1722">
        <v>56.5</v>
      </c>
      <c r="G1722" s="196">
        <f t="shared" si="27"/>
        <v>56.5</v>
      </c>
      <c r="H1722">
        <v>28810</v>
      </c>
      <c r="I1722">
        <v>1633597</v>
      </c>
    </row>
    <row r="1723" spans="2:9" customFormat="1" ht="14.4">
      <c r="B1723" s="647">
        <v>42919</v>
      </c>
      <c r="C1723">
        <v>57</v>
      </c>
      <c r="D1723">
        <v>57</v>
      </c>
      <c r="E1723">
        <v>56.3</v>
      </c>
      <c r="F1723">
        <v>56.3</v>
      </c>
      <c r="G1723" s="196">
        <f t="shared" si="27"/>
        <v>56.3</v>
      </c>
      <c r="H1723">
        <v>37409</v>
      </c>
      <c r="I1723">
        <v>2128527.4</v>
      </c>
    </row>
    <row r="1724" spans="2:9" customFormat="1" ht="14.4">
      <c r="B1724" s="647">
        <v>42920</v>
      </c>
      <c r="C1724">
        <v>56.9</v>
      </c>
      <c r="D1724">
        <v>56.9</v>
      </c>
      <c r="E1724">
        <v>56.7</v>
      </c>
      <c r="F1724">
        <v>56.7</v>
      </c>
      <c r="G1724" s="196">
        <f t="shared" si="27"/>
        <v>56.7</v>
      </c>
      <c r="H1724">
        <v>2840</v>
      </c>
      <c r="I1724">
        <v>161188</v>
      </c>
    </row>
    <row r="1725" spans="2:9" customFormat="1" ht="14.4">
      <c r="B1725" s="647">
        <v>42921</v>
      </c>
      <c r="C1725">
        <v>56.9</v>
      </c>
      <c r="D1725">
        <v>57.2</v>
      </c>
      <c r="E1725">
        <v>56.6</v>
      </c>
      <c r="F1725">
        <v>57</v>
      </c>
      <c r="G1725" s="196">
        <f t="shared" si="27"/>
        <v>57</v>
      </c>
      <c r="H1725">
        <v>21358</v>
      </c>
      <c r="I1725">
        <v>1216572.5</v>
      </c>
    </row>
    <row r="1726" spans="2:9" customFormat="1" ht="14.4">
      <c r="B1726" s="647">
        <v>42922</v>
      </c>
      <c r="C1726">
        <v>56.9</v>
      </c>
      <c r="D1726">
        <v>57</v>
      </c>
      <c r="E1726">
        <v>56.6</v>
      </c>
      <c r="F1726">
        <v>56.8</v>
      </c>
      <c r="G1726" s="196">
        <f t="shared" si="27"/>
        <v>56.8</v>
      </c>
      <c r="H1726">
        <v>10600</v>
      </c>
      <c r="I1726">
        <v>602855</v>
      </c>
    </row>
    <row r="1727" spans="2:9" customFormat="1" ht="14.4">
      <c r="B1727" s="647">
        <v>42922</v>
      </c>
      <c r="C1727" t="e">
        <v>#VALUE!</v>
      </c>
      <c r="D1727">
        <v>56.7</v>
      </c>
      <c r="E1727">
        <v>56.7</v>
      </c>
      <c r="F1727">
        <f>F1726</f>
        <v>56.8</v>
      </c>
      <c r="G1727" s="196">
        <f t="shared" si="27"/>
        <v>56.8</v>
      </c>
      <c r="H1727">
        <v>500000</v>
      </c>
      <c r="I1727">
        <v>28350000</v>
      </c>
    </row>
    <row r="1728" spans="2:9" customFormat="1" ht="14.4">
      <c r="B1728" s="647">
        <v>42923</v>
      </c>
      <c r="C1728">
        <v>57</v>
      </c>
      <c r="D1728">
        <v>57</v>
      </c>
      <c r="E1728">
        <v>56.9</v>
      </c>
      <c r="F1728">
        <v>57</v>
      </c>
      <c r="G1728" s="196">
        <f t="shared" si="27"/>
        <v>57</v>
      </c>
      <c r="H1728">
        <v>2810</v>
      </c>
      <c r="I1728">
        <v>160110</v>
      </c>
    </row>
    <row r="1729" spans="2:9" customFormat="1" ht="14.4">
      <c r="B1729" s="647">
        <v>42926</v>
      </c>
      <c r="C1729">
        <v>57.3</v>
      </c>
      <c r="D1729">
        <v>57.4</v>
      </c>
      <c r="E1729">
        <v>57</v>
      </c>
      <c r="F1729">
        <v>57</v>
      </c>
      <c r="G1729" s="196">
        <f t="shared" si="27"/>
        <v>57</v>
      </c>
      <c r="H1729">
        <v>5550</v>
      </c>
      <c r="I1729">
        <v>317073</v>
      </c>
    </row>
    <row r="1730" spans="2:9" customFormat="1" ht="14.4">
      <c r="B1730" s="647">
        <v>42927</v>
      </c>
      <c r="C1730">
        <v>58</v>
      </c>
      <c r="D1730">
        <v>58</v>
      </c>
      <c r="E1730">
        <v>57.5</v>
      </c>
      <c r="F1730">
        <v>57.5</v>
      </c>
      <c r="G1730" s="196">
        <f t="shared" si="27"/>
        <v>57.5</v>
      </c>
      <c r="H1730">
        <v>53250</v>
      </c>
      <c r="I1730">
        <v>3062000</v>
      </c>
    </row>
    <row r="1731" spans="2:9" customFormat="1" ht="14.4">
      <c r="B1731" s="647">
        <v>42928</v>
      </c>
      <c r="C1731">
        <v>58.5</v>
      </c>
      <c r="D1731">
        <v>58.5</v>
      </c>
      <c r="E1731">
        <v>57.8</v>
      </c>
      <c r="F1731">
        <v>58.3</v>
      </c>
      <c r="G1731" s="196">
        <f t="shared" si="27"/>
        <v>58.3</v>
      </c>
      <c r="H1731">
        <v>6001</v>
      </c>
      <c r="I1731">
        <v>349218.5</v>
      </c>
    </row>
    <row r="1732" spans="2:9" customFormat="1" ht="14.4">
      <c r="B1732" s="647">
        <v>42929</v>
      </c>
      <c r="C1732">
        <v>59</v>
      </c>
      <c r="D1732">
        <v>59</v>
      </c>
      <c r="E1732">
        <v>57.7</v>
      </c>
      <c r="F1732">
        <v>58</v>
      </c>
      <c r="G1732" s="196">
        <f t="shared" si="27"/>
        <v>58</v>
      </c>
      <c r="H1732">
        <v>10175</v>
      </c>
      <c r="I1732">
        <v>594599.80000000005</v>
      </c>
    </row>
    <row r="1733" spans="2:9" customFormat="1" ht="14.4">
      <c r="B1733" s="647">
        <v>42930</v>
      </c>
      <c r="C1733">
        <v>58</v>
      </c>
      <c r="D1733">
        <v>58</v>
      </c>
      <c r="E1733">
        <v>58</v>
      </c>
      <c r="F1733">
        <v>58</v>
      </c>
      <c r="G1733" s="196">
        <f t="shared" si="27"/>
        <v>58</v>
      </c>
      <c r="H1733">
        <v>3652</v>
      </c>
      <c r="I1733">
        <v>211816</v>
      </c>
    </row>
    <row r="1734" spans="2:9" customFormat="1" ht="14.4">
      <c r="B1734" s="647">
        <v>42933</v>
      </c>
      <c r="C1734">
        <v>58</v>
      </c>
      <c r="D1734">
        <v>58.9</v>
      </c>
      <c r="E1734">
        <v>58</v>
      </c>
      <c r="F1734">
        <v>58</v>
      </c>
      <c r="G1734" s="196">
        <f t="shared" si="27"/>
        <v>58</v>
      </c>
      <c r="H1734">
        <v>9176</v>
      </c>
      <c r="I1734">
        <v>532234.1</v>
      </c>
    </row>
    <row r="1735" spans="2:9" customFormat="1" ht="14.4">
      <c r="B1735" s="647">
        <v>42934</v>
      </c>
      <c r="C1735">
        <v>58</v>
      </c>
      <c r="D1735">
        <v>58.5</v>
      </c>
      <c r="E1735">
        <v>58</v>
      </c>
      <c r="F1735">
        <v>58.5</v>
      </c>
      <c r="G1735" s="196">
        <f t="shared" si="27"/>
        <v>58.5</v>
      </c>
      <c r="H1735">
        <v>27192</v>
      </c>
      <c r="I1735">
        <v>1589568</v>
      </c>
    </row>
    <row r="1736" spans="2:9" customFormat="1" ht="14.4">
      <c r="B1736" s="647">
        <v>42935</v>
      </c>
      <c r="C1736">
        <v>58</v>
      </c>
      <c r="D1736">
        <v>58.5</v>
      </c>
      <c r="E1736">
        <v>57.2</v>
      </c>
      <c r="F1736">
        <v>57.2</v>
      </c>
      <c r="G1736" s="196">
        <f t="shared" si="27"/>
        <v>57.2</v>
      </c>
      <c r="H1736">
        <v>46058</v>
      </c>
      <c r="I1736">
        <v>2678611.2999999998</v>
      </c>
    </row>
    <row r="1737" spans="2:9" customFormat="1" ht="14.4">
      <c r="B1737" s="647">
        <v>42936</v>
      </c>
      <c r="C1737">
        <v>57</v>
      </c>
      <c r="D1737">
        <v>58</v>
      </c>
      <c r="E1737">
        <v>57</v>
      </c>
      <c r="F1737">
        <v>57.6</v>
      </c>
      <c r="G1737" s="196">
        <f t="shared" ref="G1737:G1800" si="28">F1737</f>
        <v>57.6</v>
      </c>
      <c r="H1737">
        <v>2109</v>
      </c>
      <c r="I1737">
        <v>121333.6</v>
      </c>
    </row>
    <row r="1738" spans="2:9" customFormat="1" ht="14.4">
      <c r="B1738" s="647">
        <v>42937</v>
      </c>
      <c r="C1738">
        <v>58</v>
      </c>
      <c r="D1738">
        <v>58</v>
      </c>
      <c r="E1738">
        <v>57.6</v>
      </c>
      <c r="F1738">
        <v>57.6</v>
      </c>
      <c r="G1738" s="196">
        <f t="shared" si="28"/>
        <v>57.6</v>
      </c>
      <c r="H1738">
        <v>1302</v>
      </c>
      <c r="I1738">
        <v>75026</v>
      </c>
    </row>
    <row r="1739" spans="2:9" customFormat="1" ht="14.4">
      <c r="B1739" s="647">
        <v>42940</v>
      </c>
      <c r="C1739">
        <v>57.1</v>
      </c>
      <c r="D1739">
        <v>57.1</v>
      </c>
      <c r="E1739">
        <v>56.3</v>
      </c>
      <c r="F1739">
        <v>56.6</v>
      </c>
      <c r="G1739" s="196">
        <f t="shared" si="28"/>
        <v>56.6</v>
      </c>
      <c r="H1739">
        <v>7788</v>
      </c>
      <c r="I1739">
        <v>444128.4</v>
      </c>
    </row>
    <row r="1740" spans="2:9" customFormat="1" ht="14.4">
      <c r="B1740" s="647">
        <v>42941</v>
      </c>
      <c r="C1740">
        <v>57.1</v>
      </c>
      <c r="D1740">
        <v>57.1</v>
      </c>
      <c r="E1740">
        <v>56.9</v>
      </c>
      <c r="F1740">
        <v>56.9</v>
      </c>
      <c r="G1740" s="196">
        <f t="shared" si="28"/>
        <v>56.9</v>
      </c>
      <c r="H1740">
        <v>9730</v>
      </c>
      <c r="I1740">
        <v>553689</v>
      </c>
    </row>
    <row r="1741" spans="2:9" customFormat="1" ht="14.4">
      <c r="B1741" s="647">
        <v>42942</v>
      </c>
      <c r="C1741">
        <v>57.1</v>
      </c>
      <c r="D1741">
        <v>57.1</v>
      </c>
      <c r="E1741">
        <v>56.5</v>
      </c>
      <c r="F1741">
        <v>57</v>
      </c>
      <c r="G1741" s="196">
        <f t="shared" si="28"/>
        <v>57</v>
      </c>
      <c r="H1741">
        <v>32539</v>
      </c>
      <c r="I1741">
        <v>1854207.1</v>
      </c>
    </row>
    <row r="1742" spans="2:9" customFormat="1" ht="14.4">
      <c r="B1742" s="647">
        <v>42943</v>
      </c>
      <c r="C1742">
        <v>57.1</v>
      </c>
      <c r="D1742">
        <v>57.2</v>
      </c>
      <c r="E1742">
        <v>57.1</v>
      </c>
      <c r="F1742">
        <v>57.1</v>
      </c>
      <c r="G1742" s="196">
        <f t="shared" si="28"/>
        <v>57.1</v>
      </c>
      <c r="H1742">
        <v>15400</v>
      </c>
      <c r="I1742">
        <v>879840</v>
      </c>
    </row>
    <row r="1743" spans="2:9" customFormat="1" ht="14.4">
      <c r="B1743" s="647">
        <v>42944</v>
      </c>
      <c r="C1743">
        <v>57</v>
      </c>
      <c r="D1743">
        <v>57</v>
      </c>
      <c r="E1743">
        <v>57</v>
      </c>
      <c r="F1743">
        <v>57</v>
      </c>
      <c r="G1743" s="196">
        <f t="shared" si="28"/>
        <v>57</v>
      </c>
      <c r="H1743">
        <v>100</v>
      </c>
      <c r="I1743">
        <v>5700</v>
      </c>
    </row>
    <row r="1744" spans="2:9" customFormat="1" ht="14.4">
      <c r="B1744" s="647">
        <v>42947</v>
      </c>
      <c r="C1744">
        <v>57</v>
      </c>
      <c r="D1744">
        <v>58.5</v>
      </c>
      <c r="E1744">
        <v>57</v>
      </c>
      <c r="F1744">
        <v>57.2</v>
      </c>
      <c r="G1744" s="196">
        <f t="shared" si="28"/>
        <v>57.2</v>
      </c>
      <c r="H1744">
        <v>10205</v>
      </c>
      <c r="I1744">
        <v>589145.19999999995</v>
      </c>
    </row>
    <row r="1745" spans="2:9" customFormat="1" ht="14.4">
      <c r="B1745" s="647">
        <v>42948</v>
      </c>
      <c r="C1745">
        <v>57.1</v>
      </c>
      <c r="D1745">
        <v>57.3</v>
      </c>
      <c r="E1745">
        <v>57</v>
      </c>
      <c r="F1745">
        <v>57</v>
      </c>
      <c r="G1745" s="196">
        <f t="shared" si="28"/>
        <v>57</v>
      </c>
      <c r="H1745">
        <v>820</v>
      </c>
      <c r="I1745">
        <v>46776</v>
      </c>
    </row>
    <row r="1746" spans="2:9" customFormat="1" ht="14.4">
      <c r="B1746" s="647">
        <v>42949</v>
      </c>
      <c r="C1746">
        <v>57</v>
      </c>
      <c r="D1746">
        <v>57</v>
      </c>
      <c r="E1746">
        <v>56.6</v>
      </c>
      <c r="F1746">
        <v>56.6</v>
      </c>
      <c r="G1746" s="196">
        <f t="shared" si="28"/>
        <v>56.6</v>
      </c>
      <c r="H1746">
        <v>12059</v>
      </c>
      <c r="I1746">
        <v>682672.6</v>
      </c>
    </row>
    <row r="1747" spans="2:9" customFormat="1" ht="14.4">
      <c r="B1747" s="647">
        <v>42950</v>
      </c>
      <c r="C1747">
        <v>57</v>
      </c>
      <c r="D1747">
        <v>57</v>
      </c>
      <c r="E1747">
        <v>57</v>
      </c>
      <c r="F1747">
        <v>56.6</v>
      </c>
      <c r="G1747" s="196">
        <f t="shared" si="28"/>
        <v>56.6</v>
      </c>
      <c r="H1747">
        <v>2</v>
      </c>
      <c r="I1747">
        <v>114</v>
      </c>
    </row>
    <row r="1748" spans="2:9" customFormat="1" ht="14.4">
      <c r="B1748" s="647">
        <v>42951</v>
      </c>
      <c r="C1748">
        <v>57</v>
      </c>
      <c r="D1748">
        <v>57</v>
      </c>
      <c r="E1748">
        <v>56.4</v>
      </c>
      <c r="F1748">
        <v>56.4</v>
      </c>
      <c r="G1748" s="196">
        <f t="shared" si="28"/>
        <v>56.4</v>
      </c>
      <c r="H1748">
        <v>11086</v>
      </c>
      <c r="I1748">
        <v>626214.69999999995</v>
      </c>
    </row>
    <row r="1749" spans="2:9" customFormat="1" ht="14.4">
      <c r="B1749" s="647">
        <v>42955</v>
      </c>
      <c r="C1749">
        <v>56.4</v>
      </c>
      <c r="D1749">
        <v>58.9</v>
      </c>
      <c r="E1749">
        <v>56.3</v>
      </c>
      <c r="F1749">
        <v>56.4</v>
      </c>
      <c r="G1749" s="196">
        <f t="shared" si="28"/>
        <v>56.4</v>
      </c>
      <c r="H1749">
        <v>6377</v>
      </c>
      <c r="I1749">
        <v>359661.7</v>
      </c>
    </row>
    <row r="1750" spans="2:9" customFormat="1" ht="14.4">
      <c r="B1750" s="647">
        <v>42956</v>
      </c>
      <c r="C1750">
        <v>56.3</v>
      </c>
      <c r="D1750">
        <v>56.3</v>
      </c>
      <c r="E1750">
        <v>56</v>
      </c>
      <c r="F1750">
        <v>56.1</v>
      </c>
      <c r="G1750" s="196">
        <f t="shared" si="28"/>
        <v>56.1</v>
      </c>
      <c r="H1750">
        <v>7743</v>
      </c>
      <c r="I1750">
        <v>434732.9</v>
      </c>
    </row>
    <row r="1751" spans="2:9" customFormat="1" ht="14.4">
      <c r="B1751" s="647">
        <v>42957</v>
      </c>
      <c r="C1751">
        <v>56</v>
      </c>
      <c r="D1751">
        <v>56</v>
      </c>
      <c r="E1751">
        <v>56</v>
      </c>
      <c r="F1751">
        <v>56.1</v>
      </c>
      <c r="G1751" s="196">
        <f t="shared" si="28"/>
        <v>56.1</v>
      </c>
      <c r="H1751">
        <v>52</v>
      </c>
      <c r="I1751">
        <v>2912</v>
      </c>
    </row>
    <row r="1752" spans="2:9" customFormat="1" ht="14.4">
      <c r="B1752" s="647">
        <v>42958</v>
      </c>
      <c r="C1752">
        <v>55.9</v>
      </c>
      <c r="D1752">
        <v>56</v>
      </c>
      <c r="E1752">
        <v>53.6</v>
      </c>
      <c r="F1752">
        <v>54</v>
      </c>
      <c r="G1752" s="196">
        <f t="shared" si="28"/>
        <v>54</v>
      </c>
      <c r="H1752">
        <v>8630</v>
      </c>
      <c r="I1752">
        <v>466273</v>
      </c>
    </row>
    <row r="1753" spans="2:9" customFormat="1" ht="14.4">
      <c r="B1753" s="647">
        <v>42961</v>
      </c>
      <c r="C1753">
        <v>54.1</v>
      </c>
      <c r="D1753">
        <v>55.5</v>
      </c>
      <c r="E1753">
        <v>54</v>
      </c>
      <c r="F1753">
        <v>54.1</v>
      </c>
      <c r="G1753" s="196">
        <f t="shared" si="28"/>
        <v>54.1</v>
      </c>
      <c r="H1753">
        <v>4311</v>
      </c>
      <c r="I1753">
        <v>233197.9</v>
      </c>
    </row>
    <row r="1754" spans="2:9" customFormat="1" ht="14.4">
      <c r="B1754" s="647">
        <v>42962</v>
      </c>
      <c r="C1754">
        <v>53.8</v>
      </c>
      <c r="D1754">
        <v>53.8</v>
      </c>
      <c r="E1754">
        <v>52</v>
      </c>
      <c r="F1754">
        <v>52.1</v>
      </c>
      <c r="G1754" s="196">
        <f t="shared" si="28"/>
        <v>52.1</v>
      </c>
      <c r="H1754">
        <v>14325</v>
      </c>
      <c r="I1754">
        <v>758684.7</v>
      </c>
    </row>
    <row r="1755" spans="2:9" customFormat="1" ht="14.4">
      <c r="B1755" s="647">
        <v>42963</v>
      </c>
      <c r="C1755">
        <v>50.5</v>
      </c>
      <c r="D1755">
        <v>50.5</v>
      </c>
      <c r="E1755">
        <v>49</v>
      </c>
      <c r="F1755">
        <v>50</v>
      </c>
      <c r="G1755" s="196">
        <f t="shared" si="28"/>
        <v>50</v>
      </c>
      <c r="H1755">
        <v>41662</v>
      </c>
      <c r="I1755">
        <v>2079492.3</v>
      </c>
    </row>
    <row r="1756" spans="2:9" customFormat="1" ht="14.4">
      <c r="B1756" s="647">
        <v>42964</v>
      </c>
      <c r="C1756">
        <v>49.9</v>
      </c>
      <c r="D1756">
        <v>50</v>
      </c>
      <c r="E1756">
        <v>49</v>
      </c>
      <c r="F1756">
        <v>49.5</v>
      </c>
      <c r="G1756" s="196">
        <f t="shared" si="28"/>
        <v>49.5</v>
      </c>
      <c r="H1756">
        <v>8588</v>
      </c>
      <c r="I1756">
        <v>428391.2</v>
      </c>
    </row>
    <row r="1757" spans="2:9" customFormat="1" ht="14.4">
      <c r="B1757" s="647">
        <v>42965</v>
      </c>
      <c r="C1757">
        <v>49.9</v>
      </c>
      <c r="D1757">
        <v>49.9</v>
      </c>
      <c r="E1757">
        <v>48.1</v>
      </c>
      <c r="F1757">
        <v>49.6</v>
      </c>
      <c r="G1757" s="196">
        <f t="shared" si="28"/>
        <v>49.6</v>
      </c>
      <c r="H1757">
        <v>3989</v>
      </c>
      <c r="I1757">
        <v>197474.2</v>
      </c>
    </row>
    <row r="1758" spans="2:9" customFormat="1" ht="14.4">
      <c r="B1758" s="647">
        <v>42968</v>
      </c>
      <c r="C1758">
        <v>49.8</v>
      </c>
      <c r="D1758">
        <v>49.8</v>
      </c>
      <c r="E1758">
        <v>49</v>
      </c>
      <c r="F1758">
        <v>49</v>
      </c>
      <c r="G1758" s="196">
        <f t="shared" si="28"/>
        <v>49</v>
      </c>
      <c r="H1758">
        <v>40026</v>
      </c>
      <c r="I1758">
        <v>1968533.4</v>
      </c>
    </row>
    <row r="1759" spans="2:9" customFormat="1" ht="14.4">
      <c r="B1759" s="647">
        <v>42969</v>
      </c>
      <c r="C1759">
        <v>49.1</v>
      </c>
      <c r="D1759">
        <v>49.8</v>
      </c>
      <c r="E1759">
        <v>48.6</v>
      </c>
      <c r="F1759">
        <v>49</v>
      </c>
      <c r="G1759" s="196">
        <f t="shared" si="28"/>
        <v>49</v>
      </c>
      <c r="H1759">
        <v>419006</v>
      </c>
      <c r="I1759">
        <v>20532664.800000001</v>
      </c>
    </row>
    <row r="1760" spans="2:9" customFormat="1" ht="14.4">
      <c r="B1760" s="647">
        <v>42970</v>
      </c>
      <c r="C1760">
        <v>49</v>
      </c>
      <c r="D1760">
        <v>49.8</v>
      </c>
      <c r="E1760">
        <v>49</v>
      </c>
      <c r="F1760">
        <v>49.8</v>
      </c>
      <c r="G1760" s="196">
        <f t="shared" si="28"/>
        <v>49.8</v>
      </c>
      <c r="H1760">
        <v>4947</v>
      </c>
      <c r="I1760">
        <v>243319.2</v>
      </c>
    </row>
    <row r="1761" spans="2:9" customFormat="1" ht="14.4">
      <c r="B1761" s="647">
        <v>42971</v>
      </c>
      <c r="C1761">
        <v>49.4</v>
      </c>
      <c r="D1761">
        <v>50</v>
      </c>
      <c r="E1761">
        <v>49.1</v>
      </c>
      <c r="F1761">
        <v>50</v>
      </c>
      <c r="G1761" s="196">
        <f t="shared" si="28"/>
        <v>50</v>
      </c>
      <c r="H1761">
        <v>26781</v>
      </c>
      <c r="I1761">
        <v>1336728.8999999999</v>
      </c>
    </row>
    <row r="1762" spans="2:9" customFormat="1" ht="14.4">
      <c r="B1762" s="647">
        <v>42971</v>
      </c>
      <c r="C1762" t="e">
        <v>#VALUE!</v>
      </c>
      <c r="D1762">
        <v>50</v>
      </c>
      <c r="E1762">
        <v>50</v>
      </c>
      <c r="F1762">
        <f>F1761</f>
        <v>50</v>
      </c>
      <c r="G1762" s="196">
        <f t="shared" si="28"/>
        <v>50</v>
      </c>
      <c r="H1762">
        <v>709500</v>
      </c>
      <c r="I1762">
        <v>35475000</v>
      </c>
    </row>
    <row r="1763" spans="2:9" customFormat="1" ht="14.4">
      <c r="B1763" s="647">
        <v>42972</v>
      </c>
      <c r="C1763">
        <v>50</v>
      </c>
      <c r="D1763">
        <v>50.2</v>
      </c>
      <c r="E1763">
        <v>50</v>
      </c>
      <c r="F1763">
        <v>50.1</v>
      </c>
      <c r="G1763" s="196">
        <f t="shared" si="28"/>
        <v>50.1</v>
      </c>
      <c r="H1763">
        <v>1087</v>
      </c>
      <c r="I1763">
        <v>54385</v>
      </c>
    </row>
    <row r="1764" spans="2:9" customFormat="1" ht="14.4">
      <c r="B1764" s="647">
        <v>42975</v>
      </c>
      <c r="C1764">
        <v>50.1</v>
      </c>
      <c r="D1764">
        <v>51.2</v>
      </c>
      <c r="E1764">
        <v>50</v>
      </c>
      <c r="F1764">
        <v>50</v>
      </c>
      <c r="G1764" s="196">
        <f t="shared" si="28"/>
        <v>50</v>
      </c>
      <c r="H1764">
        <v>1255</v>
      </c>
      <c r="I1764">
        <v>62865</v>
      </c>
    </row>
    <row r="1765" spans="2:9" customFormat="1" ht="14.4">
      <c r="B1765" s="647">
        <v>42976</v>
      </c>
      <c r="C1765">
        <v>49.6</v>
      </c>
      <c r="D1765">
        <v>49.6</v>
      </c>
      <c r="E1765">
        <v>49</v>
      </c>
      <c r="F1765">
        <v>49.1</v>
      </c>
      <c r="G1765" s="196">
        <f t="shared" si="28"/>
        <v>49.1</v>
      </c>
      <c r="H1765">
        <v>7100</v>
      </c>
      <c r="I1765">
        <v>348923.4</v>
      </c>
    </row>
    <row r="1766" spans="2:9" customFormat="1" ht="14.4">
      <c r="B1766" s="647">
        <v>42977</v>
      </c>
      <c r="C1766">
        <v>50</v>
      </c>
      <c r="D1766">
        <v>50</v>
      </c>
      <c r="E1766">
        <v>49</v>
      </c>
      <c r="F1766">
        <v>50</v>
      </c>
      <c r="G1766" s="196">
        <f t="shared" si="28"/>
        <v>50</v>
      </c>
      <c r="H1766">
        <v>20925</v>
      </c>
      <c r="I1766">
        <v>1025782.3</v>
      </c>
    </row>
    <row r="1767" spans="2:9" customFormat="1" ht="14.4">
      <c r="B1767" s="647">
        <v>42978</v>
      </c>
      <c r="C1767">
        <v>50</v>
      </c>
      <c r="D1767">
        <v>50</v>
      </c>
      <c r="E1767">
        <v>49.5</v>
      </c>
      <c r="F1767">
        <v>50</v>
      </c>
      <c r="G1767" s="196">
        <f t="shared" si="28"/>
        <v>50</v>
      </c>
      <c r="H1767">
        <v>21</v>
      </c>
      <c r="I1767">
        <v>1045</v>
      </c>
    </row>
    <row r="1768" spans="2:9" customFormat="1" ht="14.4">
      <c r="B1768" s="647">
        <v>42982</v>
      </c>
      <c r="C1768">
        <v>50</v>
      </c>
      <c r="D1768">
        <v>50</v>
      </c>
      <c r="E1768">
        <v>49</v>
      </c>
      <c r="F1768">
        <v>49</v>
      </c>
      <c r="G1768" s="196">
        <f t="shared" si="28"/>
        <v>49</v>
      </c>
      <c r="H1768">
        <v>1494</v>
      </c>
      <c r="I1768">
        <v>73271</v>
      </c>
    </row>
    <row r="1769" spans="2:9" customFormat="1" ht="14.4">
      <c r="B1769" s="647">
        <v>42984</v>
      </c>
      <c r="C1769">
        <v>50</v>
      </c>
      <c r="D1769">
        <v>50</v>
      </c>
      <c r="E1769">
        <v>47.7</v>
      </c>
      <c r="F1769">
        <v>48.1</v>
      </c>
      <c r="G1769" s="196">
        <f t="shared" si="28"/>
        <v>48.1</v>
      </c>
      <c r="H1769">
        <v>5526</v>
      </c>
      <c r="I1769">
        <v>265963.5</v>
      </c>
    </row>
    <row r="1770" spans="2:9" customFormat="1" ht="14.4">
      <c r="B1770" s="647">
        <v>42985</v>
      </c>
      <c r="C1770">
        <v>48</v>
      </c>
      <c r="D1770">
        <v>48</v>
      </c>
      <c r="E1770">
        <v>47.8</v>
      </c>
      <c r="F1770">
        <v>48</v>
      </c>
      <c r="G1770" s="196">
        <f t="shared" si="28"/>
        <v>48</v>
      </c>
      <c r="H1770">
        <v>3466</v>
      </c>
      <c r="I1770">
        <v>166307.79999999999</v>
      </c>
    </row>
    <row r="1771" spans="2:9" customFormat="1" ht="14.4">
      <c r="B1771" s="647">
        <v>42986</v>
      </c>
      <c r="C1771">
        <v>48</v>
      </c>
      <c r="D1771">
        <v>48.5</v>
      </c>
      <c r="E1771">
        <v>47.9</v>
      </c>
      <c r="F1771">
        <v>47.9</v>
      </c>
      <c r="G1771" s="196">
        <f t="shared" si="28"/>
        <v>47.9</v>
      </c>
      <c r="H1771">
        <v>4173</v>
      </c>
      <c r="I1771">
        <v>200747.9</v>
      </c>
    </row>
    <row r="1772" spans="2:9" customFormat="1" ht="14.4">
      <c r="B1772" s="647">
        <v>42989</v>
      </c>
      <c r="C1772">
        <v>47.9</v>
      </c>
      <c r="D1772">
        <v>47.9</v>
      </c>
      <c r="E1772">
        <v>47.5</v>
      </c>
      <c r="F1772">
        <v>47.5</v>
      </c>
      <c r="G1772" s="196">
        <f t="shared" si="28"/>
        <v>47.5</v>
      </c>
      <c r="H1772">
        <v>81995</v>
      </c>
      <c r="I1772">
        <v>3903969</v>
      </c>
    </row>
    <row r="1773" spans="2:9" customFormat="1" ht="14.4">
      <c r="B1773" s="647">
        <v>42990</v>
      </c>
      <c r="C1773">
        <v>48</v>
      </c>
      <c r="D1773">
        <v>48</v>
      </c>
      <c r="E1773">
        <v>46</v>
      </c>
      <c r="F1773">
        <v>46.1</v>
      </c>
      <c r="G1773" s="196">
        <f t="shared" si="28"/>
        <v>46.1</v>
      </c>
      <c r="H1773">
        <v>18332</v>
      </c>
      <c r="I1773">
        <v>851965.4</v>
      </c>
    </row>
    <row r="1774" spans="2:9" customFormat="1" ht="14.4">
      <c r="B1774" s="647">
        <v>42991</v>
      </c>
      <c r="C1774">
        <v>46.3</v>
      </c>
      <c r="D1774">
        <v>46.3</v>
      </c>
      <c r="E1774">
        <v>46</v>
      </c>
      <c r="F1774">
        <v>46.1</v>
      </c>
      <c r="G1774" s="196">
        <f t="shared" si="28"/>
        <v>46.1</v>
      </c>
      <c r="H1774">
        <v>3529</v>
      </c>
      <c r="I1774">
        <v>162592.79999999999</v>
      </c>
    </row>
    <row r="1775" spans="2:9" customFormat="1" ht="14.4">
      <c r="B1775" s="647">
        <v>42992</v>
      </c>
      <c r="C1775">
        <v>46.9</v>
      </c>
      <c r="D1775">
        <v>46.9</v>
      </c>
      <c r="E1775">
        <v>46.7</v>
      </c>
      <c r="F1775">
        <v>46.7</v>
      </c>
      <c r="G1775" s="196">
        <f t="shared" si="28"/>
        <v>46.7</v>
      </c>
      <c r="H1775">
        <v>111</v>
      </c>
      <c r="I1775">
        <v>5185.8999999999996</v>
      </c>
    </row>
    <row r="1776" spans="2:9" customFormat="1" ht="14.4">
      <c r="B1776" s="647">
        <v>42993</v>
      </c>
      <c r="C1776">
        <v>47.4</v>
      </c>
      <c r="D1776">
        <v>47.4</v>
      </c>
      <c r="E1776">
        <v>46.2</v>
      </c>
      <c r="F1776">
        <v>46.2</v>
      </c>
      <c r="G1776" s="196">
        <f t="shared" si="28"/>
        <v>46.2</v>
      </c>
      <c r="H1776">
        <v>3032</v>
      </c>
      <c r="I1776">
        <v>140464.70000000001</v>
      </c>
    </row>
    <row r="1777" spans="2:9" customFormat="1" ht="14.4">
      <c r="B1777" s="647">
        <v>42996</v>
      </c>
      <c r="C1777">
        <v>46.3</v>
      </c>
      <c r="D1777">
        <v>47</v>
      </c>
      <c r="E1777">
        <v>46</v>
      </c>
      <c r="F1777">
        <v>47</v>
      </c>
      <c r="G1777" s="196">
        <f t="shared" si="28"/>
        <v>47</v>
      </c>
      <c r="H1777">
        <v>3162</v>
      </c>
      <c r="I1777">
        <v>146035.20000000001</v>
      </c>
    </row>
    <row r="1778" spans="2:9" customFormat="1" ht="14.4">
      <c r="B1778" s="647">
        <v>42997</v>
      </c>
      <c r="C1778">
        <v>46.9</v>
      </c>
      <c r="D1778">
        <v>47</v>
      </c>
      <c r="E1778">
        <v>45.8</v>
      </c>
      <c r="F1778">
        <v>46.9</v>
      </c>
      <c r="G1778" s="196">
        <f t="shared" si="28"/>
        <v>46.9</v>
      </c>
      <c r="H1778">
        <v>927</v>
      </c>
      <c r="I1778">
        <v>43426.7</v>
      </c>
    </row>
    <row r="1779" spans="2:9" customFormat="1" ht="14.4">
      <c r="B1779" s="647">
        <v>42998</v>
      </c>
      <c r="C1779">
        <v>46.9</v>
      </c>
      <c r="D1779">
        <v>47</v>
      </c>
      <c r="E1779">
        <v>46.9</v>
      </c>
      <c r="F1779">
        <v>47</v>
      </c>
      <c r="G1779" s="196">
        <f t="shared" si="28"/>
        <v>47</v>
      </c>
      <c r="H1779">
        <v>630</v>
      </c>
      <c r="I1779">
        <v>29590</v>
      </c>
    </row>
    <row r="1780" spans="2:9" customFormat="1" ht="14.4">
      <c r="B1780" s="647">
        <v>42999</v>
      </c>
      <c r="C1780">
        <v>47</v>
      </c>
      <c r="D1780">
        <v>47</v>
      </c>
      <c r="E1780">
        <v>46.2</v>
      </c>
      <c r="F1780">
        <v>46.2</v>
      </c>
      <c r="G1780" s="196">
        <f t="shared" si="28"/>
        <v>46.2</v>
      </c>
      <c r="H1780">
        <v>17076</v>
      </c>
      <c r="I1780">
        <v>794809</v>
      </c>
    </row>
    <row r="1781" spans="2:9" customFormat="1" ht="14.4">
      <c r="B1781" s="647">
        <v>43000</v>
      </c>
      <c r="C1781">
        <v>46.7</v>
      </c>
      <c r="D1781">
        <v>46.7</v>
      </c>
      <c r="E1781">
        <v>45.7</v>
      </c>
      <c r="F1781">
        <v>46</v>
      </c>
      <c r="G1781" s="196">
        <f t="shared" si="28"/>
        <v>46</v>
      </c>
      <c r="H1781">
        <v>34883</v>
      </c>
      <c r="I1781">
        <v>1604260</v>
      </c>
    </row>
    <row r="1782" spans="2:9" customFormat="1" ht="14.4">
      <c r="B1782" s="647">
        <v>43003</v>
      </c>
      <c r="C1782">
        <v>46</v>
      </c>
      <c r="D1782">
        <v>46</v>
      </c>
      <c r="E1782">
        <v>45.4</v>
      </c>
      <c r="F1782">
        <v>45.5</v>
      </c>
      <c r="G1782" s="196">
        <f t="shared" si="28"/>
        <v>45.5</v>
      </c>
      <c r="H1782">
        <v>70756</v>
      </c>
      <c r="I1782">
        <v>3243726.4</v>
      </c>
    </row>
    <row r="1783" spans="2:9" customFormat="1" ht="14.4">
      <c r="B1783" s="647">
        <v>43004</v>
      </c>
      <c r="C1783">
        <v>45.3</v>
      </c>
      <c r="D1783">
        <v>45.8</v>
      </c>
      <c r="E1783">
        <v>45.3</v>
      </c>
      <c r="F1783">
        <v>45.3</v>
      </c>
      <c r="G1783" s="196">
        <f t="shared" si="28"/>
        <v>45.3</v>
      </c>
      <c r="H1783">
        <v>465</v>
      </c>
      <c r="I1783">
        <v>21070.799999999999</v>
      </c>
    </row>
    <row r="1784" spans="2:9" customFormat="1" ht="14.4">
      <c r="B1784" s="647">
        <v>43005</v>
      </c>
      <c r="C1784">
        <v>45.4</v>
      </c>
      <c r="D1784">
        <v>45.4</v>
      </c>
      <c r="E1784">
        <v>45</v>
      </c>
      <c r="F1784">
        <v>45.1</v>
      </c>
      <c r="G1784" s="196">
        <f t="shared" si="28"/>
        <v>45.1</v>
      </c>
      <c r="H1784">
        <v>13660</v>
      </c>
      <c r="I1784">
        <v>615414</v>
      </c>
    </row>
    <row r="1785" spans="2:9" customFormat="1" ht="14.4">
      <c r="B1785" s="647">
        <v>43006</v>
      </c>
      <c r="C1785">
        <v>45.1</v>
      </c>
      <c r="D1785">
        <v>45.7</v>
      </c>
      <c r="E1785">
        <v>45</v>
      </c>
      <c r="F1785">
        <v>45</v>
      </c>
      <c r="G1785" s="196">
        <f t="shared" si="28"/>
        <v>45</v>
      </c>
      <c r="H1785">
        <v>6105</v>
      </c>
      <c r="I1785">
        <v>274786.8</v>
      </c>
    </row>
    <row r="1786" spans="2:9" customFormat="1" ht="14.4">
      <c r="B1786" s="647">
        <v>43007</v>
      </c>
      <c r="C1786">
        <v>45.7</v>
      </c>
      <c r="D1786">
        <v>45.7</v>
      </c>
      <c r="E1786">
        <v>45</v>
      </c>
      <c r="F1786">
        <v>45.1</v>
      </c>
      <c r="G1786" s="196">
        <f t="shared" si="28"/>
        <v>45.1</v>
      </c>
      <c r="H1786">
        <v>13856</v>
      </c>
      <c r="I1786">
        <v>624393.80000000005</v>
      </c>
    </row>
    <row r="1787" spans="2:9" customFormat="1" ht="14.4">
      <c r="B1787" s="647">
        <v>43010</v>
      </c>
      <c r="C1787">
        <v>45.5</v>
      </c>
      <c r="D1787">
        <v>45.5</v>
      </c>
      <c r="E1787">
        <v>44.4</v>
      </c>
      <c r="F1787">
        <v>44.5</v>
      </c>
      <c r="G1787" s="196">
        <f t="shared" si="28"/>
        <v>44.5</v>
      </c>
      <c r="H1787">
        <v>2842</v>
      </c>
      <c r="I1787">
        <v>127316.5</v>
      </c>
    </row>
    <row r="1788" spans="2:9" customFormat="1" ht="14.4">
      <c r="B1788" s="647">
        <v>43011</v>
      </c>
      <c r="C1788">
        <v>44.5</v>
      </c>
      <c r="D1788">
        <v>44.5</v>
      </c>
      <c r="E1788">
        <v>42</v>
      </c>
      <c r="F1788">
        <v>42.9</v>
      </c>
      <c r="G1788" s="196">
        <f t="shared" si="28"/>
        <v>42.9</v>
      </c>
      <c r="H1788">
        <v>828229</v>
      </c>
      <c r="I1788">
        <v>34833342.899999999</v>
      </c>
    </row>
    <row r="1789" spans="2:9" customFormat="1" ht="14.4">
      <c r="B1789" s="647">
        <v>43012</v>
      </c>
      <c r="C1789">
        <v>43.5</v>
      </c>
      <c r="D1789">
        <v>43.5</v>
      </c>
      <c r="E1789">
        <v>43</v>
      </c>
      <c r="F1789">
        <v>43</v>
      </c>
      <c r="G1789" s="196">
        <f t="shared" si="28"/>
        <v>43</v>
      </c>
      <c r="H1789">
        <v>114282</v>
      </c>
      <c r="I1789">
        <v>4923097</v>
      </c>
    </row>
    <row r="1790" spans="2:9" customFormat="1" ht="14.4">
      <c r="B1790" s="647">
        <v>43014</v>
      </c>
      <c r="C1790">
        <v>43.5</v>
      </c>
      <c r="D1790">
        <v>43.5</v>
      </c>
      <c r="E1790">
        <v>43</v>
      </c>
      <c r="F1790">
        <v>43</v>
      </c>
      <c r="G1790" s="196">
        <f t="shared" si="28"/>
        <v>43</v>
      </c>
      <c r="H1790">
        <v>21947</v>
      </c>
      <c r="I1790">
        <v>946944.6</v>
      </c>
    </row>
    <row r="1791" spans="2:9" customFormat="1" ht="14.4">
      <c r="B1791" s="647">
        <v>43017</v>
      </c>
      <c r="C1791">
        <v>43.5</v>
      </c>
      <c r="D1791">
        <v>43.5</v>
      </c>
      <c r="E1791">
        <v>42.7</v>
      </c>
      <c r="F1791">
        <v>42.7</v>
      </c>
      <c r="G1791" s="196">
        <f t="shared" si="28"/>
        <v>42.7</v>
      </c>
      <c r="H1791">
        <v>11015</v>
      </c>
      <c r="I1791">
        <v>474516.3</v>
      </c>
    </row>
    <row r="1792" spans="2:9" customFormat="1" ht="14.4">
      <c r="B1792" s="647">
        <v>43018</v>
      </c>
      <c r="C1792">
        <v>42.7</v>
      </c>
      <c r="D1792">
        <v>43</v>
      </c>
      <c r="E1792">
        <v>42.2</v>
      </c>
      <c r="F1792">
        <v>42.5</v>
      </c>
      <c r="G1792" s="196">
        <f t="shared" si="28"/>
        <v>42.5</v>
      </c>
      <c r="H1792">
        <v>14660</v>
      </c>
      <c r="I1792">
        <v>622520.1</v>
      </c>
    </row>
    <row r="1793" spans="2:9" customFormat="1" ht="14.4">
      <c r="B1793" s="647">
        <v>43019</v>
      </c>
      <c r="C1793">
        <v>42.5</v>
      </c>
      <c r="D1793">
        <v>42.5</v>
      </c>
      <c r="E1793">
        <v>42.1</v>
      </c>
      <c r="F1793">
        <v>42.2</v>
      </c>
      <c r="G1793" s="196">
        <f t="shared" si="28"/>
        <v>42.2</v>
      </c>
      <c r="H1793">
        <v>3951</v>
      </c>
      <c r="I1793">
        <v>167082.1</v>
      </c>
    </row>
    <row r="1794" spans="2:9" customFormat="1" ht="14.4">
      <c r="B1794" s="647">
        <v>43020</v>
      </c>
      <c r="C1794">
        <v>42.1</v>
      </c>
      <c r="D1794">
        <v>42.9</v>
      </c>
      <c r="E1794">
        <v>42</v>
      </c>
      <c r="F1794">
        <v>42.1</v>
      </c>
      <c r="G1794" s="196">
        <f t="shared" si="28"/>
        <v>42.1</v>
      </c>
      <c r="H1794">
        <v>28603</v>
      </c>
      <c r="I1794">
        <v>1202437.3999999999</v>
      </c>
    </row>
    <row r="1795" spans="2:9" customFormat="1" ht="14.4">
      <c r="B1795" s="647">
        <v>43021</v>
      </c>
      <c r="C1795">
        <v>42.1</v>
      </c>
      <c r="D1795">
        <v>42.5</v>
      </c>
      <c r="E1795">
        <v>42</v>
      </c>
      <c r="F1795">
        <v>42.1</v>
      </c>
      <c r="G1795" s="196">
        <f t="shared" si="28"/>
        <v>42.1</v>
      </c>
      <c r="H1795">
        <v>166464</v>
      </c>
      <c r="I1795">
        <v>6993573.5</v>
      </c>
    </row>
    <row r="1796" spans="2:9" customFormat="1" ht="14.4">
      <c r="B1796" s="647">
        <v>43024</v>
      </c>
      <c r="C1796">
        <v>42.1</v>
      </c>
      <c r="D1796">
        <v>42.1</v>
      </c>
      <c r="E1796">
        <v>42</v>
      </c>
      <c r="F1796">
        <v>42</v>
      </c>
      <c r="G1796" s="196">
        <f t="shared" si="28"/>
        <v>42</v>
      </c>
      <c r="H1796">
        <v>7980</v>
      </c>
      <c r="I1796">
        <v>335301.5</v>
      </c>
    </row>
    <row r="1797" spans="2:9" customFormat="1" ht="14.4">
      <c r="B1797" s="647">
        <v>43025</v>
      </c>
      <c r="C1797">
        <v>42</v>
      </c>
      <c r="D1797">
        <v>42</v>
      </c>
      <c r="E1797">
        <v>42</v>
      </c>
      <c r="F1797">
        <v>42</v>
      </c>
      <c r="G1797" s="196">
        <f t="shared" si="28"/>
        <v>42</v>
      </c>
      <c r="H1797">
        <v>1125</v>
      </c>
      <c r="I1797">
        <v>47250</v>
      </c>
    </row>
    <row r="1798" spans="2:9" customFormat="1" ht="14.4">
      <c r="B1798" s="647">
        <v>43027</v>
      </c>
      <c r="C1798">
        <v>41.9</v>
      </c>
      <c r="D1798">
        <v>42.9</v>
      </c>
      <c r="E1798">
        <v>41.8</v>
      </c>
      <c r="F1798">
        <v>42</v>
      </c>
      <c r="G1798" s="196">
        <f t="shared" si="28"/>
        <v>42</v>
      </c>
      <c r="H1798">
        <v>21511</v>
      </c>
      <c r="I1798">
        <v>903727.6</v>
      </c>
    </row>
    <row r="1799" spans="2:9" customFormat="1" ht="14.4">
      <c r="B1799" s="647">
        <v>43028</v>
      </c>
      <c r="C1799">
        <v>42.5</v>
      </c>
      <c r="D1799">
        <v>43.4</v>
      </c>
      <c r="E1799">
        <v>42</v>
      </c>
      <c r="F1799">
        <v>42</v>
      </c>
      <c r="G1799" s="196">
        <f t="shared" si="28"/>
        <v>42</v>
      </c>
      <c r="H1799">
        <v>26319</v>
      </c>
      <c r="I1799">
        <v>1105947.3</v>
      </c>
    </row>
    <row r="1800" spans="2:9" customFormat="1" ht="14.4">
      <c r="B1800" s="647">
        <v>43031</v>
      </c>
      <c r="C1800">
        <v>43.4</v>
      </c>
      <c r="D1800">
        <v>43.9</v>
      </c>
      <c r="E1800">
        <v>42.4</v>
      </c>
      <c r="F1800">
        <v>43.8</v>
      </c>
      <c r="G1800" s="196">
        <f t="shared" si="28"/>
        <v>43.8</v>
      </c>
      <c r="H1800">
        <v>57625</v>
      </c>
      <c r="I1800">
        <v>2482365.5</v>
      </c>
    </row>
    <row r="1801" spans="2:9" customFormat="1" ht="14.4">
      <c r="B1801" s="647">
        <v>43032</v>
      </c>
      <c r="C1801">
        <v>43.8</v>
      </c>
      <c r="D1801">
        <v>43.8</v>
      </c>
      <c r="E1801">
        <v>43.3</v>
      </c>
      <c r="F1801">
        <v>43.7</v>
      </c>
      <c r="G1801" s="196">
        <f t="shared" ref="G1801:G1830" si="29">F1801</f>
        <v>43.7</v>
      </c>
      <c r="H1801">
        <v>45810</v>
      </c>
      <c r="I1801">
        <v>2001117</v>
      </c>
    </row>
    <row r="1802" spans="2:9" customFormat="1" ht="14.4">
      <c r="B1802" s="647">
        <v>43033</v>
      </c>
      <c r="C1802">
        <v>44</v>
      </c>
      <c r="D1802">
        <v>47</v>
      </c>
      <c r="E1802">
        <v>44</v>
      </c>
      <c r="F1802">
        <v>46.7</v>
      </c>
      <c r="G1802" s="196">
        <f t="shared" si="29"/>
        <v>46.7</v>
      </c>
      <c r="H1802">
        <v>487264</v>
      </c>
      <c r="I1802">
        <v>22306956.199999999</v>
      </c>
    </row>
    <row r="1803" spans="2:9" customFormat="1" ht="14.4">
      <c r="B1803" s="647">
        <v>43034</v>
      </c>
      <c r="C1803">
        <v>46.5</v>
      </c>
      <c r="D1803">
        <v>46.9</v>
      </c>
      <c r="E1803">
        <v>46</v>
      </c>
      <c r="F1803">
        <v>46</v>
      </c>
      <c r="G1803" s="196">
        <f t="shared" si="29"/>
        <v>46</v>
      </c>
      <c r="H1803">
        <v>20471</v>
      </c>
      <c r="I1803">
        <v>943206.2</v>
      </c>
    </row>
    <row r="1804" spans="2:9" customFormat="1" ht="14.4">
      <c r="B1804" s="647">
        <v>43035</v>
      </c>
      <c r="C1804">
        <v>45.9</v>
      </c>
      <c r="D1804">
        <v>45.9</v>
      </c>
      <c r="E1804">
        <v>43.3</v>
      </c>
      <c r="F1804">
        <v>44.5</v>
      </c>
      <c r="G1804" s="196">
        <f t="shared" si="29"/>
        <v>44.5</v>
      </c>
      <c r="H1804">
        <v>5705</v>
      </c>
      <c r="I1804">
        <v>256850.4</v>
      </c>
    </row>
    <row r="1805" spans="2:9" customFormat="1" ht="14.4">
      <c r="B1805" s="647">
        <v>43038</v>
      </c>
      <c r="C1805">
        <v>45</v>
      </c>
      <c r="D1805">
        <v>45</v>
      </c>
      <c r="E1805">
        <v>44</v>
      </c>
      <c r="F1805">
        <v>44</v>
      </c>
      <c r="G1805" s="196">
        <f t="shared" si="29"/>
        <v>44</v>
      </c>
      <c r="H1805">
        <v>4961</v>
      </c>
      <c r="I1805">
        <v>219799</v>
      </c>
    </row>
    <row r="1806" spans="2:9" customFormat="1" ht="14.4">
      <c r="B1806" s="647">
        <v>43039</v>
      </c>
      <c r="C1806">
        <v>44.9</v>
      </c>
      <c r="D1806">
        <v>45.3</v>
      </c>
      <c r="E1806">
        <v>44.5</v>
      </c>
      <c r="F1806">
        <v>44.5</v>
      </c>
      <c r="G1806" s="196">
        <f t="shared" si="29"/>
        <v>44.5</v>
      </c>
      <c r="H1806">
        <v>5502</v>
      </c>
      <c r="I1806">
        <v>246449.2</v>
      </c>
    </row>
    <row r="1807" spans="2:9" customFormat="1" ht="14.4">
      <c r="B1807" s="647">
        <v>43040</v>
      </c>
      <c r="C1807">
        <v>44.8</v>
      </c>
      <c r="D1807">
        <v>44.8</v>
      </c>
      <c r="E1807">
        <v>44.3</v>
      </c>
      <c r="F1807">
        <v>44.4</v>
      </c>
      <c r="G1807" s="196">
        <f t="shared" si="29"/>
        <v>44.4</v>
      </c>
      <c r="H1807">
        <v>450</v>
      </c>
      <c r="I1807">
        <v>20019.400000000001</v>
      </c>
    </row>
    <row r="1808" spans="2:9" customFormat="1" ht="14.4">
      <c r="B1808" s="647">
        <v>43041</v>
      </c>
      <c r="C1808">
        <v>44.3</v>
      </c>
      <c r="D1808">
        <v>45</v>
      </c>
      <c r="E1808">
        <v>44.1</v>
      </c>
      <c r="F1808">
        <v>44.7</v>
      </c>
      <c r="G1808" s="196">
        <f t="shared" si="29"/>
        <v>44.7</v>
      </c>
      <c r="H1808">
        <v>9568</v>
      </c>
      <c r="I1808">
        <v>428629.6</v>
      </c>
    </row>
    <row r="1809" spans="2:9" customFormat="1" ht="14.4">
      <c r="B1809" s="647">
        <v>43045</v>
      </c>
      <c r="C1809">
        <v>45.3</v>
      </c>
      <c r="D1809">
        <v>45.3</v>
      </c>
      <c r="E1809">
        <v>44.1</v>
      </c>
      <c r="F1809">
        <v>44.1</v>
      </c>
      <c r="G1809" s="196">
        <f t="shared" si="29"/>
        <v>44.1</v>
      </c>
      <c r="H1809">
        <v>4810</v>
      </c>
      <c r="I1809">
        <v>215823.1</v>
      </c>
    </row>
    <row r="1810" spans="2:9" customFormat="1" ht="14.4">
      <c r="B1810" s="647">
        <v>43046</v>
      </c>
      <c r="C1810">
        <v>44.2</v>
      </c>
      <c r="D1810">
        <v>44.2</v>
      </c>
      <c r="E1810">
        <v>44</v>
      </c>
      <c r="F1810">
        <v>44</v>
      </c>
      <c r="G1810" s="196">
        <f t="shared" si="29"/>
        <v>44</v>
      </c>
      <c r="H1810">
        <v>5210</v>
      </c>
      <c r="I1810">
        <v>229240.2</v>
      </c>
    </row>
    <row r="1811" spans="2:9" customFormat="1" ht="14.4">
      <c r="B1811" s="647">
        <v>43047</v>
      </c>
      <c r="C1811">
        <v>44.9</v>
      </c>
      <c r="D1811">
        <v>45</v>
      </c>
      <c r="E1811">
        <v>43.8</v>
      </c>
      <c r="F1811">
        <v>45</v>
      </c>
      <c r="G1811" s="196">
        <f t="shared" si="29"/>
        <v>45</v>
      </c>
      <c r="H1811">
        <v>14060</v>
      </c>
      <c r="I1811">
        <v>632379</v>
      </c>
    </row>
    <row r="1812" spans="2:9" customFormat="1" ht="14.4">
      <c r="B1812" s="647">
        <v>43048</v>
      </c>
      <c r="C1812">
        <v>44.5</v>
      </c>
      <c r="D1812">
        <v>44.6</v>
      </c>
      <c r="E1812">
        <v>44.1</v>
      </c>
      <c r="F1812">
        <v>44.1</v>
      </c>
      <c r="G1812" s="196">
        <f t="shared" si="29"/>
        <v>44.1</v>
      </c>
      <c r="H1812">
        <v>19608</v>
      </c>
      <c r="I1812">
        <v>871712.8</v>
      </c>
    </row>
    <row r="1813" spans="2:9" customFormat="1" ht="14.4">
      <c r="B1813" s="647">
        <v>43049</v>
      </c>
      <c r="C1813">
        <v>44</v>
      </c>
      <c r="D1813">
        <v>46</v>
      </c>
      <c r="E1813">
        <v>44</v>
      </c>
      <c r="F1813">
        <v>45.5</v>
      </c>
      <c r="G1813" s="196">
        <f t="shared" si="29"/>
        <v>45.5</v>
      </c>
      <c r="H1813">
        <v>54644</v>
      </c>
      <c r="I1813">
        <v>2478589.2000000002</v>
      </c>
    </row>
    <row r="1814" spans="2:9" customFormat="1" ht="14.4">
      <c r="B1814" s="647">
        <v>43052</v>
      </c>
      <c r="C1814">
        <v>45.2</v>
      </c>
      <c r="D1814">
        <v>45.6</v>
      </c>
      <c r="E1814">
        <v>45</v>
      </c>
      <c r="F1814">
        <v>45</v>
      </c>
      <c r="G1814" s="196">
        <f t="shared" si="29"/>
        <v>45</v>
      </c>
      <c r="H1814">
        <v>31985</v>
      </c>
      <c r="I1814">
        <v>1439691.3</v>
      </c>
    </row>
    <row r="1815" spans="2:9" customFormat="1" ht="14.4">
      <c r="B1815" s="647">
        <v>43053</v>
      </c>
      <c r="C1815">
        <v>44.5</v>
      </c>
      <c r="D1815">
        <v>44.5</v>
      </c>
      <c r="E1815">
        <v>44.1</v>
      </c>
      <c r="F1815">
        <v>44.1</v>
      </c>
      <c r="G1815" s="196">
        <f t="shared" si="29"/>
        <v>44.1</v>
      </c>
      <c r="H1815">
        <v>1030</v>
      </c>
      <c r="I1815">
        <v>45529</v>
      </c>
    </row>
    <row r="1816" spans="2:9" customFormat="1" ht="14.4">
      <c r="B1816" s="647">
        <v>43054</v>
      </c>
      <c r="C1816">
        <v>44</v>
      </c>
      <c r="D1816">
        <v>44</v>
      </c>
      <c r="E1816">
        <v>43</v>
      </c>
      <c r="F1816">
        <v>43</v>
      </c>
      <c r="G1816" s="196">
        <f t="shared" si="29"/>
        <v>43</v>
      </c>
      <c r="H1816">
        <v>9600</v>
      </c>
      <c r="I1816">
        <v>418201.3</v>
      </c>
    </row>
    <row r="1817" spans="2:9" customFormat="1" ht="14.4">
      <c r="B1817" s="647">
        <v>43055</v>
      </c>
      <c r="C1817">
        <v>44.5</v>
      </c>
      <c r="D1817">
        <v>46.3</v>
      </c>
      <c r="E1817">
        <v>44</v>
      </c>
      <c r="F1817">
        <v>45.5</v>
      </c>
      <c r="G1817" s="196">
        <f t="shared" si="29"/>
        <v>45.5</v>
      </c>
      <c r="H1817">
        <v>117784</v>
      </c>
      <c r="I1817">
        <v>5302667.9000000004</v>
      </c>
    </row>
    <row r="1818" spans="2:9" customFormat="1" ht="14.4">
      <c r="B1818" s="647">
        <v>43056</v>
      </c>
      <c r="C1818">
        <v>45.6</v>
      </c>
      <c r="D1818">
        <v>45.6</v>
      </c>
      <c r="E1818">
        <v>43.5</v>
      </c>
      <c r="F1818">
        <v>43.8</v>
      </c>
      <c r="G1818" s="196">
        <f t="shared" si="29"/>
        <v>43.8</v>
      </c>
      <c r="H1818">
        <v>12279</v>
      </c>
      <c r="I1818">
        <v>555112.6</v>
      </c>
    </row>
    <row r="1819" spans="2:9" customFormat="1" ht="14.4">
      <c r="B1819" s="647">
        <v>43059</v>
      </c>
      <c r="C1819">
        <v>45.4</v>
      </c>
      <c r="D1819">
        <v>45.4</v>
      </c>
      <c r="E1819">
        <v>44</v>
      </c>
      <c r="F1819">
        <v>44</v>
      </c>
      <c r="G1819" s="196">
        <f t="shared" si="29"/>
        <v>44</v>
      </c>
      <c r="H1819">
        <v>9711</v>
      </c>
      <c r="I1819">
        <v>428105</v>
      </c>
    </row>
    <row r="1820" spans="2:9" customFormat="1" ht="14.4">
      <c r="B1820" s="647">
        <v>43060</v>
      </c>
      <c r="C1820">
        <v>44.5</v>
      </c>
      <c r="D1820">
        <v>44.9</v>
      </c>
      <c r="E1820">
        <v>44.5</v>
      </c>
      <c r="F1820">
        <v>44.6</v>
      </c>
      <c r="G1820" s="196">
        <f t="shared" si="29"/>
        <v>44.6</v>
      </c>
      <c r="H1820">
        <v>370</v>
      </c>
      <c r="I1820">
        <v>16485</v>
      </c>
    </row>
    <row r="1821" spans="2:9" customFormat="1" ht="14.4">
      <c r="B1821" s="647">
        <v>43061</v>
      </c>
      <c r="C1821">
        <v>44.2</v>
      </c>
      <c r="D1821">
        <v>44.2</v>
      </c>
      <c r="E1821">
        <v>44.2</v>
      </c>
      <c r="F1821">
        <v>44.2</v>
      </c>
      <c r="G1821" s="196">
        <f t="shared" si="29"/>
        <v>44.2</v>
      </c>
      <c r="H1821">
        <v>500</v>
      </c>
      <c r="I1821">
        <v>22100</v>
      </c>
    </row>
    <row r="1822" spans="2:9" customFormat="1" ht="14.4">
      <c r="B1822" s="647">
        <v>43062</v>
      </c>
      <c r="C1822">
        <v>44.9</v>
      </c>
      <c r="D1822">
        <v>44.9</v>
      </c>
      <c r="E1822">
        <v>43.5</v>
      </c>
      <c r="F1822">
        <v>43.9</v>
      </c>
      <c r="G1822" s="196">
        <f t="shared" si="29"/>
        <v>43.9</v>
      </c>
      <c r="H1822">
        <v>1998</v>
      </c>
      <c r="I1822">
        <v>87955.3</v>
      </c>
    </row>
    <row r="1823" spans="2:9" customFormat="1" ht="14.4">
      <c r="B1823" s="647">
        <v>43063</v>
      </c>
      <c r="C1823">
        <v>44.8</v>
      </c>
      <c r="D1823">
        <v>44.8</v>
      </c>
      <c r="E1823">
        <v>43.4</v>
      </c>
      <c r="F1823">
        <v>43.9</v>
      </c>
      <c r="G1823" s="196">
        <f t="shared" si="29"/>
        <v>43.9</v>
      </c>
      <c r="H1823">
        <v>41</v>
      </c>
      <c r="I1823">
        <v>1794.8</v>
      </c>
    </row>
    <row r="1824" spans="2:9" customFormat="1" ht="14.4">
      <c r="B1824" s="647">
        <v>43066</v>
      </c>
      <c r="C1824">
        <v>43.1</v>
      </c>
      <c r="D1824">
        <v>43.1</v>
      </c>
      <c r="E1824">
        <v>43</v>
      </c>
      <c r="F1824">
        <v>43</v>
      </c>
      <c r="G1824" s="196">
        <f t="shared" si="29"/>
        <v>43</v>
      </c>
      <c r="H1824">
        <v>536</v>
      </c>
      <c r="I1824">
        <v>23070.5</v>
      </c>
    </row>
    <row r="1825" spans="1:9" customFormat="1" ht="14.4">
      <c r="B1825" s="647">
        <v>43067</v>
      </c>
      <c r="C1825">
        <v>42.5</v>
      </c>
      <c r="D1825">
        <v>43</v>
      </c>
      <c r="E1825">
        <v>42.2</v>
      </c>
      <c r="F1825">
        <v>42.2</v>
      </c>
      <c r="G1825" s="196">
        <f t="shared" si="29"/>
        <v>42.2</v>
      </c>
      <c r="H1825">
        <v>1722</v>
      </c>
      <c r="I1825">
        <v>72711.399999999994</v>
      </c>
    </row>
    <row r="1826" spans="1:9" customFormat="1" ht="14.4">
      <c r="B1826" s="647">
        <v>43068</v>
      </c>
      <c r="C1826">
        <v>42.5</v>
      </c>
      <c r="D1826">
        <v>43.7</v>
      </c>
      <c r="E1826">
        <v>42.5</v>
      </c>
      <c r="F1826">
        <v>42.5</v>
      </c>
      <c r="G1826" s="196">
        <f t="shared" si="29"/>
        <v>42.5</v>
      </c>
      <c r="H1826">
        <v>14206</v>
      </c>
      <c r="I1826">
        <v>603856.19999999995</v>
      </c>
    </row>
    <row r="1827" spans="1:9" customFormat="1" ht="14.4">
      <c r="B1827" s="647">
        <v>43069</v>
      </c>
      <c r="C1827" t="e">
        <v>#VALUE!</v>
      </c>
      <c r="D1827" t="e">
        <v>#VALUE!</v>
      </c>
      <c r="E1827" t="e">
        <v>#VALUE!</v>
      </c>
      <c r="F1827">
        <v>42.5</v>
      </c>
      <c r="G1827" s="196">
        <f t="shared" si="29"/>
        <v>42.5</v>
      </c>
      <c r="H1827">
        <v>0</v>
      </c>
      <c r="I1827">
        <v>0</v>
      </c>
    </row>
    <row r="1828" spans="1:9" customFormat="1" ht="14.4">
      <c r="B1828" s="647">
        <v>43073</v>
      </c>
      <c r="C1828">
        <v>43.5</v>
      </c>
      <c r="D1828">
        <v>43.5</v>
      </c>
      <c r="E1828">
        <v>43.5</v>
      </c>
      <c r="F1828">
        <v>42.5</v>
      </c>
      <c r="G1828" s="196">
        <f t="shared" si="29"/>
        <v>42.5</v>
      </c>
      <c r="H1828">
        <v>29</v>
      </c>
      <c r="I1828">
        <v>1261.5</v>
      </c>
    </row>
    <row r="1829" spans="1:9" customFormat="1" ht="14.4">
      <c r="B1829" s="647">
        <v>43074</v>
      </c>
      <c r="C1829">
        <v>43</v>
      </c>
      <c r="D1829">
        <v>43.8</v>
      </c>
      <c r="E1829">
        <v>42.6</v>
      </c>
      <c r="F1829">
        <v>42.7</v>
      </c>
      <c r="G1829" s="196">
        <f t="shared" si="29"/>
        <v>42.7</v>
      </c>
      <c r="H1829">
        <v>1550</v>
      </c>
      <c r="I1829">
        <v>66670</v>
      </c>
    </row>
    <row r="1830" spans="1:9" customFormat="1" ht="14.4">
      <c r="B1830" s="647">
        <v>43075</v>
      </c>
      <c r="C1830">
        <v>42.7</v>
      </c>
      <c r="D1830">
        <v>42.7</v>
      </c>
      <c r="E1830">
        <v>42.5</v>
      </c>
      <c r="F1830">
        <v>42.5</v>
      </c>
      <c r="G1830" s="196">
        <f t="shared" si="29"/>
        <v>42.5</v>
      </c>
      <c r="H1830">
        <v>625</v>
      </c>
      <c r="I1830">
        <v>26581.7</v>
      </c>
    </row>
    <row r="1837" spans="1:9">
      <c r="A1837" s="211" t="s">
        <v>454</v>
      </c>
      <c r="B1837" s="211"/>
      <c r="C1837" s="211"/>
      <c r="D1837" s="211"/>
      <c r="E1837" s="211"/>
      <c r="F1837" s="211"/>
    </row>
    <row r="1838" spans="1:9">
      <c r="A1838" s="650">
        <v>43076</v>
      </c>
      <c r="B1838" s="211" t="s">
        <v>2876</v>
      </c>
      <c r="C1838" s="651">
        <f>VLOOKUP(A1838,'ASPIv ACL'!B:E,2,FALSE)</f>
        <v>6382.95</v>
      </c>
      <c r="D1838" s="211"/>
      <c r="E1838" s="652"/>
      <c r="F1838" s="211"/>
    </row>
    <row r="1839" spans="1:9">
      <c r="A1839" s="650">
        <f>EDATE(A1838,-1)</f>
        <v>43046</v>
      </c>
      <c r="B1839" s="211" t="s">
        <v>2873</v>
      </c>
      <c r="C1839" s="651">
        <f>VLOOKUP(A1839,'ASPIv ACL'!B:E,2,FALSE)</f>
        <v>6595.89</v>
      </c>
      <c r="D1839" s="211"/>
      <c r="E1839" s="652">
        <f>C1838/C1839-1</f>
        <v>-3.2283740329205113E-2</v>
      </c>
      <c r="F1839" s="211"/>
    </row>
    <row r="1840" spans="1:9">
      <c r="A1840" s="650">
        <f>EDATE(A1838,-3)</f>
        <v>42985</v>
      </c>
      <c r="B1840" s="211" t="s">
        <v>2874</v>
      </c>
      <c r="C1840" s="651">
        <f>VLOOKUP(A1840,'ASPIv ACL'!B:E,2,FALSE)</f>
        <v>6362.18</v>
      </c>
      <c r="D1840" s="211"/>
      <c r="E1840" s="652">
        <f>C1838/C1840-1</f>
        <v>3.2646042708630585E-3</v>
      </c>
      <c r="F1840" s="211"/>
    </row>
    <row r="1841" spans="1:6">
      <c r="A1841" s="650">
        <f>EDATE(A1838,-12)</f>
        <v>42711</v>
      </c>
      <c r="B1841" s="211" t="s">
        <v>2875</v>
      </c>
      <c r="C1841" s="651">
        <f>VLOOKUP(A1841,'ASPIv ACL'!B:E,2,FALSE)</f>
        <v>6327.3</v>
      </c>
      <c r="D1841" s="211"/>
      <c r="E1841" s="652">
        <f>C1838/C1841-1</f>
        <v>8.7952207102555136E-3</v>
      </c>
      <c r="F1841" s="211"/>
    </row>
    <row r="1842" spans="1:6">
      <c r="A1842" s="211"/>
      <c r="B1842" s="211"/>
      <c r="C1842" s="211"/>
      <c r="D1842" s="211"/>
      <c r="E1842" s="211"/>
      <c r="F1842" s="211"/>
    </row>
    <row r="1843" spans="1:6">
      <c r="A1843" s="211" t="s">
        <v>127</v>
      </c>
      <c r="B1843" s="211"/>
      <c r="C1843" s="211"/>
      <c r="D1843" s="211"/>
      <c r="E1843" s="211"/>
      <c r="F1843" s="211"/>
    </row>
    <row r="1844" spans="1:6">
      <c r="A1844" s="650">
        <f>A1838</f>
        <v>43076</v>
      </c>
      <c r="B1844" s="211" t="s">
        <v>2876</v>
      </c>
      <c r="C1844" s="651">
        <f>VLOOKUP(A1844,'ASPIv ACL'!B:E,4,FALSE)</f>
        <v>42.5</v>
      </c>
      <c r="D1844" s="211"/>
      <c r="E1844" s="211"/>
      <c r="F1844" s="211"/>
    </row>
    <row r="1845" spans="1:6">
      <c r="A1845" s="650">
        <f t="shared" ref="A1845:A1847" si="30">A1839</f>
        <v>43046</v>
      </c>
      <c r="B1845" s="211" t="s">
        <v>2873</v>
      </c>
      <c r="C1845" s="651">
        <f>VLOOKUP(A1845,'ASPIv ACL'!B:E,4,FALSE)</f>
        <v>44</v>
      </c>
      <c r="D1845" s="211"/>
      <c r="E1845" s="652">
        <f>C1844/C1845-1</f>
        <v>-3.4090909090909061E-2</v>
      </c>
      <c r="F1845" s="211"/>
    </row>
    <row r="1846" spans="1:6">
      <c r="A1846" s="650">
        <f t="shared" si="30"/>
        <v>42985</v>
      </c>
      <c r="B1846" s="211" t="s">
        <v>2874</v>
      </c>
      <c r="C1846" s="651">
        <f>VLOOKUP(A1846,'ASPIv ACL'!B:E,4,FALSE)</f>
        <v>48</v>
      </c>
      <c r="D1846" s="211"/>
      <c r="E1846" s="652">
        <f>C1844/C1846-1</f>
        <v>-0.11458333333333337</v>
      </c>
      <c r="F1846" s="211"/>
    </row>
    <row r="1847" spans="1:6">
      <c r="A1847" s="650">
        <f t="shared" si="30"/>
        <v>42711</v>
      </c>
      <c r="B1847" s="211" t="s">
        <v>2875</v>
      </c>
      <c r="C1847" s="651">
        <f>VLOOKUP(A1847,'ASPIv ACL'!B:E,4,FALSE)</f>
        <v>60</v>
      </c>
      <c r="D1847" s="211"/>
      <c r="E1847" s="652">
        <f>C1844/C1847-1</f>
        <v>-0.29166666666666663</v>
      </c>
      <c r="F1847" s="211"/>
    </row>
    <row r="1848" spans="1:6">
      <c r="A1848" s="211"/>
      <c r="B1848" s="211"/>
      <c r="C1848" s="211"/>
      <c r="D1848" s="211"/>
      <c r="E1848" s="211"/>
      <c r="F1848" s="211"/>
    </row>
    <row r="1849" spans="1:6">
      <c r="A1849" s="211"/>
      <c r="B1849" s="211" t="s">
        <v>3932</v>
      </c>
      <c r="C1849" s="654">
        <f>AVERAGE($H$1587:$H$1830)</f>
        <v>32924.827868852459</v>
      </c>
      <c r="D1849" s="211"/>
      <c r="E1849" s="211"/>
      <c r="F1849" s="211"/>
    </row>
    <row r="1850" spans="1:6">
      <c r="A1850" s="211"/>
      <c r="B1850" s="211" t="s">
        <v>3933</v>
      </c>
      <c r="C1850" s="654">
        <f>AVERAGE($I$1587:$I$1830)</f>
        <v>1749820.4106557374</v>
      </c>
      <c r="D1850" s="211"/>
      <c r="E1850" s="211"/>
      <c r="F1850" s="211"/>
    </row>
    <row r="1851" spans="1:6">
      <c r="A1851" s="211"/>
      <c r="B1851" s="211"/>
      <c r="C1851" s="211"/>
      <c r="D1851" s="211"/>
      <c r="E1851" s="211"/>
      <c r="F1851" s="211"/>
    </row>
    <row r="1852" spans="1:6">
      <c r="A1852" s="211"/>
      <c r="B1852" s="211"/>
      <c r="C1852" s="211"/>
      <c r="D1852" s="211"/>
      <c r="E1852" s="211"/>
      <c r="F1852" s="211"/>
    </row>
    <row r="1853" spans="1:6">
      <c r="A1853" s="211" t="s">
        <v>131</v>
      </c>
      <c r="B1853" s="211"/>
      <c r="C1853" s="653">
        <f>MAX($G$1589:$G$1830)</f>
        <v>64.400000000000006</v>
      </c>
      <c r="D1853" s="211"/>
      <c r="E1853" s="211"/>
      <c r="F1853" s="211"/>
    </row>
    <row r="1854" spans="1:6">
      <c r="A1854" s="211" t="s">
        <v>132</v>
      </c>
      <c r="B1854" s="211"/>
      <c r="C1854" s="653">
        <f>MIN($G$1589:$G$1830)</f>
        <v>42</v>
      </c>
      <c r="D1854" s="211"/>
      <c r="E1854" s="211"/>
      <c r="F1854" s="211"/>
    </row>
  </sheetData>
  <mergeCells count="1">
    <mergeCell ref="A1:I1"/>
  </mergeCells>
  <pageMargins left="0.75" right="0.75" top="1" bottom="1" header="0.5" footer="0.5"/>
  <pageSetup orientation="portrait" horizontalDpi="300" verticalDpi="300" copies="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FFC000"/>
  </sheetPr>
  <dimension ref="B3:AE73"/>
  <sheetViews>
    <sheetView showGridLines="0" zoomScaleNormal="100" workbookViewId="0">
      <selection activeCell="H11" sqref="H11"/>
    </sheetView>
  </sheetViews>
  <sheetFormatPr defaultColWidth="9.109375" defaultRowHeight="14.4"/>
  <cols>
    <col min="2" max="2" width="24.109375" bestFit="1" customWidth="1"/>
    <col min="3" max="3" width="9" hidden="1" customWidth="1"/>
    <col min="4" max="4" width="9" customWidth="1"/>
    <col min="5" max="5" width="7.5546875" customWidth="1"/>
    <col min="6" max="6" width="24.109375" bestFit="1" customWidth="1"/>
    <col min="7" max="7" width="9.6640625" hidden="1" customWidth="1"/>
    <col min="8" max="9" width="9.6640625" customWidth="1"/>
    <col min="10" max="10" width="14.44140625" customWidth="1"/>
    <col min="11" max="11" width="4.5546875" customWidth="1"/>
    <col min="13" max="13" width="11.44140625" customWidth="1"/>
    <col min="14" max="14" width="6.109375" customWidth="1"/>
    <col min="16" max="16" width="29.109375" customWidth="1"/>
    <col min="17" max="17" width="10.109375" hidden="1" customWidth="1"/>
    <col min="18" max="18" width="10.109375" customWidth="1"/>
    <col min="20" max="20" width="8.88671875" customWidth="1"/>
    <col min="21" max="21" width="4" customWidth="1"/>
    <col min="22" max="26" width="5.44140625" customWidth="1"/>
    <col min="28" max="28" width="9.109375" customWidth="1"/>
    <col min="29" max="29" width="18.33203125" bestFit="1" customWidth="1"/>
    <col min="30" max="30" width="9.5546875" hidden="1" customWidth="1"/>
    <col min="31" max="31" width="9.5546875" bestFit="1" customWidth="1"/>
  </cols>
  <sheetData>
    <row r="3" spans="2:10">
      <c r="B3" s="3" t="s">
        <v>2997</v>
      </c>
      <c r="C3" s="92" t="s">
        <v>151</v>
      </c>
      <c r="D3" s="92" t="s">
        <v>152</v>
      </c>
    </row>
    <row r="4" spans="2:10">
      <c r="B4" s="557" t="s">
        <v>3902</v>
      </c>
      <c r="C4" s="558">
        <f>Summary!H32</f>
        <v>8.2268449486411104</v>
      </c>
      <c r="D4" s="558">
        <f>Summary!I32</f>
        <v>36.9501636171847</v>
      </c>
    </row>
    <row r="5" spans="2:10">
      <c r="B5" s="557" t="s">
        <v>2959</v>
      </c>
      <c r="C5" s="558">
        <f>Summary!H33</f>
        <v>74.655756667481342</v>
      </c>
      <c r="D5" s="558">
        <f>Summary!I33</f>
        <v>50.719796784586578</v>
      </c>
    </row>
    <row r="6" spans="2:10">
      <c r="B6" s="559" t="s">
        <v>2960</v>
      </c>
      <c r="C6" s="560">
        <f>Summary!H42</f>
        <v>41</v>
      </c>
      <c r="D6" s="561">
        <f>Summary!I42</f>
        <v>44</v>
      </c>
    </row>
    <row r="9" spans="2:10">
      <c r="F9" s="3" t="s">
        <v>320</v>
      </c>
      <c r="G9" s="92" t="s">
        <v>151</v>
      </c>
      <c r="H9" s="92" t="s">
        <v>152</v>
      </c>
    </row>
    <row r="10" spans="2:10">
      <c r="F10" s="557" t="s">
        <v>316</v>
      </c>
      <c r="G10" s="587">
        <f>Summary!H42</f>
        <v>41</v>
      </c>
      <c r="H10" s="587">
        <f>Summary!I42</f>
        <v>44</v>
      </c>
    </row>
    <row r="11" spans="2:10">
      <c r="F11" s="557" t="s">
        <v>319</v>
      </c>
      <c r="G11" s="587">
        <f>DCF!G50</f>
        <v>43</v>
      </c>
      <c r="H11" s="587">
        <f>DCF!G50</f>
        <v>43</v>
      </c>
      <c r="I11" s="262"/>
      <c r="J11" s="262"/>
    </row>
    <row r="12" spans="2:10" ht="4.5" customHeight="1">
      <c r="F12" s="562"/>
      <c r="G12" s="597"/>
      <c r="H12" s="597"/>
    </row>
    <row r="13" spans="2:10">
      <c r="F13" s="557" t="s">
        <v>2961</v>
      </c>
      <c r="G13" s="587">
        <f>G10-G11</f>
        <v>-2</v>
      </c>
      <c r="H13" s="587">
        <f>H10-H11</f>
        <v>1</v>
      </c>
      <c r="I13" s="262"/>
      <c r="J13" s="262"/>
    </row>
    <row r="14" spans="2:10">
      <c r="F14" s="557" t="s">
        <v>3936</v>
      </c>
      <c r="G14" s="587">
        <f>DCF!H6</f>
        <v>1.5</v>
      </c>
      <c r="H14" s="587">
        <f>DCF!I6</f>
        <v>0.95099618971099831</v>
      </c>
      <c r="I14" s="410"/>
      <c r="J14" s="410"/>
    </row>
    <row r="15" spans="2:10" ht="4.5" customHeight="1">
      <c r="F15" s="562"/>
      <c r="G15" s="597"/>
      <c r="H15" s="597"/>
    </row>
    <row r="16" spans="2:10">
      <c r="F16" s="557" t="s">
        <v>2963</v>
      </c>
      <c r="G16" s="563">
        <f>G13/G11</f>
        <v>-4.6511627906976744E-2</v>
      </c>
      <c r="H16" s="563">
        <f>H13/H11</f>
        <v>2.3255813953488372E-2</v>
      </c>
    </row>
    <row r="17" spans="6:14">
      <c r="F17" s="557" t="s">
        <v>2962</v>
      </c>
      <c r="G17" s="563">
        <f>G14/G11</f>
        <v>3.4883720930232558E-2</v>
      </c>
      <c r="H17" s="563">
        <f>H14/H11</f>
        <v>2.2116190458395309E-2</v>
      </c>
      <c r="N17" s="17"/>
    </row>
    <row r="18" spans="6:14">
      <c r="F18" s="3" t="s">
        <v>2964</v>
      </c>
      <c r="G18" s="564">
        <f>G17+G16</f>
        <v>-1.1627906976744186E-2</v>
      </c>
      <c r="H18" s="564">
        <f>Summary!I48</f>
        <v>4.537200441188368E-2</v>
      </c>
    </row>
    <row r="19" spans="6:14" ht="16.2">
      <c r="F19" s="3" t="s">
        <v>3938</v>
      </c>
      <c r="G19" s="564">
        <f>((1+G16)^(12/6))-1</f>
        <v>-9.0859924283396398E-2</v>
      </c>
      <c r="H19" s="564">
        <f ca="1">Summary!I49</f>
        <v>-5.3823555113570176E-3</v>
      </c>
    </row>
    <row r="20" spans="6:14" ht="12.75" customHeight="1">
      <c r="F20" s="626" t="s">
        <v>3937</v>
      </c>
      <c r="G20" s="626"/>
      <c r="H20" s="626"/>
      <c r="I20" s="626"/>
    </row>
    <row r="21" spans="6:14" ht="15" customHeight="1">
      <c r="F21" s="566"/>
      <c r="G21" s="566"/>
    </row>
    <row r="22" spans="6:14" ht="15" customHeight="1"/>
    <row r="23" spans="6:14" ht="18.45" customHeight="1">
      <c r="J23" s="3" t="s">
        <v>2966</v>
      </c>
      <c r="K23" s="3"/>
    </row>
    <row r="24" spans="6:14" ht="18.45" customHeight="1">
      <c r="J24" s="557" t="s">
        <v>3889</v>
      </c>
      <c r="K24" s="563">
        <f>DCF!G41</f>
        <v>9.5399999999999999E-2</v>
      </c>
    </row>
    <row r="25" spans="6:14" ht="18.45" customHeight="1">
      <c r="J25" s="557" t="s">
        <v>3890</v>
      </c>
      <c r="K25" s="563">
        <f>DCF!G43</f>
        <v>0.18540000000000001</v>
      </c>
    </row>
    <row r="26" spans="6:14" ht="18.45" customHeight="1">
      <c r="J26" s="557" t="s">
        <v>3891</v>
      </c>
      <c r="K26" s="563">
        <f>K25-K24</f>
        <v>9.0000000000000011E-2</v>
      </c>
    </row>
    <row r="27" spans="6:14" ht="18.45" customHeight="1">
      <c r="J27" s="567" t="s">
        <v>2967</v>
      </c>
      <c r="K27" s="557">
        <f>DCF!G42</f>
        <v>0.89839999999999998</v>
      </c>
    </row>
    <row r="28" spans="6:14" ht="18.45" customHeight="1">
      <c r="J28" s="568" t="s">
        <v>3892</v>
      </c>
      <c r="K28" s="564">
        <f>DCF!G40</f>
        <v>0.17625600000000002</v>
      </c>
    </row>
    <row r="30" spans="6:14" ht="15.75" customHeight="1">
      <c r="M30" s="569" t="s">
        <v>333</v>
      </c>
      <c r="N30" s="570"/>
    </row>
    <row r="31" spans="6:14" ht="15.75" customHeight="1">
      <c r="M31" s="571" t="s">
        <v>3893</v>
      </c>
      <c r="N31" s="572">
        <f>DCF!G40</f>
        <v>0.17625600000000002</v>
      </c>
    </row>
    <row r="32" spans="6:14" ht="15.75" customHeight="1">
      <c r="M32" s="571" t="s">
        <v>3894</v>
      </c>
      <c r="N32" s="572">
        <f>DCF!G44</f>
        <v>8.537662866103389E-2</v>
      </c>
    </row>
    <row r="33" spans="13:26" ht="15.75" customHeight="1">
      <c r="M33" s="571" t="s">
        <v>2994</v>
      </c>
      <c r="N33" s="573" t="str">
        <f>(DCF!H48*100)&amp;" /"&amp;(DCF!H47*100)</f>
        <v>40 /60</v>
      </c>
    </row>
    <row r="34" spans="13:26" ht="15.75" customHeight="1">
      <c r="M34" s="696" t="s">
        <v>3903</v>
      </c>
      <c r="N34" s="573"/>
    </row>
    <row r="35" spans="13:26" ht="15.75" customHeight="1">
      <c r="M35" s="696"/>
      <c r="N35" s="573">
        <f>DCF!G37</f>
        <v>0.03</v>
      </c>
    </row>
    <row r="36" spans="13:26" ht="15.75" customHeight="1">
      <c r="M36" s="3" t="s">
        <v>333</v>
      </c>
      <c r="N36" s="564">
        <f>DCF!G49</f>
        <v>0.13990425146441357</v>
      </c>
    </row>
    <row r="37" spans="13:26" ht="15.75" customHeight="1"/>
    <row r="38" spans="13:26" ht="15.75" customHeight="1"/>
    <row r="39" spans="13:26" ht="15.75" customHeight="1">
      <c r="P39" s="3" t="s">
        <v>458</v>
      </c>
      <c r="Q39" s="92" t="s">
        <v>151</v>
      </c>
      <c r="R39" s="92" t="s">
        <v>152</v>
      </c>
    </row>
    <row r="40" spans="13:26" ht="15.75" customHeight="1">
      <c r="P40" s="557" t="s">
        <v>2982</v>
      </c>
      <c r="Q40" s="574">
        <f>DCF!H29</f>
        <v>1153.0030375270542</v>
      </c>
      <c r="R40" s="574">
        <f>DCF!I29</f>
        <v>4778.9245766080385</v>
      </c>
    </row>
    <row r="41" spans="13:26" ht="15.75" customHeight="1">
      <c r="P41" s="557" t="s">
        <v>381</v>
      </c>
      <c r="Q41" s="574">
        <f>DCF!H30</f>
        <v>2795.2539999999999</v>
      </c>
      <c r="R41" s="574">
        <f>DCF!I30</f>
        <v>2992.9235767353562</v>
      </c>
    </row>
    <row r="42" spans="13:26" ht="15.75" customHeight="1">
      <c r="P42" s="557" t="s">
        <v>3901</v>
      </c>
      <c r="Q42" s="574">
        <f>DCF!H31</f>
        <v>2627.723</v>
      </c>
      <c r="R42" s="574">
        <f>DCF!I31</f>
        <v>2640.1615513979236</v>
      </c>
    </row>
    <row r="43" spans="13:26" ht="15.75" customHeight="1">
      <c r="P43" s="557" t="s">
        <v>2983</v>
      </c>
      <c r="Q43" s="574">
        <f>DCF!H32</f>
        <v>985.47203752705423</v>
      </c>
      <c r="R43" s="574">
        <f>DCF!I32</f>
        <v>4426.1625512706059</v>
      </c>
    </row>
    <row r="44" spans="13:26" ht="15.75" customHeight="1">
      <c r="P44" s="557" t="s">
        <v>2968</v>
      </c>
      <c r="Q44" s="574">
        <f>DCF!G51</f>
        <v>119.78736000000001</v>
      </c>
      <c r="R44" s="574">
        <f>DCF!G51</f>
        <v>119.78736000000001</v>
      </c>
    </row>
    <row r="45" spans="13:26" ht="15.75" customHeight="1">
      <c r="P45" s="3" t="s">
        <v>2973</v>
      </c>
      <c r="Q45" s="598">
        <f>DCF!H33</f>
        <v>8.2268449486411104</v>
      </c>
      <c r="R45" s="598">
        <f>DCF!I33</f>
        <v>36.9501636171847</v>
      </c>
    </row>
    <row r="46" spans="13:26" ht="15.75" customHeight="1"/>
    <row r="47" spans="13:26" ht="15.75" customHeight="1"/>
    <row r="48" spans="13:26" ht="15.75" customHeight="1">
      <c r="T48" s="3"/>
      <c r="U48" s="3"/>
      <c r="V48" s="3"/>
      <c r="W48" s="697" t="str">
        <f>DCF!E61</f>
        <v>WACC</v>
      </c>
      <c r="X48" s="697"/>
      <c r="Y48" s="3"/>
      <c r="Z48" s="3"/>
    </row>
    <row r="49" spans="20:26" ht="15.75" customHeight="1">
      <c r="T49" s="695" t="str">
        <f>DCF!B62</f>
        <v>Terminal growth rate</v>
      </c>
      <c r="U49" s="575">
        <f>DCF!C62</f>
        <v>59.707912759503202</v>
      </c>
      <c r="V49" s="576">
        <f>DCF!D62</f>
        <v>9.4803200000000004E-2</v>
      </c>
      <c r="W49" s="576">
        <f>DCF!E62</f>
        <v>0.11480320000000001</v>
      </c>
      <c r="X49" s="576">
        <f>DCF!F62</f>
        <v>0.13990425146441357</v>
      </c>
      <c r="Y49" s="576">
        <f>DCF!G62</f>
        <v>0.1548032</v>
      </c>
      <c r="Z49" s="576">
        <f>DCF!H62</f>
        <v>0.17480319999999999</v>
      </c>
    </row>
    <row r="50" spans="20:26" ht="15.75" customHeight="1">
      <c r="T50" s="695"/>
      <c r="U50" s="576">
        <f>DCF!C63</f>
        <v>9.9999999999999967E-3</v>
      </c>
      <c r="V50" s="577">
        <f>DCF!D63</f>
        <v>66.44306700007796</v>
      </c>
      <c r="W50" s="577">
        <f>DCF!E63</f>
        <v>61.750763968923053</v>
      </c>
      <c r="X50" s="578">
        <f>DCF!F63</f>
        <v>57.803887514526721</v>
      </c>
      <c r="Y50" s="577">
        <f>DCF!G63</f>
        <v>56.064587590061805</v>
      </c>
      <c r="Z50" s="577">
        <f>DCF!H63</f>
        <v>54.183457597517112</v>
      </c>
    </row>
    <row r="51" spans="20:26" ht="15.75" customHeight="1">
      <c r="T51" s="695"/>
      <c r="U51" s="576">
        <f>DCF!C64</f>
        <v>1.9999999999999997E-2</v>
      </c>
      <c r="V51" s="577">
        <f>DCF!D64</f>
        <v>68.861561436432339</v>
      </c>
      <c r="W51" s="577">
        <f>DCF!E64</f>
        <v>63.21325605346064</v>
      </c>
      <c r="X51" s="579">
        <f>DCF!F64</f>
        <v>58.676502399998867</v>
      </c>
      <c r="Y51" s="577">
        <f>DCF!G64</f>
        <v>56.734292352412908</v>
      </c>
      <c r="Z51" s="577">
        <f>DCF!H64</f>
        <v>54.670138996599341</v>
      </c>
    </row>
    <row r="52" spans="20:26" ht="15.75" customHeight="1">
      <c r="T52" s="695"/>
      <c r="U52" s="576">
        <f>DCF!C65</f>
        <v>0.03</v>
      </c>
      <c r="V52" s="580">
        <f>DCF!D65</f>
        <v>72.026467913042254</v>
      </c>
      <c r="W52" s="581">
        <f>DCF!E65</f>
        <v>65.020662500790564</v>
      </c>
      <c r="X52" s="582">
        <f>DCF!F65</f>
        <v>59.707912759503202</v>
      </c>
      <c r="Y52" s="583">
        <f>DCF!G65</f>
        <v>57.511318844070814</v>
      </c>
      <c r="Z52" s="579">
        <f>DCF!H65</f>
        <v>55.224040097881833</v>
      </c>
    </row>
    <row r="53" spans="20:26" ht="15.75" customHeight="1">
      <c r="T53" s="695"/>
      <c r="U53" s="576">
        <f>DCF!C66</f>
        <v>0.04</v>
      </c>
      <c r="V53" s="577">
        <f>DCF!D66</f>
        <v>76.346382300361739</v>
      </c>
      <c r="W53" s="577">
        <f>DCF!E66</f>
        <v>67.311312030590202</v>
      </c>
      <c r="X53" s="579">
        <f>DCF!F66</f>
        <v>60.945802892267572</v>
      </c>
      <c r="Y53" s="577">
        <f>DCF!G66</f>
        <v>58.423712031370982</v>
      </c>
      <c r="Z53" s="577">
        <f>DCF!H66</f>
        <v>55.860120420619374</v>
      </c>
    </row>
    <row r="54" spans="20:26" ht="15.75" customHeight="1">
      <c r="T54" s="695"/>
      <c r="U54" s="576">
        <f>DCF!C67</f>
        <v>0.05</v>
      </c>
      <c r="V54" s="577">
        <f>DCF!D67</f>
        <v>82.594692153772712</v>
      </c>
      <c r="W54" s="577">
        <f>DCF!E67</f>
        <v>70.308917244615216</v>
      </c>
      <c r="X54" s="579">
        <f>DCF!F67</f>
        <v>62.459072690086913</v>
      </c>
      <c r="Y54" s="577">
        <f>DCF!G67</f>
        <v>59.510220739437727</v>
      </c>
      <c r="Z54" s="577">
        <f>DCF!H67</f>
        <v>56.598134078838306</v>
      </c>
    </row>
    <row r="55" spans="20:26" ht="15.75" customHeight="1"/>
    <row r="56" spans="20:26" ht="15.75" customHeight="1"/>
    <row r="57" spans="20:26" ht="15.75" customHeight="1">
      <c r="T57" s="3"/>
      <c r="U57" s="3"/>
      <c r="V57" s="3"/>
      <c r="W57" s="697" t="str">
        <f>W48</f>
        <v>WACC</v>
      </c>
      <c r="X57" s="697"/>
      <c r="Y57" s="3"/>
      <c r="Z57" s="3"/>
    </row>
    <row r="58" spans="20:26" ht="15.75" customHeight="1">
      <c r="T58" s="695" t="str">
        <f>T49</f>
        <v>Terminal growth rate</v>
      </c>
      <c r="U58" s="575"/>
      <c r="V58" s="576">
        <f>DCF!D72</f>
        <v>9.5592799999999978E-2</v>
      </c>
      <c r="W58" s="576">
        <f>DCF!E72</f>
        <v>0.11559279999999998</v>
      </c>
      <c r="X58" s="584">
        <f>DCF!F72</f>
        <v>0.13559279999999999</v>
      </c>
      <c r="Y58" s="576">
        <f>DCF!G72</f>
        <v>0.15559279999999998</v>
      </c>
      <c r="Z58" s="576">
        <f>DCF!H72</f>
        <v>0.17559279999999997</v>
      </c>
    </row>
    <row r="59" spans="20:26" ht="15.75" customHeight="1">
      <c r="T59" s="695"/>
      <c r="U59" s="576">
        <f>DCF!C73</f>
        <v>9.9999999999999967E-3</v>
      </c>
      <c r="V59" s="577">
        <f>DCF!D73</f>
        <v>50.349950531227144</v>
      </c>
      <c r="W59" s="577">
        <f>DCF!E73</f>
        <v>41.15857015300486</v>
      </c>
      <c r="X59" s="579">
        <f>DCF!F73</f>
        <v>34.749111043317512</v>
      </c>
      <c r="Y59" s="577">
        <f>DCF!G73</f>
        <v>29.992344374883725</v>
      </c>
      <c r="Z59" s="577">
        <f>DCF!H73</f>
        <v>26.302579770607888</v>
      </c>
    </row>
    <row r="60" spans="20:26" ht="15.75" customHeight="1">
      <c r="T60" s="695"/>
      <c r="U60" s="576">
        <f>DCF!C74</f>
        <v>1.9999999999999997E-2</v>
      </c>
      <c r="V60" s="577">
        <f>DCF!D74</f>
        <v>54.669130856829433</v>
      </c>
      <c r="W60" s="577">
        <f>DCF!E74</f>
        <v>43.733903079392746</v>
      </c>
      <c r="X60" s="579">
        <f>DCF!F74</f>
        <v>36.416855985600542</v>
      </c>
      <c r="Y60" s="577">
        <f>DCF!G74</f>
        <v>31.13606471189043</v>
      </c>
      <c r="Z60" s="577">
        <f>DCF!H74</f>
        <v>27.120775227903856</v>
      </c>
    </row>
    <row r="61" spans="20:26" ht="15.75" customHeight="1">
      <c r="T61" s="695"/>
      <c r="U61" s="576">
        <f>DCF!C75</f>
        <v>0.03</v>
      </c>
      <c r="V61" s="580">
        <f>DCF!D75</f>
        <v>60.305278997680432</v>
      </c>
      <c r="W61" s="581">
        <f>DCF!E75</f>
        <v>46.91099992199505</v>
      </c>
      <c r="X61" s="582">
        <f>DCF!F75</f>
        <v>38.400483249837912</v>
      </c>
      <c r="Y61" s="583">
        <f>DCF!G75</f>
        <v>32.461916562328909</v>
      </c>
      <c r="Z61" s="579">
        <f>DCF!H75</f>
        <v>28.051365729088804</v>
      </c>
    </row>
    <row r="62" spans="20:26" ht="15.75" customHeight="1">
      <c r="T62" s="695"/>
      <c r="U62" s="576">
        <f>DCF!C76</f>
        <v>0.04</v>
      </c>
      <c r="V62" s="577">
        <f>DCF!D76</f>
        <v>67.969081130001911</v>
      </c>
      <c r="W62" s="577">
        <f>DCF!E76</f>
        <v>50.92867863022537</v>
      </c>
      <c r="X62" s="579">
        <f>DCF!F76</f>
        <v>40.799126553826682</v>
      </c>
      <c r="Y62" s="577">
        <f>DCF!G76</f>
        <v>34.017168833976747</v>
      </c>
      <c r="Z62" s="577">
        <f>DCF!H76</f>
        <v>29.119218754712357</v>
      </c>
    </row>
    <row r="63" spans="20:26" ht="15.75" customHeight="1">
      <c r="T63" s="695"/>
      <c r="U63" s="576">
        <f>DCF!C77</f>
        <v>0.05</v>
      </c>
      <c r="V63" s="577">
        <f>DCF!D77</f>
        <v>78.99473080505885</v>
      </c>
      <c r="W63" s="577">
        <f>DCF!E77</f>
        <v>56.171393838873534</v>
      </c>
      <c r="X63" s="579">
        <f>DCF!F77</f>
        <v>43.758247679311822</v>
      </c>
      <c r="Y63" s="577">
        <f>DCF!G77</f>
        <v>35.866996544792386</v>
      </c>
      <c r="Z63" s="577">
        <f>DCF!H77</f>
        <v>30.357121819131692</v>
      </c>
    </row>
    <row r="64" spans="20:26" ht="15.75" customHeight="1"/>
    <row r="65" spans="29:31" ht="15.75" customHeight="1"/>
    <row r="67" spans="29:31">
      <c r="AC67" s="585"/>
      <c r="AD67" s="586" t="s">
        <v>151</v>
      </c>
      <c r="AE67" s="586" t="s">
        <v>152</v>
      </c>
    </row>
    <row r="68" spans="29:31">
      <c r="AC68" s="557" t="s">
        <v>2999</v>
      </c>
      <c r="AD68" s="594">
        <f>'IS &amp; BS'!H17</f>
        <v>1117.8519999999985</v>
      </c>
      <c r="AE68" s="594">
        <f>'IS &amp; BS'!I17</f>
        <v>759.44881957026439</v>
      </c>
    </row>
    <row r="69" spans="29:31">
      <c r="AC69" s="557" t="s">
        <v>2995</v>
      </c>
      <c r="AD69" s="594">
        <f>DCF!G51</f>
        <v>119.78736000000001</v>
      </c>
      <c r="AE69" s="594">
        <f>DCF!G51</f>
        <v>119.78736000000001</v>
      </c>
    </row>
    <row r="70" spans="29:31" ht="3" customHeight="1">
      <c r="AC70" s="557"/>
      <c r="AD70" s="557"/>
      <c r="AE70" s="557"/>
    </row>
    <row r="71" spans="29:31">
      <c r="AC71" s="557" t="s">
        <v>15</v>
      </c>
      <c r="AD71" s="594">
        <f>Multiplier!H6</f>
        <v>9.3319695834351677</v>
      </c>
      <c r="AE71" s="618">
        <f>Multiplier!I6</f>
        <v>6.3399745980733222</v>
      </c>
    </row>
    <row r="72" spans="29:31">
      <c r="AC72" s="557" t="s">
        <v>2996</v>
      </c>
      <c r="AD72" s="600">
        <f>'PE band'!$M$3</f>
        <v>8</v>
      </c>
      <c r="AE72" s="600">
        <f>'PE band'!$M$3</f>
        <v>8</v>
      </c>
    </row>
    <row r="73" spans="29:31">
      <c r="AC73" s="585" t="str">
        <f>"Price at "&amp;ROUND(AD72,1)&amp;"x earnings"</f>
        <v>Price at 8x earnings</v>
      </c>
      <c r="AD73" s="599">
        <f>Multiplier!H11</f>
        <v>74.655756667481342</v>
      </c>
      <c r="AE73" s="599">
        <f>Multiplier!I11</f>
        <v>50.719796784586578</v>
      </c>
    </row>
  </sheetData>
  <mergeCells count="5">
    <mergeCell ref="T58:T63"/>
    <mergeCell ref="M34:M35"/>
    <mergeCell ref="W48:X48"/>
    <mergeCell ref="T49:T54"/>
    <mergeCell ref="W57:X57"/>
  </mergeCells>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FFC000"/>
  </sheetPr>
  <dimension ref="A4:AJ68"/>
  <sheetViews>
    <sheetView workbookViewId="0">
      <pane xSplit="2" ySplit="5" topLeftCell="C6" activePane="bottomRight" state="frozen"/>
      <selection pane="topRight" activeCell="C1" sqref="C1"/>
      <selection pane="bottomLeft" activeCell="A6" sqref="A6"/>
      <selection pane="bottomRight" activeCell="J14" sqref="J14"/>
    </sheetView>
  </sheetViews>
  <sheetFormatPr defaultRowHeight="14.4"/>
  <cols>
    <col min="2" max="2" width="21.88671875" customWidth="1"/>
    <col min="3" max="4" width="10.109375" bestFit="1" customWidth="1"/>
    <col min="5" max="5" width="8.33203125" bestFit="1" customWidth="1"/>
    <col min="10" max="11" width="10.109375" bestFit="1" customWidth="1"/>
    <col min="12" max="17" width="10.109375" customWidth="1"/>
  </cols>
  <sheetData>
    <row r="4" spans="2:36">
      <c r="C4" t="s">
        <v>2888</v>
      </c>
      <c r="D4" t="s">
        <v>2889</v>
      </c>
      <c r="H4" t="s">
        <v>2901</v>
      </c>
      <c r="I4" t="s">
        <v>2902</v>
      </c>
      <c r="J4" t="s">
        <v>2894</v>
      </c>
      <c r="K4" t="s">
        <v>2888</v>
      </c>
      <c r="L4" t="s">
        <v>3921</v>
      </c>
      <c r="M4" t="s">
        <v>3920</v>
      </c>
      <c r="N4" t="s">
        <v>3956</v>
      </c>
      <c r="O4" t="s">
        <v>3957</v>
      </c>
      <c r="P4" t="s">
        <v>3952</v>
      </c>
      <c r="U4" t="s">
        <v>3808</v>
      </c>
      <c r="V4" t="s">
        <v>3809</v>
      </c>
      <c r="W4" t="s">
        <v>3810</v>
      </c>
      <c r="X4" t="s">
        <v>3811</v>
      </c>
      <c r="Y4" t="s">
        <v>3807</v>
      </c>
      <c r="Z4" t="s">
        <v>3806</v>
      </c>
      <c r="AA4" t="s">
        <v>3805</v>
      </c>
      <c r="AB4" t="s">
        <v>3804</v>
      </c>
      <c r="AC4" t="s">
        <v>3803</v>
      </c>
      <c r="AD4" t="s">
        <v>3802</v>
      </c>
      <c r="AE4" t="s">
        <v>3801</v>
      </c>
      <c r="AF4" t="s">
        <v>3800</v>
      </c>
      <c r="AG4" t="s">
        <v>3799</v>
      </c>
      <c r="AH4" t="s">
        <v>3798</v>
      </c>
      <c r="AI4" t="s">
        <v>3797</v>
      </c>
      <c r="AJ4" t="s">
        <v>3796</v>
      </c>
    </row>
    <row r="5" spans="2:36">
      <c r="C5" s="259" t="s">
        <v>2899</v>
      </c>
      <c r="D5" s="259" t="s">
        <v>2900</v>
      </c>
      <c r="E5" s="259" t="s">
        <v>135</v>
      </c>
      <c r="F5" s="259" t="s">
        <v>2896</v>
      </c>
      <c r="H5" s="259" t="s">
        <v>2903</v>
      </c>
      <c r="I5" s="259" t="s">
        <v>2904</v>
      </c>
      <c r="J5" s="259" t="s">
        <v>2898</v>
      </c>
      <c r="K5" s="259" t="s">
        <v>2899</v>
      </c>
      <c r="L5" s="259" t="s">
        <v>3922</v>
      </c>
      <c r="M5" s="259" t="s">
        <v>3923</v>
      </c>
      <c r="N5" s="259" t="s">
        <v>3953</v>
      </c>
      <c r="O5" s="259" t="s">
        <v>3954</v>
      </c>
      <c r="P5" s="259" t="s">
        <v>3955</v>
      </c>
      <c r="Q5" s="259"/>
      <c r="R5" s="259" t="s">
        <v>2897</v>
      </c>
    </row>
    <row r="6" spans="2:36">
      <c r="B6" t="s">
        <v>1</v>
      </c>
      <c r="C6" s="15">
        <v>3361809</v>
      </c>
      <c r="D6" s="15">
        <v>3352796</v>
      </c>
      <c r="E6" s="59">
        <f>C6-D6</f>
        <v>9013</v>
      </c>
      <c r="F6" s="260">
        <f>E6/D6</f>
        <v>2.6882041138202263E-3</v>
      </c>
      <c r="H6" s="15">
        <v>3327203</v>
      </c>
      <c r="I6" s="15">
        <v>3018984</v>
      </c>
      <c r="J6" s="15">
        <v>3242244</v>
      </c>
      <c r="K6" s="15">
        <f>C6</f>
        <v>3361809</v>
      </c>
      <c r="L6" s="15">
        <v>3685055</v>
      </c>
      <c r="M6" s="15">
        <v>4623467</v>
      </c>
      <c r="N6" s="15">
        <v>3001775</v>
      </c>
      <c r="O6" s="15">
        <v>3403224</v>
      </c>
      <c r="P6" s="15">
        <v>4664161</v>
      </c>
      <c r="Q6" s="15"/>
      <c r="R6" s="17">
        <f>C6/J6-1</f>
        <v>3.6877236876681652E-2</v>
      </c>
      <c r="AF6" s="15">
        <v>2382208</v>
      </c>
      <c r="AI6" s="15">
        <v>4601367</v>
      </c>
      <c r="AJ6" s="15">
        <v>3424586</v>
      </c>
    </row>
    <row r="7" spans="2:36">
      <c r="B7" t="s">
        <v>356</v>
      </c>
      <c r="C7" s="15">
        <v>805903</v>
      </c>
      <c r="D7" s="15">
        <v>739795</v>
      </c>
      <c r="E7" s="261">
        <f>C7-D7</f>
        <v>66108</v>
      </c>
      <c r="F7" s="260">
        <f>E7/D7</f>
        <v>8.9359890239863751E-2</v>
      </c>
      <c r="H7" s="15">
        <v>805820</v>
      </c>
      <c r="I7" s="15">
        <v>753997</v>
      </c>
      <c r="J7" s="15">
        <v>748450</v>
      </c>
      <c r="K7" s="15">
        <f t="shared" ref="K7:K34" si="0">C7</f>
        <v>805903</v>
      </c>
      <c r="L7" s="15">
        <v>974836</v>
      </c>
      <c r="M7" s="15">
        <v>836882</v>
      </c>
      <c r="N7" s="15">
        <v>582536</v>
      </c>
      <c r="O7" s="15">
        <v>366022</v>
      </c>
      <c r="P7" s="15">
        <v>725199</v>
      </c>
      <c r="Q7" s="15"/>
      <c r="R7" s="17">
        <f>C7/J7-1</f>
        <v>7.6762642795109803E-2</v>
      </c>
      <c r="AF7" s="15">
        <v>539990</v>
      </c>
      <c r="AI7" s="15">
        <v>668824</v>
      </c>
      <c r="AJ7" s="15">
        <v>841632</v>
      </c>
    </row>
    <row r="8" spans="2:36">
      <c r="B8" t="s">
        <v>266</v>
      </c>
      <c r="C8" s="17">
        <f>C7/C6</f>
        <v>0.23972301817265645</v>
      </c>
      <c r="D8" s="17">
        <f>D7/D6</f>
        <v>0.2206501678002479</v>
      </c>
      <c r="E8" s="57"/>
      <c r="F8" s="57"/>
      <c r="H8" s="17">
        <f t="shared" ref="H8:P8" si="1">H7/H6</f>
        <v>0.24219141422991022</v>
      </c>
      <c r="I8" s="17">
        <f t="shared" si="1"/>
        <v>0.24975190328931854</v>
      </c>
      <c r="J8" s="17">
        <f t="shared" si="1"/>
        <v>0.23084320612514048</v>
      </c>
      <c r="K8" s="17">
        <f t="shared" si="1"/>
        <v>0.23972301817265645</v>
      </c>
      <c r="L8" s="17">
        <f t="shared" si="1"/>
        <v>0.26453770703558022</v>
      </c>
      <c r="M8" s="17">
        <f t="shared" si="1"/>
        <v>0.18100745609301419</v>
      </c>
      <c r="N8" s="17">
        <f t="shared" si="1"/>
        <v>0.19406384555804482</v>
      </c>
      <c r="O8" s="17">
        <f t="shared" si="1"/>
        <v>0.10755154524063065</v>
      </c>
      <c r="P8" s="17">
        <f t="shared" si="1"/>
        <v>0.15548326912385743</v>
      </c>
      <c r="Q8" s="17"/>
      <c r="AA8" s="17" t="e">
        <f t="shared" ref="AA8:AI8" si="2">AA7/AA6</f>
        <v>#DIV/0!</v>
      </c>
      <c r="AB8" s="17" t="e">
        <f t="shared" si="2"/>
        <v>#DIV/0!</v>
      </c>
      <c r="AC8" s="17" t="e">
        <f t="shared" si="2"/>
        <v>#DIV/0!</v>
      </c>
      <c r="AD8" s="17" t="e">
        <f t="shared" si="2"/>
        <v>#DIV/0!</v>
      </c>
      <c r="AE8" s="17" t="e">
        <f t="shared" si="2"/>
        <v>#DIV/0!</v>
      </c>
      <c r="AF8" s="17">
        <f t="shared" si="2"/>
        <v>0.22667626000752245</v>
      </c>
      <c r="AG8" s="17" t="e">
        <f t="shared" si="2"/>
        <v>#DIV/0!</v>
      </c>
      <c r="AH8" s="17" t="e">
        <f t="shared" si="2"/>
        <v>#DIV/0!</v>
      </c>
      <c r="AI8" s="17">
        <f t="shared" si="2"/>
        <v>0.14535332652231392</v>
      </c>
      <c r="AJ8" s="17">
        <f t="shared" ref="AJ8" si="3">AJ7/AJ6</f>
        <v>0.245761677469919</v>
      </c>
    </row>
    <row r="9" spans="2:36">
      <c r="B9" t="s">
        <v>2877</v>
      </c>
      <c r="C9" s="15">
        <v>185059</v>
      </c>
      <c r="D9" s="15">
        <v>212770</v>
      </c>
      <c r="E9" s="59">
        <f>C9-D9</f>
        <v>-27711</v>
      </c>
      <c r="F9" s="260">
        <f>E9/D9</f>
        <v>-0.13023922545471636</v>
      </c>
      <c r="H9" s="15">
        <v>-219043</v>
      </c>
      <c r="I9" s="15">
        <v>-244331</v>
      </c>
      <c r="J9" s="15">
        <v>-180583</v>
      </c>
      <c r="K9" s="15">
        <f t="shared" si="0"/>
        <v>185059</v>
      </c>
      <c r="L9" s="15">
        <v>-205723</v>
      </c>
      <c r="M9" s="15">
        <v>-221397</v>
      </c>
      <c r="N9" s="15">
        <v>-226464</v>
      </c>
      <c r="O9" s="15">
        <v>-186203</v>
      </c>
      <c r="P9" s="15">
        <v>-208904</v>
      </c>
      <c r="Q9" s="15"/>
      <c r="AF9" s="15">
        <v>-181474</v>
      </c>
      <c r="AI9" s="15">
        <v>-205338</v>
      </c>
      <c r="AJ9" s="15">
        <v>-176236</v>
      </c>
    </row>
    <row r="10" spans="2:36">
      <c r="B10" t="s">
        <v>2878</v>
      </c>
      <c r="C10" s="262">
        <f>C9/-C6</f>
        <v>-5.5047446181505255E-2</v>
      </c>
      <c r="D10" s="262">
        <f>D9/-D6</f>
        <v>-6.3460467025133652E-2</v>
      </c>
      <c r="E10" s="59"/>
      <c r="F10" s="260"/>
      <c r="H10" s="262">
        <f t="shared" ref="H10:P10" si="4">H9/-H6</f>
        <v>6.5833975263907857E-2</v>
      </c>
      <c r="I10" s="262">
        <f t="shared" si="4"/>
        <v>8.0931531932597195E-2</v>
      </c>
      <c r="J10" s="262">
        <f t="shared" si="4"/>
        <v>5.5696918553939802E-2</v>
      </c>
      <c r="K10" s="262">
        <f t="shared" si="4"/>
        <v>-5.5047446181505255E-2</v>
      </c>
      <c r="L10" s="262">
        <f t="shared" si="4"/>
        <v>5.5826303813647289E-2</v>
      </c>
      <c r="M10" s="262">
        <f t="shared" si="4"/>
        <v>4.7885493721486497E-2</v>
      </c>
      <c r="N10" s="262">
        <f t="shared" si="4"/>
        <v>7.5443362677082723E-2</v>
      </c>
      <c r="O10" s="262">
        <f t="shared" si="4"/>
        <v>5.4713706767465203E-2</v>
      </c>
      <c r="P10" s="262">
        <f t="shared" si="4"/>
        <v>4.4789191453725549E-2</v>
      </c>
      <c r="Q10" s="262"/>
      <c r="AA10" s="17" t="e">
        <f t="shared" ref="AA10:AI10" si="5">-AA9/AA6</f>
        <v>#DIV/0!</v>
      </c>
      <c r="AB10" s="17" t="e">
        <f t="shared" si="5"/>
        <v>#DIV/0!</v>
      </c>
      <c r="AC10" s="17" t="e">
        <f t="shared" si="5"/>
        <v>#DIV/0!</v>
      </c>
      <c r="AD10" s="17" t="e">
        <f t="shared" si="5"/>
        <v>#DIV/0!</v>
      </c>
      <c r="AE10" s="17" t="e">
        <f t="shared" si="5"/>
        <v>#DIV/0!</v>
      </c>
      <c r="AF10" s="17">
        <f t="shared" si="5"/>
        <v>7.6178906291977863E-2</v>
      </c>
      <c r="AG10" s="17" t="e">
        <f t="shared" si="5"/>
        <v>#DIV/0!</v>
      </c>
      <c r="AH10" s="17" t="e">
        <f t="shared" si="5"/>
        <v>#DIV/0!</v>
      </c>
      <c r="AI10" s="17">
        <f t="shared" si="5"/>
        <v>4.4625434137290074E-2</v>
      </c>
      <c r="AJ10" s="17">
        <f>-AJ9/AJ6</f>
        <v>5.1461986937983158E-2</v>
      </c>
    </row>
    <row r="11" spans="2:36">
      <c r="C11" s="262"/>
      <c r="D11" s="262"/>
      <c r="E11" s="59"/>
      <c r="F11" s="260"/>
      <c r="K11" s="262"/>
      <c r="L11" s="262"/>
      <c r="M11" s="262"/>
      <c r="N11" s="262"/>
      <c r="O11" s="262"/>
      <c r="P11" s="262"/>
      <c r="Q11" s="262"/>
    </row>
    <row r="12" spans="2:36">
      <c r="B12" t="s">
        <v>2891</v>
      </c>
      <c r="C12" s="15">
        <v>534458</v>
      </c>
      <c r="D12" s="15">
        <v>433985</v>
      </c>
      <c r="E12" s="59"/>
      <c r="F12" s="260"/>
      <c r="H12" s="15">
        <v>509057</v>
      </c>
      <c r="I12" s="15">
        <v>414145</v>
      </c>
      <c r="J12" s="15">
        <v>474646</v>
      </c>
      <c r="K12" s="15">
        <f t="shared" si="0"/>
        <v>534458</v>
      </c>
      <c r="L12" s="15">
        <v>669823</v>
      </c>
      <c r="M12" s="15">
        <v>526182</v>
      </c>
      <c r="N12" s="15">
        <v>280543</v>
      </c>
      <c r="O12" s="15">
        <v>86298</v>
      </c>
      <c r="P12" s="15">
        <v>404904</v>
      </c>
      <c r="Q12" s="15"/>
      <c r="R12" s="17">
        <f>C12/J12-1</f>
        <v>0.12601391352713387</v>
      </c>
      <c r="AF12" s="15">
        <v>265172</v>
      </c>
      <c r="AI12" s="15">
        <v>378760</v>
      </c>
      <c r="AJ12" s="15">
        <v>732284</v>
      </c>
    </row>
    <row r="13" spans="2:36">
      <c r="B13" t="s">
        <v>2905</v>
      </c>
      <c r="C13" s="17">
        <f>C12/C6</f>
        <v>0.15897928763948219</v>
      </c>
      <c r="D13" s="17">
        <f>D12/D6</f>
        <v>0.12943972732012327</v>
      </c>
      <c r="E13" s="59"/>
      <c r="F13" s="260"/>
      <c r="H13" s="17">
        <f t="shared" ref="H13:P13" si="6">H12/H6</f>
        <v>0.15299847950365517</v>
      </c>
      <c r="I13" s="17">
        <f t="shared" si="6"/>
        <v>0.13718025666913108</v>
      </c>
      <c r="J13" s="17">
        <f t="shared" si="6"/>
        <v>0.14639428741328536</v>
      </c>
      <c r="K13" s="17">
        <f t="shared" si="6"/>
        <v>0.15897928763948219</v>
      </c>
      <c r="L13" s="17">
        <f t="shared" si="6"/>
        <v>0.1817674363069208</v>
      </c>
      <c r="M13" s="17">
        <f t="shared" si="6"/>
        <v>0.11380680342262635</v>
      </c>
      <c r="N13" s="17">
        <f t="shared" si="6"/>
        <v>9.3459036736597514E-2</v>
      </c>
      <c r="O13" s="17">
        <f t="shared" si="6"/>
        <v>2.5357719621159229E-2</v>
      </c>
      <c r="P13" s="17">
        <f t="shared" si="6"/>
        <v>8.6811754568506538E-2</v>
      </c>
      <c r="Q13" s="17"/>
      <c r="AA13" s="17" t="e">
        <f t="shared" ref="AA13:AI13" si="7">AA12/AA6</f>
        <v>#DIV/0!</v>
      </c>
      <c r="AB13" s="17" t="e">
        <f t="shared" si="7"/>
        <v>#DIV/0!</v>
      </c>
      <c r="AC13" s="17" t="e">
        <f t="shared" si="7"/>
        <v>#DIV/0!</v>
      </c>
      <c r="AD13" s="17" t="e">
        <f t="shared" si="7"/>
        <v>#DIV/0!</v>
      </c>
      <c r="AE13" s="17" t="e">
        <f t="shared" si="7"/>
        <v>#DIV/0!</v>
      </c>
      <c r="AF13" s="17">
        <f t="shared" si="7"/>
        <v>0.11131353769276235</v>
      </c>
      <c r="AG13" s="17" t="e">
        <f t="shared" si="7"/>
        <v>#DIV/0!</v>
      </c>
      <c r="AH13" s="17" t="e">
        <f t="shared" si="7"/>
        <v>#DIV/0!</v>
      </c>
      <c r="AI13" s="17">
        <f t="shared" si="7"/>
        <v>8.2314668662595264E-2</v>
      </c>
      <c r="AJ13" s="17">
        <f>AJ12/AJ6</f>
        <v>0.21383139451016853</v>
      </c>
    </row>
    <row r="14" spans="2:36">
      <c r="B14" t="s">
        <v>354</v>
      </c>
      <c r="C14" s="15">
        <v>481992</v>
      </c>
      <c r="D14" s="15">
        <v>374916</v>
      </c>
      <c r="E14" s="59"/>
      <c r="F14" s="260"/>
      <c r="H14" s="15">
        <v>447010</v>
      </c>
      <c r="I14" s="15">
        <v>372875</v>
      </c>
      <c r="J14" s="15">
        <v>426695</v>
      </c>
      <c r="K14" s="15">
        <f t="shared" si="0"/>
        <v>481992</v>
      </c>
      <c r="L14" s="15">
        <v>599200</v>
      </c>
      <c r="M14" s="15">
        <v>438884</v>
      </c>
      <c r="N14" s="15">
        <v>237289</v>
      </c>
      <c r="O14" s="15">
        <v>7334</v>
      </c>
      <c r="P14" s="15">
        <v>317301</v>
      </c>
      <c r="Q14" s="15"/>
      <c r="R14" s="17">
        <f>C14/J14-1</f>
        <v>0.12959373791584161</v>
      </c>
      <c r="AF14" s="15">
        <v>186426</v>
      </c>
      <c r="AI14" s="15">
        <v>333657</v>
      </c>
      <c r="AJ14" s="15">
        <v>611276</v>
      </c>
    </row>
    <row r="15" spans="2:36">
      <c r="C15" s="262"/>
      <c r="D15" s="262"/>
      <c r="E15" s="59"/>
      <c r="F15" s="260"/>
      <c r="K15" s="262"/>
      <c r="L15" s="262"/>
      <c r="M15" s="262"/>
      <c r="N15" s="262"/>
      <c r="O15" s="262"/>
      <c r="P15" s="262"/>
      <c r="Q15" s="262"/>
    </row>
    <row r="16" spans="2:36">
      <c r="B16" t="s">
        <v>2879</v>
      </c>
      <c r="C16">
        <v>58543</v>
      </c>
      <c r="D16">
        <v>85004</v>
      </c>
      <c r="E16" s="59">
        <f>C16-D16</f>
        <v>-26461</v>
      </c>
      <c r="F16" s="260">
        <f>E16/D16</f>
        <v>-0.31129123335372455</v>
      </c>
      <c r="H16" s="15">
        <v>-78103</v>
      </c>
      <c r="I16" s="15">
        <v>-58187</v>
      </c>
      <c r="J16" s="15">
        <v>-49391</v>
      </c>
      <c r="K16">
        <f t="shared" si="0"/>
        <v>58543</v>
      </c>
      <c r="L16" s="15">
        <v>-64809</v>
      </c>
      <c r="M16" s="15">
        <v>-69284</v>
      </c>
      <c r="N16" s="15">
        <v>-35938</v>
      </c>
      <c r="O16" s="15">
        <v>-81366</v>
      </c>
      <c r="P16" s="15">
        <v>-101561</v>
      </c>
      <c r="Q16" s="15"/>
      <c r="AF16" s="15">
        <v>-78746</v>
      </c>
      <c r="AI16" s="15">
        <v>-113430</v>
      </c>
      <c r="AJ16" s="15">
        <v>-106283</v>
      </c>
    </row>
    <row r="17" spans="2:36">
      <c r="E17" s="57"/>
      <c r="F17" s="57"/>
    </row>
    <row r="18" spans="2:36">
      <c r="B18" t="s">
        <v>2892</v>
      </c>
      <c r="C18" s="15">
        <v>349107</v>
      </c>
      <c r="D18" s="15">
        <v>289671</v>
      </c>
      <c r="E18" s="59">
        <f>C18-D18</f>
        <v>59436</v>
      </c>
      <c r="F18" s="260">
        <f>E18/D18</f>
        <v>0.20518450241826072</v>
      </c>
      <c r="H18" s="15">
        <v>316376</v>
      </c>
      <c r="I18" s="15">
        <v>294009</v>
      </c>
      <c r="J18" s="15">
        <v>333552</v>
      </c>
      <c r="K18" s="15">
        <f t="shared" si="0"/>
        <v>349107</v>
      </c>
      <c r="L18" s="15">
        <v>416347</v>
      </c>
      <c r="M18" s="15">
        <v>314775</v>
      </c>
      <c r="N18" s="15">
        <v>132054</v>
      </c>
      <c r="O18" s="15">
        <v>-5458</v>
      </c>
      <c r="P18" s="15">
        <v>231508</v>
      </c>
      <c r="Q18" s="15"/>
      <c r="R18" s="17">
        <f>C18/J18-1</f>
        <v>4.6634407828464619E-2</v>
      </c>
      <c r="AF18" s="15">
        <v>130754</v>
      </c>
      <c r="AI18" s="15">
        <v>261373</v>
      </c>
      <c r="AJ18" s="15">
        <v>484716</v>
      </c>
    </row>
    <row r="19" spans="2:36">
      <c r="B19" t="s">
        <v>372</v>
      </c>
      <c r="C19" s="262">
        <f>C18/C6</f>
        <v>0.10384498345979798</v>
      </c>
      <c r="D19" s="262">
        <f>D18/D6</f>
        <v>8.6396846095020394E-2</v>
      </c>
      <c r="E19" s="59"/>
      <c r="F19" s="260"/>
      <c r="H19" s="154">
        <f t="shared" ref="H19:P19" si="8">H18/H6</f>
        <v>9.5087675744461642E-2</v>
      </c>
      <c r="I19" s="154">
        <f t="shared" si="8"/>
        <v>9.7386736729972737E-2</v>
      </c>
      <c r="J19" s="154">
        <f t="shared" si="8"/>
        <v>0.10287689637177214</v>
      </c>
      <c r="K19" s="154">
        <f t="shared" si="8"/>
        <v>0.10384498345979798</v>
      </c>
      <c r="L19" s="154">
        <f t="shared" si="8"/>
        <v>0.11298257420852606</v>
      </c>
      <c r="M19" s="154">
        <f t="shared" si="8"/>
        <v>6.8082025890960185E-2</v>
      </c>
      <c r="N19" s="154">
        <f t="shared" si="8"/>
        <v>4.3991971416911663E-2</v>
      </c>
      <c r="O19" s="154">
        <f t="shared" si="8"/>
        <v>-1.6037733631403634E-3</v>
      </c>
      <c r="P19" s="154">
        <f t="shared" si="8"/>
        <v>4.9635507865187327E-2</v>
      </c>
      <c r="Q19" s="154"/>
      <c r="AA19" s="17" t="e">
        <f t="shared" ref="AA19:AI19" si="9">AA18/AA6</f>
        <v>#DIV/0!</v>
      </c>
      <c r="AB19" s="17" t="e">
        <f t="shared" si="9"/>
        <v>#DIV/0!</v>
      </c>
      <c r="AC19" s="17" t="e">
        <f t="shared" si="9"/>
        <v>#DIV/0!</v>
      </c>
      <c r="AD19" s="17" t="e">
        <f t="shared" si="9"/>
        <v>#DIV/0!</v>
      </c>
      <c r="AE19" s="17" t="e">
        <f t="shared" si="9"/>
        <v>#DIV/0!</v>
      </c>
      <c r="AF19" s="17">
        <f t="shared" si="9"/>
        <v>5.4887734404384506E-2</v>
      </c>
      <c r="AG19" s="17" t="e">
        <f t="shared" si="9"/>
        <v>#DIV/0!</v>
      </c>
      <c r="AH19" s="17" t="e">
        <f t="shared" si="9"/>
        <v>#DIV/0!</v>
      </c>
      <c r="AI19" s="17">
        <f t="shared" si="9"/>
        <v>5.6803336921397489E-2</v>
      </c>
      <c r="AJ19" s="17">
        <f>AJ18/AJ6</f>
        <v>0.14154002848811506</v>
      </c>
    </row>
    <row r="20" spans="2:36">
      <c r="C20" s="17"/>
      <c r="D20" s="17"/>
      <c r="E20" s="59"/>
      <c r="F20" s="260"/>
      <c r="H20" s="17"/>
      <c r="I20" s="17"/>
      <c r="J20" s="17"/>
      <c r="K20" s="17"/>
      <c r="L20" s="17"/>
      <c r="M20" s="17"/>
      <c r="N20" s="17"/>
      <c r="O20" s="17"/>
      <c r="P20" s="17"/>
      <c r="Q20" s="17"/>
    </row>
    <row r="21" spans="2:36">
      <c r="B21" t="s">
        <v>2906</v>
      </c>
      <c r="C21" s="15">
        <v>306171</v>
      </c>
      <c r="D21" s="15">
        <v>264217</v>
      </c>
      <c r="E21" s="59"/>
      <c r="F21" s="260"/>
      <c r="H21" s="15">
        <v>273363</v>
      </c>
      <c r="I21" s="15">
        <v>257344</v>
      </c>
      <c r="J21" s="15">
        <v>279592</v>
      </c>
      <c r="K21" s="15">
        <f t="shared" si="0"/>
        <v>306171</v>
      </c>
      <c r="L21" s="15">
        <v>373890</v>
      </c>
      <c r="M21" s="15">
        <v>283827</v>
      </c>
      <c r="N21" s="15">
        <v>116347</v>
      </c>
      <c r="O21" s="15">
        <v>-12293</v>
      </c>
      <c r="P21" s="15">
        <v>212233</v>
      </c>
      <c r="Q21" s="15"/>
      <c r="AF21" s="15">
        <v>111806</v>
      </c>
      <c r="AI21" s="15">
        <v>241482</v>
      </c>
      <c r="AJ21" s="15">
        <v>434716</v>
      </c>
    </row>
    <row r="22" spans="2:36">
      <c r="C22" s="15"/>
      <c r="D22" s="15"/>
      <c r="E22" s="59"/>
      <c r="F22" s="260"/>
      <c r="H22" s="17">
        <f t="shared" ref="H22:L22" si="10">H21/H6</f>
        <v>8.2160000456840174E-2</v>
      </c>
      <c r="I22" s="17">
        <f t="shared" si="10"/>
        <v>8.5241922448081875E-2</v>
      </c>
      <c r="J22" s="17">
        <f t="shared" si="10"/>
        <v>8.6234102060178078E-2</v>
      </c>
      <c r="K22" s="17">
        <f t="shared" si="10"/>
        <v>9.1073288220716878E-2</v>
      </c>
      <c r="L22" s="17">
        <f t="shared" si="10"/>
        <v>0.10146117222131013</v>
      </c>
      <c r="M22" s="17">
        <f>M21/M6</f>
        <v>6.1388347748561847E-2</v>
      </c>
      <c r="N22" s="154">
        <f t="shared" ref="N22:P22" si="11">N21/N6</f>
        <v>3.8759400687926313E-2</v>
      </c>
      <c r="O22" s="17">
        <f t="shared" si="11"/>
        <v>-3.6121630547974507E-3</v>
      </c>
      <c r="P22" s="262">
        <f t="shared" si="11"/>
        <v>4.5502931824180172E-2</v>
      </c>
      <c r="Q22" s="17"/>
    </row>
    <row r="23" spans="2:36">
      <c r="B23" t="s">
        <v>2880</v>
      </c>
      <c r="C23" s="258">
        <v>5.1100000000000003</v>
      </c>
      <c r="D23" s="258">
        <v>4.41</v>
      </c>
      <c r="E23" s="263">
        <f>C23-D23</f>
        <v>0.70000000000000018</v>
      </c>
      <c r="F23" s="260">
        <f>E23/D23</f>
        <v>0.15873015873015878</v>
      </c>
      <c r="H23">
        <v>4.5599999999999996</v>
      </c>
      <c r="I23">
        <v>4.91</v>
      </c>
      <c r="J23">
        <v>4.67</v>
      </c>
      <c r="K23" s="258">
        <f t="shared" si="0"/>
        <v>5.1100000000000003</v>
      </c>
      <c r="L23" s="258"/>
      <c r="AF23">
        <v>1.87</v>
      </c>
      <c r="AI23">
        <v>4.3600000000000003</v>
      </c>
      <c r="AJ23">
        <v>7.26</v>
      </c>
    </row>
    <row r="24" spans="2:36" ht="15" thickBot="1">
      <c r="B24" t="s">
        <v>2881</v>
      </c>
      <c r="C24" s="264">
        <f>C23/2</f>
        <v>2.5550000000000002</v>
      </c>
      <c r="D24" s="264">
        <f>D23/2</f>
        <v>2.2050000000000001</v>
      </c>
      <c r="E24" s="263">
        <f>C24-D24</f>
        <v>0.35000000000000009</v>
      </c>
      <c r="F24" s="260">
        <f>E24/D24</f>
        <v>0.15873015873015878</v>
      </c>
      <c r="H24">
        <f>H23/2</f>
        <v>2.2799999999999998</v>
      </c>
      <c r="I24">
        <f t="shared" ref="I24:J24" si="12">I23/2</f>
        <v>2.4550000000000001</v>
      </c>
      <c r="J24">
        <f t="shared" si="12"/>
        <v>2.335</v>
      </c>
      <c r="K24" s="264">
        <f t="shared" si="0"/>
        <v>2.5550000000000002</v>
      </c>
      <c r="L24">
        <v>3.12</v>
      </c>
      <c r="M24">
        <v>2.37</v>
      </c>
      <c r="N24">
        <v>0.97</v>
      </c>
      <c r="O24">
        <v>-0.1</v>
      </c>
      <c r="P24">
        <v>1.77</v>
      </c>
    </row>
    <row r="25" spans="2:36" ht="15" thickBot="1">
      <c r="B25" t="s">
        <v>2882</v>
      </c>
      <c r="C25" s="264">
        <f>C24*4</f>
        <v>10.220000000000001</v>
      </c>
      <c r="D25" s="265">
        <v>9.1300000000000008</v>
      </c>
      <c r="E25" s="263"/>
      <c r="F25" s="260"/>
      <c r="H25" s="264">
        <f t="shared" ref="H25:J25" si="13">H24*4</f>
        <v>9.1199999999999992</v>
      </c>
      <c r="I25" s="264">
        <f t="shared" si="13"/>
        <v>9.82</v>
      </c>
      <c r="J25" s="264">
        <f t="shared" si="13"/>
        <v>9.34</v>
      </c>
      <c r="K25" s="264">
        <f t="shared" si="0"/>
        <v>10.220000000000001</v>
      </c>
      <c r="L25" s="264"/>
      <c r="M25" s="264"/>
      <c r="N25" s="264"/>
      <c r="O25" s="264"/>
      <c r="P25" s="264"/>
      <c r="Q25" s="264"/>
    </row>
    <row r="26" spans="2:36">
      <c r="B26" t="s">
        <v>2883</v>
      </c>
      <c r="C26">
        <f>146.11/2</f>
        <v>73.055000000000007</v>
      </c>
      <c r="D26">
        <f>141/2</f>
        <v>70.5</v>
      </c>
      <c r="E26" s="57"/>
      <c r="F26" s="57"/>
      <c r="H26">
        <v>65.275000000000006</v>
      </c>
      <c r="I26">
        <v>67.44</v>
      </c>
      <c r="J26">
        <f>139.46/2</f>
        <v>69.73</v>
      </c>
      <c r="K26">
        <f t="shared" si="0"/>
        <v>73.055000000000007</v>
      </c>
      <c r="L26">
        <v>74.709999999999994</v>
      </c>
      <c r="M26">
        <v>77.06</v>
      </c>
      <c r="N26">
        <v>78.319999999999993</v>
      </c>
      <c r="O26">
        <v>77.83</v>
      </c>
      <c r="P26">
        <v>78.08</v>
      </c>
      <c r="AF26">
        <v>101.84</v>
      </c>
      <c r="AI26">
        <v>123.39</v>
      </c>
      <c r="AJ26">
        <v>124.72</v>
      </c>
    </row>
    <row r="27" spans="2:36">
      <c r="E27" s="57"/>
      <c r="F27" s="57"/>
    </row>
    <row r="28" spans="2:36">
      <c r="B28" t="s">
        <v>353</v>
      </c>
      <c r="E28" s="57"/>
      <c r="F28" s="57"/>
      <c r="N28" s="15">
        <v>2225058</v>
      </c>
      <c r="O28" s="15">
        <v>1287808</v>
      </c>
      <c r="P28" s="15">
        <v>1547165</v>
      </c>
      <c r="AI28" s="15">
        <v>1038758</v>
      </c>
    </row>
    <row r="29" spans="2:36">
      <c r="B29" t="s">
        <v>2977</v>
      </c>
      <c r="C29" s="15">
        <f>1100141+716799+634432</f>
        <v>2451372</v>
      </c>
      <c r="D29" s="15">
        <f>914591+808283+924522</f>
        <v>2647396</v>
      </c>
      <c r="E29" s="59"/>
      <c r="F29" s="260"/>
      <c r="H29" s="15">
        <f>1270841+1056760+269766</f>
        <v>2597367</v>
      </c>
      <c r="I29" s="15">
        <f>1239841+794443+160479</f>
        <v>2194763</v>
      </c>
      <c r="J29" s="15">
        <f>1169991+552877+843959</f>
        <v>2566827</v>
      </c>
      <c r="K29" s="15">
        <f>C29</f>
        <v>2451372</v>
      </c>
      <c r="L29" s="15"/>
      <c r="M29" s="15"/>
      <c r="Q29" s="15"/>
      <c r="R29" s="17"/>
      <c r="AI29">
        <f>1232841+1861898+407926</f>
        <v>3502665</v>
      </c>
    </row>
    <row r="30" spans="2:36">
      <c r="B30" t="s">
        <v>198</v>
      </c>
      <c r="C30">
        <v>41303</v>
      </c>
      <c r="D30">
        <v>36956</v>
      </c>
      <c r="E30" s="59">
        <f>C30-D30</f>
        <v>4347</v>
      </c>
      <c r="F30" s="260">
        <f>E30/D30</f>
        <v>0.11762636648987985</v>
      </c>
      <c r="H30" s="15">
        <v>-44822</v>
      </c>
      <c r="I30" s="15">
        <v>-100028</v>
      </c>
      <c r="J30" s="15">
        <v>-137246</v>
      </c>
      <c r="K30">
        <f>C30</f>
        <v>41303</v>
      </c>
    </row>
    <row r="31" spans="2:36">
      <c r="B31" t="s">
        <v>2907</v>
      </c>
      <c r="C31" s="15">
        <f>185550-91484</f>
        <v>94066</v>
      </c>
      <c r="D31" s="15">
        <v>69000</v>
      </c>
      <c r="E31" s="59">
        <f>C31-D31</f>
        <v>25066</v>
      </c>
      <c r="F31" s="260">
        <f>E31/D31</f>
        <v>0.36327536231884056</v>
      </c>
      <c r="H31" s="15">
        <f>805138+38000</f>
        <v>843138</v>
      </c>
      <c r="I31" s="15">
        <f>1067455-7000</f>
        <v>1060455</v>
      </c>
      <c r="J31">
        <f>1309+62.8</f>
        <v>1371.8</v>
      </c>
      <c r="K31" s="15">
        <f>C31</f>
        <v>94066</v>
      </c>
      <c r="L31" s="15"/>
      <c r="M31" s="15"/>
      <c r="N31" s="15"/>
      <c r="O31" s="15"/>
      <c r="P31" s="15"/>
      <c r="Q31" s="15"/>
    </row>
    <row r="32" spans="2:36">
      <c r="E32" s="57"/>
      <c r="F32" s="57"/>
    </row>
    <row r="33" spans="1:35">
      <c r="B33" t="s">
        <v>123</v>
      </c>
      <c r="C33" s="15">
        <v>2807274</v>
      </c>
      <c r="D33" s="15">
        <v>2912088</v>
      </c>
      <c r="E33" s="261">
        <f>C33-D33</f>
        <v>-104814</v>
      </c>
      <c r="F33" s="260">
        <f>E33/D33</f>
        <v>-3.5992730988898686E-2</v>
      </c>
      <c r="H33" s="15">
        <v>5842526</v>
      </c>
      <c r="I33" s="15">
        <v>8551140</v>
      </c>
      <c r="J33" s="15">
        <v>11474545</v>
      </c>
      <c r="K33" s="15">
        <f t="shared" si="0"/>
        <v>2807274</v>
      </c>
      <c r="L33" s="15"/>
      <c r="M33" s="15"/>
      <c r="N33" s="15"/>
      <c r="O33" s="15"/>
      <c r="P33" s="15"/>
      <c r="Q33" s="15"/>
      <c r="AI33" s="15">
        <v>9306886</v>
      </c>
    </row>
    <row r="34" spans="1:35">
      <c r="B34" t="s">
        <v>100</v>
      </c>
      <c r="C34" s="15">
        <v>554535</v>
      </c>
      <c r="D34" s="15">
        <v>440708</v>
      </c>
      <c r="E34" s="59">
        <f>C34-D34</f>
        <v>113827</v>
      </c>
      <c r="F34" s="260">
        <f>E34/D34</f>
        <v>0.25828212784882509</v>
      </c>
      <c r="H34" s="15">
        <v>837473</v>
      </c>
      <c r="I34" s="15">
        <v>1147843</v>
      </c>
      <c r="J34" s="15">
        <v>1466682</v>
      </c>
      <c r="K34" s="15">
        <f t="shared" si="0"/>
        <v>554535</v>
      </c>
      <c r="L34" s="15"/>
      <c r="M34" s="15"/>
      <c r="N34" s="15"/>
      <c r="O34" s="15"/>
      <c r="P34" s="15"/>
      <c r="Q34" s="15"/>
      <c r="AI34" s="15">
        <v>1780627</v>
      </c>
    </row>
    <row r="35" spans="1:35">
      <c r="C35" s="17">
        <f>C34/(C33+C34)</f>
        <v>0.1649513699320812</v>
      </c>
      <c r="D35" s="17">
        <f>D34/(D33+D34)</f>
        <v>0.13144491940458053</v>
      </c>
      <c r="E35" s="59"/>
      <c r="F35" s="260"/>
      <c r="H35" s="17">
        <f>H34/(H33+H34)</f>
        <v>0.12537022834883657</v>
      </c>
      <c r="I35" s="17">
        <f>I34/(I33+I34)</f>
        <v>0.11834673800335561</v>
      </c>
      <c r="J35" s="17">
        <f>J34/(J33+J34)</f>
        <v>0.1133340756637682</v>
      </c>
      <c r="K35" s="17">
        <f>K34/(K33+K34)</f>
        <v>0.1649513699320812</v>
      </c>
      <c r="L35" s="17"/>
      <c r="M35" s="17"/>
      <c r="N35" s="17"/>
      <c r="O35" s="17"/>
      <c r="P35" s="17"/>
      <c r="Q35" s="17"/>
    </row>
    <row r="36" spans="1:35">
      <c r="C36" s="15"/>
      <c r="D36" s="15"/>
      <c r="E36" s="59"/>
      <c r="F36" s="260"/>
      <c r="K36" s="15"/>
      <c r="L36" s="15"/>
      <c r="M36" s="15"/>
      <c r="N36" s="15"/>
      <c r="O36" s="15"/>
      <c r="P36" s="15"/>
      <c r="Q36" s="15"/>
    </row>
    <row r="37" spans="1:35">
      <c r="B37" t="s">
        <v>2884</v>
      </c>
      <c r="E37" s="59"/>
      <c r="F37" s="260"/>
    </row>
    <row r="38" spans="1:35">
      <c r="B38" s="4" t="s">
        <v>241</v>
      </c>
      <c r="E38" s="59"/>
      <c r="F38" s="260"/>
    </row>
    <row r="39" spans="1:35">
      <c r="A39" s="17">
        <f>C39/C6</f>
        <v>0.96570388145192065</v>
      </c>
      <c r="B39" t="s">
        <v>2886</v>
      </c>
      <c r="C39" s="15">
        <v>3246512</v>
      </c>
      <c r="D39" s="15">
        <v>3233123</v>
      </c>
      <c r="E39" s="59">
        <f t="shared" ref="E39:E54" si="14">C39-D39</f>
        <v>13389</v>
      </c>
      <c r="F39" s="260">
        <f t="shared" ref="F39:F40" si="15">E39/D39</f>
        <v>4.1411972263350324E-3</v>
      </c>
      <c r="H39" s="15">
        <v>6410955</v>
      </c>
      <c r="I39" s="15">
        <v>9314367</v>
      </c>
      <c r="J39" s="15">
        <v>12403922</v>
      </c>
      <c r="K39" s="15">
        <f t="shared" ref="K39:K40" si="16">C39</f>
        <v>3246512</v>
      </c>
      <c r="L39" s="15"/>
      <c r="M39" s="15"/>
      <c r="N39" s="15"/>
      <c r="O39" s="15"/>
      <c r="P39" s="15"/>
      <c r="Q39" s="15"/>
      <c r="AI39" s="15"/>
    </row>
    <row r="40" spans="1:35">
      <c r="B40" t="s">
        <v>145</v>
      </c>
      <c r="C40" s="15">
        <v>232711</v>
      </c>
      <c r="D40" s="15">
        <v>157594</v>
      </c>
      <c r="E40" s="59">
        <f t="shared" si="14"/>
        <v>75117</v>
      </c>
      <c r="F40" s="260">
        <f t="shared" si="15"/>
        <v>0.47664885718999456</v>
      </c>
      <c r="H40" s="15">
        <v>390997</v>
      </c>
      <c r="I40" s="15">
        <v>571472</v>
      </c>
      <c r="J40" s="15">
        <v>746891</v>
      </c>
      <c r="K40" s="15">
        <f t="shared" si="16"/>
        <v>232711</v>
      </c>
      <c r="L40" s="15"/>
      <c r="M40" s="15"/>
      <c r="N40" s="15"/>
      <c r="O40" s="15"/>
      <c r="P40" s="15"/>
      <c r="Q40" s="15"/>
      <c r="AI40" s="15"/>
    </row>
    <row r="41" spans="1:35">
      <c r="B41" t="s">
        <v>2887</v>
      </c>
      <c r="C41" s="296">
        <f>C40/C39</f>
        <v>7.1680314134061424E-2</v>
      </c>
      <c r="D41" s="296">
        <f>D40/D39</f>
        <v>4.8743583216598933E-2</v>
      </c>
      <c r="E41" s="59"/>
      <c r="F41" s="260"/>
      <c r="H41" s="17">
        <f>H40/H39</f>
        <v>6.0988885431265703E-2</v>
      </c>
      <c r="I41" s="17">
        <f>I40/I39</f>
        <v>6.1353820393806685E-2</v>
      </c>
      <c r="J41" s="262">
        <f>J40/J39</f>
        <v>6.0214100024169777E-2</v>
      </c>
      <c r="K41" s="17">
        <f>K40/K39</f>
        <v>7.1680314134061424E-2</v>
      </c>
      <c r="L41" s="17"/>
      <c r="M41" s="17"/>
      <c r="N41" s="17"/>
      <c r="O41" s="17"/>
      <c r="P41" s="17"/>
      <c r="Q41" s="17"/>
    </row>
    <row r="42" spans="1:35">
      <c r="B42" t="s">
        <v>198</v>
      </c>
      <c r="C42" s="15">
        <v>36142</v>
      </c>
      <c r="D42" s="15">
        <v>36233</v>
      </c>
      <c r="E42" s="59">
        <f t="shared" si="14"/>
        <v>-91</v>
      </c>
      <c r="F42" s="260">
        <f>E42/D42</f>
        <v>-2.5115226451025308E-3</v>
      </c>
      <c r="H42" s="15">
        <v>44822</v>
      </c>
      <c r="I42" s="15">
        <v>77177</v>
      </c>
      <c r="J42" s="15">
        <v>103578</v>
      </c>
      <c r="K42" s="15">
        <f t="shared" ref="K42" si="17">C42</f>
        <v>36142</v>
      </c>
      <c r="L42" s="15"/>
      <c r="M42" s="15"/>
      <c r="N42" s="15"/>
      <c r="O42" s="15"/>
      <c r="P42" s="15"/>
      <c r="Q42" s="15"/>
      <c r="AI42" s="15"/>
    </row>
    <row r="43" spans="1:35">
      <c r="C43" s="17"/>
      <c r="D43" s="17"/>
      <c r="E43" s="59"/>
      <c r="F43" s="260"/>
    </row>
    <row r="44" spans="1:35">
      <c r="B44" s="4" t="s">
        <v>2885</v>
      </c>
      <c r="E44" s="59"/>
      <c r="F44" s="260"/>
    </row>
    <row r="45" spans="1:35">
      <c r="B45" t="s">
        <v>2886</v>
      </c>
      <c r="C45" s="15">
        <v>34875</v>
      </c>
      <c r="D45" s="15">
        <v>17066</v>
      </c>
      <c r="E45" s="59">
        <f t="shared" si="14"/>
        <v>17809</v>
      </c>
      <c r="F45" s="260">
        <f t="shared" ref="F45:F46" si="18">E45/D45</f>
        <v>1.0435368569084731</v>
      </c>
      <c r="H45" s="15">
        <v>39366</v>
      </c>
      <c r="I45" s="15">
        <v>53063</v>
      </c>
      <c r="J45" s="15">
        <v>77862</v>
      </c>
      <c r="K45" s="15">
        <f t="shared" ref="K45:K46" si="19">C45</f>
        <v>34875</v>
      </c>
      <c r="L45" s="15"/>
      <c r="M45" s="15"/>
      <c r="N45" s="15"/>
      <c r="O45" s="15"/>
      <c r="P45" s="15"/>
      <c r="Q45" s="15"/>
      <c r="AI45" s="15"/>
    </row>
    <row r="46" spans="1:35">
      <c r="B46" t="s">
        <v>145</v>
      </c>
      <c r="C46" s="15">
        <v>71553</v>
      </c>
      <c r="D46" s="15">
        <v>31372</v>
      </c>
      <c r="E46" s="59">
        <f t="shared" si="14"/>
        <v>40181</v>
      </c>
      <c r="F46" s="260">
        <f t="shared" si="18"/>
        <v>1.280791788856305</v>
      </c>
      <c r="H46" s="15">
        <v>69434</v>
      </c>
      <c r="I46" s="15">
        <v>109707</v>
      </c>
      <c r="J46" s="15">
        <v>199569</v>
      </c>
      <c r="K46" s="15">
        <f t="shared" si="19"/>
        <v>71553</v>
      </c>
      <c r="L46" s="15"/>
      <c r="M46" s="15"/>
      <c r="N46" s="15"/>
      <c r="O46" s="15"/>
      <c r="P46" s="15"/>
      <c r="Q46" s="15"/>
      <c r="AI46" s="15"/>
    </row>
    <row r="47" spans="1:35">
      <c r="B47" t="s">
        <v>2887</v>
      </c>
      <c r="C47" s="17">
        <f>C46/C45</f>
        <v>2.0516989247311828</v>
      </c>
      <c r="D47" s="17">
        <f>D46/D45</f>
        <v>1.8382749326145553</v>
      </c>
      <c r="E47" s="59"/>
      <c r="F47" s="260"/>
      <c r="H47" s="17">
        <f>H46/H45</f>
        <v>1.7638063303358227</v>
      </c>
      <c r="I47" s="17">
        <f t="shared" ref="I47:K47" si="20">I46/I45</f>
        <v>2.0674858187437573</v>
      </c>
      <c r="J47" s="17">
        <f t="shared" si="20"/>
        <v>2.5631116590891576</v>
      </c>
      <c r="K47" s="17">
        <f t="shared" si="20"/>
        <v>2.0516989247311828</v>
      </c>
      <c r="L47" s="17"/>
      <c r="M47" s="17"/>
      <c r="N47" s="17"/>
      <c r="O47" s="17"/>
      <c r="P47" s="17"/>
      <c r="Q47" s="17"/>
    </row>
    <row r="48" spans="1:35">
      <c r="B48" t="s">
        <v>198</v>
      </c>
      <c r="C48" s="15">
        <v>1111</v>
      </c>
      <c r="D48">
        <v>650</v>
      </c>
      <c r="E48" s="59">
        <f t="shared" si="14"/>
        <v>461</v>
      </c>
      <c r="F48" s="260">
        <f>E48/D48</f>
        <v>0.70923076923076922</v>
      </c>
      <c r="H48">
        <v>0</v>
      </c>
      <c r="I48">
        <v>0</v>
      </c>
      <c r="J48" s="15">
        <v>10391</v>
      </c>
      <c r="K48" s="15">
        <f t="shared" ref="K48" si="21">C48</f>
        <v>1111</v>
      </c>
      <c r="L48" s="15"/>
      <c r="M48" s="15"/>
      <c r="N48" s="15"/>
      <c r="O48" s="15"/>
      <c r="P48" s="15"/>
      <c r="Q48" s="15"/>
    </row>
    <row r="49" spans="2:35">
      <c r="E49" s="59"/>
      <c r="F49" s="260"/>
    </row>
    <row r="50" spans="2:35">
      <c r="B50" s="4" t="s">
        <v>156</v>
      </c>
      <c r="E50" s="59"/>
      <c r="F50" s="260"/>
    </row>
    <row r="51" spans="2:35">
      <c r="B51" t="s">
        <v>2886</v>
      </c>
      <c r="C51" s="15">
        <v>80422</v>
      </c>
      <c r="D51" s="15">
        <v>102607</v>
      </c>
      <c r="E51" s="59">
        <f t="shared" si="14"/>
        <v>-22185</v>
      </c>
      <c r="F51" s="260">
        <f t="shared" ref="F51:F52" si="22">E51/D51</f>
        <v>-0.21621331877942052</v>
      </c>
      <c r="H51" s="15">
        <v>229679</v>
      </c>
      <c r="I51" s="15">
        <v>331553</v>
      </c>
      <c r="J51" s="15">
        <v>459443</v>
      </c>
      <c r="K51" s="15">
        <f t="shared" ref="K51:K52" si="23">C51</f>
        <v>80422</v>
      </c>
      <c r="L51" s="15"/>
      <c r="M51" s="15"/>
      <c r="N51" s="15"/>
      <c r="O51" s="15"/>
      <c r="P51" s="15"/>
      <c r="Q51" s="15"/>
      <c r="AI51" s="15"/>
    </row>
    <row r="52" spans="2:35">
      <c r="B52" t="s">
        <v>145</v>
      </c>
      <c r="C52" s="15">
        <v>38766</v>
      </c>
      <c r="D52" s="15">
        <v>74770</v>
      </c>
      <c r="E52" s="59">
        <f t="shared" si="14"/>
        <v>-36004</v>
      </c>
      <c r="F52" s="260">
        <f t="shared" si="22"/>
        <v>-0.48153002541126122</v>
      </c>
      <c r="H52" s="15">
        <v>103625</v>
      </c>
      <c r="I52" s="15">
        <v>218875</v>
      </c>
      <c r="J52" s="15">
        <v>287146</v>
      </c>
      <c r="K52" s="15">
        <f t="shared" si="23"/>
        <v>38766</v>
      </c>
      <c r="L52" s="15"/>
      <c r="M52" s="15"/>
      <c r="N52" s="15"/>
      <c r="O52" s="15"/>
      <c r="P52" s="15"/>
      <c r="Q52" s="15"/>
      <c r="AI52" s="15"/>
    </row>
    <row r="53" spans="2:35">
      <c r="B53" t="s">
        <v>2887</v>
      </c>
      <c r="C53" s="17">
        <f>C52/C51</f>
        <v>0.48203227972445351</v>
      </c>
      <c r="D53" s="17">
        <f>D52/D51</f>
        <v>0.72870272008732351</v>
      </c>
      <c r="E53" s="59"/>
      <c r="F53" s="260"/>
      <c r="H53" s="17">
        <f>H52/H51</f>
        <v>0.45117315906112443</v>
      </c>
      <c r="I53" s="17">
        <f t="shared" ref="I53:K53" si="24">I52/I51</f>
        <v>0.66015086577409943</v>
      </c>
      <c r="J53" s="17">
        <f t="shared" si="24"/>
        <v>0.6249872127772107</v>
      </c>
      <c r="K53" s="17">
        <f t="shared" si="24"/>
        <v>0.48203227972445351</v>
      </c>
      <c r="L53" s="17"/>
      <c r="M53" s="17"/>
      <c r="N53" s="17"/>
      <c r="O53" s="17"/>
      <c r="P53" s="17"/>
      <c r="Q53" s="17"/>
    </row>
    <row r="54" spans="2:35">
      <c r="B54" t="s">
        <v>198</v>
      </c>
      <c r="C54" s="15">
        <v>4050</v>
      </c>
      <c r="D54">
        <v>73</v>
      </c>
      <c r="E54" s="59">
        <f t="shared" si="14"/>
        <v>3977</v>
      </c>
      <c r="F54" s="260">
        <f>E54/D54</f>
        <v>54.479452054794521</v>
      </c>
      <c r="H54">
        <v>0</v>
      </c>
      <c r="I54" s="15">
        <v>22851</v>
      </c>
      <c r="J54" s="15">
        <v>23277</v>
      </c>
      <c r="K54" s="15">
        <f t="shared" ref="K54" si="25">C54</f>
        <v>4050</v>
      </c>
      <c r="L54" s="15"/>
      <c r="M54" s="15"/>
      <c r="N54" s="15"/>
      <c r="O54" s="15"/>
      <c r="P54" s="15"/>
      <c r="Q54" s="15"/>
      <c r="AI54" s="15"/>
    </row>
    <row r="55" spans="2:35">
      <c r="E55" s="59"/>
      <c r="F55" s="260"/>
    </row>
    <row r="59" spans="2:35">
      <c r="B59" t="s">
        <v>3925</v>
      </c>
      <c r="L59" s="15">
        <v>3986770</v>
      </c>
      <c r="M59" s="15">
        <v>4220739</v>
      </c>
      <c r="N59" s="15"/>
      <c r="O59" s="15"/>
      <c r="P59" s="15"/>
      <c r="Q59" s="15"/>
    </row>
    <row r="60" spans="2:35">
      <c r="B60" t="s">
        <v>3926</v>
      </c>
      <c r="L60" s="15">
        <v>4250727</v>
      </c>
      <c r="M60" s="15">
        <v>4938833</v>
      </c>
      <c r="N60" s="15"/>
      <c r="O60" s="15"/>
      <c r="P60" s="15"/>
      <c r="Q60" s="15"/>
    </row>
    <row r="61" spans="2:35">
      <c r="B61" t="s">
        <v>3927</v>
      </c>
      <c r="L61" s="15">
        <v>2010090</v>
      </c>
      <c r="M61" s="15">
        <v>2021726</v>
      </c>
      <c r="N61" s="15"/>
      <c r="O61" s="15"/>
      <c r="P61" s="15"/>
      <c r="Q61" s="15"/>
    </row>
    <row r="63" spans="2:35">
      <c r="B63" t="s">
        <v>3928</v>
      </c>
      <c r="M63" s="15">
        <v>11670331</v>
      </c>
      <c r="N63" s="15"/>
      <c r="O63" s="15"/>
      <c r="P63" s="15"/>
      <c r="Q63" s="15"/>
    </row>
    <row r="64" spans="2:35">
      <c r="B64" t="s">
        <v>144</v>
      </c>
      <c r="M64" s="15">
        <v>-9052710</v>
      </c>
      <c r="N64" s="15"/>
      <c r="O64" s="15"/>
      <c r="P64" s="15"/>
      <c r="Q64" s="15"/>
    </row>
    <row r="66" spans="2:13">
      <c r="B66" t="s">
        <v>3929</v>
      </c>
      <c r="M66">
        <f>(M59/M63*12)</f>
        <v>4.3399684207757261</v>
      </c>
    </row>
    <row r="67" spans="2:13">
      <c r="B67" t="s">
        <v>3930</v>
      </c>
      <c r="M67">
        <f>M60/M63*12</f>
        <v>5.0783474778907296</v>
      </c>
    </row>
    <row r="68" spans="2:13">
      <c r="B68" t="s">
        <v>3931</v>
      </c>
      <c r="M68">
        <f>-M64/M61*12</f>
        <v>53.732563166324226</v>
      </c>
    </row>
  </sheetData>
  <pageMargins left="0.7" right="0.7" top="0.75" bottom="0.75" header="0.3" footer="0.3"/>
  <pageSetup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FFC000"/>
  </sheetPr>
  <dimension ref="B1:BQ203"/>
  <sheetViews>
    <sheetView showGridLines="0" topLeftCell="A21" zoomScaleNormal="100" workbookViewId="0">
      <selection activeCell="L40" sqref="L40"/>
    </sheetView>
  </sheetViews>
  <sheetFormatPr defaultColWidth="9.109375" defaultRowHeight="14.4"/>
  <cols>
    <col min="1" max="1" width="9.109375" style="307"/>
    <col min="2" max="2" width="21.88671875" style="307" customWidth="1"/>
    <col min="3" max="5" width="6.33203125" style="307" customWidth="1"/>
    <col min="6" max="7" width="9.109375" style="307"/>
    <col min="8" max="8" width="18.5546875" style="307" customWidth="1"/>
    <col min="9" max="9" width="7.5546875" style="307" hidden="1" customWidth="1"/>
    <col min="10" max="14" width="7.5546875" style="307" customWidth="1"/>
    <col min="15" max="15" width="9.109375" style="307"/>
    <col min="16" max="16" width="14.5546875" style="307" customWidth="1"/>
    <col min="17" max="18" width="6.5546875" style="307" customWidth="1"/>
    <col min="19" max="19" width="6.88671875" style="307" customWidth="1"/>
    <col min="20" max="21" width="7.5546875" style="307" customWidth="1"/>
    <col min="22" max="22" width="6.5546875" style="307" customWidth="1"/>
    <col min="23" max="23" width="9.109375" style="307"/>
    <col min="24" max="24" width="17.33203125" style="307" customWidth="1"/>
    <col min="25" max="27" width="8.44140625" style="307" hidden="1" customWidth="1"/>
    <col min="28" max="31" width="7.44140625" style="307" customWidth="1"/>
    <col min="32" max="32" width="9" style="307" customWidth="1"/>
    <col min="33" max="33" width="9.109375" style="307"/>
    <col min="34" max="34" width="13.88671875" style="307" bestFit="1" customWidth="1"/>
    <col min="35" max="35" width="8" style="307" hidden="1" customWidth="1"/>
    <col min="36" max="40" width="8" style="307" customWidth="1"/>
    <col min="41" max="41" width="9.109375" style="307"/>
    <col min="42" max="42" width="23.88671875" style="307" bestFit="1" customWidth="1"/>
    <col min="43" max="43" width="7.88671875" style="307" hidden="1" customWidth="1"/>
    <col min="44" max="47" width="7.88671875" style="307" customWidth="1"/>
    <col min="48" max="51" width="9.109375" style="307"/>
    <col min="52" max="52" width="45.44140625" style="190" customWidth="1"/>
    <col min="53" max="53" width="0" style="190" hidden="1" customWidth="1"/>
    <col min="54" max="61" width="9.109375" style="190"/>
    <col min="62" max="62" width="17.33203125" style="190" bestFit="1" customWidth="1"/>
    <col min="63" max="67" width="9.109375" style="190"/>
    <col min="68" max="68" width="0" style="190" hidden="1" customWidth="1"/>
    <col min="69" max="69" width="9.109375" style="190"/>
    <col min="70" max="16384" width="9.109375" style="307"/>
  </cols>
  <sheetData>
    <row r="1" spans="2:69" ht="15.6">
      <c r="AZ1" s="556"/>
      <c r="BA1" s="556"/>
      <c r="BB1" s="556"/>
      <c r="BC1" s="556"/>
      <c r="BD1" s="556"/>
      <c r="BE1" s="556"/>
      <c r="BF1" s="556"/>
      <c r="BG1" s="556"/>
      <c r="BH1" s="556"/>
      <c r="BI1" s="556"/>
      <c r="BJ1" s="556"/>
      <c r="BK1" s="556"/>
      <c r="BL1" s="556"/>
      <c r="BM1" s="307"/>
      <c r="BN1" s="307"/>
      <c r="BO1" s="307"/>
      <c r="BP1" s="307"/>
      <c r="BQ1" s="307"/>
    </row>
    <row r="2" spans="2:69" ht="15.6">
      <c r="B2" s="302"/>
      <c r="C2" s="303"/>
      <c r="D2" s="304"/>
      <c r="E2" s="305"/>
      <c r="F2" s="306"/>
      <c r="H2" s="307" t="s">
        <v>2384</v>
      </c>
      <c r="AZ2" s="556"/>
      <c r="BA2" s="556"/>
      <c r="BB2" s="556"/>
      <c r="BC2" s="556"/>
      <c r="BD2" s="556"/>
      <c r="BE2" s="556"/>
      <c r="BF2" s="556"/>
      <c r="BG2" s="556"/>
      <c r="BH2" s="556"/>
      <c r="BI2" s="556"/>
      <c r="BJ2" s="556"/>
      <c r="BK2" s="556"/>
      <c r="BL2" s="556"/>
      <c r="BM2" s="307"/>
      <c r="BN2" s="307"/>
      <c r="BO2" s="307"/>
      <c r="BP2" s="307"/>
      <c r="BQ2" s="307"/>
    </row>
    <row r="3" spans="2:69" ht="15.6">
      <c r="B3" s="302" t="s">
        <v>2381</v>
      </c>
      <c r="C3" s="307">
        <v>255</v>
      </c>
      <c r="D3" s="307">
        <v>255</v>
      </c>
      <c r="E3" s="307">
        <v>255</v>
      </c>
      <c r="F3" s="307">
        <v>0</v>
      </c>
      <c r="H3" s="307" t="s">
        <v>2915</v>
      </c>
      <c r="AZ3" s="556"/>
      <c r="BA3" s="556"/>
      <c r="BB3" s="556"/>
      <c r="BC3" s="556"/>
      <c r="BD3" s="556"/>
      <c r="BE3" s="556"/>
      <c r="BF3" s="556"/>
      <c r="BG3" s="556"/>
      <c r="BH3" s="556"/>
      <c r="BI3" s="556"/>
      <c r="BJ3" s="556"/>
      <c r="BK3" s="556"/>
      <c r="BL3" s="556"/>
      <c r="BM3" s="307"/>
      <c r="BN3" s="307"/>
      <c r="BO3" s="307"/>
      <c r="BP3" s="307"/>
      <c r="BQ3" s="307"/>
    </row>
    <row r="4" spans="2:69" ht="15.6">
      <c r="B4" s="302" t="s">
        <v>2382</v>
      </c>
      <c r="C4" s="307">
        <v>192</v>
      </c>
      <c r="D4" s="307">
        <v>217</v>
      </c>
      <c r="E4" s="307">
        <v>230</v>
      </c>
      <c r="F4" s="307">
        <v>32</v>
      </c>
      <c r="H4" s="307" t="s">
        <v>2916</v>
      </c>
      <c r="AZ4" s="556"/>
      <c r="BA4" s="556"/>
      <c r="BB4" s="556"/>
      <c r="BC4" s="556"/>
      <c r="BD4" s="556"/>
      <c r="BE4" s="556"/>
      <c r="BF4" s="556"/>
      <c r="BG4" s="556"/>
      <c r="BH4" s="556"/>
      <c r="BI4" s="556"/>
      <c r="BJ4" s="556"/>
      <c r="BK4" s="556"/>
      <c r="BL4" s="556"/>
      <c r="BM4" s="307"/>
      <c r="BN4" s="307"/>
      <c r="BO4" s="307"/>
      <c r="BP4" s="307"/>
      <c r="BQ4" s="307"/>
    </row>
    <row r="5" spans="2:69" ht="15.6">
      <c r="B5" s="302" t="s">
        <v>2383</v>
      </c>
      <c r="C5" s="307">
        <v>0</v>
      </c>
      <c r="D5" s="307">
        <v>102</v>
      </c>
      <c r="E5" s="307">
        <v>153</v>
      </c>
      <c r="F5" s="307">
        <v>96</v>
      </c>
      <c r="H5" s="307" t="s">
        <v>2385</v>
      </c>
      <c r="AZ5" s="556"/>
      <c r="BA5" s="556"/>
      <c r="BB5" s="556"/>
      <c r="BC5" s="556"/>
      <c r="BD5" s="556"/>
      <c r="BE5" s="556"/>
      <c r="BF5" s="556"/>
      <c r="BG5" s="556"/>
      <c r="BH5" s="556"/>
      <c r="BI5" s="556"/>
      <c r="BJ5" s="556"/>
      <c r="BK5" s="556"/>
      <c r="BL5" s="556"/>
      <c r="BM5" s="307"/>
      <c r="BN5" s="307"/>
      <c r="BO5" s="307"/>
      <c r="BP5" s="307"/>
      <c r="BQ5" s="307"/>
    </row>
    <row r="6" spans="2:69" ht="15.6">
      <c r="H6" s="307" t="s">
        <v>2917</v>
      </c>
      <c r="AZ6" s="556"/>
      <c r="BA6" s="556"/>
      <c r="BB6" s="556"/>
      <c r="BC6" s="556"/>
      <c r="BD6" s="556"/>
      <c r="BE6" s="556"/>
      <c r="BF6" s="556"/>
      <c r="BG6" s="556"/>
      <c r="BH6" s="556"/>
      <c r="BI6" s="556"/>
      <c r="BJ6" s="556"/>
      <c r="BK6" s="556"/>
      <c r="BL6" s="556"/>
      <c r="BM6" s="307"/>
      <c r="BN6" s="307"/>
      <c r="BO6" s="307"/>
      <c r="BP6" s="307"/>
      <c r="BQ6" s="307"/>
    </row>
    <row r="7" spans="2:69" ht="15.6">
      <c r="AZ7" s="556"/>
      <c r="BA7" s="556"/>
      <c r="BB7" s="556"/>
      <c r="BC7" s="556"/>
      <c r="BD7" s="556"/>
      <c r="BE7" s="556"/>
      <c r="BF7" s="556"/>
      <c r="BG7" s="556"/>
      <c r="BH7" s="556"/>
      <c r="BI7" s="556"/>
      <c r="BJ7" s="556"/>
      <c r="BK7" s="556"/>
      <c r="BL7" s="556"/>
      <c r="BM7" s="307"/>
      <c r="BN7" s="307"/>
      <c r="BO7" s="307"/>
      <c r="BP7" s="307"/>
      <c r="BQ7" s="307"/>
    </row>
    <row r="8" spans="2:69" ht="15.6">
      <c r="AZ8" s="556"/>
      <c r="BA8" s="556"/>
      <c r="BB8" s="556"/>
      <c r="BC8" s="556"/>
      <c r="BD8" s="556"/>
      <c r="BE8" s="556"/>
      <c r="BF8" s="556"/>
      <c r="BG8" s="556"/>
      <c r="BH8" s="556"/>
      <c r="BI8" s="556"/>
      <c r="BJ8" s="556"/>
      <c r="BK8" s="556"/>
      <c r="BL8" s="556"/>
      <c r="BM8" s="307"/>
      <c r="BN8" s="307"/>
      <c r="BO8" s="307"/>
      <c r="BP8" s="307"/>
      <c r="BQ8" s="307"/>
    </row>
    <row r="9" spans="2:69" ht="15.6">
      <c r="B9" s="308" t="s">
        <v>444</v>
      </c>
      <c r="C9" s="691"/>
      <c r="D9" s="691"/>
      <c r="E9" s="691"/>
      <c r="H9" s="309"/>
      <c r="I9" s="309"/>
      <c r="J9" s="309"/>
      <c r="K9" s="309"/>
      <c r="L9" s="309"/>
      <c r="M9" s="309"/>
      <c r="N9" s="309"/>
      <c r="AZ9" s="556"/>
      <c r="BA9" s="556"/>
      <c r="BB9" s="556"/>
      <c r="BC9" s="556"/>
      <c r="BD9" s="556"/>
      <c r="BE9" s="556"/>
      <c r="BF9" s="556"/>
      <c r="BG9" s="556"/>
      <c r="BH9" s="556"/>
      <c r="BI9" s="556"/>
      <c r="BJ9" s="556"/>
      <c r="BK9" s="556"/>
      <c r="BL9" s="556"/>
      <c r="BM9" s="307"/>
      <c r="BN9" s="307"/>
      <c r="BO9" s="307"/>
      <c r="BP9" s="307"/>
      <c r="BQ9" s="307"/>
    </row>
    <row r="10" spans="2:69" ht="5.25" customHeight="1">
      <c r="AZ10" s="556"/>
      <c r="BA10" s="556"/>
      <c r="BB10" s="556"/>
      <c r="BC10" s="556"/>
      <c r="BD10" s="556"/>
      <c r="BE10" s="556"/>
      <c r="BF10" s="556"/>
      <c r="BG10" s="556"/>
      <c r="BH10" s="556"/>
      <c r="BI10" s="556"/>
      <c r="BJ10" s="556"/>
      <c r="BK10" s="556"/>
      <c r="BL10" s="556"/>
      <c r="BM10" s="307"/>
      <c r="BN10" s="307"/>
      <c r="BO10" s="307"/>
      <c r="BP10" s="307"/>
      <c r="BQ10" s="307"/>
    </row>
    <row r="11" spans="2:69" ht="15.6">
      <c r="B11" s="308" t="s">
        <v>445</v>
      </c>
      <c r="C11" s="692">
        <f>DCF!G50</f>
        <v>43</v>
      </c>
      <c r="D11" s="692"/>
      <c r="E11" s="692"/>
      <c r="AZ11" s="556"/>
      <c r="BA11" s="556"/>
      <c r="BB11" s="556"/>
      <c r="BC11" s="556"/>
      <c r="BD11" s="556"/>
      <c r="BE11" s="556"/>
      <c r="BF11" s="556"/>
      <c r="BG11" s="556"/>
      <c r="BH11" s="556"/>
      <c r="BI11" s="556"/>
      <c r="BJ11" s="556"/>
      <c r="BK11" s="556"/>
      <c r="BL11" s="556"/>
      <c r="BM11" s="307"/>
      <c r="BN11" s="307"/>
      <c r="BO11" s="307"/>
      <c r="BP11" s="307"/>
      <c r="BQ11" s="307"/>
    </row>
    <row r="12" spans="2:69" ht="13.5" customHeight="1">
      <c r="B12" s="310" t="s">
        <v>446</v>
      </c>
      <c r="C12" s="311"/>
      <c r="D12" s="693" t="str">
        <f>'52 W data'!C1853&amp;"/ "&amp;'52 W data'!C1854</f>
        <v>64.4/ 42</v>
      </c>
      <c r="E12" s="693"/>
      <c r="AZ12" s="556"/>
      <c r="BA12" s="556"/>
      <c r="BB12" s="556"/>
      <c r="BC12" s="556"/>
      <c r="BD12" s="556"/>
      <c r="BE12" s="556"/>
      <c r="BF12" s="556"/>
      <c r="BG12" s="556"/>
      <c r="BH12" s="556"/>
      <c r="BI12" s="556"/>
      <c r="BJ12" s="556"/>
      <c r="BK12" s="556"/>
      <c r="BL12" s="556"/>
      <c r="BM12" s="307"/>
      <c r="BN12" s="307"/>
      <c r="BO12" s="307"/>
      <c r="BP12" s="307"/>
      <c r="BQ12" s="307"/>
    </row>
    <row r="13" spans="2:69" ht="13.5" customHeight="1">
      <c r="B13" s="312" t="s">
        <v>447</v>
      </c>
      <c r="C13" s="312"/>
      <c r="D13" s="694">
        <f>'52 W data'!C1849</f>
        <v>32924.827868852459</v>
      </c>
      <c r="E13" s="694"/>
      <c r="AZ13" s="556"/>
      <c r="BA13" s="556"/>
      <c r="BB13" s="556"/>
      <c r="BC13" s="556"/>
      <c r="BD13" s="556"/>
      <c r="BE13" s="556"/>
      <c r="BF13" s="556"/>
      <c r="BG13" s="556"/>
      <c r="BH13" s="556"/>
      <c r="BI13" s="556"/>
      <c r="BJ13" s="556"/>
      <c r="BK13" s="556"/>
      <c r="BL13" s="556"/>
      <c r="BM13" s="307"/>
      <c r="BN13" s="307"/>
      <c r="BO13" s="307"/>
      <c r="BP13" s="307"/>
      <c r="BQ13" s="307"/>
    </row>
    <row r="14" spans="2:69" ht="13.5" customHeight="1">
      <c r="B14" s="312" t="s">
        <v>448</v>
      </c>
      <c r="C14" s="312"/>
      <c r="D14" s="694">
        <f>'52 W data'!C1850</f>
        <v>1749820.4106557374</v>
      </c>
      <c r="E14" s="694"/>
      <c r="AZ14" s="556"/>
      <c r="BA14" s="556"/>
      <c r="BB14" s="556"/>
      <c r="BC14" s="556"/>
      <c r="BD14" s="556"/>
      <c r="BE14" s="556"/>
      <c r="BF14" s="556"/>
      <c r="BG14" s="556"/>
      <c r="BH14" s="556"/>
      <c r="BI14" s="556"/>
      <c r="BJ14" s="556"/>
      <c r="BK14" s="556"/>
      <c r="BL14" s="556"/>
      <c r="BM14" s="307"/>
      <c r="BN14" s="307"/>
      <c r="BO14" s="307"/>
      <c r="BP14" s="307"/>
      <c r="BQ14" s="307"/>
    </row>
    <row r="15" spans="2:69" ht="15" customHeight="1">
      <c r="B15" s="690" t="s">
        <v>3002</v>
      </c>
      <c r="C15" s="690"/>
      <c r="D15" s="690"/>
      <c r="E15" s="313">
        <f>DCF!G51</f>
        <v>119.78736000000001</v>
      </c>
      <c r="AZ15" s="556"/>
      <c r="BA15" s="556"/>
      <c r="BB15" s="556"/>
      <c r="BC15" s="556"/>
      <c r="BD15" s="556"/>
      <c r="BE15" s="556"/>
      <c r="BF15" s="556"/>
      <c r="BG15" s="556"/>
      <c r="BH15" s="556"/>
      <c r="BI15" s="556"/>
      <c r="BJ15" s="556"/>
      <c r="BK15" s="556"/>
      <c r="BL15" s="556"/>
      <c r="BM15" s="307"/>
      <c r="BN15" s="307"/>
      <c r="BO15" s="307"/>
      <c r="BP15" s="307"/>
      <c r="BQ15" s="307"/>
    </row>
    <row r="16" spans="2:69" ht="13.5" customHeight="1">
      <c r="B16" s="689" t="s">
        <v>449</v>
      </c>
      <c r="C16" s="689"/>
      <c r="D16" s="694">
        <f>DCF!G47</f>
        <v>5150.8564800000004</v>
      </c>
      <c r="E16" s="694"/>
      <c r="AZ16" s="556"/>
      <c r="BA16" s="556"/>
      <c r="BB16" s="556"/>
      <c r="BC16" s="556"/>
      <c r="BD16" s="556"/>
      <c r="BE16" s="556"/>
      <c r="BF16" s="556"/>
      <c r="BG16" s="556"/>
      <c r="BH16" s="556"/>
      <c r="BI16" s="556"/>
      <c r="BJ16" s="556"/>
      <c r="BK16" s="556"/>
      <c r="BL16" s="556"/>
      <c r="BM16" s="307"/>
      <c r="BN16" s="307"/>
      <c r="BO16" s="307"/>
      <c r="BP16" s="307"/>
      <c r="BQ16" s="307"/>
    </row>
    <row r="17" spans="2:69" ht="15.6">
      <c r="B17" s="308" t="s">
        <v>450</v>
      </c>
      <c r="C17" s="656" t="s">
        <v>451</v>
      </c>
      <c r="D17" s="656" t="s">
        <v>452</v>
      </c>
      <c r="E17" s="656" t="s">
        <v>453</v>
      </c>
      <c r="AZ17" s="556"/>
      <c r="BA17" s="556"/>
      <c r="BB17" s="556"/>
      <c r="BC17" s="556"/>
      <c r="BD17" s="556"/>
      <c r="BE17" s="556"/>
      <c r="BF17" s="556"/>
      <c r="BG17" s="556"/>
      <c r="BH17" s="556"/>
      <c r="BI17" s="556"/>
      <c r="BJ17" s="556"/>
      <c r="BK17" s="556"/>
      <c r="BL17" s="556"/>
      <c r="BM17" s="307"/>
      <c r="BN17" s="307"/>
      <c r="BO17" s="307"/>
      <c r="BP17" s="307"/>
      <c r="BQ17" s="307"/>
    </row>
    <row r="18" spans="2:69" ht="13.5" customHeight="1">
      <c r="B18" s="312" t="s">
        <v>127</v>
      </c>
      <c r="C18" s="315">
        <f>'52 W data'!E1845</f>
        <v>-3.4090909090909061E-2</v>
      </c>
      <c r="D18" s="315">
        <f>'52 W data'!E1846</f>
        <v>-0.11458333333333337</v>
      </c>
      <c r="E18" s="315">
        <f>'52 W data'!E1847</f>
        <v>-0.29166666666666663</v>
      </c>
      <c r="AZ18" s="556"/>
      <c r="BA18" s="556"/>
      <c r="BB18" s="556"/>
      <c r="BC18" s="556"/>
      <c r="BD18" s="556"/>
      <c r="BE18" s="556"/>
      <c r="BF18" s="556"/>
      <c r="BG18" s="556"/>
      <c r="BH18" s="556"/>
      <c r="BI18" s="556"/>
      <c r="BJ18" s="556"/>
      <c r="BK18" s="556"/>
      <c r="BL18" s="556"/>
      <c r="BM18" s="307"/>
      <c r="BN18" s="307"/>
      <c r="BO18" s="307"/>
      <c r="BP18" s="307"/>
      <c r="BQ18" s="307"/>
    </row>
    <row r="19" spans="2:69" ht="13.5" customHeight="1">
      <c r="B19" s="316" t="s">
        <v>454</v>
      </c>
      <c r="C19" s="315">
        <f>'52 W data'!E1839</f>
        <v>-3.2283740329205113E-2</v>
      </c>
      <c r="D19" s="315">
        <f>'52 W data'!E1840</f>
        <v>3.2646042708630585E-3</v>
      </c>
      <c r="E19" s="315">
        <f>'52 W data'!E1841</f>
        <v>8.7952207102555136E-3</v>
      </c>
      <c r="AZ19" s="556"/>
      <c r="BA19" s="556"/>
      <c r="BB19" s="556"/>
      <c r="BC19" s="556"/>
      <c r="BD19" s="556"/>
      <c r="BE19" s="556"/>
      <c r="BF19" s="556"/>
      <c r="BG19" s="556"/>
      <c r="BH19" s="556"/>
      <c r="BI19" s="556"/>
      <c r="BJ19" s="556"/>
      <c r="BK19" s="556"/>
      <c r="BL19" s="556"/>
      <c r="BM19" s="307"/>
      <c r="BN19" s="307"/>
      <c r="BO19" s="307"/>
      <c r="BP19" s="307"/>
      <c r="BQ19" s="307"/>
    </row>
    <row r="20" spans="2:69" ht="15.6">
      <c r="B20" s="687" t="s">
        <v>3949</v>
      </c>
      <c r="C20" s="687"/>
      <c r="D20" s="687"/>
      <c r="E20" s="687"/>
      <c r="AZ20" s="556"/>
      <c r="BA20" s="556"/>
      <c r="BB20" s="556"/>
      <c r="BC20" s="556"/>
      <c r="BD20" s="556"/>
      <c r="BE20" s="556"/>
      <c r="BF20" s="556"/>
      <c r="BG20" s="556"/>
      <c r="BH20" s="556"/>
      <c r="BI20" s="556"/>
      <c r="BJ20" s="556"/>
      <c r="BK20" s="556"/>
      <c r="BL20" s="556"/>
      <c r="BM20" s="307"/>
      <c r="BN20" s="307"/>
      <c r="BO20" s="307"/>
      <c r="BP20" s="307"/>
      <c r="BQ20" s="307"/>
    </row>
    <row r="21" spans="2:69" ht="12.75" customHeight="1">
      <c r="B21" s="310" t="s">
        <v>2827</v>
      </c>
      <c r="C21" s="310"/>
      <c r="D21" s="698">
        <v>0.38150000000000001</v>
      </c>
      <c r="E21" s="698"/>
      <c r="AZ21" s="556"/>
      <c r="BA21" s="556"/>
      <c r="BB21" s="556"/>
      <c r="BC21" s="556"/>
      <c r="BD21" s="556"/>
      <c r="BE21" s="556"/>
      <c r="BF21" s="556"/>
      <c r="BG21" s="556"/>
      <c r="BH21" s="556"/>
      <c r="BI21" s="556"/>
      <c r="BJ21" s="556"/>
      <c r="BK21" s="556"/>
      <c r="BL21" s="556"/>
      <c r="BM21" s="307"/>
      <c r="BN21" s="307"/>
      <c r="BO21" s="307"/>
      <c r="BP21" s="307"/>
      <c r="BQ21" s="307"/>
    </row>
    <row r="22" spans="2:69" ht="12.75" customHeight="1">
      <c r="B22" s="310" t="s">
        <v>2828</v>
      </c>
      <c r="C22" s="310"/>
      <c r="D22" s="698">
        <v>0.22209999999999999</v>
      </c>
      <c r="E22" s="698"/>
      <c r="AZ22" s="556"/>
      <c r="BA22" s="556"/>
      <c r="BB22" s="556"/>
      <c r="BC22" s="556"/>
      <c r="BD22" s="556"/>
      <c r="BE22" s="556"/>
      <c r="BF22" s="556"/>
      <c r="BG22" s="556"/>
      <c r="BH22" s="556"/>
      <c r="BI22" s="556"/>
      <c r="BJ22" s="556"/>
      <c r="BK22" s="556"/>
      <c r="BL22" s="556"/>
      <c r="BM22" s="307"/>
      <c r="BN22" s="307"/>
      <c r="BO22" s="307"/>
      <c r="BP22" s="307"/>
      <c r="BQ22" s="307"/>
    </row>
    <row r="23" spans="2:69" ht="12.75" customHeight="1">
      <c r="B23" s="689" t="s">
        <v>2829</v>
      </c>
      <c r="C23" s="689"/>
      <c r="D23" s="689"/>
      <c r="E23" s="655">
        <v>4.9299999999999997E-2</v>
      </c>
      <c r="AZ23" s="556"/>
      <c r="BA23" s="556"/>
      <c r="BB23" s="556"/>
      <c r="BC23" s="556"/>
      <c r="BD23" s="556"/>
      <c r="BE23" s="556"/>
      <c r="BF23" s="556"/>
      <c r="BG23" s="556"/>
      <c r="BH23" s="556"/>
      <c r="BI23" s="556"/>
      <c r="BJ23" s="556"/>
      <c r="BK23" s="556"/>
      <c r="BL23" s="556"/>
      <c r="BM23" s="307"/>
      <c r="BN23" s="307"/>
      <c r="BO23" s="307"/>
      <c r="BP23" s="307"/>
      <c r="BQ23" s="307"/>
    </row>
    <row r="24" spans="2:69" ht="12.75" customHeight="1">
      <c r="B24" s="689" t="s">
        <v>3935</v>
      </c>
      <c r="C24" s="689"/>
      <c r="D24" s="689"/>
      <c r="E24" s="655">
        <v>3.6999999999999998E-2</v>
      </c>
      <c r="AZ24" s="556"/>
      <c r="BA24" s="556"/>
      <c r="BB24" s="556"/>
      <c r="BC24" s="556"/>
      <c r="BD24" s="556"/>
      <c r="BE24" s="556"/>
      <c r="BF24" s="556"/>
      <c r="BG24" s="556"/>
      <c r="BH24" s="556"/>
      <c r="BI24" s="556"/>
      <c r="BJ24" s="556"/>
      <c r="BK24" s="556"/>
      <c r="BL24" s="556"/>
      <c r="BM24" s="307"/>
      <c r="BN24" s="307"/>
      <c r="BO24" s="307"/>
      <c r="BP24" s="307"/>
      <c r="BQ24" s="307"/>
    </row>
    <row r="25" spans="2:69" ht="12.75" customHeight="1">
      <c r="B25" s="689" t="s">
        <v>3958</v>
      </c>
      <c r="C25" s="689"/>
      <c r="D25" s="689"/>
      <c r="E25" s="655">
        <v>1.89E-2</v>
      </c>
      <c r="K25" s="405"/>
      <c r="AZ25" s="556"/>
      <c r="BA25" s="556"/>
      <c r="BB25" s="556"/>
      <c r="BC25" s="556"/>
      <c r="BD25" s="556"/>
      <c r="BE25" s="556"/>
      <c r="BF25" s="556"/>
      <c r="BG25" s="556"/>
      <c r="BH25" s="556"/>
      <c r="BI25" s="556"/>
      <c r="BJ25" s="556"/>
      <c r="BK25" s="556"/>
      <c r="BL25" s="556"/>
      <c r="BM25" s="307"/>
      <c r="BN25" s="307"/>
      <c r="BO25" s="307"/>
      <c r="BP25" s="307"/>
      <c r="BQ25" s="307"/>
    </row>
    <row r="26" spans="2:69" ht="15.6">
      <c r="B26" s="687" t="s">
        <v>456</v>
      </c>
      <c r="C26" s="687"/>
      <c r="D26" s="688">
        <v>0.37340000000000001</v>
      </c>
      <c r="E26" s="688"/>
      <c r="AZ26" s="556"/>
      <c r="BA26" s="556"/>
      <c r="BB26" s="556"/>
      <c r="BC26" s="556"/>
      <c r="BD26" s="556"/>
      <c r="BE26" s="556"/>
      <c r="BF26" s="556"/>
      <c r="BG26" s="556"/>
      <c r="BH26" s="556"/>
      <c r="BI26" s="556"/>
      <c r="BJ26" s="556"/>
      <c r="BK26" s="556"/>
      <c r="BL26" s="556"/>
      <c r="BM26" s="307"/>
      <c r="BN26" s="307"/>
      <c r="BO26" s="307"/>
      <c r="BP26" s="307"/>
      <c r="BQ26" s="307"/>
    </row>
    <row r="27" spans="2:69" ht="15.6">
      <c r="K27" s="442">
        <f>K32/J32-1</f>
        <v>2.2165082314385298E-2</v>
      </c>
      <c r="L27" s="442">
        <f t="shared" ref="L27:N27" si="0">L32/K32-1</f>
        <v>-0.32061773868967858</v>
      </c>
      <c r="M27" s="442">
        <f t="shared" si="0"/>
        <v>0.71330061377428677</v>
      </c>
      <c r="N27" s="442">
        <f t="shared" si="0"/>
        <v>0.20990771176558876</v>
      </c>
      <c r="AZ27" s="556"/>
      <c r="BA27" s="556"/>
      <c r="BB27" s="556"/>
      <c r="BC27" s="556"/>
      <c r="BD27" s="556"/>
      <c r="BE27" s="556"/>
      <c r="BF27" s="556"/>
      <c r="BG27" s="556"/>
      <c r="BH27" s="556"/>
      <c r="BI27" s="556"/>
      <c r="BJ27" s="556"/>
      <c r="BK27" s="556"/>
      <c r="BL27" s="556"/>
      <c r="BM27" s="307"/>
      <c r="BN27" s="307"/>
      <c r="BO27" s="307"/>
      <c r="BP27" s="307"/>
      <c r="BQ27" s="307"/>
    </row>
    <row r="28" spans="2:69" ht="15.6">
      <c r="H28" s="317" t="s">
        <v>2388</v>
      </c>
      <c r="I28" s="301" t="s">
        <v>105</v>
      </c>
      <c r="J28" s="301" t="s">
        <v>150</v>
      </c>
      <c r="K28" s="301" t="s">
        <v>3944</v>
      </c>
      <c r="L28" s="301" t="s">
        <v>152</v>
      </c>
      <c r="M28" s="301" t="s">
        <v>153</v>
      </c>
      <c r="N28" s="301" t="s">
        <v>309</v>
      </c>
      <c r="AZ28" s="556"/>
      <c r="BA28" s="556"/>
      <c r="BB28" s="556"/>
      <c r="BC28" s="556"/>
      <c r="BD28" s="556"/>
      <c r="BE28" s="556"/>
      <c r="BF28" s="556"/>
      <c r="BG28" s="556"/>
      <c r="BH28" s="556"/>
      <c r="BI28" s="556"/>
      <c r="BJ28" s="556"/>
      <c r="BK28" s="556"/>
      <c r="BL28" s="556"/>
      <c r="BM28" s="307"/>
      <c r="BN28" s="307"/>
      <c r="BO28" s="307"/>
      <c r="BP28" s="307"/>
      <c r="BQ28" s="307"/>
    </row>
    <row r="29" spans="2:69" ht="12" customHeight="1">
      <c r="H29" s="318" t="s">
        <v>3003</v>
      </c>
      <c r="I29" s="319">
        <f>'IS &amp; BS'!F4</f>
        <v>14427.236000000001</v>
      </c>
      <c r="J29" s="319">
        <f>'IS &amp; BS'!G4</f>
        <v>12811.224</v>
      </c>
      <c r="K29" s="319">
        <f>'IS &amp; BS'!H4</f>
        <v>14669.734999999999</v>
      </c>
      <c r="L29" s="320">
        <f>'IS &amp; BS'!I4</f>
        <v>20978.830515386398</v>
      </c>
      <c r="M29" s="320">
        <f>'IS &amp; BS'!J4</f>
        <v>26472.353120886062</v>
      </c>
      <c r="N29" s="320">
        <f>'IS &amp; BS'!K4</f>
        <v>30050.591938632362</v>
      </c>
      <c r="AZ29" s="556"/>
      <c r="BA29" s="556"/>
      <c r="BB29" s="556"/>
      <c r="BC29" s="556"/>
      <c r="BD29" s="556"/>
      <c r="BE29" s="556"/>
      <c r="BF29" s="556"/>
      <c r="BG29" s="556"/>
      <c r="BH29" s="556"/>
      <c r="BI29" s="556"/>
      <c r="BJ29" s="556"/>
      <c r="BK29" s="556"/>
      <c r="BL29" s="556"/>
      <c r="BM29" s="307"/>
      <c r="BN29" s="307"/>
      <c r="BO29" s="307"/>
      <c r="BP29" s="307"/>
      <c r="BQ29" s="307"/>
    </row>
    <row r="30" spans="2:69" ht="12" customHeight="1">
      <c r="H30" s="321" t="s">
        <v>457</v>
      </c>
      <c r="I30" s="322">
        <f>'Ratios watch'!F5</f>
        <v>0.26036602869852032</v>
      </c>
      <c r="J30" s="322">
        <f>'Ratios watch'!G5</f>
        <v>-0.11201119881867883</v>
      </c>
      <c r="K30" s="322">
        <f>'Ratios watch'!H5</f>
        <v>0.14506896452673046</v>
      </c>
      <c r="L30" s="323">
        <f>'Ratios watch'!I5</f>
        <v>0.43007562954520995</v>
      </c>
      <c r="M30" s="323">
        <f>'Ratios watch'!J5</f>
        <v>0.26186028823058449</v>
      </c>
      <c r="N30" s="323">
        <f>'Ratios watch'!K5</f>
        <v>0.13516889871505811</v>
      </c>
      <c r="AZ30" s="556"/>
      <c r="BA30" s="556"/>
      <c r="BB30" s="556"/>
      <c r="BC30" s="556"/>
      <c r="BD30" s="556"/>
      <c r="BE30" s="556"/>
      <c r="BF30" s="556"/>
      <c r="BG30" s="556"/>
      <c r="BH30" s="556"/>
      <c r="BI30" s="556"/>
      <c r="BJ30" s="556"/>
      <c r="BK30" s="556"/>
      <c r="BL30" s="556"/>
      <c r="BM30" s="307"/>
      <c r="BN30" s="307"/>
      <c r="BO30" s="307"/>
      <c r="BP30" s="307"/>
      <c r="BQ30" s="307"/>
    </row>
    <row r="31" spans="2:69" ht="12" customHeight="1">
      <c r="H31" s="324" t="s">
        <v>3005</v>
      </c>
      <c r="I31" s="325">
        <f>'IS &amp; BS'!F17</f>
        <v>859.57199999999978</v>
      </c>
      <c r="J31" s="325">
        <f>'IS &amp; BS'!G17</f>
        <v>1093.6119999999992</v>
      </c>
      <c r="K31" s="325">
        <f>'IS &amp; BS'!H17</f>
        <v>1117.8519999999985</v>
      </c>
      <c r="L31" s="326">
        <f>'IS &amp; BS'!I17</f>
        <v>759.44881957026439</v>
      </c>
      <c r="M31" s="326">
        <f>'IS &amp; BS'!J17</f>
        <v>1301.1641286998915</v>
      </c>
      <c r="N31" s="326">
        <f>'IS &amp; BS'!K17</f>
        <v>1574.2885135867518</v>
      </c>
      <c r="AZ31" s="556"/>
      <c r="BA31" s="556"/>
      <c r="BB31" s="556"/>
      <c r="BC31" s="556"/>
      <c r="BD31" s="556"/>
      <c r="BE31" s="556"/>
      <c r="BF31" s="556"/>
      <c r="BG31" s="556"/>
      <c r="BH31" s="556"/>
      <c r="BI31" s="556"/>
      <c r="BJ31" s="556"/>
      <c r="BK31" s="556"/>
      <c r="BL31" s="556"/>
      <c r="BM31" s="307"/>
      <c r="BN31" s="307"/>
      <c r="BO31" s="307"/>
      <c r="BP31" s="307"/>
      <c r="BQ31" s="307"/>
    </row>
    <row r="32" spans="2:69" ht="12" customHeight="1">
      <c r="H32" s="327" t="s">
        <v>15</v>
      </c>
      <c r="I32" s="328">
        <f>'IS &amp; BS'!F20</f>
        <v>7.1758155451459968</v>
      </c>
      <c r="J32" s="328">
        <f>'IS &amp; BS'!G20</f>
        <v>9.1296110040324709</v>
      </c>
      <c r="K32" s="328">
        <f>'IS &amp; BS'!H20</f>
        <v>9.3319695834351677</v>
      </c>
      <c r="L32" s="329">
        <f>'IS &amp; BS'!I20</f>
        <v>6.3399745980733222</v>
      </c>
      <c r="M32" s="329">
        <f>'IS &amp; BS'!J20</f>
        <v>10.86228237019241</v>
      </c>
      <c r="N32" s="329">
        <f>'IS &amp; BS'!K20</f>
        <v>13.142359207071195</v>
      </c>
      <c r="AZ32" s="556"/>
      <c r="BA32" s="556"/>
      <c r="BB32" s="556"/>
      <c r="BC32" s="556"/>
      <c r="BD32" s="556"/>
      <c r="BE32" s="556"/>
      <c r="BF32" s="556"/>
      <c r="BG32" s="556"/>
      <c r="BH32" s="556"/>
      <c r="BI32" s="556"/>
      <c r="BJ32" s="556"/>
      <c r="BK32" s="556"/>
      <c r="BL32" s="556"/>
      <c r="BM32" s="307"/>
      <c r="BN32" s="307"/>
      <c r="BO32" s="307"/>
      <c r="BP32" s="307"/>
      <c r="BQ32" s="307"/>
    </row>
    <row r="33" spans="8:69" ht="12" customHeight="1">
      <c r="H33" s="321" t="s">
        <v>457</v>
      </c>
      <c r="I33" s="330">
        <f>'Ratios watch'!F19</f>
        <v>0.94695749668739948</v>
      </c>
      <c r="J33" s="330">
        <f>'Ratios watch'!G19</f>
        <v>0.27227503920555729</v>
      </c>
      <c r="K33" s="330">
        <f>'Ratios watch'!H19</f>
        <v>2.2165082314385298E-2</v>
      </c>
      <c r="L33" s="323">
        <f>'Ratios watch'!I19</f>
        <v>-0.32061773868967858</v>
      </c>
      <c r="M33" s="323">
        <f>'Ratios watch'!J19</f>
        <v>0.71330061377428677</v>
      </c>
      <c r="N33" s="323">
        <f>'Ratios watch'!K19</f>
        <v>0.20990771176558876</v>
      </c>
      <c r="AZ33" s="556"/>
      <c r="BA33" s="556"/>
      <c r="BB33" s="556"/>
      <c r="BC33" s="556"/>
      <c r="BD33" s="556"/>
      <c r="BE33" s="556"/>
      <c r="BF33" s="556"/>
      <c r="BG33" s="556"/>
      <c r="BH33" s="556"/>
      <c r="BI33" s="556"/>
      <c r="BJ33" s="556"/>
      <c r="BK33" s="556"/>
      <c r="BL33" s="556"/>
      <c r="BM33" s="307"/>
      <c r="BN33" s="307"/>
      <c r="BO33" s="307"/>
      <c r="BP33" s="307"/>
      <c r="BQ33" s="307"/>
    </row>
    <row r="34" spans="8:69" ht="12" customHeight="1">
      <c r="H34" s="331" t="s">
        <v>458</v>
      </c>
      <c r="I34" s="330"/>
      <c r="J34" s="330"/>
      <c r="K34" s="330"/>
      <c r="L34" s="332"/>
      <c r="M34" s="332"/>
      <c r="N34" s="332"/>
      <c r="AZ34" s="556"/>
      <c r="BA34" s="556"/>
      <c r="BB34" s="556"/>
      <c r="BC34" s="556"/>
      <c r="BD34" s="556"/>
      <c r="BE34" s="556"/>
      <c r="BF34" s="556"/>
      <c r="BG34" s="556"/>
      <c r="BH34" s="556"/>
      <c r="BI34" s="556"/>
      <c r="BJ34" s="556"/>
      <c r="BK34" s="556"/>
      <c r="BL34" s="556"/>
      <c r="BM34" s="307"/>
      <c r="BN34" s="307"/>
      <c r="BO34" s="307"/>
      <c r="BP34" s="307"/>
      <c r="BQ34" s="307"/>
    </row>
    <row r="35" spans="8:69" ht="12" customHeight="1">
      <c r="H35" s="333" t="s">
        <v>459</v>
      </c>
      <c r="I35" s="334">
        <f>DCF!$G$50/'IS &amp; BS'!F20</f>
        <v>5.9923502394214809</v>
      </c>
      <c r="J35" s="334">
        <f>DCF!$G$50/'IS &amp; BS'!G20</f>
        <v>4.7099487569631684</v>
      </c>
      <c r="K35" s="334">
        <f>DCF!$G$50/'IS &amp; BS'!H20</f>
        <v>4.6078161330838139</v>
      </c>
      <c r="L35" s="335">
        <f>DCF!$G$50/'IS &amp; BS'!I20</f>
        <v>6.782361559156314</v>
      </c>
      <c r="M35" s="335">
        <f>DCF!$G$50/'IS &amp; BS'!J20</f>
        <v>3.9586523839591838</v>
      </c>
      <c r="N35" s="335">
        <f>DCF!$G$50/'IS &amp; BS'!K20</f>
        <v>3.2718630896090573</v>
      </c>
      <c r="AZ35" s="556"/>
      <c r="BA35" s="556"/>
      <c r="BB35" s="556"/>
      <c r="BC35" s="556"/>
      <c r="BD35" s="556"/>
      <c r="BE35" s="556"/>
      <c r="BF35" s="556"/>
      <c r="BG35" s="556"/>
      <c r="BH35" s="556"/>
      <c r="BI35" s="556"/>
      <c r="BJ35" s="556"/>
      <c r="BK35" s="556"/>
      <c r="BL35" s="556"/>
      <c r="BM35" s="307"/>
      <c r="BN35" s="307"/>
      <c r="BO35" s="307"/>
      <c r="BP35" s="307"/>
      <c r="BQ35" s="307"/>
    </row>
    <row r="36" spans="8:69" ht="12" customHeight="1">
      <c r="H36" s="333" t="s">
        <v>460</v>
      </c>
      <c r="I36" s="334">
        <f>DCF!$G$50/'IS &amp; BS'!F23</f>
        <v>0.69700141393335324</v>
      </c>
      <c r="J36" s="334">
        <f>DCF!$G$50/'IS &amp; BS'!G23</f>
        <v>0.60991123063646624</v>
      </c>
      <c r="K36" s="334">
        <f>DCF!$G$50/'IS &amp; BS'!H23</f>
        <v>0.55200063528459364</v>
      </c>
      <c r="L36" s="335">
        <f>DCF!$G$50/'IS &amp; BS'!I23</f>
        <v>0.51628433131998608</v>
      </c>
      <c r="M36" s="335">
        <f>DCF!$G$50/'IS &amp; BS'!J23</f>
        <v>0.46476246892001871</v>
      </c>
      <c r="N36" s="335">
        <f>DCF!$G$50/'IS &amp; BS'!K23</f>
        <v>0.41469211809439366</v>
      </c>
      <c r="AZ36" s="556"/>
      <c r="BA36" s="556"/>
      <c r="BB36" s="556"/>
      <c r="BC36" s="556"/>
      <c r="BD36" s="556"/>
      <c r="BE36" s="556"/>
      <c r="BF36" s="556"/>
      <c r="BG36" s="556"/>
      <c r="BH36" s="556"/>
      <c r="BI36" s="556"/>
      <c r="BJ36" s="556"/>
      <c r="BK36" s="556"/>
      <c r="BL36" s="556"/>
      <c r="BM36" s="307"/>
      <c r="BN36" s="307"/>
      <c r="BO36" s="307"/>
      <c r="BP36" s="307"/>
      <c r="BQ36" s="307"/>
    </row>
    <row r="37" spans="8:69" ht="12" customHeight="1">
      <c r="H37" s="333" t="s">
        <v>3000</v>
      </c>
      <c r="I37" s="336">
        <f>'IS &amp; BS'!F21/DCF!$G$50</f>
        <v>1.1627969102334608E-2</v>
      </c>
      <c r="J37" s="336">
        <f>'IS &amp; BS'!G21/DCF!$G$50</f>
        <v>2.3255813953488372E-2</v>
      </c>
      <c r="K37" s="336">
        <f>'IS &amp; BS'!H21/DCF!$G$50</f>
        <v>3.4883720930232558E-2</v>
      </c>
      <c r="L37" s="337">
        <f>'IS &amp; BS'!I21/DCF!$G$50</f>
        <v>2.2116190458395309E-2</v>
      </c>
      <c r="M37" s="337">
        <f>'IS &amp; BS'!J21/DCF!$G$50</f>
        <v>3.7891682686717713E-2</v>
      </c>
      <c r="N37" s="337">
        <f>'IS &amp; BS'!K21/DCF!$G$50</f>
        <v>4.58454390944344E-2</v>
      </c>
      <c r="AZ37" s="556"/>
      <c r="BA37" s="556"/>
      <c r="BB37" s="556"/>
      <c r="BC37" s="556"/>
      <c r="BD37" s="556"/>
      <c r="BE37" s="556"/>
      <c r="BF37" s="556"/>
      <c r="BG37" s="556"/>
      <c r="BH37" s="556"/>
      <c r="BI37" s="556"/>
      <c r="BJ37" s="556"/>
      <c r="BK37" s="556"/>
      <c r="BL37" s="556"/>
      <c r="BM37" s="307"/>
      <c r="BN37" s="307"/>
      <c r="BO37" s="307"/>
      <c r="BP37" s="307"/>
      <c r="BQ37" s="307"/>
    </row>
    <row r="38" spans="8:69" ht="12" customHeight="1">
      <c r="H38" s="338" t="s">
        <v>3950</v>
      </c>
      <c r="I38" s="339">
        <f>'IS &amp; BS'!F23</f>
        <v>61.692844720845329</v>
      </c>
      <c r="J38" s="339">
        <f>'IS &amp; BS'!G23</f>
        <v>70.502062988949746</v>
      </c>
      <c r="K38" s="339">
        <f>'IS &amp; BS'!H23</f>
        <v>77.898461073021394</v>
      </c>
      <c r="L38" s="340">
        <f>'IS &amp; BS'!I23</f>
        <v>83.287439481383714</v>
      </c>
      <c r="M38" s="340">
        <f>'IS &amp; BS'!J23</f>
        <v>92.520379496047255</v>
      </c>
      <c r="N38" s="340">
        <f>'IS &amp; BS'!K23</f>
        <v>103.69138482205777</v>
      </c>
      <c r="AZ38" s="556"/>
      <c r="BA38" s="556"/>
      <c r="BB38" s="556"/>
      <c r="BC38" s="556"/>
      <c r="BD38" s="556"/>
      <c r="BE38" s="556"/>
      <c r="BF38" s="556"/>
      <c r="BG38" s="556"/>
      <c r="BH38" s="556"/>
      <c r="BI38" s="556"/>
      <c r="BJ38" s="556"/>
      <c r="BK38" s="556"/>
      <c r="BL38" s="556"/>
      <c r="BM38" s="307"/>
      <c r="BN38" s="307"/>
      <c r="BO38" s="307"/>
      <c r="BP38" s="307"/>
      <c r="BQ38" s="307"/>
    </row>
    <row r="39" spans="8:69" ht="12" customHeight="1">
      <c r="H39" s="341" t="s">
        <v>394</v>
      </c>
      <c r="I39" s="339">
        <f>'IS &amp; BS'!F21</f>
        <v>0.50000267140038812</v>
      </c>
      <c r="J39" s="339">
        <f>'IS &amp; BS'!G21</f>
        <v>1</v>
      </c>
      <c r="K39" s="339">
        <f>'IS &amp; BS'!H21</f>
        <v>1.5</v>
      </c>
      <c r="L39" s="340">
        <f>'IS &amp; BS'!I21</f>
        <v>0.95099618971099831</v>
      </c>
      <c r="M39" s="340">
        <f>'IS &amp; BS'!J21</f>
        <v>1.6293423555288615</v>
      </c>
      <c r="N39" s="340">
        <f>'IS &amp; BS'!K21</f>
        <v>1.9713538810606792</v>
      </c>
      <c r="AZ39" s="556"/>
      <c r="BA39" s="556"/>
      <c r="BB39" s="556"/>
      <c r="BC39" s="556"/>
      <c r="BD39" s="556"/>
      <c r="BE39" s="556"/>
      <c r="BF39" s="556"/>
      <c r="BG39" s="556"/>
      <c r="BH39" s="556"/>
      <c r="BI39" s="556"/>
      <c r="BJ39" s="556"/>
      <c r="BK39" s="556"/>
      <c r="BL39" s="556"/>
      <c r="BM39" s="307"/>
      <c r="BN39" s="307"/>
      <c r="BO39" s="307"/>
      <c r="BP39" s="307"/>
      <c r="BQ39" s="307"/>
    </row>
    <row r="40" spans="8:69" ht="12" customHeight="1">
      <c r="H40" s="342" t="s">
        <v>3001</v>
      </c>
      <c r="I40" s="343">
        <f>DCF!F13</f>
        <v>6.9678863434360375E-2</v>
      </c>
      <c r="J40" s="343">
        <f>DCF!G13</f>
        <v>0.10953369202239926</v>
      </c>
      <c r="K40" s="343">
        <f>DCF!H13</f>
        <v>0.16073777208431908</v>
      </c>
      <c r="L40" s="344">
        <f>DCF!I13</f>
        <v>0.15</v>
      </c>
      <c r="M40" s="344">
        <f>DCF!J13</f>
        <v>0.15</v>
      </c>
      <c r="N40" s="344">
        <f>DCF!K13</f>
        <v>0.15</v>
      </c>
      <c r="AZ40" s="556"/>
      <c r="BA40" s="556"/>
      <c r="BB40" s="556"/>
      <c r="BC40" s="556"/>
      <c r="BD40" s="556"/>
      <c r="BE40" s="556"/>
      <c r="BF40" s="556"/>
      <c r="BG40" s="556"/>
      <c r="BH40" s="556"/>
      <c r="BI40" s="556"/>
      <c r="BJ40" s="556"/>
      <c r="BK40" s="556"/>
      <c r="BL40" s="556"/>
      <c r="BM40" s="307"/>
      <c r="BN40" s="307"/>
      <c r="BO40" s="307"/>
      <c r="BP40" s="307"/>
      <c r="BQ40" s="307"/>
    </row>
    <row r="41" spans="8:69" ht="9.75" customHeight="1">
      <c r="H41" s="407" t="s">
        <v>3951</v>
      </c>
      <c r="I41" s="406"/>
      <c r="K41" s="407"/>
      <c r="L41" s="406"/>
      <c r="M41" s="406"/>
      <c r="N41" s="406"/>
      <c r="AZ41" s="556"/>
      <c r="BA41" s="556"/>
      <c r="BB41" s="556"/>
      <c r="BC41" s="556"/>
      <c r="BD41" s="556"/>
      <c r="BE41" s="556"/>
      <c r="BF41" s="556"/>
      <c r="BG41" s="556"/>
      <c r="BH41" s="556"/>
      <c r="BI41" s="556"/>
      <c r="BJ41" s="556"/>
      <c r="BK41" s="556"/>
      <c r="BL41" s="556"/>
      <c r="BM41" s="307"/>
      <c r="BN41" s="307"/>
      <c r="BO41" s="307"/>
      <c r="BP41" s="307"/>
      <c r="BQ41" s="307"/>
    </row>
    <row r="42" spans="8:69" ht="12" customHeight="1">
      <c r="I42" s="406"/>
      <c r="J42" s="406"/>
      <c r="K42" s="406"/>
      <c r="L42" s="406"/>
      <c r="M42" s="406"/>
      <c r="N42" s="406"/>
      <c r="AZ42" s="556"/>
      <c r="BA42" s="556"/>
      <c r="BB42" s="556"/>
      <c r="BC42" s="556"/>
      <c r="BD42" s="556"/>
      <c r="BE42" s="556"/>
      <c r="BF42" s="556"/>
      <c r="BG42" s="556"/>
      <c r="BH42" s="556"/>
      <c r="BI42" s="556"/>
      <c r="BJ42" s="556"/>
      <c r="BK42" s="556"/>
      <c r="BL42" s="556"/>
      <c r="BM42" s="307"/>
      <c r="BN42" s="307"/>
      <c r="BO42" s="307"/>
      <c r="BP42" s="307"/>
      <c r="BQ42" s="307"/>
    </row>
    <row r="43" spans="8:69" ht="15.6">
      <c r="AZ43" s="556"/>
      <c r="BA43" s="556"/>
      <c r="BB43" s="556"/>
      <c r="BC43" s="556"/>
      <c r="BD43" s="556"/>
      <c r="BE43" s="556"/>
      <c r="BF43" s="556"/>
      <c r="BG43" s="556"/>
      <c r="BH43" s="556"/>
      <c r="BI43" s="556"/>
      <c r="BJ43" s="556"/>
      <c r="BK43" s="556"/>
      <c r="BL43" s="556"/>
      <c r="BM43" s="307"/>
      <c r="BN43" s="307"/>
      <c r="BO43" s="307"/>
      <c r="BP43" s="307"/>
      <c r="BQ43" s="307"/>
    </row>
    <row r="44" spans="8:69" ht="15.6">
      <c r="AZ44" s="556"/>
      <c r="BA44" s="556"/>
      <c r="BB44" s="556"/>
      <c r="BC44" s="556"/>
      <c r="BD44" s="556"/>
      <c r="BE44" s="556"/>
      <c r="BF44" s="556"/>
      <c r="BG44" s="556"/>
      <c r="BH44" s="556"/>
      <c r="BI44" s="556"/>
      <c r="BJ44" s="556"/>
      <c r="BK44" s="556"/>
      <c r="BL44" s="556"/>
      <c r="BM44" s="307"/>
      <c r="BN44" s="307"/>
      <c r="BO44" s="307"/>
      <c r="BP44" s="307"/>
      <c r="BQ44" s="307"/>
    </row>
    <row r="45" spans="8:69" ht="15.6">
      <c r="P45" s="317" t="s">
        <v>2890</v>
      </c>
      <c r="Q45" s="674" t="s">
        <v>3952</v>
      </c>
      <c r="R45" s="674" t="s">
        <v>3921</v>
      </c>
      <c r="S45" s="674" t="s">
        <v>2893</v>
      </c>
      <c r="T45" s="674" t="s">
        <v>3944</v>
      </c>
      <c r="U45" s="674" t="s">
        <v>150</v>
      </c>
      <c r="V45" s="674" t="s">
        <v>2893</v>
      </c>
      <c r="AZ45" s="556"/>
      <c r="BA45" s="556"/>
      <c r="BB45" s="556"/>
      <c r="BC45" s="556"/>
      <c r="BD45" s="556"/>
      <c r="BE45" s="556"/>
      <c r="BF45" s="556"/>
      <c r="BG45" s="556"/>
      <c r="BH45" s="556"/>
      <c r="BI45" s="556"/>
      <c r="BJ45" s="556"/>
      <c r="BK45" s="556"/>
      <c r="BL45" s="556"/>
      <c r="BM45" s="307"/>
      <c r="BN45" s="307"/>
      <c r="BO45" s="307"/>
      <c r="BP45" s="307"/>
      <c r="BQ45" s="307"/>
    </row>
    <row r="46" spans="8:69" ht="12" customHeight="1">
      <c r="P46" s="318" t="s">
        <v>1</v>
      </c>
      <c r="Q46" s="319">
        <v>4664.1610000000001</v>
      </c>
      <c r="R46" s="319">
        <v>3685.0549999999998</v>
      </c>
      <c r="S46" s="346">
        <f t="shared" ref="S46:S51" si="1">Q46/R46-1</f>
        <v>0.26569644143710214</v>
      </c>
      <c r="T46" s="319">
        <f>'IS &amp; BS'!H4</f>
        <v>14669.734999999999</v>
      </c>
      <c r="U46" s="319">
        <f>'IS &amp; BS'!G4</f>
        <v>12811.224</v>
      </c>
      <c r="V46" s="346">
        <f>T46/U46-1</f>
        <v>0.14506896452673046</v>
      </c>
      <c r="AZ46" s="556"/>
      <c r="BA46" s="556"/>
      <c r="BB46" s="556"/>
      <c r="BC46" s="556"/>
      <c r="BD46" s="556"/>
      <c r="BE46" s="556"/>
      <c r="BF46" s="556"/>
      <c r="BG46" s="556"/>
      <c r="BH46" s="556"/>
      <c r="BI46" s="556"/>
      <c r="BJ46" s="556"/>
      <c r="BK46" s="556"/>
      <c r="BL46" s="556"/>
      <c r="BM46" s="307"/>
      <c r="BN46" s="307"/>
      <c r="BO46" s="307"/>
      <c r="BP46" s="307"/>
      <c r="BQ46" s="307"/>
    </row>
    <row r="47" spans="8:69" ht="12" customHeight="1">
      <c r="P47" s="353" t="s">
        <v>383</v>
      </c>
      <c r="Q47" s="348">
        <v>725.19899999999996</v>
      </c>
      <c r="R47" s="348">
        <v>974.83600000000001</v>
      </c>
      <c r="S47" s="349">
        <f t="shared" si="1"/>
        <v>-0.25608102285922973</v>
      </c>
      <c r="T47" s="348">
        <f>'IS &amp; BS'!H6</f>
        <v>3242.619999999999</v>
      </c>
      <c r="U47" s="348">
        <f>'IS &amp; BS'!G6</f>
        <v>3057.1139999999996</v>
      </c>
      <c r="V47" s="349">
        <f t="shared" ref="V47:V51" si="2">T47/U47-1</f>
        <v>6.0680105485107605E-2</v>
      </c>
      <c r="AZ47" s="556"/>
      <c r="BA47" s="556"/>
      <c r="BB47" s="556"/>
      <c r="BC47" s="556"/>
      <c r="BD47" s="556"/>
      <c r="BE47" s="556"/>
      <c r="BF47" s="556"/>
      <c r="BG47" s="556"/>
      <c r="BH47" s="556"/>
      <c r="BI47" s="556"/>
      <c r="BJ47" s="556"/>
      <c r="BK47" s="556"/>
      <c r="BL47" s="556"/>
      <c r="BM47" s="307"/>
      <c r="BN47" s="307"/>
      <c r="BO47" s="307"/>
      <c r="BP47" s="307"/>
      <c r="BQ47" s="307"/>
    </row>
    <row r="48" spans="8:69" ht="12" customHeight="1">
      <c r="P48" s="318" t="s">
        <v>2891</v>
      </c>
      <c r="Q48" s="319">
        <v>404.904</v>
      </c>
      <c r="R48" s="319">
        <v>669.82399999999996</v>
      </c>
      <c r="S48" s="346">
        <f t="shared" si="1"/>
        <v>-0.39550687941907126</v>
      </c>
      <c r="T48" s="319">
        <f>'IS &amp; BS'!H10</f>
        <v>2008.8699999999985</v>
      </c>
      <c r="U48" s="319">
        <f>'IS &amp; BS'!G10</f>
        <v>1892.5889999999993</v>
      </c>
      <c r="V48" s="346">
        <f t="shared" si="2"/>
        <v>6.1440175336535896E-2</v>
      </c>
      <c r="AZ48" s="556"/>
      <c r="BA48" s="556"/>
      <c r="BB48" s="556"/>
      <c r="BC48" s="556"/>
      <c r="BD48" s="556"/>
      <c r="BE48" s="556"/>
      <c r="BF48" s="556"/>
      <c r="BG48" s="556"/>
      <c r="BH48" s="556"/>
      <c r="BI48" s="556"/>
      <c r="BJ48" s="556"/>
      <c r="BK48" s="556"/>
      <c r="BL48" s="556"/>
      <c r="BM48" s="307"/>
      <c r="BN48" s="307"/>
      <c r="BO48" s="307"/>
      <c r="BP48" s="307"/>
      <c r="BQ48" s="307"/>
    </row>
    <row r="49" spans="16:69" ht="12" customHeight="1">
      <c r="P49" s="353" t="s">
        <v>354</v>
      </c>
      <c r="Q49" s="348">
        <v>317.30099999999999</v>
      </c>
      <c r="R49" s="348">
        <v>599.20000000000005</v>
      </c>
      <c r="S49" s="349">
        <f t="shared" si="1"/>
        <v>-0.47045894526034715</v>
      </c>
      <c r="T49" s="348">
        <f>'IS &amp; BS'!H13</f>
        <v>1764.5629999999985</v>
      </c>
      <c r="U49" s="348">
        <f>'IS &amp; BS'!G13</f>
        <v>1695.6219999999992</v>
      </c>
      <c r="V49" s="349">
        <f t="shared" si="2"/>
        <v>4.0658236328615427E-2</v>
      </c>
      <c r="AZ49" s="556"/>
      <c r="BA49" s="556"/>
      <c r="BB49" s="556"/>
      <c r="BC49" s="556"/>
      <c r="BD49" s="556"/>
      <c r="BE49" s="556"/>
      <c r="BF49" s="556"/>
      <c r="BG49" s="556"/>
      <c r="BH49" s="556"/>
      <c r="BI49" s="556"/>
      <c r="BJ49" s="556"/>
      <c r="BK49" s="556"/>
      <c r="BL49" s="556"/>
      <c r="BM49" s="307"/>
      <c r="BN49" s="307"/>
      <c r="BO49" s="307"/>
      <c r="BP49" s="307"/>
      <c r="BQ49" s="307"/>
    </row>
    <row r="50" spans="16:69" ht="12" customHeight="1">
      <c r="P50" s="318" t="s">
        <v>2892</v>
      </c>
      <c r="Q50" s="319">
        <v>231.50800000000001</v>
      </c>
      <c r="R50" s="319">
        <v>416.34800000000001</v>
      </c>
      <c r="S50" s="346">
        <f t="shared" si="1"/>
        <v>-0.44395553719484659</v>
      </c>
      <c r="T50" s="319">
        <f>'IS &amp; BS'!H15</f>
        <v>1255.4369999999985</v>
      </c>
      <c r="U50" s="319">
        <f>'IS &amp; BS'!G15</f>
        <v>1269.2279999999992</v>
      </c>
      <c r="V50" s="346">
        <f t="shared" si="2"/>
        <v>-1.086566007053158E-2</v>
      </c>
      <c r="AZ50" s="556"/>
      <c r="BA50" s="556"/>
      <c r="BB50" s="556"/>
      <c r="BC50" s="556"/>
      <c r="BD50" s="556"/>
      <c r="BE50" s="556"/>
      <c r="BF50" s="556"/>
      <c r="BG50" s="556"/>
      <c r="BH50" s="556"/>
      <c r="BI50" s="556"/>
      <c r="BJ50" s="556"/>
      <c r="BK50" s="556"/>
      <c r="BL50" s="556"/>
      <c r="BM50" s="307"/>
      <c r="BN50" s="307"/>
      <c r="BO50" s="307"/>
      <c r="BP50" s="307"/>
      <c r="BQ50" s="307"/>
    </row>
    <row r="51" spans="16:69" ht="12" customHeight="1">
      <c r="P51" s="353" t="s">
        <v>362</v>
      </c>
      <c r="Q51" s="348">
        <v>212.233</v>
      </c>
      <c r="R51" s="348">
        <v>373.89</v>
      </c>
      <c r="S51" s="349">
        <f t="shared" si="1"/>
        <v>-0.43236513413035915</v>
      </c>
      <c r="T51" s="348">
        <f>'IS &amp; BS'!H17</f>
        <v>1117.8519999999985</v>
      </c>
      <c r="U51" s="348">
        <f>'IS &amp; BS'!G17</f>
        <v>1093.6119999999992</v>
      </c>
      <c r="V51" s="349">
        <f t="shared" si="2"/>
        <v>2.2165082314385076E-2</v>
      </c>
      <c r="AZ51" s="556"/>
      <c r="BA51" s="556"/>
      <c r="BB51" s="556"/>
      <c r="BC51" s="556"/>
      <c r="BD51" s="556"/>
      <c r="BE51" s="556"/>
      <c r="BF51" s="556"/>
      <c r="BG51" s="556"/>
      <c r="BH51" s="556"/>
      <c r="BI51" s="556"/>
      <c r="BJ51" s="556"/>
      <c r="BK51" s="556"/>
      <c r="BL51" s="556"/>
      <c r="BM51" s="307"/>
      <c r="BN51" s="307"/>
      <c r="BO51" s="307"/>
      <c r="BP51" s="307"/>
      <c r="BQ51" s="307"/>
    </row>
    <row r="52" spans="16:69" ht="15.6">
      <c r="P52" s="350"/>
      <c r="Q52" s="351"/>
      <c r="R52" s="352"/>
      <c r="S52" s="352"/>
      <c r="T52" s="352"/>
      <c r="U52" s="352"/>
      <c r="V52" s="352"/>
      <c r="AZ52" s="556"/>
      <c r="BA52" s="556"/>
      <c r="BB52" s="556"/>
      <c r="BC52" s="556"/>
      <c r="BD52" s="556"/>
      <c r="BE52" s="556"/>
      <c r="BF52" s="556"/>
      <c r="BG52" s="556"/>
      <c r="BH52" s="556"/>
      <c r="BI52" s="556"/>
      <c r="BJ52" s="556"/>
      <c r="BK52" s="556"/>
      <c r="BL52" s="556"/>
      <c r="BM52" s="307"/>
      <c r="BN52" s="307"/>
      <c r="BO52" s="307"/>
      <c r="BP52" s="307"/>
      <c r="BQ52" s="307"/>
    </row>
    <row r="53" spans="16:69" ht="15.6">
      <c r="P53" s="307" t="s">
        <v>2987</v>
      </c>
      <c r="AB53" s="675"/>
      <c r="AC53" s="675"/>
      <c r="AD53" s="675"/>
      <c r="AE53" s="675"/>
      <c r="AZ53" s="556"/>
      <c r="BA53" s="556"/>
      <c r="BB53" s="556"/>
      <c r="BC53" s="556"/>
      <c r="BD53" s="556"/>
      <c r="BE53" s="556"/>
      <c r="BF53" s="556"/>
      <c r="BG53" s="556"/>
      <c r="BH53" s="556"/>
      <c r="BI53" s="556"/>
      <c r="BJ53" s="556"/>
      <c r="BK53" s="556"/>
      <c r="BL53" s="556"/>
      <c r="BM53" s="307"/>
      <c r="BN53" s="307"/>
      <c r="BO53" s="307"/>
      <c r="BP53" s="307"/>
      <c r="BQ53" s="307"/>
    </row>
    <row r="54" spans="16:69" ht="15.6">
      <c r="X54" s="317" t="s">
        <v>2890</v>
      </c>
      <c r="Y54" s="301" t="str">
        <f>Quarterly!J4</f>
        <v>4QFY16</v>
      </c>
      <c r="Z54" s="301" t="str">
        <f>Quarterly!K4</f>
        <v>1QFY17</v>
      </c>
      <c r="AA54" s="301" t="str">
        <f>Quarterly!L4</f>
        <v>2QFY17</v>
      </c>
      <c r="AB54" s="676" t="str">
        <f>Quarterly!M4</f>
        <v>3QFY17</v>
      </c>
      <c r="AC54" s="676" t="str">
        <f>Quarterly!N4</f>
        <v>4QFY17</v>
      </c>
      <c r="AD54" s="676" t="str">
        <f>Quarterly!O4</f>
        <v>1QFY18</v>
      </c>
      <c r="AE54" s="676" t="str">
        <f>Quarterly!P4</f>
        <v>2QFY18</v>
      </c>
      <c r="AF54" s="301" t="s">
        <v>2895</v>
      </c>
      <c r="AZ54" s="556"/>
      <c r="BA54" s="556"/>
      <c r="BB54" s="556"/>
      <c r="BC54" s="556"/>
      <c r="BD54" s="556"/>
      <c r="BE54" s="556"/>
      <c r="BF54" s="556"/>
      <c r="BG54" s="556"/>
      <c r="BH54" s="556"/>
      <c r="BI54" s="556"/>
      <c r="BJ54" s="556"/>
      <c r="BK54" s="556"/>
      <c r="BL54" s="556"/>
      <c r="BM54" s="307"/>
      <c r="BN54" s="307"/>
      <c r="BO54" s="307"/>
      <c r="BP54" s="307"/>
      <c r="BQ54" s="307"/>
    </row>
    <row r="55" spans="16:69" ht="12" customHeight="1">
      <c r="X55" s="318" t="s">
        <v>1</v>
      </c>
      <c r="Y55" s="345">
        <f>Quarterly!J6/1000</f>
        <v>3242.2440000000001</v>
      </c>
      <c r="Z55" s="345">
        <f>Quarterly!K6/1000</f>
        <v>3361.8090000000002</v>
      </c>
      <c r="AA55" s="345">
        <f>Quarterly!L6/1000</f>
        <v>3685.0549999999998</v>
      </c>
      <c r="AB55" s="345">
        <f>Quarterly!M6/1000</f>
        <v>4623.4669999999996</v>
      </c>
      <c r="AC55" s="345">
        <f>Quarterly!N6/1000</f>
        <v>3001.7750000000001</v>
      </c>
      <c r="AD55" s="345">
        <f>Quarterly!O6/1000</f>
        <v>3403.2240000000002</v>
      </c>
      <c r="AE55" s="345">
        <f>Quarterly!P6/1000</f>
        <v>4664.1610000000001</v>
      </c>
      <c r="AF55" s="346">
        <f>(AE55-AD55)/ABS(AD55)</f>
        <v>0.37051249050899965</v>
      </c>
      <c r="AZ55" s="556"/>
      <c r="BA55" s="556"/>
      <c r="BB55" s="556"/>
      <c r="BC55" s="556"/>
      <c r="BD55" s="556"/>
      <c r="BE55" s="556"/>
      <c r="BF55" s="556"/>
      <c r="BG55" s="556"/>
      <c r="BH55" s="556"/>
      <c r="BI55" s="556"/>
      <c r="BJ55" s="556"/>
      <c r="BK55" s="556"/>
      <c r="BL55" s="556"/>
      <c r="BM55" s="307"/>
      <c r="BN55" s="307"/>
      <c r="BO55" s="307"/>
      <c r="BP55" s="307"/>
      <c r="BQ55" s="307"/>
    </row>
    <row r="56" spans="16:69" ht="12" customHeight="1">
      <c r="X56" s="353" t="s">
        <v>383</v>
      </c>
      <c r="Y56" s="347">
        <f>Quarterly!J7/1000</f>
        <v>748.45</v>
      </c>
      <c r="Z56" s="347">
        <f>Quarterly!K7/1000</f>
        <v>805.90300000000002</v>
      </c>
      <c r="AA56" s="347">
        <f>Quarterly!L7/1000</f>
        <v>974.83600000000001</v>
      </c>
      <c r="AB56" s="347">
        <f>Quarterly!M7/1000</f>
        <v>836.88199999999995</v>
      </c>
      <c r="AC56" s="347">
        <f>Quarterly!N7/1000</f>
        <v>582.53599999999994</v>
      </c>
      <c r="AD56" s="347">
        <f>Quarterly!O7/1000</f>
        <v>366.02199999999999</v>
      </c>
      <c r="AE56" s="347">
        <f>Quarterly!P7/1000</f>
        <v>725.19899999999996</v>
      </c>
      <c r="AF56" s="349">
        <f t="shared" ref="AF56:AF63" si="3">(AE56-AD56)/ABS(AD56)</f>
        <v>0.98129893831518311</v>
      </c>
      <c r="AZ56" s="556"/>
      <c r="BA56" s="556"/>
      <c r="BB56" s="556"/>
      <c r="BC56" s="556"/>
      <c r="BD56" s="556"/>
      <c r="BE56" s="556"/>
      <c r="BF56" s="556"/>
      <c r="BG56" s="556"/>
      <c r="BH56" s="556"/>
      <c r="BI56" s="556"/>
      <c r="BJ56" s="556"/>
      <c r="BK56" s="556"/>
      <c r="BL56" s="556"/>
      <c r="BM56" s="307"/>
      <c r="BN56" s="307"/>
      <c r="BO56" s="307"/>
      <c r="BP56" s="307"/>
      <c r="BQ56" s="307"/>
    </row>
    <row r="57" spans="16:69" ht="12" customHeight="1">
      <c r="X57" s="354" t="s">
        <v>387</v>
      </c>
      <c r="Y57" s="355">
        <f>Y56/Y55</f>
        <v>0.2308432061251405</v>
      </c>
      <c r="Z57" s="355">
        <f>Z56/Z55</f>
        <v>0.23972301817265643</v>
      </c>
      <c r="AA57" s="355">
        <f>AA56/AA55</f>
        <v>0.26453770703558022</v>
      </c>
      <c r="AB57" s="355">
        <f>AB56/AB55</f>
        <v>0.18100745609301419</v>
      </c>
      <c r="AC57" s="355">
        <f t="shared" ref="AC57:AE57" si="4">AC56/AC55</f>
        <v>0.19406384555804479</v>
      </c>
      <c r="AD57" s="355">
        <f t="shared" si="4"/>
        <v>0.10755154524063064</v>
      </c>
      <c r="AE57" s="355">
        <f t="shared" si="4"/>
        <v>0.15548326912385743</v>
      </c>
      <c r="AF57" s="346">
        <f>AE57-AD57</f>
        <v>4.7931723883226793E-2</v>
      </c>
      <c r="AZ57" s="556"/>
      <c r="BA57" s="556"/>
      <c r="BB57" s="556"/>
      <c r="BC57" s="556"/>
      <c r="BD57" s="556"/>
      <c r="BE57" s="556"/>
      <c r="BF57" s="556"/>
      <c r="BG57" s="556"/>
      <c r="BH57" s="556"/>
      <c r="BI57" s="556"/>
      <c r="BJ57" s="556"/>
      <c r="BK57" s="556"/>
      <c r="BL57" s="556"/>
      <c r="BM57" s="307"/>
      <c r="BN57" s="307"/>
      <c r="BO57" s="307"/>
      <c r="BP57" s="307"/>
      <c r="BQ57" s="307"/>
    </row>
    <row r="58" spans="16:69" ht="12" customHeight="1">
      <c r="X58" s="353" t="s">
        <v>2891</v>
      </c>
      <c r="Y58" s="347">
        <f>Quarterly!J12/1000</f>
        <v>474.64600000000002</v>
      </c>
      <c r="Z58" s="347">
        <f>Quarterly!K12/1000</f>
        <v>534.45799999999997</v>
      </c>
      <c r="AA58" s="347">
        <f>Quarterly!L12/1000</f>
        <v>669.82299999999998</v>
      </c>
      <c r="AB58" s="347">
        <f>Quarterly!M12/1000</f>
        <v>526.18200000000002</v>
      </c>
      <c r="AC58" s="347">
        <f>Quarterly!N12/1000</f>
        <v>280.54300000000001</v>
      </c>
      <c r="AD58" s="347">
        <f>Quarterly!O12/1000</f>
        <v>86.298000000000002</v>
      </c>
      <c r="AE58" s="347">
        <f>Quarterly!P12/1000</f>
        <v>404.904</v>
      </c>
      <c r="AF58" s="349">
        <f t="shared" si="3"/>
        <v>3.6919279705207537</v>
      </c>
      <c r="AZ58" s="556"/>
      <c r="BA58" s="556"/>
      <c r="BB58" s="556"/>
      <c r="BC58" s="556"/>
      <c r="BD58" s="556"/>
      <c r="BE58" s="556"/>
      <c r="BF58" s="556"/>
      <c r="BG58" s="556"/>
      <c r="BH58" s="556"/>
      <c r="BI58" s="556"/>
      <c r="BJ58" s="556"/>
      <c r="BK58" s="556"/>
      <c r="BL58" s="556"/>
      <c r="BM58" s="307"/>
      <c r="BN58" s="307"/>
      <c r="BO58" s="307"/>
      <c r="BP58" s="307"/>
      <c r="BQ58" s="307"/>
    </row>
    <row r="59" spans="16:69" ht="12" customHeight="1">
      <c r="X59" s="356" t="s">
        <v>2905</v>
      </c>
      <c r="Y59" s="357">
        <f>Y58/Y55</f>
        <v>0.14639428741328536</v>
      </c>
      <c r="Z59" s="357">
        <f>Z58/Z55</f>
        <v>0.15897928763948219</v>
      </c>
      <c r="AA59" s="357">
        <f>AA58/AA55</f>
        <v>0.1817674363069208</v>
      </c>
      <c r="AB59" s="357">
        <f>AB58/AB55</f>
        <v>0.11380680342262636</v>
      </c>
      <c r="AC59" s="357">
        <f t="shared" ref="AC59:AE59" si="5">AC58/AC55</f>
        <v>9.3459036736597514E-2</v>
      </c>
      <c r="AD59" s="357">
        <f t="shared" si="5"/>
        <v>2.5357719621159229E-2</v>
      </c>
      <c r="AE59" s="357">
        <f t="shared" si="5"/>
        <v>8.6811754568506524E-2</v>
      </c>
      <c r="AF59" s="346">
        <f>AE59-AD59</f>
        <v>6.1454034947347295E-2</v>
      </c>
      <c r="AZ59" s="556"/>
      <c r="BA59" s="556"/>
      <c r="BB59" s="556"/>
      <c r="BC59" s="556"/>
      <c r="BD59" s="556"/>
      <c r="BE59" s="556"/>
      <c r="BF59" s="556"/>
      <c r="BG59" s="556"/>
      <c r="BH59" s="556"/>
      <c r="BI59" s="556"/>
      <c r="BJ59" s="556"/>
      <c r="BK59" s="556"/>
      <c r="BL59" s="556"/>
      <c r="BM59" s="307"/>
      <c r="BN59" s="307"/>
      <c r="BO59" s="307"/>
      <c r="BP59" s="307"/>
      <c r="BQ59" s="307"/>
    </row>
    <row r="60" spans="16:69" ht="12" customHeight="1">
      <c r="X60" s="353" t="s">
        <v>354</v>
      </c>
      <c r="Y60" s="347">
        <f>Quarterly!J14/1000</f>
        <v>426.69499999999999</v>
      </c>
      <c r="Z60" s="347">
        <f>Quarterly!K14/1000</f>
        <v>481.99200000000002</v>
      </c>
      <c r="AA60" s="347">
        <f>Quarterly!L14/1000</f>
        <v>599.20000000000005</v>
      </c>
      <c r="AB60" s="347">
        <f>Quarterly!M14/1000</f>
        <v>438.88400000000001</v>
      </c>
      <c r="AC60" s="347">
        <f>Quarterly!N14/1000</f>
        <v>237.28899999999999</v>
      </c>
      <c r="AD60" s="347">
        <f>Quarterly!O14/1000</f>
        <v>7.3339999999999996</v>
      </c>
      <c r="AE60" s="347">
        <f>Quarterly!P14/1000</f>
        <v>317.30099999999999</v>
      </c>
      <c r="AF60" s="349">
        <f t="shared" si="3"/>
        <v>42.264385055904008</v>
      </c>
      <c r="AZ60" s="556"/>
      <c r="BA60" s="556"/>
      <c r="BB60" s="556"/>
      <c r="BC60" s="556"/>
      <c r="BD60" s="556"/>
      <c r="BE60" s="556"/>
      <c r="BF60" s="556"/>
      <c r="BG60" s="556"/>
      <c r="BH60" s="556"/>
      <c r="BI60" s="556"/>
      <c r="BJ60" s="556"/>
      <c r="BK60" s="556"/>
      <c r="BL60" s="556"/>
      <c r="BM60" s="307"/>
      <c r="BN60" s="307"/>
      <c r="BO60" s="307"/>
      <c r="BP60" s="307"/>
      <c r="BQ60" s="307"/>
    </row>
    <row r="61" spans="16:69" ht="12" customHeight="1">
      <c r="X61" s="318" t="s">
        <v>2892</v>
      </c>
      <c r="Y61" s="345">
        <f>Quarterly!J18/1000</f>
        <v>333.55200000000002</v>
      </c>
      <c r="Z61" s="345">
        <f>Quarterly!K18/1000</f>
        <v>349.10700000000003</v>
      </c>
      <c r="AA61" s="345">
        <f>Quarterly!L18/1000</f>
        <v>416.34699999999998</v>
      </c>
      <c r="AB61" s="345">
        <f>Quarterly!M18/1000</f>
        <v>314.77499999999998</v>
      </c>
      <c r="AC61" s="345">
        <f>Quarterly!N18/1000</f>
        <v>132.054</v>
      </c>
      <c r="AD61" s="345">
        <f>Quarterly!O18/1000</f>
        <v>-5.4580000000000002</v>
      </c>
      <c r="AE61" s="345">
        <f>Quarterly!P18/1000</f>
        <v>231.50800000000001</v>
      </c>
      <c r="AF61" s="346">
        <f t="shared" si="3"/>
        <v>43.416269695859292</v>
      </c>
      <c r="AZ61" s="556"/>
      <c r="BA61" s="556"/>
      <c r="BB61" s="556"/>
      <c r="BC61" s="556"/>
      <c r="BD61" s="556"/>
      <c r="BE61" s="556"/>
      <c r="BF61" s="556"/>
      <c r="BG61" s="556"/>
      <c r="BH61" s="556"/>
      <c r="BI61" s="556"/>
      <c r="BJ61" s="556"/>
      <c r="BK61" s="556"/>
      <c r="BL61" s="556"/>
      <c r="BM61" s="307"/>
      <c r="BN61" s="307"/>
      <c r="BO61" s="307"/>
      <c r="BP61" s="307"/>
      <c r="BQ61" s="307"/>
    </row>
    <row r="62" spans="16:69" ht="12" customHeight="1">
      <c r="X62" s="358" t="s">
        <v>372</v>
      </c>
      <c r="Y62" s="359">
        <f>Y61/Y55</f>
        <v>0.10287689637177215</v>
      </c>
      <c r="Z62" s="359">
        <f>Z61/Z55</f>
        <v>0.10384498345979798</v>
      </c>
      <c r="AA62" s="359">
        <f>AA61/AA55</f>
        <v>0.11298257420852606</v>
      </c>
      <c r="AB62" s="359">
        <f>AB61/AB55</f>
        <v>6.8082025890960185E-2</v>
      </c>
      <c r="AC62" s="359">
        <f t="shared" ref="AC62:AE62" si="6">AC61/AC55</f>
        <v>4.3991971416911663E-2</v>
      </c>
      <c r="AD62" s="359">
        <f t="shared" si="6"/>
        <v>-1.6037733631403634E-3</v>
      </c>
      <c r="AE62" s="359">
        <f t="shared" si="6"/>
        <v>4.9635507865187334E-2</v>
      </c>
      <c r="AF62" s="349">
        <f>AE62-AD62</f>
        <v>5.1239281228327695E-2</v>
      </c>
      <c r="AZ62" s="556"/>
      <c r="BA62" s="556"/>
      <c r="BB62" s="556"/>
      <c r="BC62" s="556"/>
      <c r="BD62" s="556"/>
      <c r="BE62" s="556"/>
      <c r="BF62" s="556"/>
      <c r="BG62" s="556"/>
      <c r="BH62" s="556"/>
      <c r="BI62" s="556"/>
      <c r="BJ62" s="556"/>
      <c r="BK62" s="556"/>
      <c r="BL62" s="556"/>
      <c r="BM62" s="307"/>
      <c r="BN62" s="307"/>
      <c r="BO62" s="307"/>
      <c r="BP62" s="307"/>
      <c r="BQ62" s="307"/>
    </row>
    <row r="63" spans="16:69" ht="12" customHeight="1">
      <c r="X63" s="318" t="s">
        <v>362</v>
      </c>
      <c r="Y63" s="345">
        <f>Quarterly!J21/1000</f>
        <v>279.59199999999998</v>
      </c>
      <c r="Z63" s="345">
        <f>Quarterly!K21/1000</f>
        <v>306.17099999999999</v>
      </c>
      <c r="AA63" s="345">
        <f>Quarterly!L21/1000</f>
        <v>373.89</v>
      </c>
      <c r="AB63" s="345">
        <f>Quarterly!M21/1000</f>
        <v>283.827</v>
      </c>
      <c r="AC63" s="345">
        <f>Quarterly!N21/1000</f>
        <v>116.34699999999999</v>
      </c>
      <c r="AD63" s="345">
        <f>Quarterly!O21/1000</f>
        <v>-12.292999999999999</v>
      </c>
      <c r="AE63" s="345">
        <f>Quarterly!P21/1000</f>
        <v>212.233</v>
      </c>
      <c r="AF63" s="346">
        <f t="shared" si="3"/>
        <v>18.264540795574721</v>
      </c>
      <c r="AZ63" s="556"/>
      <c r="BA63" s="556"/>
      <c r="BB63" s="556"/>
      <c r="BC63" s="556"/>
      <c r="BD63" s="556"/>
      <c r="BE63" s="556"/>
      <c r="BF63" s="556"/>
      <c r="BG63" s="556"/>
      <c r="BH63" s="556"/>
      <c r="BI63" s="556"/>
      <c r="BJ63" s="556"/>
      <c r="BK63" s="556"/>
      <c r="BL63" s="556"/>
      <c r="BM63" s="307"/>
      <c r="BN63" s="307"/>
      <c r="BO63" s="307"/>
      <c r="BP63" s="307"/>
      <c r="BQ63" s="307"/>
    </row>
    <row r="64" spans="16:69" ht="15.6">
      <c r="X64" s="358"/>
      <c r="Y64" s="359"/>
      <c r="Z64" s="359"/>
      <c r="AA64" s="359"/>
      <c r="AB64" s="359"/>
      <c r="AC64" s="349"/>
      <c r="AD64" s="349"/>
      <c r="AE64" s="349"/>
      <c r="AF64" s="349"/>
      <c r="AZ64" s="556"/>
      <c r="BA64" s="556"/>
      <c r="BB64" s="556"/>
      <c r="BC64" s="556"/>
      <c r="BD64" s="556"/>
      <c r="BE64" s="556"/>
      <c r="BF64" s="556"/>
      <c r="BG64" s="556"/>
      <c r="BH64" s="556"/>
      <c r="BI64" s="556"/>
      <c r="BJ64" s="556"/>
      <c r="BK64" s="556"/>
      <c r="BL64" s="556"/>
      <c r="BM64" s="307"/>
      <c r="BN64" s="307"/>
      <c r="BO64" s="307"/>
      <c r="BP64" s="307"/>
      <c r="BQ64" s="307"/>
    </row>
    <row r="65" spans="24:69" ht="15.6">
      <c r="AZ65" s="556"/>
      <c r="BA65" s="556"/>
      <c r="BB65" s="556"/>
      <c r="BC65" s="556"/>
      <c r="BD65" s="556"/>
      <c r="BE65" s="556"/>
      <c r="BF65" s="556"/>
      <c r="BG65" s="556"/>
      <c r="BH65" s="556"/>
      <c r="BI65" s="556"/>
      <c r="BJ65" s="556"/>
      <c r="BK65" s="556"/>
      <c r="BL65" s="556"/>
      <c r="BM65" s="307"/>
      <c r="BN65" s="307"/>
      <c r="BO65" s="307"/>
      <c r="BP65" s="307"/>
      <c r="BQ65" s="307"/>
    </row>
    <row r="66" spans="24:69" ht="15.6">
      <c r="X66" s="307" t="s">
        <v>2987</v>
      </c>
      <c r="AH66" s="317" t="s">
        <v>2890</v>
      </c>
      <c r="AI66" s="301" t="s">
        <v>105</v>
      </c>
      <c r="AJ66" s="301" t="s">
        <v>150</v>
      </c>
      <c r="AK66" s="301" t="s">
        <v>3944</v>
      </c>
      <c r="AL66" s="301" t="s">
        <v>152</v>
      </c>
      <c r="AM66" s="301" t="s">
        <v>153</v>
      </c>
      <c r="AN66" s="301" t="s">
        <v>309</v>
      </c>
      <c r="AZ66" s="556"/>
      <c r="BA66" s="556"/>
      <c r="BB66" s="556"/>
      <c r="BC66" s="556"/>
      <c r="BD66" s="556"/>
      <c r="BE66" s="556"/>
      <c r="BF66" s="556"/>
      <c r="BG66" s="556"/>
      <c r="BH66" s="556"/>
      <c r="BI66" s="556"/>
      <c r="BJ66" s="556"/>
      <c r="BK66" s="556"/>
      <c r="BL66" s="556"/>
      <c r="BM66" s="307"/>
      <c r="BN66" s="307"/>
      <c r="BO66" s="307"/>
      <c r="BP66" s="307"/>
      <c r="BQ66" s="307"/>
    </row>
    <row r="67" spans="24:69" ht="15.6">
      <c r="AH67" s="353" t="s">
        <v>1</v>
      </c>
      <c r="AI67" s="347">
        <f>'IS &amp; BS'!F4</f>
        <v>14427.236000000001</v>
      </c>
      <c r="AJ67" s="347">
        <f>'IS &amp; BS'!G4</f>
        <v>12811.224</v>
      </c>
      <c r="AK67" s="347">
        <f>'IS &amp; BS'!H4</f>
        <v>14669.734999999999</v>
      </c>
      <c r="AL67" s="360">
        <f>'IS &amp; BS'!I4</f>
        <v>20978.830515386398</v>
      </c>
      <c r="AM67" s="360">
        <f>'IS &amp; BS'!J4</f>
        <v>26472.353120886062</v>
      </c>
      <c r="AN67" s="360">
        <f>'IS &amp; BS'!K4</f>
        <v>30050.591938632362</v>
      </c>
      <c r="AZ67" s="556"/>
      <c r="BA67" s="556"/>
      <c r="BB67" s="556"/>
      <c r="BC67" s="556"/>
      <c r="BD67" s="556"/>
      <c r="BE67" s="556"/>
      <c r="BF67" s="556"/>
      <c r="BG67" s="556"/>
      <c r="BH67" s="556"/>
      <c r="BI67" s="556"/>
      <c r="BJ67" s="556"/>
      <c r="BK67" s="556"/>
      <c r="BL67" s="556"/>
      <c r="BM67" s="307"/>
      <c r="BN67" s="307"/>
      <c r="BO67" s="307"/>
      <c r="BP67" s="307"/>
      <c r="BQ67" s="307"/>
    </row>
    <row r="68" spans="24:69" ht="15.6">
      <c r="AH68" s="353" t="s">
        <v>2908</v>
      </c>
      <c r="AI68" s="347">
        <f>'IS &amp; BS'!F5</f>
        <v>-11877.468000000001</v>
      </c>
      <c r="AJ68" s="347">
        <f>'IS &amp; BS'!G5</f>
        <v>-9754.11</v>
      </c>
      <c r="AK68" s="347">
        <f>'IS &amp; BS'!H5</f>
        <v>-11427.115</v>
      </c>
      <c r="AL68" s="360">
        <f>'IS &amp; BS'!I5</f>
        <v>-17687.278463276467</v>
      </c>
      <c r="AM68" s="360">
        <f>'IS &amp; BS'!J5</f>
        <v>-21928.223074880007</v>
      </c>
      <c r="AN68" s="360">
        <f>'IS &amp; BS'!K5</f>
        <v>-24775.476725911511</v>
      </c>
      <c r="AZ68" s="556"/>
      <c r="BA68" s="556"/>
      <c r="BB68" s="556"/>
      <c r="BC68" s="556"/>
      <c r="BD68" s="556"/>
      <c r="BE68" s="556"/>
      <c r="BF68" s="556"/>
      <c r="BG68" s="556"/>
      <c r="BH68" s="556"/>
      <c r="BI68" s="556"/>
      <c r="BJ68" s="556"/>
      <c r="BK68" s="556"/>
      <c r="BL68" s="556"/>
      <c r="BM68" s="307"/>
      <c r="BN68" s="307"/>
      <c r="BO68" s="307"/>
      <c r="BP68" s="307"/>
      <c r="BQ68" s="307"/>
    </row>
    <row r="69" spans="24:69" ht="15.6">
      <c r="AH69" s="353" t="s">
        <v>383</v>
      </c>
      <c r="AI69" s="361">
        <f>'IS &amp; BS'!F6</f>
        <v>2549.768</v>
      </c>
      <c r="AJ69" s="361">
        <f>'IS &amp; BS'!G6</f>
        <v>3057.1139999999996</v>
      </c>
      <c r="AK69" s="361">
        <f>'IS &amp; BS'!H6</f>
        <v>3242.619999999999</v>
      </c>
      <c r="AL69" s="362">
        <f>'IS &amp; BS'!I6</f>
        <v>3291.5520521099315</v>
      </c>
      <c r="AM69" s="362">
        <f>'IS &amp; BS'!J6</f>
        <v>4544.1300460060556</v>
      </c>
      <c r="AN69" s="362">
        <f>'IS &amp; BS'!K6</f>
        <v>5275.1152127208516</v>
      </c>
      <c r="AZ69" s="556"/>
      <c r="BA69" s="556"/>
      <c r="BB69" s="556"/>
      <c r="BC69" s="556"/>
      <c r="BD69" s="556"/>
      <c r="BE69" s="556"/>
      <c r="BF69" s="556"/>
      <c r="BG69" s="556"/>
      <c r="BH69" s="556"/>
      <c r="BI69" s="556"/>
      <c r="BJ69" s="556"/>
      <c r="BK69" s="556"/>
      <c r="BL69" s="556"/>
      <c r="BM69" s="307"/>
      <c r="BN69" s="307"/>
      <c r="BO69" s="307"/>
      <c r="BP69" s="307"/>
      <c r="BQ69" s="307"/>
    </row>
    <row r="70" spans="24:69" ht="15.6">
      <c r="AH70" s="353" t="s">
        <v>190</v>
      </c>
      <c r="AI70" s="347">
        <f>'IS &amp; BS'!F7</f>
        <v>192.60400000000001</v>
      </c>
      <c r="AJ70" s="347">
        <f>'IS &amp; BS'!G7</f>
        <v>45.017000000000003</v>
      </c>
      <c r="AK70" s="347">
        <f>'IS &amp; BS'!H7</f>
        <v>52.432000000000002</v>
      </c>
      <c r="AL70" s="360">
        <f>'IS &amp; BS'!I7</f>
        <v>46.10602810077517</v>
      </c>
      <c r="AM70" s="360">
        <f>'IS &amp; BS'!J7</f>
        <v>47.153278855218268</v>
      </c>
      <c r="AN70" s="360">
        <f>'IS &amp; BS'!K7</f>
        <v>48.246702002420243</v>
      </c>
      <c r="AZ70" s="556"/>
      <c r="BA70" s="556"/>
      <c r="BB70" s="556"/>
      <c r="BC70" s="556"/>
      <c r="BD70" s="556"/>
      <c r="BE70" s="556"/>
      <c r="BF70" s="556"/>
      <c r="BG70" s="556"/>
      <c r="BH70" s="556"/>
      <c r="BI70" s="556"/>
      <c r="BJ70" s="556"/>
      <c r="BK70" s="556"/>
      <c r="BL70" s="556"/>
      <c r="BM70" s="307"/>
      <c r="BN70" s="307"/>
      <c r="BO70" s="307"/>
      <c r="BP70" s="307"/>
      <c r="BQ70" s="307"/>
    </row>
    <row r="71" spans="24:69" ht="15.6">
      <c r="AH71" s="353" t="s">
        <v>384</v>
      </c>
      <c r="AI71" s="347">
        <f>'IS &amp; BS'!F8+'IS &amp; BS'!F9</f>
        <v>-1145.8609999999999</v>
      </c>
      <c r="AJ71" s="347">
        <f>'IS &amp; BS'!G8+'IS &amp; BS'!G9</f>
        <v>-1209.5419999999999</v>
      </c>
      <c r="AK71" s="347">
        <f>'IS &amp; BS'!H8+'IS &amp; BS'!H9</f>
        <v>-1286.182</v>
      </c>
      <c r="AL71" s="360">
        <f>'IS &amp; BS'!I8+'IS &amp; BS'!I9</f>
        <v>-1671.8236630119275</v>
      </c>
      <c r="AM71" s="360">
        <f>'IS &amp; BS'!J8+'IS &amp; BS'!J9</f>
        <v>-2019.152346322941</v>
      </c>
      <c r="AN71" s="360">
        <f>'IS &amp; BS'!K8+'IS &amp; BS'!K9</f>
        <v>-2267.6926774807202</v>
      </c>
      <c r="AZ71" s="556"/>
      <c r="BA71" s="556"/>
      <c r="BB71" s="556"/>
      <c r="BC71" s="556"/>
      <c r="BD71" s="556"/>
      <c r="BE71" s="556"/>
      <c r="BF71" s="556"/>
      <c r="BG71" s="556"/>
      <c r="BH71" s="556"/>
      <c r="BI71" s="556"/>
      <c r="BJ71" s="556"/>
      <c r="BK71" s="556"/>
      <c r="BL71" s="556"/>
      <c r="BM71" s="307"/>
      <c r="BN71" s="307"/>
      <c r="BO71" s="307"/>
      <c r="BP71" s="307"/>
      <c r="BQ71" s="307"/>
    </row>
    <row r="72" spans="24:69" ht="15.6">
      <c r="AH72" s="353" t="s">
        <v>2891</v>
      </c>
      <c r="AI72" s="361">
        <f>'IS &amp; BS'!F10</f>
        <v>1596.511</v>
      </c>
      <c r="AJ72" s="361">
        <f>'IS &amp; BS'!G10</f>
        <v>1892.5889999999993</v>
      </c>
      <c r="AK72" s="361">
        <f>'IS &amp; BS'!H10</f>
        <v>2008.8699999999985</v>
      </c>
      <c r="AL72" s="362">
        <f>'IS &amp; BS'!I10</f>
        <v>1665.8344171987794</v>
      </c>
      <c r="AM72" s="362">
        <f>'IS &amp; BS'!J10</f>
        <v>2572.1309785383332</v>
      </c>
      <c r="AN72" s="362">
        <f>'IS &amp; BS'!K10</f>
        <v>3055.6692372425518</v>
      </c>
      <c r="AZ72" s="556"/>
      <c r="BA72" s="556"/>
      <c r="BB72" s="556"/>
      <c r="BC72" s="556"/>
      <c r="BD72" s="556"/>
      <c r="BE72" s="556"/>
      <c r="BF72" s="556"/>
      <c r="BG72" s="556"/>
      <c r="BH72" s="556"/>
      <c r="BI72" s="556"/>
      <c r="BJ72" s="556"/>
      <c r="BK72" s="556"/>
      <c r="BL72" s="556"/>
      <c r="BM72" s="307"/>
      <c r="BN72" s="307"/>
      <c r="BO72" s="307"/>
      <c r="BP72" s="307"/>
      <c r="BQ72" s="307"/>
    </row>
    <row r="73" spans="24:69" ht="15.6">
      <c r="AH73" s="353" t="s">
        <v>2879</v>
      </c>
      <c r="AI73" s="347">
        <f>'IS &amp; BS'!F11</f>
        <v>-387.72</v>
      </c>
      <c r="AJ73" s="347">
        <f>'IS &amp; BS'!G11</f>
        <v>-251.702</v>
      </c>
      <c r="AK73" s="347">
        <f>'IS &amp; BS'!H11</f>
        <v>-219.02500000000001</v>
      </c>
      <c r="AL73" s="360">
        <f>'IS &amp; BS'!I11</f>
        <v>-474.72971411030346</v>
      </c>
      <c r="AM73" s="360">
        <f>'IS &amp; BS'!J11</f>
        <v>-525.76746688450362</v>
      </c>
      <c r="AN73" s="360">
        <f>'IS &amp; BS'!K11</f>
        <v>-578.22788771973171</v>
      </c>
      <c r="AZ73" s="556"/>
      <c r="BA73" s="556"/>
      <c r="BB73" s="556"/>
      <c r="BC73" s="556"/>
      <c r="BD73" s="556"/>
      <c r="BE73" s="556"/>
      <c r="BF73" s="556"/>
      <c r="BG73" s="556"/>
      <c r="BH73" s="556"/>
      <c r="BI73" s="556"/>
      <c r="BJ73" s="556"/>
      <c r="BK73" s="556"/>
      <c r="BL73" s="556"/>
      <c r="BM73" s="307"/>
      <c r="BN73" s="307"/>
      <c r="BO73" s="307"/>
      <c r="BP73" s="307"/>
      <c r="BQ73" s="307"/>
    </row>
    <row r="74" spans="24:69" ht="15.6">
      <c r="AH74" s="353" t="s">
        <v>2909</v>
      </c>
      <c r="AI74" s="347">
        <f>'IS &amp; BS'!F13</f>
        <v>1254.7379999999998</v>
      </c>
      <c r="AJ74" s="347">
        <f>'IS &amp; BS'!G13</f>
        <v>1695.6219999999992</v>
      </c>
      <c r="AK74" s="347">
        <f>'IS &amp; BS'!H13</f>
        <v>1764.5629999999985</v>
      </c>
      <c r="AL74" s="360">
        <f>'IS &amp; BS'!I13</f>
        <v>1199.363283088476</v>
      </c>
      <c r="AM74" s="360">
        <f>'IS &amp; BS'!J13</f>
        <v>2054.8698490538295</v>
      </c>
      <c r="AN74" s="360">
        <f>'IS &amp; BS'!K13</f>
        <v>2486.2028770448201</v>
      </c>
      <c r="AZ74" s="556"/>
      <c r="BA74" s="556"/>
      <c r="BB74" s="556"/>
      <c r="BC74" s="556"/>
      <c r="BD74" s="556"/>
      <c r="BE74" s="556"/>
      <c r="BF74" s="556"/>
      <c r="BG74" s="556"/>
      <c r="BH74" s="556"/>
      <c r="BI74" s="556"/>
      <c r="BJ74" s="556"/>
      <c r="BK74" s="556"/>
      <c r="BL74" s="556"/>
      <c r="BM74" s="307"/>
      <c r="BN74" s="307"/>
      <c r="BO74" s="307"/>
      <c r="BP74" s="307"/>
      <c r="BQ74" s="307"/>
    </row>
    <row r="75" spans="24:69" ht="15.6">
      <c r="AH75" s="353" t="s">
        <v>2910</v>
      </c>
      <c r="AI75" s="347">
        <f>'IS &amp; BS'!F14</f>
        <v>-300.65100000000001</v>
      </c>
      <c r="AJ75" s="347">
        <f>'IS &amp; BS'!G14</f>
        <v>-426.39400000000001</v>
      </c>
      <c r="AK75" s="347">
        <f>'IS &amp; BS'!H14</f>
        <v>-509.12599999999998</v>
      </c>
      <c r="AL75" s="360">
        <f>'IS &amp; BS'!I14</f>
        <v>-346.05000267244861</v>
      </c>
      <c r="AM75" s="360">
        <f>'IS &amp; BS'!J14</f>
        <v>-592.88768197529976</v>
      </c>
      <c r="AN75" s="360">
        <f>'IS &amp; BS'!K14</f>
        <v>-717.33937863273911</v>
      </c>
      <c r="AZ75" s="556"/>
      <c r="BA75" s="556"/>
      <c r="BB75" s="556"/>
      <c r="BC75" s="556"/>
      <c r="BD75" s="556"/>
      <c r="BE75" s="556"/>
      <c r="BF75" s="556"/>
      <c r="BG75" s="556"/>
      <c r="BH75" s="556"/>
      <c r="BI75" s="556"/>
      <c r="BJ75" s="556"/>
      <c r="BK75" s="556"/>
      <c r="BL75" s="556"/>
      <c r="BM75" s="307"/>
      <c r="BN75" s="307"/>
      <c r="BO75" s="307"/>
      <c r="BP75" s="307"/>
      <c r="BQ75" s="307"/>
    </row>
    <row r="76" spans="24:69" ht="15.6">
      <c r="AH76" s="353" t="s">
        <v>2892</v>
      </c>
      <c r="AI76" s="408">
        <f>'IS &amp; BS'!F15</f>
        <v>954.08699999999976</v>
      </c>
      <c r="AJ76" s="408">
        <f>'IS &amp; BS'!G15</f>
        <v>1269.2279999999992</v>
      </c>
      <c r="AK76" s="408">
        <f>'IS &amp; BS'!H15</f>
        <v>1255.4369999999985</v>
      </c>
      <c r="AL76" s="409">
        <f>'IS &amp; BS'!I15</f>
        <v>853.3132804160274</v>
      </c>
      <c r="AM76" s="409">
        <f>'IS &amp; BS'!J15</f>
        <v>1461.9821670785298</v>
      </c>
      <c r="AN76" s="409">
        <f>'IS &amp; BS'!K15</f>
        <v>1768.8634984120808</v>
      </c>
      <c r="AZ76" s="556"/>
      <c r="BA76" s="556"/>
      <c r="BB76" s="556"/>
      <c r="BC76" s="556"/>
      <c r="BD76" s="556"/>
      <c r="BE76" s="556"/>
      <c r="BF76" s="556"/>
      <c r="BG76" s="556"/>
      <c r="BH76" s="556"/>
      <c r="BI76" s="556"/>
      <c r="BJ76" s="556"/>
      <c r="BK76" s="556"/>
      <c r="BL76" s="556"/>
      <c r="BM76" s="307"/>
      <c r="BN76" s="307"/>
      <c r="BO76" s="307"/>
      <c r="BP76" s="307"/>
      <c r="BQ76" s="307"/>
    </row>
    <row r="77" spans="24:69">
      <c r="AH77" s="353" t="s">
        <v>3010</v>
      </c>
      <c r="AI77" s="347">
        <f>-'IS &amp; BS'!F16</f>
        <v>94.515000000000001</v>
      </c>
      <c r="AJ77" s="347">
        <f>-'IS &amp; BS'!G16</f>
        <v>175.61600000000001</v>
      </c>
      <c r="AK77" s="347">
        <f>-'IS &amp; BS'!H16</f>
        <v>137.58500000000001</v>
      </c>
      <c r="AL77" s="360">
        <f>-'IS &amp; BS'!I16</f>
        <v>93.86446084576302</v>
      </c>
      <c r="AM77" s="360">
        <f>-'IS &amp; BS'!J16</f>
        <v>160.81803837863828</v>
      </c>
      <c r="AN77" s="360">
        <f>-'IS &amp; BS'!K16</f>
        <v>194.5749848253289</v>
      </c>
    </row>
    <row r="78" spans="24:69">
      <c r="AH78" s="353" t="s">
        <v>3009</v>
      </c>
      <c r="AI78" s="347">
        <f>'IS &amp; BS'!F17</f>
        <v>859.57199999999978</v>
      </c>
      <c r="AJ78" s="347">
        <f>'IS &amp; BS'!G17</f>
        <v>1093.6119999999992</v>
      </c>
      <c r="AK78" s="347">
        <f>'IS &amp; BS'!H17</f>
        <v>1117.8519999999985</v>
      </c>
      <c r="AL78" s="360">
        <f>'IS &amp; BS'!I17</f>
        <v>759.44881957026439</v>
      </c>
      <c r="AM78" s="360">
        <f>'IS &amp; BS'!J17</f>
        <v>1301.1641286998915</v>
      </c>
      <c r="AN78" s="360">
        <f>'IS &amp; BS'!K17</f>
        <v>1574.2885135867518</v>
      </c>
    </row>
    <row r="79" spans="24:69" ht="7.5" customHeight="1">
      <c r="AH79" s="353"/>
      <c r="AI79" s="347"/>
      <c r="AJ79" s="347"/>
      <c r="AK79" s="347"/>
      <c r="AL79" s="360"/>
      <c r="AM79" s="360"/>
      <c r="AN79" s="360"/>
    </row>
    <row r="80" spans="24:69">
      <c r="AH80" s="353" t="s">
        <v>393</v>
      </c>
      <c r="AI80" s="363">
        <f>'IS &amp; BS'!F20</f>
        <v>7.1758155451459968</v>
      </c>
      <c r="AJ80" s="363">
        <f>'IS &amp; BS'!G20</f>
        <v>9.1296110040324709</v>
      </c>
      <c r="AK80" s="363">
        <f>'IS &amp; BS'!H20</f>
        <v>9.3319695834351677</v>
      </c>
      <c r="AL80" s="364">
        <f>'IS &amp; BS'!I20</f>
        <v>6.3399745980733222</v>
      </c>
      <c r="AM80" s="364">
        <f>'IS &amp; BS'!J20</f>
        <v>10.86228237019241</v>
      </c>
      <c r="AN80" s="364">
        <f>'IS &amp; BS'!K20</f>
        <v>13.142359207071195</v>
      </c>
    </row>
    <row r="81" spans="34:48">
      <c r="AH81" s="353" t="s">
        <v>394</v>
      </c>
      <c r="AI81" s="363">
        <f>'IS &amp; BS'!F21</f>
        <v>0.50000267140038812</v>
      </c>
      <c r="AJ81" s="363">
        <f>'IS &amp; BS'!G21</f>
        <v>1</v>
      </c>
      <c r="AK81" s="363">
        <f>'IS &amp; BS'!H21</f>
        <v>1.5</v>
      </c>
      <c r="AL81" s="364">
        <f>'IS &amp; BS'!I21</f>
        <v>0.95099618971099831</v>
      </c>
      <c r="AM81" s="364">
        <f>'IS &amp; BS'!J21</f>
        <v>1.6293423555288615</v>
      </c>
      <c r="AN81" s="364">
        <f>'IS &amp; BS'!K21</f>
        <v>1.9713538810606792</v>
      </c>
    </row>
    <row r="84" spans="34:48">
      <c r="AP84" s="206" t="s">
        <v>2890</v>
      </c>
      <c r="AQ84" s="207" t="s">
        <v>105</v>
      </c>
      <c r="AR84" s="207" t="s">
        <v>150</v>
      </c>
      <c r="AS84" s="207" t="s">
        <v>3944</v>
      </c>
      <c r="AT84" s="207" t="s">
        <v>152</v>
      </c>
      <c r="AU84" s="207" t="s">
        <v>153</v>
      </c>
      <c r="AV84" s="207" t="s">
        <v>309</v>
      </c>
    </row>
    <row r="85" spans="34:48">
      <c r="AP85" s="379" t="s">
        <v>20</v>
      </c>
      <c r="AQ85" s="267"/>
      <c r="AR85" s="267"/>
      <c r="AS85" s="267"/>
      <c r="AT85" s="208"/>
      <c r="AU85" s="208"/>
      <c r="AV85" s="208"/>
    </row>
    <row r="86" spans="34:48">
      <c r="AP86" s="379" t="s">
        <v>2911</v>
      </c>
      <c r="AQ86" s="267"/>
      <c r="AR86" s="267"/>
      <c r="AS86" s="267"/>
      <c r="AT86" s="208"/>
      <c r="AU86" s="208"/>
      <c r="AV86" s="208"/>
    </row>
    <row r="87" spans="34:48">
      <c r="AP87" s="266" t="s">
        <v>73</v>
      </c>
      <c r="AQ87" s="267">
        <f>'IS &amp; BS'!F31</f>
        <v>3535.21</v>
      </c>
      <c r="AR87" s="267">
        <f>'IS &amp; BS'!G31</f>
        <v>3466.4969999999998</v>
      </c>
      <c r="AS87" s="267">
        <f>'IS &amp; BS'!H31</f>
        <v>3347.7089999999998</v>
      </c>
      <c r="AT87" s="208">
        <f>'IS &amp; BS'!I31</f>
        <v>3263.4209033956149</v>
      </c>
      <c r="AU87" s="208">
        <f>'IS &amp; BS'!J31</f>
        <v>3182.0739591277807</v>
      </c>
      <c r="AV87" s="208">
        <f>'IS &amp; BS'!K31</f>
        <v>3103.5655385049577</v>
      </c>
    </row>
    <row r="88" spans="34:48">
      <c r="AP88" s="266" t="s">
        <v>388</v>
      </c>
      <c r="AQ88" s="267">
        <f>SUM('IS &amp; BS'!F32:F38)</f>
        <v>1426.42</v>
      </c>
      <c r="AR88" s="267">
        <f>SUM('IS &amp; BS'!G32:G38)</f>
        <v>895.16</v>
      </c>
      <c r="AS88" s="267">
        <f>SUM('IS &amp; BS'!H32:H38)</f>
        <v>892.50300000000016</v>
      </c>
      <c r="AT88" s="208">
        <f>SUM('IS &amp; BS'!I32:I38)</f>
        <v>924.72027206873895</v>
      </c>
      <c r="AU88" s="208">
        <f>SUM('IS &amp; BS'!J32:J38)</f>
        <v>965.24344298644007</v>
      </c>
      <c r="AV88" s="208">
        <f>SUM('IS &amp; BS'!K32:K38)</f>
        <v>994.14640727126402</v>
      </c>
    </row>
    <row r="89" spans="34:48">
      <c r="AP89" s="266"/>
      <c r="AQ89" s="380">
        <f>'IS &amp; BS'!F39</f>
        <v>4961.63</v>
      </c>
      <c r="AR89" s="380">
        <f>'IS &amp; BS'!G39</f>
        <v>4361.6570000000002</v>
      </c>
      <c r="AS89" s="380">
        <f>'IS &amp; BS'!H39</f>
        <v>4240.2119999999995</v>
      </c>
      <c r="AT89" s="381">
        <f>'IS &amp; BS'!I39</f>
        <v>4188.1411754643541</v>
      </c>
      <c r="AU89" s="381">
        <f>'IS &amp; BS'!J39</f>
        <v>4147.3174021142204</v>
      </c>
      <c r="AV89" s="381">
        <f>'IS &amp; BS'!K39</f>
        <v>4097.7119457762219</v>
      </c>
    </row>
    <row r="90" spans="34:48" ht="6" customHeight="1">
      <c r="AP90" s="266"/>
      <c r="AQ90" s="267"/>
      <c r="AR90" s="267"/>
      <c r="AS90" s="267"/>
      <c r="AT90" s="208"/>
      <c r="AU90" s="208"/>
      <c r="AV90" s="208"/>
    </row>
    <row r="91" spans="34:48">
      <c r="AP91" s="379" t="s">
        <v>51</v>
      </c>
      <c r="AQ91" s="267"/>
      <c r="AR91" s="267"/>
      <c r="AS91" s="267"/>
      <c r="AT91" s="208"/>
      <c r="AU91" s="208"/>
      <c r="AV91" s="208"/>
    </row>
    <row r="92" spans="34:48">
      <c r="AP92" s="266" t="s">
        <v>52</v>
      </c>
      <c r="AQ92" s="267">
        <f>'IS &amp; BS'!F41</f>
        <v>5099.2759999999998</v>
      </c>
      <c r="AR92" s="267">
        <f>'IS &amp; BS'!G41</f>
        <v>3986.77</v>
      </c>
      <c r="AS92" s="267">
        <f>'IS &amp; BS'!H41</f>
        <v>4363.3370000000004</v>
      </c>
      <c r="AT92" s="208">
        <f>'IS &amp; BS'!I41</f>
        <v>6250.7943159185807</v>
      </c>
      <c r="AU92" s="208">
        <f>'IS &amp; BS'!J41</f>
        <v>7792.9628726709334</v>
      </c>
      <c r="AV92" s="208">
        <f>'IS &amp; BS'!K41</f>
        <v>8953.5320391987643</v>
      </c>
    </row>
    <row r="93" spans="34:48">
      <c r="AP93" s="266" t="s">
        <v>2912</v>
      </c>
      <c r="AQ93" s="267">
        <f>'IS &amp; BS'!F42</f>
        <v>4968.3869999999997</v>
      </c>
      <c r="AR93" s="267">
        <f>'IS &amp; BS'!G42</f>
        <v>4250.7269999999999</v>
      </c>
      <c r="AS93" s="267">
        <f>'IS &amp; BS'!H42</f>
        <v>5334.17</v>
      </c>
      <c r="AT93" s="208">
        <f>'IS &amp; BS'!I42</f>
        <v>6470.5623251898223</v>
      </c>
      <c r="AU93" s="208">
        <f>'IS &amp; BS'!J42</f>
        <v>8164.94564067799</v>
      </c>
      <c r="AV93" s="208">
        <f>'IS &amp; BS'!K42</f>
        <v>9268.5923509967488</v>
      </c>
    </row>
    <row r="94" spans="34:48">
      <c r="AP94" s="266" t="s">
        <v>2913</v>
      </c>
      <c r="AQ94" s="267">
        <f>'IS &amp; BS'!F43+'IS &amp; BS'!F44</f>
        <v>2.1999999999999999E-2</v>
      </c>
      <c r="AR94" s="267">
        <f>'IS &amp; BS'!G43+'IS &amp; BS'!G44</f>
        <v>1067.337</v>
      </c>
      <c r="AS94" s="267">
        <f>'IS &amp; BS'!H43+'IS &amp; BS'!H44</f>
        <v>402.774</v>
      </c>
      <c r="AT94" s="208">
        <f>'IS &amp; BS'!I43+'IS &amp; BS'!I44</f>
        <v>502.774</v>
      </c>
      <c r="AU94" s="208">
        <f>'IS &amp; BS'!J43+'IS &amp; BS'!J44</f>
        <v>602.774</v>
      </c>
      <c r="AV94" s="208">
        <f>'IS &amp; BS'!K43+'IS &amp; BS'!K44</f>
        <v>702.774</v>
      </c>
    </row>
    <row r="95" spans="34:48">
      <c r="AP95" s="266" t="s">
        <v>26</v>
      </c>
      <c r="AQ95" s="267">
        <f>'IS &amp; BS'!F45</f>
        <v>1038.758</v>
      </c>
      <c r="AR95" s="267">
        <f>'IS &amp; BS'!G45</f>
        <v>1707.3049999999998</v>
      </c>
      <c r="AS95" s="267">
        <f>'IS &amp; BS'!H45</f>
        <v>2224.971</v>
      </c>
      <c r="AT95" s="208">
        <f>'IS &amp; BS'!I45</f>
        <v>2137.4095513979237</v>
      </c>
      <c r="AU95" s="208">
        <f>'IS &amp; BS'!J45</f>
        <v>1477.4146566073698</v>
      </c>
      <c r="AV95" s="208">
        <f>'IS &amp; BS'!K45</f>
        <v>1171.702213877486</v>
      </c>
    </row>
    <row r="96" spans="34:48">
      <c r="AP96" s="266"/>
      <c r="AQ96" s="380">
        <f>'IS &amp; BS'!F46</f>
        <v>11106.443000000001</v>
      </c>
      <c r="AR96" s="380">
        <f>'IS &amp; BS'!G46</f>
        <v>11012.139000000001</v>
      </c>
      <c r="AS96" s="380">
        <f>'IS &amp; BS'!H46</f>
        <v>12325.252000000002</v>
      </c>
      <c r="AT96" s="381">
        <f>'IS &amp; BS'!I46</f>
        <v>15361.540192506327</v>
      </c>
      <c r="AU96" s="381">
        <f>'IS &amp; BS'!J46</f>
        <v>18038.097169956294</v>
      </c>
      <c r="AV96" s="381">
        <f>'IS &amp; BS'!K46</f>
        <v>20096.600604072999</v>
      </c>
    </row>
    <row r="97" spans="42:48" ht="6" customHeight="1">
      <c r="AP97" s="266"/>
      <c r="AQ97" s="267"/>
      <c r="AR97" s="267"/>
      <c r="AS97" s="267"/>
      <c r="AT97" s="208"/>
      <c r="AU97" s="208"/>
      <c r="AV97" s="208"/>
    </row>
    <row r="98" spans="42:48" ht="15" thickBot="1">
      <c r="AP98" s="379" t="s">
        <v>361</v>
      </c>
      <c r="AQ98" s="382">
        <f>'IS &amp; BS'!F47</f>
        <v>16068.073</v>
      </c>
      <c r="AR98" s="382">
        <f>'IS &amp; BS'!G47</f>
        <v>15373.796000000002</v>
      </c>
      <c r="AS98" s="382">
        <f>'IS &amp; BS'!H47</f>
        <v>16565.464</v>
      </c>
      <c r="AT98" s="383">
        <f>'IS &amp; BS'!I47</f>
        <v>19549.681367970683</v>
      </c>
      <c r="AU98" s="383">
        <f>'IS &amp; BS'!J47</f>
        <v>22185.414572070513</v>
      </c>
      <c r="AV98" s="383">
        <f>'IS &amp; BS'!K47</f>
        <v>24194.312549849223</v>
      </c>
    </row>
    <row r="99" spans="42:48" ht="6" customHeight="1" thickTop="1">
      <c r="AP99" s="266"/>
      <c r="AQ99" s="267"/>
      <c r="AR99" s="267"/>
      <c r="AS99" s="267"/>
      <c r="AT99" s="208"/>
      <c r="AU99" s="208"/>
      <c r="AV99" s="208"/>
    </row>
    <row r="100" spans="42:48">
      <c r="AP100" s="379" t="s">
        <v>2914</v>
      </c>
      <c r="AQ100" s="267"/>
      <c r="AR100" s="267"/>
      <c r="AS100" s="267"/>
      <c r="AT100" s="208"/>
      <c r="AU100" s="208"/>
      <c r="AV100" s="208"/>
    </row>
    <row r="101" spans="42:48">
      <c r="AP101" s="379" t="s">
        <v>2918</v>
      </c>
      <c r="AQ101" s="267"/>
      <c r="AR101" s="267"/>
      <c r="AS101" s="267"/>
      <c r="AT101" s="208"/>
      <c r="AU101" s="208"/>
      <c r="AV101" s="208"/>
    </row>
    <row r="102" spans="42:48">
      <c r="AP102" s="266" t="s">
        <v>2919</v>
      </c>
      <c r="AQ102" s="267">
        <f>'IS &amp; BS'!F51</f>
        <v>299.488</v>
      </c>
      <c r="AR102" s="267">
        <f>'IS &amp; BS'!G51</f>
        <v>299.488</v>
      </c>
      <c r="AS102" s="267">
        <f>'IS &amp; BS'!H51</f>
        <v>299.488</v>
      </c>
      <c r="AT102" s="208">
        <f>'IS &amp; BS'!I51</f>
        <v>299.488</v>
      </c>
      <c r="AU102" s="208">
        <f>'IS &amp; BS'!J51</f>
        <v>299.488</v>
      </c>
      <c r="AV102" s="208">
        <f>'IS &amp; BS'!K51</f>
        <v>299.488</v>
      </c>
    </row>
    <row r="103" spans="42:48">
      <c r="AP103" s="266" t="s">
        <v>34</v>
      </c>
      <c r="AQ103" s="267">
        <f>'IS &amp; BS'!F55</f>
        <v>4138.1629999999996</v>
      </c>
      <c r="AR103" s="267">
        <f>'IS &amp; BS'!G55</f>
        <v>5141.7420000000002</v>
      </c>
      <c r="AS103" s="267">
        <f>'IS &amp; BS'!H55</f>
        <v>6110.5969999999998</v>
      </c>
      <c r="AT103" s="208">
        <f>'IS &amp; BS'!I55</f>
        <v>6756.1284966347248</v>
      </c>
      <c r="AU103" s="208">
        <f>'IS &amp; BS'!J55</f>
        <v>7862.1180060296319</v>
      </c>
      <c r="AV103" s="208">
        <f>'IS &amp; BS'!K55</f>
        <v>9200.2632425783704</v>
      </c>
    </row>
    <row r="104" spans="42:48">
      <c r="AP104" s="266" t="s">
        <v>2920</v>
      </c>
      <c r="AQ104" s="267">
        <f>'IS &amp; BS'!F52+'IS &amp; BS'!F53+'IS &amp; BS'!F54</f>
        <v>2952.3719999999998</v>
      </c>
      <c r="AR104" s="267">
        <f>'IS &amp; BS'!G52+'IS &amp; BS'!G53+'IS &amp; BS'!G54</f>
        <v>3004.0259999999998</v>
      </c>
      <c r="AS104" s="267">
        <f>'IS &amp; BS'!H52+'IS &amp; BS'!H53+'IS &amp; BS'!H54</f>
        <v>2921.1659999999997</v>
      </c>
      <c r="AT104" s="208">
        <f>'IS &amp; BS'!I52+'IS &amp; BS'!I53+'IS &amp; BS'!I54</f>
        <v>2921.1659999999997</v>
      </c>
      <c r="AU104" s="208">
        <f>'IS &amp; BS'!J52+'IS &amp; BS'!J53+'IS &amp; BS'!J54</f>
        <v>2921.1659999999997</v>
      </c>
      <c r="AV104" s="208">
        <f>'IS &amp; BS'!K52+'IS &amp; BS'!K53+'IS &amp; BS'!K54</f>
        <v>2921.1659999999997</v>
      </c>
    </row>
    <row r="105" spans="42:48">
      <c r="AP105" s="266" t="s">
        <v>2923</v>
      </c>
      <c r="AQ105" s="267">
        <f>'IS &amp; BS'!F56</f>
        <v>7390.0229999999992</v>
      </c>
      <c r="AR105" s="267">
        <f>'IS &amp; BS'!G56</f>
        <v>8445.2559999999994</v>
      </c>
      <c r="AS105" s="267">
        <f>'IS &amp; BS'!H56</f>
        <v>9331.2510000000002</v>
      </c>
      <c r="AT105" s="208">
        <f>'IS &amp; BS'!I56</f>
        <v>9976.7824966347252</v>
      </c>
      <c r="AU105" s="208">
        <f>'IS &amp; BS'!J56</f>
        <v>11082.772006029632</v>
      </c>
      <c r="AV105" s="208">
        <f>'IS &amp; BS'!K56</f>
        <v>12420.917242578371</v>
      </c>
    </row>
    <row r="106" spans="42:48">
      <c r="AP106" s="266" t="s">
        <v>36</v>
      </c>
      <c r="AQ106" s="267">
        <f>'IS &amp; BS'!F57</f>
        <v>870.37300000000005</v>
      </c>
      <c r="AR106" s="267">
        <f>'IS &amp; BS'!G57</f>
        <v>1026.3030000000001</v>
      </c>
      <c r="AS106" s="267">
        <f>'IS &amp; BS'!H57</f>
        <v>1135.318</v>
      </c>
      <c r="AT106" s="208">
        <f>'IS &amp; BS'!I57</f>
        <v>1229.182460845763</v>
      </c>
      <c r="AU106" s="208">
        <f>'IS &amp; BS'!J57</f>
        <v>1390.0004992244012</v>
      </c>
      <c r="AV106" s="208">
        <f>'IS &amp; BS'!K57</f>
        <v>1584.5754840497302</v>
      </c>
    </row>
    <row r="107" spans="42:48">
      <c r="AP107" s="266"/>
      <c r="AQ107" s="380">
        <f>'IS &amp; BS'!F58</f>
        <v>8260.3959999999988</v>
      </c>
      <c r="AR107" s="380">
        <f>'IS &amp; BS'!G58</f>
        <v>9471.5589999999993</v>
      </c>
      <c r="AS107" s="380">
        <f>'IS &amp; BS'!H58</f>
        <v>10466.569</v>
      </c>
      <c r="AT107" s="381">
        <f>'IS &amp; BS'!I58</f>
        <v>11205.964957480488</v>
      </c>
      <c r="AU107" s="381">
        <f>'IS &amp; BS'!J58</f>
        <v>12472.772505254034</v>
      </c>
      <c r="AV107" s="381">
        <f>'IS &amp; BS'!K58</f>
        <v>14005.492726628101</v>
      </c>
    </row>
    <row r="108" spans="42:48" ht="6" customHeight="1">
      <c r="AP108" s="266"/>
      <c r="AQ108" s="267"/>
      <c r="AR108" s="267"/>
      <c r="AS108" s="267"/>
      <c r="AT108" s="208"/>
      <c r="AU108" s="208"/>
      <c r="AV108" s="208"/>
    </row>
    <row r="109" spans="42:48">
      <c r="AP109" s="384" t="s">
        <v>2921</v>
      </c>
      <c r="AQ109" s="190"/>
      <c r="AR109" s="190"/>
      <c r="AS109" s="190"/>
      <c r="AT109" s="208"/>
      <c r="AU109" s="208"/>
      <c r="AV109" s="208"/>
    </row>
    <row r="110" spans="42:48">
      <c r="AP110" s="266" t="s">
        <v>42</v>
      </c>
      <c r="AQ110" s="267">
        <f>'IS &amp; BS'!F64</f>
        <v>1232.8409999999999</v>
      </c>
      <c r="AR110" s="267">
        <f>'IS &amp; BS'!G64</f>
        <v>914.59100000000001</v>
      </c>
      <c r="AS110" s="267">
        <f>'IS &amp; BS'!H64</f>
        <v>207.84100000000001</v>
      </c>
      <c r="AT110" s="208">
        <f>'IS &amp; BS'!I64</f>
        <v>407.84100000000001</v>
      </c>
      <c r="AU110" s="208">
        <f>'IS &amp; BS'!J64</f>
        <v>407.84100000000001</v>
      </c>
      <c r="AV110" s="208">
        <f>'IS &amp; BS'!K64</f>
        <v>407.84100000000001</v>
      </c>
    </row>
    <row r="111" spans="42:48">
      <c r="AP111" s="266" t="s">
        <v>388</v>
      </c>
      <c r="AQ111" s="267">
        <f>'IS &amp; BS'!F61+'IS &amp; BS'!F62+'IS &amp; BS'!F63+'IS &amp; BS'!F65</f>
        <v>553.16899999999998</v>
      </c>
      <c r="AR111" s="267">
        <f>'IS &amp; BS'!G61+'IS &amp; BS'!G62+'IS &amp; BS'!G63+'IS &amp; BS'!G65</f>
        <v>462.83199999999999</v>
      </c>
      <c r="AS111" s="267">
        <f>'IS &amp; BS'!H61+'IS &amp; BS'!H62+'IS &amp; BS'!H63+'IS &amp; BS'!H65</f>
        <v>510.49300000000005</v>
      </c>
      <c r="AT111" s="208">
        <f>'IS &amp; BS'!I61+'IS &amp; BS'!I62+'IS &amp; BS'!I63+'IS &amp; BS'!I65</f>
        <v>510.49300000000005</v>
      </c>
      <c r="AU111" s="208">
        <f>'IS &amp; BS'!J61+'IS &amp; BS'!J62+'IS &amp; BS'!J63+'IS &amp; BS'!J65</f>
        <v>510.49300000000005</v>
      </c>
      <c r="AV111" s="208">
        <f>'IS &amp; BS'!K61+'IS &amp; BS'!K62+'IS &amp; BS'!K63+'IS &amp; BS'!K65</f>
        <v>510.49300000000005</v>
      </c>
    </row>
    <row r="112" spans="42:48">
      <c r="AP112" s="266"/>
      <c r="AQ112" s="380">
        <f>'IS &amp; BS'!F66</f>
        <v>1786.0099999999998</v>
      </c>
      <c r="AR112" s="380">
        <f>'IS &amp; BS'!G66</f>
        <v>1377.423</v>
      </c>
      <c r="AS112" s="380">
        <f>'IS &amp; BS'!H66</f>
        <v>718.33400000000006</v>
      </c>
      <c r="AT112" s="381">
        <f>'IS &amp; BS'!I66</f>
        <v>918.33400000000006</v>
      </c>
      <c r="AU112" s="381">
        <f>'IS &amp; BS'!J66</f>
        <v>918.33400000000006</v>
      </c>
      <c r="AV112" s="381">
        <f>'IS &amp; BS'!K66</f>
        <v>918.33400000000006</v>
      </c>
    </row>
    <row r="113" spans="42:58" ht="6" customHeight="1">
      <c r="AP113" s="266"/>
      <c r="AQ113" s="267"/>
      <c r="AR113" s="267"/>
      <c r="AS113" s="267"/>
      <c r="AT113" s="208"/>
      <c r="AU113" s="208"/>
      <c r="AV113" s="208"/>
    </row>
    <row r="114" spans="42:58">
      <c r="AP114" s="379" t="s">
        <v>392</v>
      </c>
      <c r="AQ114" s="267"/>
      <c r="AR114" s="267"/>
      <c r="AS114" s="267"/>
      <c r="AT114" s="208"/>
      <c r="AU114" s="208"/>
      <c r="AV114" s="208"/>
    </row>
    <row r="115" spans="42:58">
      <c r="AP115" s="266" t="s">
        <v>44</v>
      </c>
      <c r="AQ115" s="267">
        <f>'IS &amp; BS'!F68</f>
        <v>3288.8139999999999</v>
      </c>
      <c r="AR115" s="267">
        <f>'IS &amp; BS'!G68</f>
        <v>2010.09</v>
      </c>
      <c r="AS115" s="267">
        <f>'IS &amp; BS'!H68</f>
        <v>1950.2169999999999</v>
      </c>
      <c r="AT115" s="208">
        <f>'IS &amp; BS'!I68</f>
        <v>3997.3708737548386</v>
      </c>
      <c r="AU115" s="208">
        <f>'IS &amp; BS'!J68</f>
        <v>5060.2448449197909</v>
      </c>
      <c r="AV115" s="208">
        <f>'IS &amp; BS'!K68</f>
        <v>5220.88646242291</v>
      </c>
    </row>
    <row r="116" spans="42:58">
      <c r="AP116" s="266" t="s">
        <v>2922</v>
      </c>
      <c r="AQ116" s="267">
        <f>SUM('IS &amp; BS'!F69:F73)</f>
        <v>2732.8529999999996</v>
      </c>
      <c r="AR116" s="267">
        <f>SUM('IS &amp; BS'!G69:G73)</f>
        <v>2514.7240000000002</v>
      </c>
      <c r="AS116" s="267">
        <f>SUM('IS &amp; BS'!H69:H73)</f>
        <v>3430.3440000000001</v>
      </c>
      <c r="AT116" s="208">
        <f>SUM('IS &amp; BS'!I69:I73)</f>
        <v>3428.0135767353563</v>
      </c>
      <c r="AU116" s="208">
        <f>SUM('IS &amp; BS'!J69:J73)</f>
        <v>3734.0652618966915</v>
      </c>
      <c r="AV116" s="208">
        <f>SUM('IS &amp; BS'!K69:K73)</f>
        <v>4049.6014007982121</v>
      </c>
    </row>
    <row r="117" spans="42:58">
      <c r="AP117" s="266"/>
      <c r="AQ117" s="380">
        <f>'IS &amp; BS'!F74</f>
        <v>6021.6670000000004</v>
      </c>
      <c r="AR117" s="380">
        <f>'IS &amp; BS'!G74</f>
        <v>4524.8140000000003</v>
      </c>
      <c r="AS117" s="380">
        <f>'IS &amp; BS'!H74</f>
        <v>5380.5609999999997</v>
      </c>
      <c r="AT117" s="381">
        <f>'IS &amp; BS'!I74</f>
        <v>7425.3844504901954</v>
      </c>
      <c r="AU117" s="381">
        <f>'IS &amp; BS'!J74</f>
        <v>8794.3101068164833</v>
      </c>
      <c r="AV117" s="381">
        <f>'IS &amp; BS'!K74</f>
        <v>9270.4878632211221</v>
      </c>
    </row>
    <row r="118" spans="42:58" ht="6" customHeight="1">
      <c r="AP118" s="266"/>
      <c r="AQ118" s="267"/>
      <c r="AR118" s="267"/>
      <c r="AS118" s="267"/>
      <c r="AT118" s="208"/>
      <c r="AU118" s="208"/>
      <c r="AV118" s="208"/>
    </row>
    <row r="119" spans="42:58" ht="15" thickBot="1">
      <c r="AP119" s="266" t="s">
        <v>395</v>
      </c>
      <c r="AQ119" s="382">
        <f>'IS &amp; BS'!F76</f>
        <v>16068.072999999999</v>
      </c>
      <c r="AR119" s="382">
        <f>'IS &amp; BS'!G76</f>
        <v>15373.795999999998</v>
      </c>
      <c r="AS119" s="382">
        <f>'IS &amp; BS'!H76</f>
        <v>16565.464</v>
      </c>
      <c r="AT119" s="383">
        <f>'IS &amp; BS'!I76</f>
        <v>19549.683407970682</v>
      </c>
      <c r="AU119" s="383">
        <f>'IS &amp; BS'!J76</f>
        <v>22185.416612070519</v>
      </c>
      <c r="AV119" s="383">
        <f>'IS &amp; BS'!K76</f>
        <v>24194.314589849222</v>
      </c>
    </row>
    <row r="120" spans="42:58" ht="6" customHeight="1" thickTop="1">
      <c r="AP120" s="266"/>
      <c r="AQ120" s="267"/>
      <c r="AR120" s="267"/>
      <c r="AS120" s="267"/>
      <c r="AT120" s="208"/>
      <c r="AU120" s="208"/>
      <c r="AV120" s="208"/>
    </row>
    <row r="121" spans="42:58">
      <c r="AP121" s="266" t="s">
        <v>3011</v>
      </c>
      <c r="AQ121" s="267">
        <f>'IS &amp; BS'!F78</f>
        <v>61.692844720845329</v>
      </c>
      <c r="AR121" s="590">
        <f>'IS &amp; BS'!G78</f>
        <v>70.502062988949746</v>
      </c>
      <c r="AS121" s="590">
        <f>'IS &amp; BS'!H78</f>
        <v>77.898461073021394</v>
      </c>
      <c r="AT121" s="591">
        <f>'IS &amp; BS'!I78</f>
        <v>83.287439481383714</v>
      </c>
      <c r="AU121" s="591">
        <f>'IS &amp; BS'!J78</f>
        <v>92.520379496047255</v>
      </c>
      <c r="AV121" s="591">
        <f>'IS &amp; BS'!K78</f>
        <v>103.69138482205777</v>
      </c>
    </row>
    <row r="126" spans="42:58">
      <c r="AZ126" s="206" t="s">
        <v>104</v>
      </c>
      <c r="BA126" s="592" t="str">
        <f>Cashflow!F3</f>
        <v>FY15</v>
      </c>
      <c r="BB126" s="207" t="str">
        <f>Cashflow!G3</f>
        <v>FY16</v>
      </c>
      <c r="BC126" s="207" t="str">
        <f>Cashflow!H3</f>
        <v>FY17</v>
      </c>
      <c r="BD126" s="207" t="str">
        <f>Cashflow!I3</f>
        <v>FY18E</v>
      </c>
      <c r="BE126" s="207" t="str">
        <f>Cashflow!J3</f>
        <v>FY19E</v>
      </c>
      <c r="BF126" s="207" t="str">
        <f>Cashflow!K3</f>
        <v>FY20E</v>
      </c>
    </row>
    <row r="127" spans="42:58">
      <c r="AZ127" s="379" t="str">
        <f>Cashflow!A4</f>
        <v>Cash Flow from Operating activities</v>
      </c>
      <c r="BA127" s="267"/>
      <c r="BB127" s="267"/>
      <c r="BC127" s="267"/>
      <c r="BD127" s="208"/>
      <c r="BE127" s="208"/>
      <c r="BF127" s="208"/>
    </row>
    <row r="128" spans="42:58">
      <c r="AZ128" s="379" t="str">
        <f>Cashflow!A5</f>
        <v>Profit/Loss before tax</v>
      </c>
      <c r="BA128" s="267">
        <f>Cashflow!F5</f>
        <v>1254.7380000000001</v>
      </c>
      <c r="BB128" s="267">
        <f>Cashflow!G5</f>
        <v>1695.6219999999992</v>
      </c>
      <c r="BC128" s="267">
        <f>Cashflow!H5</f>
        <v>1764.5629999999985</v>
      </c>
      <c r="BD128" s="208">
        <f>Cashflow!I5</f>
        <v>1199.363283088476</v>
      </c>
      <c r="BE128" s="208">
        <f>Cashflow!J5</f>
        <v>2054.8698490538295</v>
      </c>
      <c r="BF128" s="208">
        <f>Cashflow!K5</f>
        <v>2486.2028770448201</v>
      </c>
    </row>
    <row r="129" spans="52:58">
      <c r="AZ129" s="266" t="str">
        <f>Cashflow!A6</f>
        <v xml:space="preserve">Adjustments for: </v>
      </c>
      <c r="BA129" s="267"/>
      <c r="BB129" s="267"/>
      <c r="BC129" s="267"/>
      <c r="BD129" s="208"/>
      <c r="BE129" s="208"/>
      <c r="BF129" s="208"/>
    </row>
    <row r="130" spans="52:58">
      <c r="AZ130" s="266" t="str">
        <f>Cashflow!A7</f>
        <v>Depreciation of PPE</v>
      </c>
      <c r="BA130" s="267">
        <f>Cashflow!F7</f>
        <v>191.74600000000001</v>
      </c>
      <c r="BB130" s="267">
        <f>Cashflow!G7</f>
        <v>230.37700000000001</v>
      </c>
      <c r="BC130" s="267">
        <f>Cashflow!H7</f>
        <v>224.95500000000001</v>
      </c>
      <c r="BD130" s="208">
        <f>Cashflow!I7</f>
        <v>217.2463666043848</v>
      </c>
      <c r="BE130" s="208">
        <f>Cashflow!J7</f>
        <v>211.77657136970279</v>
      </c>
      <c r="BF130" s="208">
        <f>Cashflow!K7</f>
        <v>206.49763939665604</v>
      </c>
    </row>
    <row r="131" spans="52:58">
      <c r="AZ131" s="266" t="str">
        <f>Cashflow!A8</f>
        <v>Profit from equity investee</v>
      </c>
      <c r="BA131" s="267">
        <f>Cashflow!F8</f>
        <v>-45.947000000000003</v>
      </c>
      <c r="BB131" s="267">
        <f>Cashflow!G8</f>
        <v>-54.734999999999999</v>
      </c>
      <c r="BC131" s="267">
        <f>Cashflow!H8</f>
        <v>25.282</v>
      </c>
      <c r="BD131" s="208">
        <f>Cashflow!I8</f>
        <v>-8.2585800000000003</v>
      </c>
      <c r="BE131" s="208">
        <f>Cashflow!J8</f>
        <v>-8.5063373999999996</v>
      </c>
      <c r="BF131" s="208">
        <f>Cashflow!K8</f>
        <v>-8.7615275219999997</v>
      </c>
    </row>
    <row r="132" spans="52:58">
      <c r="AZ132" s="266" t="str">
        <f>Cashflow!A9</f>
        <v>Amortisation of intangible assets</v>
      </c>
      <c r="BA132" s="267">
        <f>Cashflow!F9</f>
        <v>3.03</v>
      </c>
      <c r="BB132" s="267">
        <f>Cashflow!G9</f>
        <v>6.1820000000000004</v>
      </c>
      <c r="BC132" s="267">
        <f>Cashflow!H9</f>
        <v>2.7450000000000001</v>
      </c>
      <c r="BD132" s="208">
        <f>Cashflow!I9</f>
        <v>2.1836693653695485</v>
      </c>
      <c r="BE132" s="208">
        <f>Cashflow!J9</f>
        <v>2.1397786708505784</v>
      </c>
      <c r="BF132" s="208">
        <f>Cashflow!K9</f>
        <v>2.1063763507073872</v>
      </c>
    </row>
    <row r="133" spans="52:58">
      <c r="AZ133" s="266" t="str">
        <f>Cashflow!A10</f>
        <v>Dividend Income</v>
      </c>
      <c r="BA133" s="267">
        <f>Cashflow!F10</f>
        <v>-0.221</v>
      </c>
      <c r="BB133" s="267">
        <f>Cashflow!G10</f>
        <v>-0.49199999999999999</v>
      </c>
      <c r="BC133" s="267">
        <f>Cashflow!H10</f>
        <v>-1.78</v>
      </c>
      <c r="BD133" s="208">
        <f>Cashflow!I10</f>
        <v>-1.78</v>
      </c>
      <c r="BE133" s="208">
        <f>Cashflow!J10</f>
        <v>-1.78</v>
      </c>
      <c r="BF133" s="208">
        <f>Cashflow!K10</f>
        <v>-1.78</v>
      </c>
    </row>
    <row r="134" spans="52:58">
      <c r="AZ134" s="266" t="str">
        <f>Cashflow!A11</f>
        <v>Interest Expense</v>
      </c>
      <c r="BA134" s="267">
        <f>Cashflow!F11</f>
        <v>399.29599999999999</v>
      </c>
      <c r="BB134" s="267">
        <f>Cashflow!G11</f>
        <v>350.11</v>
      </c>
      <c r="BC134" s="267">
        <f>Cashflow!H11</f>
        <v>345.637</v>
      </c>
      <c r="BD134" s="208">
        <f>Cashflow!I11</f>
        <v>448.93853651030344</v>
      </c>
      <c r="BE134" s="208">
        <f>Cashflow!J11</f>
        <v>494.84628928450365</v>
      </c>
      <c r="BF134" s="208">
        <f>Cashflow!K11</f>
        <v>542.17671011973175</v>
      </c>
    </row>
    <row r="135" spans="52:58">
      <c r="AZ135" s="266" t="str">
        <f>Cashflow!A12</f>
        <v>Interest Income</v>
      </c>
      <c r="BA135" s="267">
        <f>Cashflow!F12</f>
        <v>-11.576000000000001</v>
      </c>
      <c r="BB135" s="267">
        <f>Cashflow!G12</f>
        <v>-98.408000000000001</v>
      </c>
      <c r="BC135" s="267">
        <f>Cashflow!H12</f>
        <v>-126.61199999999999</v>
      </c>
      <c r="BD135" s="208">
        <f>Cashflow!I12</f>
        <v>0</v>
      </c>
      <c r="BE135" s="208">
        <f>Cashflow!J12</f>
        <v>0</v>
      </c>
      <c r="BF135" s="208">
        <f>Cashflow!K12</f>
        <v>0</v>
      </c>
    </row>
    <row r="136" spans="52:58">
      <c r="AZ136" s="266" t="str">
        <f>Cashflow!A14</f>
        <v>Profit on disposal of PPE</v>
      </c>
      <c r="BA136" s="267">
        <f>Cashflow!F14</f>
        <v>-1.859</v>
      </c>
      <c r="BB136" s="267">
        <f>Cashflow!G14</f>
        <v>-4.6189999999999998</v>
      </c>
      <c r="BC136" s="267">
        <f>Cashflow!H14</f>
        <v>-7.3289999999999997</v>
      </c>
      <c r="BD136" s="208">
        <f>Cashflow!I14</f>
        <v>0</v>
      </c>
      <c r="BE136" s="208">
        <f>Cashflow!J14</f>
        <v>0</v>
      </c>
      <c r="BF136" s="208">
        <f>Cashflow!K14</f>
        <v>0</v>
      </c>
    </row>
    <row r="137" spans="52:58">
      <c r="AZ137" s="266" t="str">
        <f>Cashflow!A15</f>
        <v>Profit on disposal of investment</v>
      </c>
      <c r="BA137" s="267">
        <f>Cashflow!F15</f>
        <v>0</v>
      </c>
      <c r="BB137" s="267">
        <f>Cashflow!G15</f>
        <v>-3.2959999999999998</v>
      </c>
      <c r="BC137" s="267">
        <f>Cashflow!H15</f>
        <v>0</v>
      </c>
      <c r="BD137" s="208">
        <f>Cashflow!I15</f>
        <v>0</v>
      </c>
      <c r="BE137" s="208">
        <f>Cashflow!J15</f>
        <v>0</v>
      </c>
      <c r="BF137" s="208">
        <f>Cashflow!K15</f>
        <v>0</v>
      </c>
    </row>
    <row r="138" spans="52:58">
      <c r="AZ138" s="266" t="str">
        <f>Cashflow!A16</f>
        <v xml:space="preserve">Amortization of leasehold properties </v>
      </c>
      <c r="BA138" s="267">
        <f>Cashflow!F16</f>
        <v>2.1999999999999999E-2</v>
      </c>
      <c r="BB138" s="267">
        <f>Cashflow!G16</f>
        <v>0.02</v>
      </c>
      <c r="BC138" s="267">
        <f>Cashflow!H16</f>
        <v>2.1999999999999999E-2</v>
      </c>
      <c r="BD138" s="208">
        <f>Cashflow!I16</f>
        <v>0</v>
      </c>
      <c r="BE138" s="208">
        <f>Cashflow!J16</f>
        <v>0</v>
      </c>
      <c r="BF138" s="208">
        <f>Cashflow!K16</f>
        <v>0</v>
      </c>
    </row>
    <row r="139" spans="52:58">
      <c r="AZ139" s="266" t="str">
        <f>Cashflow!A17</f>
        <v>Impairments</v>
      </c>
      <c r="BA139" s="267">
        <f>Cashflow!F17</f>
        <v>11.145</v>
      </c>
      <c r="BB139" s="267">
        <f>Cashflow!G17</f>
        <v>0.50800000000000001</v>
      </c>
      <c r="BC139" s="267">
        <f>Cashflow!H17</f>
        <v>0</v>
      </c>
      <c r="BD139" s="208">
        <f>Cashflow!I17</f>
        <v>0</v>
      </c>
      <c r="BE139" s="208">
        <f>Cashflow!J17</f>
        <v>0</v>
      </c>
      <c r="BF139" s="208">
        <f>Cashflow!K17</f>
        <v>0</v>
      </c>
    </row>
    <row r="140" spans="52:58">
      <c r="AZ140" s="266" t="str">
        <f>Cashflow!A18</f>
        <v>Loss/ (gain) on revaluation of PPE</v>
      </c>
      <c r="BA140" s="267">
        <f>Cashflow!F18</f>
        <v>-176</v>
      </c>
      <c r="BB140" s="267">
        <f>Cashflow!G18</f>
        <v>-23</v>
      </c>
      <c r="BC140" s="267">
        <f>Cashflow!H18</f>
        <v>-22.75</v>
      </c>
      <c r="BD140" s="208">
        <f>Cashflow!I18</f>
        <v>-23.753028100775168</v>
      </c>
      <c r="BE140" s="208">
        <f>Cashflow!J18</f>
        <v>-24.800278855218266</v>
      </c>
      <c r="BF140" s="208">
        <f>Cashflow!K18</f>
        <v>-25.893702002420241</v>
      </c>
    </row>
    <row r="141" spans="52:58">
      <c r="AZ141" s="266" t="str">
        <f>Cashflow!A19</f>
        <v>Defined benefit obligations</v>
      </c>
      <c r="BA141" s="267">
        <f>Cashflow!F19</f>
        <v>42.765999999999998</v>
      </c>
      <c r="BB141" s="267">
        <f>Cashflow!G19</f>
        <v>42.404000000000003</v>
      </c>
      <c r="BC141" s="267">
        <f>Cashflow!H19</f>
        <v>43.389000000000003</v>
      </c>
      <c r="BD141" s="208">
        <f>Cashflow!I19</f>
        <v>0</v>
      </c>
      <c r="BE141" s="208">
        <f>Cashflow!J19</f>
        <v>0</v>
      </c>
      <c r="BF141" s="208">
        <f>Cashflow!K19</f>
        <v>0</v>
      </c>
    </row>
    <row r="142" spans="52:58">
      <c r="AZ142" s="266" t="str">
        <f>Cashflow!A20</f>
        <v>Written off capital WIP</v>
      </c>
      <c r="BA142" s="267">
        <f>Cashflow!F20</f>
        <v>0</v>
      </c>
      <c r="BB142" s="267">
        <f>Cashflow!G20</f>
        <v>0</v>
      </c>
      <c r="BC142" s="267">
        <f>Cashflow!H20</f>
        <v>4.6470000000000002</v>
      </c>
      <c r="BD142" s="208">
        <f>Cashflow!I20</f>
        <v>0</v>
      </c>
      <c r="BE142" s="208">
        <f>Cashflow!J20</f>
        <v>0</v>
      </c>
      <c r="BF142" s="208">
        <f>Cashflow!K20</f>
        <v>0</v>
      </c>
    </row>
    <row r="143" spans="52:58">
      <c r="AZ143" s="379" t="str">
        <f>Cashflow!A22</f>
        <v>Changes in working capital</v>
      </c>
      <c r="BA143" s="267"/>
      <c r="BB143" s="267"/>
      <c r="BC143" s="267"/>
      <c r="BD143" s="208"/>
      <c r="BE143" s="208"/>
      <c r="BF143" s="208"/>
    </row>
    <row r="144" spans="52:58">
      <c r="AZ144" s="266" t="str">
        <f>Cashflow!A23</f>
        <v>(Increase)/ decrease in inventories</v>
      </c>
      <c r="BA144" s="267">
        <f>Cashflow!F23</f>
        <v>-1159.222</v>
      </c>
      <c r="BB144" s="267">
        <f>Cashflow!G23</f>
        <v>1112.5060000000008</v>
      </c>
      <c r="BC144" s="267">
        <f>Cashflow!H23</f>
        <v>-376.56700000000046</v>
      </c>
      <c r="BD144" s="208">
        <f>Cashflow!I23</f>
        <v>-1887.4573159185802</v>
      </c>
      <c r="BE144" s="208">
        <f>Cashflow!J23</f>
        <v>-1542.1685567523527</v>
      </c>
      <c r="BF144" s="208">
        <f>Cashflow!K23</f>
        <v>-1160.5691665278309</v>
      </c>
    </row>
    <row r="145" spans="52:58">
      <c r="AZ145" s="266" t="str">
        <f>Cashflow!A24</f>
        <v>(Increase)/ decrease in Receivable</v>
      </c>
      <c r="BA145" s="267">
        <f>Cashflow!F24</f>
        <v>-985.42899999999997</v>
      </c>
      <c r="BB145" s="267">
        <f>Cashflow!G24</f>
        <v>717.83500000000004</v>
      </c>
      <c r="BC145" s="267">
        <f>Cashflow!H24</f>
        <v>-1083.4430000000002</v>
      </c>
      <c r="BD145" s="208">
        <f>Cashflow!I24</f>
        <v>-1136.3923251898223</v>
      </c>
      <c r="BE145" s="208">
        <f>Cashflow!J24</f>
        <v>-1694.3833154881677</v>
      </c>
      <c r="BF145" s="208">
        <f>Cashflow!K24</f>
        <v>-1103.6467103187588</v>
      </c>
    </row>
    <row r="146" spans="52:58">
      <c r="AZ146" s="266" t="str">
        <f>Cashflow!A25</f>
        <v>Increase/ (decrease) Trade and Other Payables</v>
      </c>
      <c r="BA146" s="267">
        <f>Cashflow!F25</f>
        <v>1907.123</v>
      </c>
      <c r="BB146" s="267">
        <f>Cashflow!G25</f>
        <v>-1278.7250000000001</v>
      </c>
      <c r="BC146" s="267">
        <f>Cashflow!H25</f>
        <v>-59.873000000000047</v>
      </c>
      <c r="BD146" s="208">
        <f>Cashflow!I25</f>
        <v>2047.1538737548387</v>
      </c>
      <c r="BE146" s="208">
        <f>Cashflow!J25</f>
        <v>1062.8739711649523</v>
      </c>
      <c r="BF146" s="208">
        <f>Cashflow!K25</f>
        <v>160.64161750311905</v>
      </c>
    </row>
    <row r="147" spans="52:58">
      <c r="AZ147" s="266" t="str">
        <f>Cashflow!A26</f>
        <v>Dividend Payable</v>
      </c>
      <c r="BA147" s="267">
        <f>Cashflow!F26</f>
        <v>0</v>
      </c>
      <c r="BB147" s="267">
        <f>Cashflow!G26</f>
        <v>0</v>
      </c>
      <c r="BC147" s="267">
        <f>Cashflow!H26</f>
        <v>0</v>
      </c>
      <c r="BD147" s="208">
        <f>Cashflow!I26</f>
        <v>0</v>
      </c>
      <c r="BE147" s="208">
        <f>Cashflow!J26</f>
        <v>0</v>
      </c>
      <c r="BF147" s="208">
        <f>Cashflow!K26</f>
        <v>0</v>
      </c>
    </row>
    <row r="148" spans="52:58">
      <c r="AZ148" s="266" t="str">
        <f>Cashflow!A27</f>
        <v>Defined benefit obligations</v>
      </c>
      <c r="BA148" s="267">
        <f>Cashflow!F27</f>
        <v>0</v>
      </c>
      <c r="BB148" s="267">
        <f>Cashflow!G27</f>
        <v>0</v>
      </c>
      <c r="BC148" s="267">
        <f>Cashflow!H27</f>
        <v>0</v>
      </c>
      <c r="BD148" s="208">
        <f>Cashflow!I27</f>
        <v>0</v>
      </c>
      <c r="BE148" s="208">
        <f>Cashflow!J27</f>
        <v>0</v>
      </c>
      <c r="BF148" s="208">
        <f>Cashflow!K27</f>
        <v>0</v>
      </c>
    </row>
    <row r="149" spans="52:58">
      <c r="AZ149" s="266" t="str">
        <f>Cashflow!A28</f>
        <v>Cash generated from operations</v>
      </c>
      <c r="BA149" s="267">
        <f>Cashflow!F28</f>
        <v>1429.6120000000005</v>
      </c>
      <c r="BB149" s="267">
        <f>Cashflow!G28</f>
        <v>2692.2889999999998</v>
      </c>
      <c r="BC149" s="267">
        <f>Cashflow!H28</f>
        <v>712.64999999999736</v>
      </c>
      <c r="BD149" s="208">
        <f>Cashflow!I28</f>
        <v>857.24448011419486</v>
      </c>
      <c r="BE149" s="208">
        <f>Cashflow!J28</f>
        <v>554.86797104810012</v>
      </c>
      <c r="BF149" s="208">
        <f>Cashflow!K28</f>
        <v>1096.9741140440237</v>
      </c>
    </row>
    <row r="150" spans="52:58">
      <c r="AZ150" s="266"/>
      <c r="BA150" s="267"/>
      <c r="BB150" s="267"/>
      <c r="BC150" s="267"/>
      <c r="BD150" s="208"/>
      <c r="BE150" s="208"/>
      <c r="BF150" s="208"/>
    </row>
    <row r="151" spans="52:58">
      <c r="AZ151" s="266" t="str">
        <f>Cashflow!A30</f>
        <v>Interest Received/ (Paid)</v>
      </c>
      <c r="BA151" s="267">
        <f>Cashflow!F30</f>
        <v>-399.29599999999999</v>
      </c>
      <c r="BB151" s="267">
        <f>Cashflow!G30</f>
        <v>-350.11</v>
      </c>
      <c r="BC151" s="267">
        <f>Cashflow!H30</f>
        <v>-345.637</v>
      </c>
      <c r="BD151" s="208">
        <f>Cashflow!I30</f>
        <v>-448.93853651030344</v>
      </c>
      <c r="BE151" s="208">
        <f>Cashflow!J30</f>
        <v>-494.84628928450365</v>
      </c>
      <c r="BF151" s="208">
        <f>Cashflow!K30</f>
        <v>-542.17671011973175</v>
      </c>
    </row>
    <row r="152" spans="52:58">
      <c r="AZ152" s="266" t="str">
        <f>Cashflow!A32</f>
        <v>Defined benefit obligations paid</v>
      </c>
      <c r="BA152" s="267">
        <f>Cashflow!F32</f>
        <v>-14.696</v>
      </c>
      <c r="BB152" s="267">
        <f>Cashflow!G32</f>
        <v>-22.844000000000001</v>
      </c>
      <c r="BC152" s="267">
        <f>Cashflow!H32</f>
        <v>-22.727</v>
      </c>
      <c r="BD152" s="208">
        <f>Cashflow!I32</f>
        <v>0</v>
      </c>
      <c r="BE152" s="208">
        <f>Cashflow!J32</f>
        <v>0</v>
      </c>
      <c r="BF152" s="208">
        <f>Cashflow!K32</f>
        <v>0</v>
      </c>
    </row>
    <row r="153" spans="52:58">
      <c r="AZ153" s="266" t="str">
        <f>Cashflow!A33</f>
        <v>Payment in lieu of employee share issue scheme</v>
      </c>
      <c r="BA153" s="267">
        <f>Cashflow!F33</f>
        <v>0</v>
      </c>
      <c r="BB153" s="267">
        <f>Cashflow!G33</f>
        <v>0</v>
      </c>
      <c r="BC153" s="267">
        <f>Cashflow!H33</f>
        <v>0</v>
      </c>
      <c r="BD153" s="208">
        <f>Cashflow!I33</f>
        <v>0</v>
      </c>
      <c r="BE153" s="208">
        <f>Cashflow!J33</f>
        <v>0</v>
      </c>
      <c r="BF153" s="208">
        <f>Cashflow!K33</f>
        <v>0</v>
      </c>
    </row>
    <row r="154" spans="52:58">
      <c r="AZ154" s="266" t="str">
        <f>Cashflow!A34</f>
        <v xml:space="preserve">Income Tax paid less refund received </v>
      </c>
      <c r="BA154" s="267">
        <f>Cashflow!F34</f>
        <v>-115.196</v>
      </c>
      <c r="BB154" s="267">
        <f>Cashflow!G34</f>
        <v>-132.221</v>
      </c>
      <c r="BC154" s="267">
        <f>Cashflow!H34</f>
        <v>-476.029</v>
      </c>
      <c r="BD154" s="208">
        <f>Cashflow!I34</f>
        <v>-346.05000267244861</v>
      </c>
      <c r="BE154" s="208">
        <f>Cashflow!J34</f>
        <v>-592.88768197529976</v>
      </c>
      <c r="BF154" s="208">
        <f>Cashflow!K34</f>
        <v>-717.33937863273911</v>
      </c>
    </row>
    <row r="155" spans="52:58">
      <c r="AZ155" s="266" t="str">
        <f>Cashflow!A35</f>
        <v>WHT on dividend paid by subsidiary</v>
      </c>
      <c r="BA155" s="267">
        <f>Cashflow!F35</f>
        <v>-7.0880000000000001</v>
      </c>
      <c r="BB155" s="267">
        <f>Cashflow!G35</f>
        <v>-13.61</v>
      </c>
      <c r="BC155" s="267">
        <f>Cashflow!H35</f>
        <v>0</v>
      </c>
      <c r="BD155" s="208">
        <f>Cashflow!I35</f>
        <v>0</v>
      </c>
      <c r="BE155" s="208">
        <f>Cashflow!J35</f>
        <v>0</v>
      </c>
      <c r="BF155" s="208">
        <f>Cashflow!K35</f>
        <v>0</v>
      </c>
    </row>
    <row r="156" spans="52:58">
      <c r="AZ156" s="379" t="str">
        <f>Cashflow!A36</f>
        <v>Net Cash generated from operating actvities</v>
      </c>
      <c r="BA156" s="380">
        <f>Cashflow!F36</f>
        <v>893.33600000000047</v>
      </c>
      <c r="BB156" s="380">
        <f>Cashflow!G36</f>
        <v>2173.5039999999995</v>
      </c>
      <c r="BC156" s="380">
        <f>Cashflow!H36</f>
        <v>-131.74300000000261</v>
      </c>
      <c r="BD156" s="593">
        <f>Cashflow!I36</f>
        <v>62.255940931442808</v>
      </c>
      <c r="BE156" s="593">
        <f>Cashflow!J36</f>
        <v>-532.86600021170329</v>
      </c>
      <c r="BF156" s="593">
        <f>Cashflow!K36</f>
        <v>-162.54197470844713</v>
      </c>
    </row>
    <row r="157" spans="52:58">
      <c r="AZ157" s="266"/>
      <c r="BA157" s="267"/>
      <c r="BB157" s="267"/>
      <c r="BC157" s="267"/>
      <c r="BD157" s="208"/>
      <c r="BE157" s="208"/>
      <c r="BF157" s="208"/>
    </row>
    <row r="158" spans="52:58">
      <c r="AZ158" s="379" t="str">
        <f>Cashflow!A38</f>
        <v>Cash Flow from Investing Activities</v>
      </c>
      <c r="BA158" s="267"/>
      <c r="BB158" s="267"/>
      <c r="BC158" s="267"/>
      <c r="BD158" s="208"/>
      <c r="BE158" s="208"/>
      <c r="BF158" s="208"/>
    </row>
    <row r="159" spans="52:58">
      <c r="AZ159" s="266" t="str">
        <f>Cashflow!A39</f>
        <v>Interest Received</v>
      </c>
      <c r="BA159" s="267">
        <f>Cashflow!F39</f>
        <v>11.576000000000001</v>
      </c>
      <c r="BB159" s="267">
        <f>Cashflow!G39</f>
        <v>98.408000000000001</v>
      </c>
      <c r="BC159" s="267">
        <f>Cashflow!H39</f>
        <v>126.61199999999999</v>
      </c>
      <c r="BD159" s="208">
        <f>Cashflow!I39</f>
        <v>0</v>
      </c>
      <c r="BE159" s="208">
        <f>Cashflow!J39</f>
        <v>0</v>
      </c>
      <c r="BF159" s="208">
        <f>Cashflow!K39</f>
        <v>0</v>
      </c>
    </row>
    <row r="160" spans="52:58">
      <c r="AZ160" s="266" t="str">
        <f>Cashflow!A40</f>
        <v>Purchase and construction of PPE</v>
      </c>
      <c r="BA160" s="267">
        <f>Cashflow!F40</f>
        <v>-127.205</v>
      </c>
      <c r="BB160" s="267">
        <f>Cashflow!G40</f>
        <v>-124.794</v>
      </c>
      <c r="BC160" s="267">
        <f>Cashflow!H40</f>
        <v>-79.942999999999998</v>
      </c>
      <c r="BD160" s="208">
        <f>Cashflow!I40</f>
        <v>-100.43127</v>
      </c>
      <c r="BE160" s="208">
        <f>Cashflow!J40</f>
        <v>-97.902627101868447</v>
      </c>
      <c r="BF160" s="208">
        <f>Cashflow!K40</f>
        <v>-95.462218773833413</v>
      </c>
    </row>
    <row r="161" spans="52:58">
      <c r="AZ161" s="266" t="str">
        <f>Cashflow!A41</f>
        <v>Purchase of intangible assets</v>
      </c>
      <c r="BA161" s="267">
        <f>Cashflow!F41</f>
        <v>-2.6589999999999998</v>
      </c>
      <c r="BB161" s="267">
        <f>Cashflow!G41</f>
        <v>-0.36099999999999999</v>
      </c>
      <c r="BC161" s="267">
        <f>Cashflow!H41</f>
        <v>-0.39600000000000002</v>
      </c>
      <c r="BD161" s="208">
        <f>Cashflow!I41</f>
        <v>-2</v>
      </c>
      <c r="BE161" s="208">
        <f>Cashflow!J41</f>
        <v>-2</v>
      </c>
      <c r="BF161" s="208">
        <f>Cashflow!K41</f>
        <v>-2</v>
      </c>
    </row>
    <row r="162" spans="52:58">
      <c r="AZ162" s="266" t="str">
        <f>Cashflow!A42</f>
        <v>Investments in AFS</v>
      </c>
      <c r="BA162" s="267">
        <f>Cashflow!F42</f>
        <v>0</v>
      </c>
      <c r="BB162" s="267">
        <f>Cashflow!G42</f>
        <v>-8.9309999999999992</v>
      </c>
      <c r="BC162" s="267">
        <f>Cashflow!H42</f>
        <v>0</v>
      </c>
      <c r="BD162" s="208">
        <f>Cashflow!I42</f>
        <v>0</v>
      </c>
      <c r="BE162" s="208">
        <f>Cashflow!J42</f>
        <v>0</v>
      </c>
      <c r="BF162" s="208">
        <f>Cashflow!K42</f>
        <v>0</v>
      </c>
    </row>
    <row r="163" spans="52:58">
      <c r="AZ163" s="266" t="str">
        <f>Cashflow!A43</f>
        <v>Cost incurred on Capital WIP</v>
      </c>
      <c r="BA163" s="267">
        <f>Cashflow!F43</f>
        <v>-71.923000000000002</v>
      </c>
      <c r="BB163" s="267">
        <f>Cashflow!G43</f>
        <v>-11.429</v>
      </c>
      <c r="BC163" s="267">
        <f>Cashflow!H43</f>
        <v>-36.298000000000002</v>
      </c>
      <c r="BD163" s="208">
        <f>Cashflow!I43</f>
        <v>-32.916333333333334</v>
      </c>
      <c r="BE163" s="208">
        <f>Cashflow!J43</f>
        <v>-39.883333333333333</v>
      </c>
      <c r="BF163" s="208">
        <f>Cashflow!K43</f>
        <v>-26.881111111111114</v>
      </c>
    </row>
    <row r="164" spans="52:58">
      <c r="AZ164" s="266" t="str">
        <f>Cashflow!A44</f>
        <v>Dividend Received</v>
      </c>
      <c r="BA164" s="267">
        <f>Cashflow!F44</f>
        <v>0.221</v>
      </c>
      <c r="BB164" s="267">
        <f>Cashflow!G44</f>
        <v>0.49199999999999999</v>
      </c>
      <c r="BC164" s="267">
        <f>Cashflow!H44</f>
        <v>1.78</v>
      </c>
      <c r="BD164" s="208">
        <f>Cashflow!I44</f>
        <v>1.78</v>
      </c>
      <c r="BE164" s="208">
        <f>Cashflow!J44</f>
        <v>1.78</v>
      </c>
      <c r="BF164" s="208">
        <f>Cashflow!K44</f>
        <v>1.78</v>
      </c>
    </row>
    <row r="165" spans="52:58">
      <c r="AZ165" s="266" t="str">
        <f>Cashflow!A45</f>
        <v>Investments in Subsidiary Companies</v>
      </c>
      <c r="BA165" s="267">
        <f>Cashflow!F45</f>
        <v>-778.06</v>
      </c>
      <c r="BB165" s="267">
        <f>Cashflow!G45</f>
        <v>0</v>
      </c>
      <c r="BC165" s="267">
        <f>Cashflow!H45</f>
        <v>0</v>
      </c>
      <c r="BD165" s="208">
        <f>Cashflow!I45</f>
        <v>0</v>
      </c>
      <c r="BE165" s="208">
        <f>Cashflow!J45</f>
        <v>0</v>
      </c>
      <c r="BF165" s="208">
        <f>Cashflow!K45</f>
        <v>0</v>
      </c>
    </row>
    <row r="166" spans="52:58">
      <c r="AZ166" s="266" t="str">
        <f>Cashflow!A46</f>
        <v>Investments in other assets</v>
      </c>
      <c r="BA166" s="267">
        <f>Cashflow!F46</f>
        <v>0</v>
      </c>
      <c r="BB166" s="267">
        <f>Cashflow!G46</f>
        <v>-1067.3150000000001</v>
      </c>
      <c r="BC166" s="267">
        <f>Cashflow!H46</f>
        <v>684.64200000000005</v>
      </c>
      <c r="BD166" s="208">
        <f>Cashflow!I46</f>
        <v>-100</v>
      </c>
      <c r="BE166" s="208">
        <f>Cashflow!J46</f>
        <v>-100</v>
      </c>
      <c r="BF166" s="208">
        <f>Cashflow!K46</f>
        <v>-100</v>
      </c>
    </row>
    <row r="167" spans="52:58">
      <c r="AZ167" s="266" t="str">
        <f>Cashflow!A47</f>
        <v>Proceeds on disposal of PPE</v>
      </c>
      <c r="BA167" s="267">
        <f>Cashflow!F47</f>
        <v>1.859</v>
      </c>
      <c r="BB167" s="267">
        <f>Cashflow!G47</f>
        <v>6.173</v>
      </c>
      <c r="BC167" s="267">
        <f>Cashflow!H47</f>
        <v>13.632</v>
      </c>
      <c r="BD167" s="208">
        <f>Cashflow!I47</f>
        <v>0</v>
      </c>
      <c r="BE167" s="208">
        <f>Cashflow!J47</f>
        <v>0</v>
      </c>
      <c r="BF167" s="208">
        <f>Cashflow!K47</f>
        <v>0</v>
      </c>
    </row>
    <row r="168" spans="52:58">
      <c r="AZ168" s="266" t="str">
        <f>Cashflow!A48</f>
        <v>Proceeds on disposal of Capital WIP</v>
      </c>
      <c r="BA168" s="267">
        <f>Cashflow!F48</f>
        <v>0.76200000000000001</v>
      </c>
      <c r="BB168" s="267">
        <f>Cashflow!G48</f>
        <v>0</v>
      </c>
      <c r="BC168" s="267">
        <f>Cashflow!H48</f>
        <v>0.29899999999999999</v>
      </c>
      <c r="BD168" s="208">
        <f>Cashflow!I48</f>
        <v>0</v>
      </c>
      <c r="BE168" s="208">
        <f>Cashflow!J48</f>
        <v>0</v>
      </c>
      <c r="BF168" s="208">
        <f>Cashflow!K48</f>
        <v>0</v>
      </c>
    </row>
    <row r="169" spans="52:58">
      <c r="AZ169" s="266" t="str">
        <f>Cashflow!A49</f>
        <v>Proceeds on disposal of Investments</v>
      </c>
      <c r="BA169" s="267">
        <f>Cashflow!F49</f>
        <v>0</v>
      </c>
      <c r="BB169" s="267">
        <f>Cashflow!G49</f>
        <v>597.04</v>
      </c>
      <c r="BC169" s="267">
        <f>Cashflow!H49</f>
        <v>0</v>
      </c>
      <c r="BD169" s="208">
        <f>Cashflow!I49</f>
        <v>0</v>
      </c>
      <c r="BE169" s="208">
        <f>Cashflow!J49</f>
        <v>0</v>
      </c>
      <c r="BF169" s="208">
        <f>Cashflow!K49</f>
        <v>0</v>
      </c>
    </row>
    <row r="170" spans="52:58">
      <c r="AZ170" s="379" t="str">
        <f>Cashflow!A50</f>
        <v>Net Cash Flow from Investing Activities</v>
      </c>
      <c r="BA170" s="380">
        <f>Cashflow!F50</f>
        <v>-965.42899999999997</v>
      </c>
      <c r="BB170" s="380">
        <f>Cashflow!G50</f>
        <v>-510.7170000000001</v>
      </c>
      <c r="BC170" s="380">
        <f>Cashflow!H50</f>
        <v>710.32799999999997</v>
      </c>
      <c r="BD170" s="593">
        <f>Cashflow!I50</f>
        <v>-233.56760333333332</v>
      </c>
      <c r="BE170" s="593">
        <f>Cashflow!J50</f>
        <v>-238.00596043520179</v>
      </c>
      <c r="BF170" s="593">
        <f>Cashflow!K50</f>
        <v>-222.56332988494452</v>
      </c>
    </row>
    <row r="171" spans="52:58">
      <c r="AZ171" s="266"/>
      <c r="BA171" s="267"/>
      <c r="BB171" s="267"/>
      <c r="BC171" s="267"/>
      <c r="BD171" s="208"/>
      <c r="BE171" s="208"/>
      <c r="BF171" s="208"/>
    </row>
    <row r="172" spans="52:58">
      <c r="AZ172" s="379" t="str">
        <f>Cashflow!A52</f>
        <v>Cash Flow from Financing Activities</v>
      </c>
      <c r="BA172" s="267"/>
      <c r="BB172" s="267"/>
      <c r="BC172" s="267"/>
      <c r="BD172" s="208"/>
      <c r="BE172" s="208"/>
      <c r="BF172" s="208"/>
    </row>
    <row r="173" spans="52:58">
      <c r="AZ173" s="266" t="str">
        <f>Cashflow!A55</f>
        <v>Short term Borrowings Net of Payments</v>
      </c>
      <c r="BA173" s="267">
        <f>Cashflow!F55</f>
        <v>-697.99199999999996</v>
      </c>
      <c r="BB173" s="267">
        <f>Cashflow!G55</f>
        <v>-1053.6149999999998</v>
      </c>
      <c r="BC173" s="267">
        <f>Cashflow!H55</f>
        <v>746.851</v>
      </c>
      <c r="BD173" s="208">
        <f>Cashflow!I55</f>
        <v>-100</v>
      </c>
      <c r="BE173" s="208">
        <f>Cashflow!J55</f>
        <v>-20</v>
      </c>
      <c r="BF173" s="208">
        <f>Cashflow!K55</f>
        <v>0</v>
      </c>
    </row>
    <row r="174" spans="52:58">
      <c r="AZ174" s="266" t="str">
        <f>Cashflow!A56</f>
        <v>Long term Borrowings Net of Payments</v>
      </c>
      <c r="BA174" s="267">
        <f>Cashflow!F56</f>
        <v>1155</v>
      </c>
      <c r="BB174" s="267">
        <f>Cashflow!G56</f>
        <v>-318.24999999999989</v>
      </c>
      <c r="BC174" s="267">
        <f>Cashflow!H56</f>
        <v>-706.75</v>
      </c>
      <c r="BD174" s="208">
        <f>Cashflow!I56</f>
        <v>200</v>
      </c>
      <c r="BE174" s="208">
        <f>Cashflow!J56</f>
        <v>0</v>
      </c>
      <c r="BF174" s="208">
        <f>Cashflow!K56</f>
        <v>0</v>
      </c>
    </row>
    <row r="175" spans="52:58">
      <c r="AZ175" s="266" t="str">
        <f>Cashflow!A57</f>
        <v>Dividend paid by the Company</v>
      </c>
      <c r="BA175" s="267">
        <f>Cashflow!F57</f>
        <v>-59.893999999999998</v>
      </c>
      <c r="BB175" s="267">
        <f>Cashflow!G57</f>
        <v>-119.78736000000001</v>
      </c>
      <c r="BC175" s="267">
        <f>Cashflow!H57</f>
        <v>-179.68104</v>
      </c>
      <c r="BD175" s="208">
        <f>Cashflow!I57</f>
        <v>-113.91732293553966</v>
      </c>
      <c r="BE175" s="208">
        <f>Cashflow!J57</f>
        <v>-195.17461930498374</v>
      </c>
      <c r="BF175" s="208">
        <f>Cashflow!K57</f>
        <v>-236.14327703801277</v>
      </c>
    </row>
    <row r="176" spans="52:58">
      <c r="AZ176" s="266" t="str">
        <f>Cashflow!A58</f>
        <v>Dividend paid by Subsidiary to NCI</v>
      </c>
      <c r="BA176" s="267">
        <f>Cashflow!F58</f>
        <v>-9.6989999999999998</v>
      </c>
      <c r="BB176" s="267">
        <f>Cashflow!G58</f>
        <v>-19.164999999999999</v>
      </c>
      <c r="BC176" s="267">
        <f>Cashflow!H58</f>
        <v>-29.097999999999999</v>
      </c>
      <c r="BD176" s="208">
        <f>Cashflow!I58</f>
        <v>0</v>
      </c>
      <c r="BE176" s="208">
        <f>Cashflow!J58</f>
        <v>0</v>
      </c>
      <c r="BF176" s="208">
        <f>Cashflow!K58</f>
        <v>0</v>
      </c>
    </row>
    <row r="177" spans="52:68">
      <c r="AZ177" s="266" t="str">
        <f>Cashflow!A59</f>
        <v>Net Cash Flow from Investing Activities</v>
      </c>
      <c r="BA177" s="267">
        <f>Cashflow!F59</f>
        <v>387.41500000000002</v>
      </c>
      <c r="BB177" s="267">
        <f>Cashflow!G59</f>
        <v>-1510.8173599999998</v>
      </c>
      <c r="BC177" s="267">
        <f>Cashflow!H59</f>
        <v>-168.67804000000001</v>
      </c>
      <c r="BD177" s="208">
        <f>Cashflow!I59</f>
        <v>-13.917322935539659</v>
      </c>
      <c r="BE177" s="208">
        <f>Cashflow!J59</f>
        <v>-215.17461930498374</v>
      </c>
      <c r="BF177" s="208">
        <f>Cashflow!K59</f>
        <v>-236.14327703801277</v>
      </c>
    </row>
    <row r="178" spans="52:68">
      <c r="AZ178" s="379" t="str">
        <f>Cashflow!A60</f>
        <v>Increase/ decrease in cash and cash equivalents</v>
      </c>
      <c r="BA178" s="380">
        <f>Cashflow!F60</f>
        <v>315.32200000000057</v>
      </c>
      <c r="BB178" s="380">
        <f>Cashflow!G60</f>
        <v>151.96963999999957</v>
      </c>
      <c r="BC178" s="380">
        <f>Cashflow!H60</f>
        <v>409.90695999999735</v>
      </c>
      <c r="BD178" s="593">
        <f>Cashflow!I60</f>
        <v>-185.22898533743017</v>
      </c>
      <c r="BE178" s="593">
        <f>Cashflow!J60</f>
        <v>-986.04657995188882</v>
      </c>
      <c r="BF178" s="593">
        <f>Cashflow!K60</f>
        <v>-621.24858163140448</v>
      </c>
    </row>
    <row r="179" spans="52:68">
      <c r="AZ179" s="266"/>
      <c r="BA179" s="267"/>
      <c r="BB179" s="267"/>
      <c r="BC179" s="267"/>
      <c r="BD179" s="208"/>
      <c r="BE179" s="208"/>
      <c r="BF179" s="208"/>
    </row>
    <row r="180" spans="52:68">
      <c r="AZ180" s="379" t="str">
        <f>Cashflow!A62</f>
        <v>Movement in Cash and Cash Equivalents</v>
      </c>
      <c r="BA180" s="267"/>
      <c r="BB180" s="267"/>
      <c r="BC180" s="267"/>
      <c r="BD180" s="208"/>
      <c r="BE180" s="208"/>
      <c r="BF180" s="208"/>
    </row>
    <row r="181" spans="52:68">
      <c r="AZ181" s="266" t="str">
        <f>Cashflow!A63</f>
        <v>At the beginning of the year</v>
      </c>
      <c r="BA181" s="267">
        <f>Cashflow!F63</f>
        <v>313.88499999999999</v>
      </c>
      <c r="BB181" s="267">
        <f>Cashflow!G63</f>
        <v>630.83199999999999</v>
      </c>
      <c r="BC181" s="267">
        <f>Cashflow!H63</f>
        <v>782.78300000000002</v>
      </c>
      <c r="BD181" s="208">
        <f>Cashflow!I63</f>
        <v>1192.6899599999974</v>
      </c>
      <c r="BE181" s="208">
        <f>Cashflow!J63</f>
        <v>1007.4609746625672</v>
      </c>
      <c r="BF181" s="208">
        <f>Cashflow!K63</f>
        <v>21.41439471067838</v>
      </c>
    </row>
    <row r="182" spans="52:68">
      <c r="AZ182" s="266" t="str">
        <f>Cashflow!A64</f>
        <v>Increase/ decrease in cash and cash equivalents</v>
      </c>
      <c r="BA182" s="267">
        <f>Cashflow!F64</f>
        <v>316.947</v>
      </c>
      <c r="BB182" s="267">
        <f>Cashflow!G64</f>
        <v>151.96963999999957</v>
      </c>
      <c r="BC182" s="267">
        <f>Cashflow!H64</f>
        <v>409.90695999999735</v>
      </c>
      <c r="BD182" s="208">
        <f>Cashflow!I64</f>
        <v>-185.22898533743017</v>
      </c>
      <c r="BE182" s="208">
        <f>Cashflow!J64</f>
        <v>-986.04657995188882</v>
      </c>
      <c r="BF182" s="208">
        <f>Cashflow!K64</f>
        <v>-621.24858163140448</v>
      </c>
    </row>
    <row r="183" spans="52:68">
      <c r="AZ183" s="379" t="str">
        <f>Cashflow!A65</f>
        <v>Cash and cash equivalents at the end of the Year</v>
      </c>
      <c r="BA183" s="380">
        <f>Cashflow!F65</f>
        <v>630.83199999999999</v>
      </c>
      <c r="BB183" s="380">
        <f>Cashflow!G65</f>
        <v>782.80163999999957</v>
      </c>
      <c r="BC183" s="380">
        <f>Cashflow!H65</f>
        <v>1192.6899599999974</v>
      </c>
      <c r="BD183" s="593">
        <f>Cashflow!I65</f>
        <v>1007.4609746625672</v>
      </c>
      <c r="BE183" s="593">
        <f>Cashflow!J65</f>
        <v>21.41439471067838</v>
      </c>
      <c r="BF183" s="593">
        <f>Cashflow!K65</f>
        <v>-599.8341869207261</v>
      </c>
    </row>
    <row r="187" spans="52:68">
      <c r="BI187" s="702" t="s">
        <v>3912</v>
      </c>
      <c r="BJ187" s="702"/>
      <c r="BK187" s="624" t="s">
        <v>105</v>
      </c>
      <c r="BL187" s="624" t="s">
        <v>150</v>
      </c>
      <c r="BM187" s="624" t="s">
        <v>151</v>
      </c>
      <c r="BN187" s="624" t="s">
        <v>152</v>
      </c>
      <c r="BO187" s="624" t="s">
        <v>153</v>
      </c>
      <c r="BP187" s="624" t="s">
        <v>309</v>
      </c>
    </row>
    <row r="188" spans="52:68" ht="15" thickBot="1">
      <c r="BI188" s="619"/>
      <c r="BJ188" s="620"/>
      <c r="BK188" s="625"/>
      <c r="BL188" s="625"/>
      <c r="BM188" s="625"/>
      <c r="BN188" s="625"/>
      <c r="BO188" s="625"/>
      <c r="BP188" s="625"/>
    </row>
    <row r="189" spans="52:68">
      <c r="BI189" s="703" t="s">
        <v>3904</v>
      </c>
      <c r="BJ189" s="622" t="s">
        <v>1</v>
      </c>
      <c r="BK189" s="622">
        <f>'IS &amp; BS'!F4/'IS &amp; BS'!E4-1</f>
        <v>0.26036602869852032</v>
      </c>
      <c r="BL189" s="622">
        <f>'IS &amp; BS'!G4/'IS &amp; BS'!F4-1</f>
        <v>-0.11201119881867883</v>
      </c>
      <c r="BM189" s="623">
        <f>'IS &amp; BS'!H4/'IS &amp; BS'!G4-1</f>
        <v>0.14506896452673046</v>
      </c>
      <c r="BN189" s="623">
        <f>'IS &amp; BS'!I4/'IS &amp; BS'!H4-1</f>
        <v>0.43007562954520995</v>
      </c>
      <c r="BO189" s="623">
        <f>'IS &amp; BS'!J4/'IS &amp; BS'!I4-1</f>
        <v>0.26186028823058449</v>
      </c>
      <c r="BP189" s="623">
        <f>'IS &amp; BS'!K4/'IS &amp; BS'!J4-1</f>
        <v>0.13516889871505811</v>
      </c>
    </row>
    <row r="190" spans="52:68">
      <c r="BI190" s="704"/>
      <c r="BJ190" s="622" t="s">
        <v>2</v>
      </c>
      <c r="BK190" s="622">
        <f>-'IS &amp; BS'!F5/-'IS &amp; BS'!E5-1</f>
        <v>0.247250109315164</v>
      </c>
      <c r="BL190" s="622">
        <f>-'IS &amp; BS'!G5/-'IS &amp; BS'!F5-1</f>
        <v>-0.17877194028222176</v>
      </c>
      <c r="BM190" s="623">
        <f>-'IS &amp; BS'!H5/-'IS &amp; BS'!G5-1</f>
        <v>0.17151795499538136</v>
      </c>
      <c r="BN190" s="623">
        <f>-'IS &amp; BS'!I5/-'IS &amp; BS'!H5-1</f>
        <v>0.54783411764705847</v>
      </c>
      <c r="BO190" s="623">
        <f>-'IS &amp; BS'!J5/-'IS &amp; BS'!I5-1</f>
        <v>0.23977372326719903</v>
      </c>
      <c r="BP190" s="623">
        <f>-'IS &amp; BS'!K5/-'IS &amp; BS'!J5-1</f>
        <v>0.12984424872497713</v>
      </c>
    </row>
    <row r="191" spans="52:68">
      <c r="BI191" s="704"/>
      <c r="BJ191" s="622" t="s">
        <v>6</v>
      </c>
      <c r="BK191" s="622">
        <f>'IS &amp; BS'!F6/'IS &amp; BS'!E6-1</f>
        <v>0.32528594996304583</v>
      </c>
      <c r="BL191" s="622">
        <f>'IS &amp; BS'!G6/'IS &amp; BS'!F6-1</f>
        <v>0.19897731872076196</v>
      </c>
      <c r="BM191" s="623">
        <f>'IS &amp; BS'!H6/'IS &amp; BS'!G6-1</f>
        <v>6.0680105485107605E-2</v>
      </c>
      <c r="BN191" s="623">
        <f>'IS &amp; BS'!I6/'IS &amp; BS'!H6-1</f>
        <v>1.5090282583198888E-2</v>
      </c>
      <c r="BO191" s="623">
        <f>'IS &amp; BS'!J6/'IS &amp; BS'!I6-1</f>
        <v>0.38054327383132347</v>
      </c>
      <c r="BP191" s="623">
        <f>'IS &amp; BS'!K6/'IS &amp; BS'!J6-1</f>
        <v>0.16086361070526056</v>
      </c>
    </row>
    <row r="192" spans="52:68">
      <c r="BI192" s="704"/>
      <c r="BJ192" s="622" t="s">
        <v>106</v>
      </c>
      <c r="BK192" s="622">
        <f>DCF!F17/DCF!E17-1</f>
        <v>0.64237599195123307</v>
      </c>
      <c r="BL192" s="622">
        <f>DCF!G17/DCF!F17-1</f>
        <v>0.18545315378346872</v>
      </c>
      <c r="BM192" s="623">
        <f>DCF!H17/DCF!G17-1</f>
        <v>6.1440175336535896E-2</v>
      </c>
      <c r="BN192" s="623">
        <f>DCF!I17/DCF!H17-1</f>
        <v>-0.17076046872182837</v>
      </c>
      <c r="BO192" s="623">
        <f>DCF!J17/DCF!I17-1</f>
        <v>0.54404960780169054</v>
      </c>
      <c r="BP192" s="623">
        <f>DCF!K17/DCF!J17-1</f>
        <v>0.18799130477367809</v>
      </c>
    </row>
    <row r="193" spans="61:68" ht="15" thickBot="1">
      <c r="BI193" s="705"/>
      <c r="BJ193" s="622" t="s">
        <v>3905</v>
      </c>
      <c r="BK193" s="622">
        <f>'IS &amp; BS'!F17/'IS &amp; BS'!E17-1</f>
        <v>0.94695749668739948</v>
      </c>
      <c r="BL193" s="622">
        <f>'IS &amp; BS'!G17/'IS &amp; BS'!F17-1</f>
        <v>0.27227503920555751</v>
      </c>
      <c r="BM193" s="623">
        <f>'IS &amp; BS'!H17/'IS &amp; BS'!G17-1</f>
        <v>2.2165082314385076E-2</v>
      </c>
      <c r="BN193" s="623">
        <f>'IS &amp; BS'!I17/'IS &amp; BS'!H17-1</f>
        <v>-0.32061773868967858</v>
      </c>
      <c r="BO193" s="623">
        <f>'IS &amp; BS'!J17/'IS &amp; BS'!I17-1</f>
        <v>0.71330061377428677</v>
      </c>
      <c r="BP193" s="623">
        <f>'IS &amp; BS'!K17/'IS &amp; BS'!J17-1</f>
        <v>0.20990771176558876</v>
      </c>
    </row>
    <row r="194" spans="61:68" ht="15" thickBot="1">
      <c r="BI194" s="619"/>
      <c r="BJ194" s="620"/>
      <c r="BK194" s="621"/>
      <c r="BL194" s="621"/>
      <c r="BM194" s="621"/>
      <c r="BN194" s="621"/>
      <c r="BO194" s="621"/>
      <c r="BP194" s="621"/>
    </row>
    <row r="195" spans="61:68">
      <c r="BI195" s="703" t="s">
        <v>3913</v>
      </c>
      <c r="BJ195" s="622" t="s">
        <v>3906</v>
      </c>
      <c r="BK195" s="622">
        <f>'IS &amp; BS'!F6/'IS &amp; BS'!F4</f>
        <v>0.1767329514814896</v>
      </c>
      <c r="BL195" s="622">
        <f>'IS &amp; BS'!G6/'IS &amp; BS'!G4</f>
        <v>0.23862778451145647</v>
      </c>
      <c r="BM195" s="623">
        <f>'IS &amp; BS'!H6/'IS &amp; BS'!H4</f>
        <v>0.22104148438945892</v>
      </c>
      <c r="BN195" s="623">
        <f>'IS &amp; BS'!I6/'IS &amp; BS'!I4</f>
        <v>0.15689873893093445</v>
      </c>
      <c r="BO195" s="623">
        <f>'IS &amp; BS'!J6/'IS &amp; BS'!J4</f>
        <v>0.17165569019328486</v>
      </c>
      <c r="BP195" s="623">
        <f>'IS &amp; BS'!K6/'IS &amp; BS'!K4</f>
        <v>0.17554114153536132</v>
      </c>
    </row>
    <row r="196" spans="61:68">
      <c r="BI196" s="704"/>
      <c r="BJ196" s="622" t="s">
        <v>3907</v>
      </c>
      <c r="BK196" s="622">
        <f>('IS &amp; BS'!F13-'IS &amp; BS'!F11)/'IS &amp; BS'!F4</f>
        <v>0.11384425956572691</v>
      </c>
      <c r="BL196" s="622">
        <f>('IS &amp; BS'!G13-'IS &amp; BS'!G11)/'IS &amp; BS'!G4</f>
        <v>0.15200140127126019</v>
      </c>
      <c r="BM196" s="623">
        <f>('IS &amp; BS'!H13-'IS &amp; BS'!H11)/'IS &amp; BS'!H4</f>
        <v>0.13521634848891265</v>
      </c>
      <c r="BN196" s="623">
        <f>('IS &amp; BS'!I13-'IS &amp; BS'!I11)/'IS &amp; BS'!I4</f>
        <v>7.9799157344398089E-2</v>
      </c>
      <c r="BO196" s="623">
        <f>('IS &amp; BS'!J13-'IS &amp; BS'!J11)/'IS &amp; BS'!J4</f>
        <v>9.7484243435173534E-2</v>
      </c>
      <c r="BP196" s="623">
        <f>('IS &amp; BS'!K13-'IS &amp; BS'!K11)/'IS &amp; BS'!K4</f>
        <v>0.10197572051234668</v>
      </c>
    </row>
    <row r="197" spans="61:68" ht="15" thickBot="1">
      <c r="BI197" s="705"/>
      <c r="BJ197" s="622" t="s">
        <v>3908</v>
      </c>
      <c r="BK197" s="622">
        <f>'IS &amp; BS'!F17/'IS &amp; BS'!F4</f>
        <v>5.9579811406703244E-2</v>
      </c>
      <c r="BL197" s="622">
        <f>'IS &amp; BS'!G17/'IS &amp; BS'!G4</f>
        <v>8.5363584307010729E-2</v>
      </c>
      <c r="BM197" s="623">
        <f>'IS &amp; BS'!H17/'IS &amp; BS'!H4</f>
        <v>7.6201240172368387E-2</v>
      </c>
      <c r="BN197" s="623">
        <f>'IS &amp; BS'!I17/'IS &amp; BS'!I4</f>
        <v>3.6200722390757945E-2</v>
      </c>
      <c r="BO197" s="623">
        <f>'IS &amp; BS'!J17/'IS &amp; BS'!J4</f>
        <v>4.9151812185268248E-2</v>
      </c>
      <c r="BP197" s="623">
        <f>'IS &amp; BS'!K17/'IS &amp; BS'!K4</f>
        <v>5.2387936876640423E-2</v>
      </c>
    </row>
    <row r="198" spans="61:68" ht="15" thickBot="1">
      <c r="BI198" s="619"/>
      <c r="BJ198" s="620"/>
      <c r="BK198" s="621"/>
      <c r="BL198" s="621"/>
      <c r="BM198" s="621"/>
      <c r="BN198" s="621"/>
      <c r="BO198" s="621"/>
      <c r="BP198" s="621"/>
    </row>
    <row r="199" spans="61:68">
      <c r="BI199" s="699" t="s">
        <v>3909</v>
      </c>
      <c r="BJ199" s="622" t="s">
        <v>3910</v>
      </c>
      <c r="BK199" s="622">
        <f>('IS &amp; BS'!F64+'IS &amp; BS'!F65+'IS &amp; BS'!F70+'IS &amp; BS'!F72+'IS &amp; BS'!F73)/'IS &amp; BS'!F58</f>
        <v>0.42403112393158876</v>
      </c>
      <c r="BL199" s="622">
        <f>('IS &amp; BS'!G64+'IS &amp; BS'!G65+'IS &amp; BS'!G70+'IS &amp; BS'!G72+'IS &amp; BS'!G73)/'IS &amp; BS'!G58</f>
        <v>0.27951005742560442</v>
      </c>
      <c r="BM199" s="623">
        <f>('IS &amp; BS'!H64+'IS &amp; BS'!H65+'IS &amp; BS'!H70+'IS &amp; BS'!H72+'IS &amp; BS'!H73)/'IS &amp; BS'!H58</f>
        <v>0.26706497611585994</v>
      </c>
      <c r="BN199" s="623">
        <f>('IS &amp; BS'!I64+'IS &amp; BS'!I65+'IS &amp; BS'!I70+'IS &amp; BS'!I72+'IS &amp; BS'!I73)/'IS &amp; BS'!I58</f>
        <v>0.26708307478129711</v>
      </c>
      <c r="BO199" s="623">
        <f>('IS &amp; BS'!J64+'IS &amp; BS'!J65+'IS &amp; BS'!J70+'IS &amp; BS'!J72+'IS &amp; BS'!J73)/'IS &amp; BS'!J58</f>
        <v>0.2644941419806246</v>
      </c>
      <c r="BP199" s="623">
        <f>('IS &amp; BS'!K64+'IS &amp; BS'!K65+'IS &amp; BS'!K70+'IS &amp; BS'!K72+'IS &amp; BS'!K73)/'IS &amp; BS'!K58</f>
        <v>0.25807813201216989</v>
      </c>
    </row>
    <row r="200" spans="61:68">
      <c r="BI200" s="700"/>
      <c r="BJ200" s="622" t="s">
        <v>3911</v>
      </c>
      <c r="BK200" s="622">
        <f>('IS &amp; BS'!F64+'IS &amp; BS'!F65+'IS &amp; BS'!F72+'IS &amp; BS'!F70+'IS &amp; BS'!F73)/('IS &amp; BS'!F64+'IS &amp; BS'!F65+'IS &amp; BS'!F70+'IS &amp; BS'!F72+'IS &amp; BS'!F73+'IS &amp; BS'!F58)</f>
        <v>0.29776815745493457</v>
      </c>
      <c r="BL200" s="622">
        <f>('IS &amp; BS'!G64+'IS &amp; BS'!G65+'IS &amp; BS'!G72+'IS &amp; BS'!G70+'IS &amp; BS'!G73)/('IS &amp; BS'!G64+'IS &amp; BS'!G65+'IS &amp; BS'!G70+'IS &amp; BS'!G72+'IS &amp; BS'!G73+'IS &amp; BS'!G58)</f>
        <v>0.2184508482785851</v>
      </c>
      <c r="BM200" s="623">
        <f>('IS &amp; BS'!H64+'IS &amp; BS'!H65+'IS &amp; BS'!H72+'IS &amp; BS'!H70+'IS &amp; BS'!H73)/('IS &amp; BS'!H64+'IS &amp; BS'!H65+'IS &amp; BS'!H70+'IS &amp; BS'!H72+'IS &amp; BS'!H73+'IS &amp; BS'!H58)</f>
        <v>0.21077449156122804</v>
      </c>
      <c r="BN200" s="623">
        <f>('IS &amp; BS'!I64+'IS &amp; BS'!I65+'IS &amp; BS'!I72+'IS &amp; BS'!I70+'IS &amp; BS'!I73)/('IS &amp; BS'!I64+'IS &amp; BS'!I65+'IS &amp; BS'!I70+'IS &amp; BS'!I72+'IS &amp; BS'!I73+'IS &amp; BS'!I58)</f>
        <v>0.21078576464088319</v>
      </c>
      <c r="BO200" s="623">
        <f>('IS &amp; BS'!J64+'IS &amp; BS'!J65+'IS &amp; BS'!J72+'IS &amp; BS'!J70+'IS &amp; BS'!J73)/('IS &amp; BS'!J64+'IS &amp; BS'!J65+'IS &amp; BS'!J70+'IS &amp; BS'!J72+'IS &amp; BS'!J73+'IS &amp; BS'!J58)</f>
        <v>0.20916992273790808</v>
      </c>
      <c r="BP200" s="623">
        <f>('IS &amp; BS'!K64+'IS &amp; BS'!K65+'IS &amp; BS'!K72+'IS &amp; BS'!K70+'IS &amp; BS'!K73)/('IS &amp; BS'!K64+'IS &amp; BS'!K65+'IS &amp; BS'!K70+'IS &amp; BS'!K72+'IS &amp; BS'!K73+'IS &amp; BS'!K58)</f>
        <v>0.20513680783831745</v>
      </c>
    </row>
    <row r="201" spans="61:68" ht="15" thickBot="1">
      <c r="BI201" s="701"/>
      <c r="BJ201" s="622" t="s">
        <v>3914</v>
      </c>
      <c r="BK201" s="622">
        <f>('IS &amp; BS'!F64+'IS &amp; BS'!F65+'IS &amp; BS'!F70+'IS &amp; BS'!F72+'IS &amp; BS'!F73)/'IS &amp; BS'!F47</f>
        <v>0.21798911418936168</v>
      </c>
      <c r="BL201" s="622">
        <f>('IS &amp; BS'!G64+'IS &amp; BS'!G65+'IS &amp; BS'!G70+'IS &amp; BS'!G72+'IS &amp; BS'!G73)/'IS &amp; BS'!G47</f>
        <v>0.17220184266787461</v>
      </c>
      <c r="BM201" s="623">
        <f>('IS &amp; BS'!H64+'IS &amp; BS'!H65+'IS &amp; BS'!H70+'IS &amp; BS'!H72+'IS &amp; BS'!H73)/'IS &amp; BS'!H47</f>
        <v>0.1687398554003679</v>
      </c>
      <c r="BN201" s="623">
        <f>('IS &amp; BS'!I64+'IS &amp; BS'!I65+'IS &amp; BS'!I70+'IS &amp; BS'!I72+'IS &amp; BS'!I73)/'IS &amp; BS'!I47</f>
        <v>0.15309321519883323</v>
      </c>
      <c r="BO201" s="623">
        <f>('IS &amp; BS'!J64+'IS &amp; BS'!J65+'IS &amp; BS'!J70+'IS &amp; BS'!J72+'IS &amp; BS'!J73)/'IS &amp; BS'!J47</f>
        <v>0.14870018548356592</v>
      </c>
      <c r="BP201" s="623">
        <f>('IS &amp; BS'!K64+'IS &amp; BS'!K65+'IS &amp; BS'!K70+'IS &amp; BS'!K72+'IS &amp; BS'!K73)/'IS &amp; BS'!K47</f>
        <v>0.14939508586371211</v>
      </c>
    </row>
    <row r="203" spans="61:68">
      <c r="BJ203" s="622" t="s">
        <v>106</v>
      </c>
      <c r="BK203" s="622">
        <f>DCF!F17/'IS &amp; BS'!F4</f>
        <v>0.11065951925926767</v>
      </c>
      <c r="BL203" s="622">
        <f>DCF!G17/'IS &amp; BS'!G4</f>
        <v>0.14772897577936342</v>
      </c>
      <c r="BM203" s="623">
        <f>DCF!H17/'IS &amp; BS'!H4</f>
        <v>0.13693976067052327</v>
      </c>
      <c r="BN203" s="623">
        <f>DCF!I17/'IS &amp; BS'!I4</f>
        <v>7.9405494790427661E-2</v>
      </c>
      <c r="BO203" s="623">
        <f>DCF!J17/'IS &amp; BS'!J4</f>
        <v>9.7162914335295059E-2</v>
      </c>
      <c r="BP203" s="623">
        <f>DCF!K17/'IS &amp; BS'!K4</f>
        <v>0.10168416127983997</v>
      </c>
    </row>
  </sheetData>
  <mergeCells count="20">
    <mergeCell ref="B16:C16"/>
    <mergeCell ref="D16:E16"/>
    <mergeCell ref="C9:E9"/>
    <mergeCell ref="C11:E11"/>
    <mergeCell ref="D13:E13"/>
    <mergeCell ref="D14:E14"/>
    <mergeCell ref="B15:D15"/>
    <mergeCell ref="D12:E12"/>
    <mergeCell ref="B20:E20"/>
    <mergeCell ref="B23:D23"/>
    <mergeCell ref="D21:E21"/>
    <mergeCell ref="D22:E22"/>
    <mergeCell ref="BI199:BI201"/>
    <mergeCell ref="BI187:BJ187"/>
    <mergeCell ref="BI189:BI193"/>
    <mergeCell ref="BI195:BI197"/>
    <mergeCell ref="B24:D24"/>
    <mergeCell ref="B25:D25"/>
    <mergeCell ref="B26:C26"/>
    <mergeCell ref="D26:E26"/>
  </mergeCells>
  <conditionalFormatting sqref="AC64:AF64">
    <cfRule type="iconSet" priority="61">
      <iconSet iconSet="3Arrows">
        <cfvo type="percent" val="0"/>
        <cfvo type="percent" val="33"/>
        <cfvo type="percent" val="67"/>
      </iconSet>
    </cfRule>
  </conditionalFormatting>
  <pageMargins left="0.7" right="0.7" top="0.75" bottom="0.75" header="0.3" footer="0.3"/>
  <pageSetup orientation="portrait" verticalDpi="0" r:id="rId1"/>
  <ignoredErrors>
    <ignoredError sqref="AQ88" formulaRange="1"/>
    <ignoredError sqref="AF62 AF59 AF57" formula="1"/>
  </ignoredErrors>
  <extLst>
    <ext xmlns:x14="http://schemas.microsoft.com/office/spreadsheetml/2009/9/main" uri="{78C0D931-6437-407d-A8EE-F0AAD7539E65}">
      <x14:conditionalFormattings>
        <x14:conditionalFormatting xmlns:xm="http://schemas.microsoft.com/office/excel/2006/main">
          <x14:cfRule type="iconSet" priority="14" id="{486D527D-A1D4-4C45-B78B-2242BE55C773}">
            <x14:iconSet iconSet="3Arrows" custom="1">
              <x14:cfvo type="percent">
                <xm:f>0</xm:f>
              </x14:cfvo>
              <x14:cfvo type="percent" gte="0">
                <xm:f>0</xm:f>
              </x14:cfvo>
              <x14:cfvo type="num">
                <xm:f>0</xm:f>
              </x14:cfvo>
              <x14:cfIcon iconSet="3Arrows" iconId="0"/>
              <x14:cfIcon iconSet="3Arrows" iconId="0"/>
              <x14:cfIcon iconSet="3Arrows" iconId="2"/>
            </x14:iconSet>
          </x14:cfRule>
          <xm:sqref>V46</xm:sqref>
        </x14:conditionalFormatting>
        <x14:conditionalFormatting xmlns:xm="http://schemas.microsoft.com/office/excel/2006/main">
          <x14:cfRule type="iconSet" priority="13" id="{B280A7CF-F39C-40A1-8262-90F02B233417}">
            <x14:iconSet iconSet="3Arrows" custom="1">
              <x14:cfvo type="percent">
                <xm:f>0</xm:f>
              </x14:cfvo>
              <x14:cfvo type="percent" gte="0">
                <xm:f>0</xm:f>
              </x14:cfvo>
              <x14:cfvo type="num">
                <xm:f>0</xm:f>
              </x14:cfvo>
              <x14:cfIcon iconSet="3Arrows" iconId="0"/>
              <x14:cfIcon iconSet="3Arrows" iconId="0"/>
              <x14:cfIcon iconSet="3Arrows" iconId="2"/>
            </x14:iconSet>
          </x14:cfRule>
          <xm:sqref>V50</xm:sqref>
        </x14:conditionalFormatting>
        <x14:conditionalFormatting xmlns:xm="http://schemas.microsoft.com/office/excel/2006/main">
          <x14:cfRule type="iconSet" priority="12" id="{465DCD92-3A93-4E43-901E-90B0AF0F3793}">
            <x14:iconSet iconSet="3Arrows" custom="1">
              <x14:cfvo type="percent">
                <xm:f>0</xm:f>
              </x14:cfvo>
              <x14:cfvo type="percent" gte="0">
                <xm:f>0</xm:f>
              </x14:cfvo>
              <x14:cfvo type="num">
                <xm:f>0</xm:f>
              </x14:cfvo>
              <x14:cfIcon iconSet="3Arrows" iconId="0"/>
              <x14:cfIcon iconSet="3Arrows" iconId="0"/>
              <x14:cfIcon iconSet="3Arrows" iconId="2"/>
            </x14:iconSet>
          </x14:cfRule>
          <xm:sqref>V48</xm:sqref>
        </x14:conditionalFormatting>
        <x14:conditionalFormatting xmlns:xm="http://schemas.microsoft.com/office/excel/2006/main">
          <x14:cfRule type="iconSet" priority="11" id="{AAD6F0AF-232D-4FBA-AE19-8969157E9C90}">
            <x14:iconSet iconSet="3Arrows" custom="1">
              <x14:cfvo type="percent">
                <xm:f>0</xm:f>
              </x14:cfvo>
              <x14:cfvo type="num">
                <xm:f>0</xm:f>
              </x14:cfvo>
              <x14:cfvo type="num">
                <xm:f>0</xm:f>
              </x14:cfvo>
              <x14:cfIcon iconSet="3Arrows" iconId="0"/>
              <x14:cfIcon iconSet="3Arrows" iconId="0"/>
              <x14:cfIcon iconSet="3Arrows" iconId="2"/>
            </x14:iconSet>
          </x14:cfRule>
          <xm:sqref>V47</xm:sqref>
        </x14:conditionalFormatting>
        <x14:conditionalFormatting xmlns:xm="http://schemas.microsoft.com/office/excel/2006/main">
          <x14:cfRule type="iconSet" priority="10" id="{D37F8CF4-CC53-4CD8-9F7F-6B690F9A760D}">
            <x14:iconSet iconSet="3Arrows" custom="1">
              <x14:cfvo type="percent">
                <xm:f>0</xm:f>
              </x14:cfvo>
              <x14:cfvo type="num">
                <xm:f>0</xm:f>
              </x14:cfvo>
              <x14:cfvo type="num">
                <xm:f>0</xm:f>
              </x14:cfvo>
              <x14:cfIcon iconSet="3Arrows" iconId="0"/>
              <x14:cfIcon iconSet="3Arrows" iconId="0"/>
              <x14:cfIcon iconSet="3Arrows" iconId="2"/>
            </x14:iconSet>
          </x14:cfRule>
          <xm:sqref>V49</xm:sqref>
        </x14:conditionalFormatting>
        <x14:conditionalFormatting xmlns:xm="http://schemas.microsoft.com/office/excel/2006/main">
          <x14:cfRule type="iconSet" priority="9" id="{CD1613E8-D42D-4E46-A22A-5C3CF9A0EA72}">
            <x14:iconSet iconSet="3Arrows" custom="1">
              <x14:cfvo type="percent">
                <xm:f>0</xm:f>
              </x14:cfvo>
              <x14:cfvo type="num">
                <xm:f>0</xm:f>
              </x14:cfvo>
              <x14:cfvo type="num">
                <xm:f>0</xm:f>
              </x14:cfvo>
              <x14:cfIcon iconSet="3Arrows" iconId="0"/>
              <x14:cfIcon iconSet="3Arrows" iconId="0"/>
              <x14:cfIcon iconSet="3Arrows" iconId="2"/>
            </x14:iconSet>
          </x14:cfRule>
          <xm:sqref>V51</xm:sqref>
        </x14:conditionalFormatting>
        <x14:conditionalFormatting xmlns:xm="http://schemas.microsoft.com/office/excel/2006/main">
          <x14:cfRule type="iconSet" priority="8" id="{C02ECD52-0AC6-49B0-BC9E-1C6AFB8A4157}">
            <x14:iconSet iconSet="3Arrows" custom="1">
              <x14:cfvo type="percent">
                <xm:f>0</xm:f>
              </x14:cfvo>
              <x14:cfvo type="percent" gte="0">
                <xm:f>0</xm:f>
              </x14:cfvo>
              <x14:cfvo type="num">
                <xm:f>0</xm:f>
              </x14:cfvo>
              <x14:cfIcon iconSet="3Arrows" iconId="0"/>
              <x14:cfIcon iconSet="3Arrows" iconId="0"/>
              <x14:cfIcon iconSet="3Arrows" iconId="2"/>
            </x14:iconSet>
          </x14:cfRule>
          <xm:sqref>S46</xm:sqref>
        </x14:conditionalFormatting>
        <x14:conditionalFormatting xmlns:xm="http://schemas.microsoft.com/office/excel/2006/main">
          <x14:cfRule type="iconSet" priority="7" id="{E2264DE2-381D-4671-91A7-32FBF8A80437}">
            <x14:iconSet iconSet="3Arrows" custom="1">
              <x14:cfvo type="percent">
                <xm:f>0</xm:f>
              </x14:cfvo>
              <x14:cfvo type="percent" gte="0">
                <xm:f>0</xm:f>
              </x14:cfvo>
              <x14:cfvo type="num">
                <xm:f>0</xm:f>
              </x14:cfvo>
              <x14:cfIcon iconSet="3Arrows" iconId="0"/>
              <x14:cfIcon iconSet="3Arrows" iconId="0"/>
              <x14:cfIcon iconSet="3Arrows" iconId="2"/>
            </x14:iconSet>
          </x14:cfRule>
          <xm:sqref>S50</xm:sqref>
        </x14:conditionalFormatting>
        <x14:conditionalFormatting xmlns:xm="http://schemas.microsoft.com/office/excel/2006/main">
          <x14:cfRule type="iconSet" priority="6" id="{92D1D271-F38F-4D0D-B9E8-D6B1872F3FFC}">
            <x14:iconSet iconSet="3Arrows" custom="1">
              <x14:cfvo type="percent">
                <xm:f>0</xm:f>
              </x14:cfvo>
              <x14:cfvo type="percent" gte="0">
                <xm:f>0</xm:f>
              </x14:cfvo>
              <x14:cfvo type="num">
                <xm:f>0</xm:f>
              </x14:cfvo>
              <x14:cfIcon iconSet="3Arrows" iconId="0"/>
              <x14:cfIcon iconSet="3Arrows" iconId="0"/>
              <x14:cfIcon iconSet="3Arrows" iconId="2"/>
            </x14:iconSet>
          </x14:cfRule>
          <xm:sqref>S48</xm:sqref>
        </x14:conditionalFormatting>
        <x14:conditionalFormatting xmlns:xm="http://schemas.microsoft.com/office/excel/2006/main">
          <x14:cfRule type="iconSet" priority="5" id="{2C0521AD-DF25-43D3-AF09-0594ED4C61CE}">
            <x14:iconSet iconSet="3Arrows" custom="1">
              <x14:cfvo type="percent">
                <xm:f>0</xm:f>
              </x14:cfvo>
              <x14:cfvo type="num">
                <xm:f>0</xm:f>
              </x14:cfvo>
              <x14:cfvo type="num">
                <xm:f>0</xm:f>
              </x14:cfvo>
              <x14:cfIcon iconSet="3Arrows" iconId="0"/>
              <x14:cfIcon iconSet="3Arrows" iconId="0"/>
              <x14:cfIcon iconSet="3Arrows" iconId="2"/>
            </x14:iconSet>
          </x14:cfRule>
          <xm:sqref>S47</xm:sqref>
        </x14:conditionalFormatting>
        <x14:conditionalFormatting xmlns:xm="http://schemas.microsoft.com/office/excel/2006/main">
          <x14:cfRule type="iconSet" priority="4" id="{32E76016-C3EA-4600-B4A5-CFA120B820B4}">
            <x14:iconSet iconSet="3Arrows" custom="1">
              <x14:cfvo type="percent">
                <xm:f>0</xm:f>
              </x14:cfvo>
              <x14:cfvo type="num">
                <xm:f>0</xm:f>
              </x14:cfvo>
              <x14:cfvo type="num">
                <xm:f>0</xm:f>
              </x14:cfvo>
              <x14:cfIcon iconSet="3Arrows" iconId="0"/>
              <x14:cfIcon iconSet="3Arrows" iconId="0"/>
              <x14:cfIcon iconSet="3Arrows" iconId="2"/>
            </x14:iconSet>
          </x14:cfRule>
          <xm:sqref>S49</xm:sqref>
        </x14:conditionalFormatting>
        <x14:conditionalFormatting xmlns:xm="http://schemas.microsoft.com/office/excel/2006/main">
          <x14:cfRule type="iconSet" priority="3" id="{FC40D07D-7157-4D7E-8D9E-4108CEC6093B}">
            <x14:iconSet iconSet="3Arrows" custom="1">
              <x14:cfvo type="percent">
                <xm:f>0</xm:f>
              </x14:cfvo>
              <x14:cfvo type="num">
                <xm:f>0</xm:f>
              </x14:cfvo>
              <x14:cfvo type="num">
                <xm:f>0</xm:f>
              </x14:cfvo>
              <x14:cfIcon iconSet="3Arrows" iconId="0"/>
              <x14:cfIcon iconSet="3Arrows" iconId="0"/>
              <x14:cfIcon iconSet="3Arrows" iconId="2"/>
            </x14:iconSet>
          </x14:cfRule>
          <xm:sqref>S51</xm:sqref>
        </x14:conditionalFormatting>
        <x14:conditionalFormatting xmlns:xm="http://schemas.microsoft.com/office/excel/2006/main">
          <x14:cfRule type="iconSet" priority="2" id="{3EA10BD9-CCB5-4531-ACCA-0D337FACCFC8}">
            <x14:iconSet iconSet="3Arrows" custom="1">
              <x14:cfvo type="percent">
                <xm:f>0</xm:f>
              </x14:cfvo>
              <x14:cfvo type="percent" gte="0">
                <xm:f>0</xm:f>
              </x14:cfvo>
              <x14:cfvo type="num">
                <xm:f>0</xm:f>
              </x14:cfvo>
              <x14:cfIcon iconSet="3Arrows" iconId="0"/>
              <x14:cfIcon iconSet="3Arrows" iconId="0"/>
              <x14:cfIcon iconSet="3Arrows" iconId="2"/>
            </x14:iconSet>
          </x14:cfRule>
          <xm:sqref>AF55 AF57 AF59 AF61 AF63</xm:sqref>
        </x14:conditionalFormatting>
        <x14:conditionalFormatting xmlns:xm="http://schemas.microsoft.com/office/excel/2006/main">
          <x14:cfRule type="iconSet" priority="1" id="{FDA1C24A-FA3D-43A2-AAA8-DE75535BAA8E}">
            <x14:iconSet iconSet="3Arrows" custom="1">
              <x14:cfvo type="percent">
                <xm:f>0</xm:f>
              </x14:cfvo>
              <x14:cfvo type="num">
                <xm:f>0</xm:f>
              </x14:cfvo>
              <x14:cfvo type="num">
                <xm:f>0</xm:f>
              </x14:cfvo>
              <x14:cfIcon iconSet="3Arrows" iconId="0"/>
              <x14:cfIcon iconSet="3Arrows" iconId="0"/>
              <x14:cfIcon iconSet="3Arrows" iconId="2"/>
            </x14:iconSet>
          </x14:cfRule>
          <xm:sqref>AF56 AF58 AF60 AF62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FFC000"/>
  </sheetPr>
  <dimension ref="B3:AD74"/>
  <sheetViews>
    <sheetView showGridLines="0" topLeftCell="J57" zoomScaleNormal="100" workbookViewId="0"/>
  </sheetViews>
  <sheetFormatPr defaultColWidth="9.109375" defaultRowHeight="14.4"/>
  <cols>
    <col min="2" max="2" width="25" customWidth="1"/>
    <col min="3" max="4" width="9" customWidth="1"/>
    <col min="5" max="5" width="7.5546875" customWidth="1"/>
    <col min="6" max="6" width="22.44140625" customWidth="1"/>
    <col min="7" max="8" width="9.6640625" customWidth="1"/>
    <col min="9" max="9" width="15.33203125" bestFit="1" customWidth="1"/>
    <col min="10" max="10" width="5.33203125" customWidth="1"/>
    <col min="12" max="12" width="12" bestFit="1" customWidth="1"/>
    <col min="13" max="13" width="8.5546875" customWidth="1"/>
    <col min="15" max="15" width="28.88671875" bestFit="1" customWidth="1"/>
    <col min="16" max="17" width="10.109375" customWidth="1"/>
    <col min="19" max="19" width="13.5546875" customWidth="1"/>
    <col min="20" max="25" width="6.44140625" customWidth="1"/>
    <col min="28" max="28" width="31.88671875" bestFit="1" customWidth="1"/>
    <col min="29" max="30" width="9.5546875" bestFit="1" customWidth="1"/>
  </cols>
  <sheetData>
    <row r="3" spans="2:9">
      <c r="B3" s="3" t="s">
        <v>2997</v>
      </c>
      <c r="C3" s="92" t="s">
        <v>151</v>
      </c>
      <c r="D3" s="92" t="s">
        <v>152</v>
      </c>
    </row>
    <row r="4" spans="2:9">
      <c r="B4" s="557" t="s">
        <v>3902</v>
      </c>
      <c r="C4" s="558">
        <f>Summary!H32</f>
        <v>8.2268449486411104</v>
      </c>
      <c r="D4" s="558">
        <f>Summary!I32</f>
        <v>36.9501636171847</v>
      </c>
    </row>
    <row r="5" spans="2:9">
      <c r="B5" s="557" t="s">
        <v>2959</v>
      </c>
      <c r="C5" s="558">
        <f>Summary!H33</f>
        <v>74.655756667481342</v>
      </c>
      <c r="D5" s="558">
        <f>Summary!I33</f>
        <v>50.719796784586578</v>
      </c>
    </row>
    <row r="6" spans="2:9">
      <c r="B6" s="559" t="s">
        <v>2960</v>
      </c>
      <c r="C6" s="560">
        <f>Summary!H42</f>
        <v>41</v>
      </c>
      <c r="D6" s="561">
        <f>Summary!I42</f>
        <v>44</v>
      </c>
    </row>
    <row r="9" spans="2:9">
      <c r="F9" s="3" t="s">
        <v>320</v>
      </c>
      <c r="G9" s="92" t="s">
        <v>151</v>
      </c>
      <c r="H9" s="92" t="s">
        <v>152</v>
      </c>
    </row>
    <row r="10" spans="2:9">
      <c r="F10" s="557" t="s">
        <v>316</v>
      </c>
      <c r="G10" s="587">
        <f>Summary!H42</f>
        <v>41</v>
      </c>
      <c r="H10" s="587">
        <f>Summary!I42</f>
        <v>44</v>
      </c>
    </row>
    <row r="11" spans="2:9">
      <c r="F11" s="557" t="s">
        <v>319</v>
      </c>
      <c r="G11" s="587">
        <f>DCF!G50</f>
        <v>43</v>
      </c>
      <c r="H11" s="587">
        <f>DCF!G50</f>
        <v>43</v>
      </c>
      <c r="I11" s="262"/>
    </row>
    <row r="12" spans="2:9" ht="4.5" customHeight="1">
      <c r="F12" s="562"/>
      <c r="G12" s="597"/>
      <c r="H12" s="597"/>
    </row>
    <row r="13" spans="2:9">
      <c r="F13" s="557" t="s">
        <v>2961</v>
      </c>
      <c r="G13" s="587">
        <f>G10-G11</f>
        <v>-2</v>
      </c>
      <c r="H13" s="587">
        <f>H10-H11</f>
        <v>1</v>
      </c>
      <c r="I13" s="262"/>
    </row>
    <row r="14" spans="2:9">
      <c r="F14" s="557" t="s">
        <v>435</v>
      </c>
      <c r="G14" s="587">
        <f>DCF!H6</f>
        <v>1.5</v>
      </c>
      <c r="H14" s="587">
        <f>DCF!I6</f>
        <v>0.95099618971099831</v>
      </c>
      <c r="I14" s="410"/>
    </row>
    <row r="15" spans="2:9" ht="4.5" customHeight="1">
      <c r="F15" s="562"/>
      <c r="G15" s="597"/>
      <c r="H15" s="597"/>
    </row>
    <row r="16" spans="2:9">
      <c r="F16" s="557" t="s">
        <v>2963</v>
      </c>
      <c r="G16" s="563">
        <f>G13/G11</f>
        <v>-4.6511627906976744E-2</v>
      </c>
      <c r="H16" s="563">
        <f>H13/H11</f>
        <v>2.3255813953488372E-2</v>
      </c>
    </row>
    <row r="17" spans="6:13">
      <c r="F17" s="557" t="s">
        <v>2962</v>
      </c>
      <c r="G17" s="563">
        <f>G14/G11</f>
        <v>3.4883720930232558E-2</v>
      </c>
      <c r="H17" s="563">
        <f>H14/H11</f>
        <v>2.2116190458395309E-2</v>
      </c>
      <c r="M17" s="17"/>
    </row>
    <row r="18" spans="6:13">
      <c r="F18" s="3" t="s">
        <v>2964</v>
      </c>
      <c r="G18" s="564">
        <f>G17+G16</f>
        <v>-1.1627906976744186E-2</v>
      </c>
      <c r="H18" s="564">
        <f>H17+H16</f>
        <v>4.537200441188368E-2</v>
      </c>
    </row>
    <row r="19" spans="6:13">
      <c r="F19" s="3" t="s">
        <v>3900</v>
      </c>
      <c r="G19" s="564">
        <f>((1+G16)^(12/6))-1</f>
        <v>-9.0859924283396398E-2</v>
      </c>
      <c r="H19" s="564">
        <f>((1+H18)^(12/18))-1</f>
        <v>3.0023761543173544E-2</v>
      </c>
    </row>
    <row r="20" spans="6:13" ht="14.25" customHeight="1">
      <c r="F20" s="706" t="s">
        <v>3879</v>
      </c>
      <c r="G20" s="706"/>
      <c r="H20" s="706"/>
    </row>
    <row r="21" spans="6:13" ht="15.75" customHeight="1">
      <c r="F21" s="565"/>
      <c r="G21" s="565"/>
      <c r="H21" s="565"/>
    </row>
    <row r="22" spans="6:13" ht="15" customHeight="1">
      <c r="F22" s="566"/>
      <c r="G22" s="566"/>
    </row>
    <row r="23" spans="6:13" ht="15" customHeight="1"/>
    <row r="24" spans="6:13" ht="18.45" customHeight="1">
      <c r="I24" s="3" t="s">
        <v>2966</v>
      </c>
      <c r="J24" s="3"/>
    </row>
    <row r="25" spans="6:13" ht="18.45" customHeight="1">
      <c r="I25" s="557" t="s">
        <v>3889</v>
      </c>
      <c r="J25" s="563">
        <f>DCF!G41</f>
        <v>9.5399999999999999E-2</v>
      </c>
    </row>
    <row r="26" spans="6:13" ht="18.45" customHeight="1">
      <c r="I26" s="557" t="s">
        <v>3890</v>
      </c>
      <c r="J26" s="563">
        <f>DCF!G43</f>
        <v>0.18540000000000001</v>
      </c>
    </row>
    <row r="27" spans="6:13" ht="18.45" customHeight="1">
      <c r="I27" s="557" t="s">
        <v>3891</v>
      </c>
      <c r="J27" s="563">
        <f>J26-J25</f>
        <v>9.0000000000000011E-2</v>
      </c>
    </row>
    <row r="28" spans="6:13" ht="18.45" customHeight="1">
      <c r="I28" s="567" t="s">
        <v>2967</v>
      </c>
      <c r="J28" s="557">
        <f>DCF!G42</f>
        <v>0.89839999999999998</v>
      </c>
    </row>
    <row r="29" spans="6:13" ht="18.45" customHeight="1">
      <c r="I29" s="568" t="s">
        <v>3892</v>
      </c>
      <c r="J29" s="564">
        <f>DCF!G40</f>
        <v>0.17625600000000002</v>
      </c>
    </row>
    <row r="31" spans="6:13" ht="15.75" customHeight="1">
      <c r="L31" s="569" t="s">
        <v>333</v>
      </c>
      <c r="M31" s="570"/>
    </row>
    <row r="32" spans="6:13" ht="15.75" customHeight="1">
      <c r="L32" s="571" t="s">
        <v>3893</v>
      </c>
      <c r="M32" s="572">
        <f>DCF!G40</f>
        <v>0.17625600000000002</v>
      </c>
    </row>
    <row r="33" spans="12:17" ht="15.75" customHeight="1">
      <c r="L33" s="571" t="s">
        <v>3894</v>
      </c>
      <c r="M33" s="572">
        <f>DCF!G44</f>
        <v>8.537662866103389E-2</v>
      </c>
    </row>
    <row r="34" spans="12:17" ht="15.75" customHeight="1">
      <c r="L34" s="571" t="s">
        <v>2994</v>
      </c>
      <c r="M34" s="573" t="str">
        <f>(DCF!H48*100)&amp;" /"&amp;(DCF!H47*100)</f>
        <v>40 /60</v>
      </c>
    </row>
    <row r="35" spans="12:17" ht="15.75" customHeight="1">
      <c r="L35" s="696" t="s">
        <v>3903</v>
      </c>
      <c r="M35" s="573"/>
    </row>
    <row r="36" spans="12:17" ht="15.75" customHeight="1">
      <c r="L36" s="696"/>
      <c r="M36" s="573">
        <f>DCF!G37</f>
        <v>0.03</v>
      </c>
    </row>
    <row r="37" spans="12:17" ht="15.75" customHeight="1">
      <c r="L37" s="3" t="s">
        <v>333</v>
      </c>
      <c r="M37" s="564">
        <f>DCF!G49</f>
        <v>0.13990425146441357</v>
      </c>
    </row>
    <row r="38" spans="12:17" ht="15.75" customHeight="1"/>
    <row r="39" spans="12:17" ht="15.75" customHeight="1"/>
    <row r="40" spans="12:17" ht="15.75" customHeight="1">
      <c r="O40" s="3" t="s">
        <v>458</v>
      </c>
      <c r="P40" s="92" t="s">
        <v>151</v>
      </c>
      <c r="Q40" s="92" t="s">
        <v>152</v>
      </c>
    </row>
    <row r="41" spans="12:17" ht="15.75" customHeight="1">
      <c r="O41" s="557" t="s">
        <v>2982</v>
      </c>
      <c r="P41" s="574">
        <f>DCF!H29</f>
        <v>1153.0030375270542</v>
      </c>
      <c r="Q41" s="574">
        <f>DCF!I29</f>
        <v>4778.9245766080385</v>
      </c>
    </row>
    <row r="42" spans="12:17" ht="15.75" customHeight="1">
      <c r="O42" s="557" t="s">
        <v>381</v>
      </c>
      <c r="P42" s="574">
        <f>DCF!H30</f>
        <v>2795.2539999999999</v>
      </c>
      <c r="Q42" s="574">
        <f>DCF!I30</f>
        <v>2992.9235767353562</v>
      </c>
    </row>
    <row r="43" spans="12:17" ht="15.75" customHeight="1">
      <c r="O43" s="557" t="s">
        <v>3901</v>
      </c>
      <c r="P43" s="574">
        <f>DCF!H31</f>
        <v>2627.723</v>
      </c>
      <c r="Q43" s="574">
        <f>DCF!I31</f>
        <v>2640.1615513979236</v>
      </c>
    </row>
    <row r="44" spans="12:17" ht="15.75" customHeight="1">
      <c r="O44" s="557" t="s">
        <v>2983</v>
      </c>
      <c r="P44" s="574">
        <f>DCF!H32</f>
        <v>985.47203752705423</v>
      </c>
      <c r="Q44" s="574">
        <f>DCF!I32</f>
        <v>4426.1625512706059</v>
      </c>
    </row>
    <row r="45" spans="12:17" ht="15.75" customHeight="1">
      <c r="O45" s="557" t="s">
        <v>2968</v>
      </c>
      <c r="P45" s="574">
        <f>DCF!G51</f>
        <v>119.78736000000001</v>
      </c>
      <c r="Q45" s="574">
        <f>DCF!G51</f>
        <v>119.78736000000001</v>
      </c>
    </row>
    <row r="46" spans="12:17" ht="15.75" customHeight="1">
      <c r="O46" s="3" t="s">
        <v>2973</v>
      </c>
      <c r="P46" s="598">
        <f>DCF!H33</f>
        <v>8.2268449486411104</v>
      </c>
      <c r="Q46" s="598">
        <f>DCF!I33</f>
        <v>36.9501636171847</v>
      </c>
    </row>
    <row r="47" spans="12:17" ht="15.75" customHeight="1"/>
    <row r="48" spans="12:17" ht="15.75" customHeight="1"/>
    <row r="49" spans="19:25" ht="15.75" customHeight="1">
      <c r="S49" s="3"/>
      <c r="T49" s="3"/>
      <c r="U49" s="3"/>
      <c r="V49" s="697" t="str">
        <f>DCF!E61</f>
        <v>WACC</v>
      </c>
      <c r="W49" s="697"/>
      <c r="X49" s="3"/>
      <c r="Y49" s="3"/>
    </row>
    <row r="50" spans="19:25" ht="15.75" customHeight="1">
      <c r="S50" s="695" t="str">
        <f>DCF!B62</f>
        <v>Terminal growth rate</v>
      </c>
      <c r="T50" s="575">
        <f>DCF!C62</f>
        <v>59.707912759503202</v>
      </c>
      <c r="U50" s="576">
        <f>DCF!D62</f>
        <v>9.4803200000000004E-2</v>
      </c>
      <c r="V50" s="576">
        <f>DCF!E62</f>
        <v>0.11480320000000001</v>
      </c>
      <c r="W50" s="576">
        <f>DCF!F62</f>
        <v>0.13990425146441357</v>
      </c>
      <c r="X50" s="576">
        <f>DCF!G62</f>
        <v>0.1548032</v>
      </c>
      <c r="Y50" s="576">
        <f>DCF!H62</f>
        <v>0.17480319999999999</v>
      </c>
    </row>
    <row r="51" spans="19:25" ht="15.75" customHeight="1">
      <c r="S51" s="695"/>
      <c r="T51" s="576">
        <f>DCF!C63</f>
        <v>9.9999999999999967E-3</v>
      </c>
      <c r="U51" s="577">
        <f>DCF!D63</f>
        <v>66.44306700007796</v>
      </c>
      <c r="V51" s="577">
        <f>DCF!E63</f>
        <v>61.750763968923053</v>
      </c>
      <c r="W51" s="578">
        <f>DCF!F63</f>
        <v>57.803887514526721</v>
      </c>
      <c r="X51" s="577">
        <f>DCF!G63</f>
        <v>56.064587590061805</v>
      </c>
      <c r="Y51" s="577">
        <f>DCF!H63</f>
        <v>54.183457597517112</v>
      </c>
    </row>
    <row r="52" spans="19:25" ht="15.75" customHeight="1">
      <c r="S52" s="695"/>
      <c r="T52" s="576">
        <f>DCF!C64</f>
        <v>1.9999999999999997E-2</v>
      </c>
      <c r="U52" s="577">
        <f>DCF!D64</f>
        <v>68.861561436432339</v>
      </c>
      <c r="V52" s="577">
        <f>DCF!E64</f>
        <v>63.21325605346064</v>
      </c>
      <c r="W52" s="579">
        <f>DCF!F64</f>
        <v>58.676502399998867</v>
      </c>
      <c r="X52" s="577">
        <f>DCF!G64</f>
        <v>56.734292352412908</v>
      </c>
      <c r="Y52" s="577">
        <f>DCF!H64</f>
        <v>54.670138996599341</v>
      </c>
    </row>
    <row r="53" spans="19:25" ht="15.75" customHeight="1">
      <c r="S53" s="695"/>
      <c r="T53" s="576">
        <f>DCF!C65</f>
        <v>0.03</v>
      </c>
      <c r="U53" s="580">
        <f>DCF!D65</f>
        <v>72.026467913042254</v>
      </c>
      <c r="V53" s="581">
        <f>DCF!E65</f>
        <v>65.020662500790564</v>
      </c>
      <c r="W53" s="582">
        <f>DCF!F65</f>
        <v>59.707912759503202</v>
      </c>
      <c r="X53" s="583">
        <f>DCF!G65</f>
        <v>57.511318844070814</v>
      </c>
      <c r="Y53" s="579">
        <f>DCF!H65</f>
        <v>55.224040097881833</v>
      </c>
    </row>
    <row r="54" spans="19:25" ht="15.75" customHeight="1">
      <c r="S54" s="695"/>
      <c r="T54" s="576">
        <f>DCF!C66</f>
        <v>0.04</v>
      </c>
      <c r="U54" s="577">
        <f>DCF!D66</f>
        <v>76.346382300361739</v>
      </c>
      <c r="V54" s="577">
        <f>DCF!E66</f>
        <v>67.311312030590202</v>
      </c>
      <c r="W54" s="579">
        <f>DCF!F66</f>
        <v>60.945802892267572</v>
      </c>
      <c r="X54" s="577">
        <f>DCF!G66</f>
        <v>58.423712031370982</v>
      </c>
      <c r="Y54" s="577">
        <f>DCF!H66</f>
        <v>55.860120420619374</v>
      </c>
    </row>
    <row r="55" spans="19:25" ht="15.75" customHeight="1">
      <c r="S55" s="695"/>
      <c r="T55" s="576">
        <f>DCF!C67</f>
        <v>0.05</v>
      </c>
      <c r="U55" s="577">
        <f>DCF!D67</f>
        <v>82.594692153772712</v>
      </c>
      <c r="V55" s="577">
        <f>DCF!E67</f>
        <v>70.308917244615216</v>
      </c>
      <c r="W55" s="579">
        <f>DCF!F67</f>
        <v>62.459072690086913</v>
      </c>
      <c r="X55" s="577">
        <f>DCF!G67</f>
        <v>59.510220739437727</v>
      </c>
      <c r="Y55" s="577">
        <f>DCF!H67</f>
        <v>56.598134078838306</v>
      </c>
    </row>
    <row r="56" spans="19:25" ht="15.75" customHeight="1"/>
    <row r="57" spans="19:25" ht="15.75" customHeight="1"/>
    <row r="58" spans="19:25" ht="15.75" customHeight="1">
      <c r="S58" s="3"/>
      <c r="T58" s="3"/>
      <c r="U58" s="3"/>
      <c r="V58" s="697" t="str">
        <f>V49</f>
        <v>WACC</v>
      </c>
      <c r="W58" s="697"/>
      <c r="X58" s="3"/>
      <c r="Y58" s="3"/>
    </row>
    <row r="59" spans="19:25" ht="15.75" customHeight="1">
      <c r="S59" s="695" t="str">
        <f>S50</f>
        <v>Terminal growth rate</v>
      </c>
      <c r="T59" s="575"/>
      <c r="U59" s="576">
        <f>DCF!D72</f>
        <v>9.5592799999999978E-2</v>
      </c>
      <c r="V59" s="576">
        <f>DCF!E72</f>
        <v>0.11559279999999998</v>
      </c>
      <c r="W59" s="584">
        <f>DCF!F72</f>
        <v>0.13559279999999999</v>
      </c>
      <c r="X59" s="576">
        <f>DCF!G72</f>
        <v>0.15559279999999998</v>
      </c>
      <c r="Y59" s="576">
        <f>DCF!H72</f>
        <v>0.17559279999999997</v>
      </c>
    </row>
    <row r="60" spans="19:25" ht="15.75" customHeight="1">
      <c r="S60" s="695"/>
      <c r="T60" s="576">
        <f>DCF!C73</f>
        <v>9.9999999999999967E-3</v>
      </c>
      <c r="U60" s="577">
        <f>DCF!D73</f>
        <v>50.349950531227144</v>
      </c>
      <c r="V60" s="577">
        <f>DCF!E73</f>
        <v>41.15857015300486</v>
      </c>
      <c r="W60" s="579">
        <f>DCF!F73</f>
        <v>34.749111043317512</v>
      </c>
      <c r="X60" s="577">
        <f>DCF!G73</f>
        <v>29.992344374883725</v>
      </c>
      <c r="Y60" s="577">
        <f>DCF!H73</f>
        <v>26.302579770607888</v>
      </c>
    </row>
    <row r="61" spans="19:25" ht="15.75" customHeight="1">
      <c r="S61" s="695"/>
      <c r="T61" s="576">
        <f>DCF!C74</f>
        <v>1.9999999999999997E-2</v>
      </c>
      <c r="U61" s="577">
        <f>DCF!D74</f>
        <v>54.669130856829433</v>
      </c>
      <c r="V61" s="577">
        <f>DCF!E74</f>
        <v>43.733903079392746</v>
      </c>
      <c r="W61" s="579">
        <f>DCF!F74</f>
        <v>36.416855985600542</v>
      </c>
      <c r="X61" s="577">
        <f>DCF!G74</f>
        <v>31.13606471189043</v>
      </c>
      <c r="Y61" s="577">
        <f>DCF!H74</f>
        <v>27.120775227903856</v>
      </c>
    </row>
    <row r="62" spans="19:25" ht="15.75" customHeight="1">
      <c r="S62" s="695"/>
      <c r="T62" s="576">
        <f>DCF!C75</f>
        <v>0.03</v>
      </c>
      <c r="U62" s="580">
        <f>DCF!D75</f>
        <v>60.305278997680432</v>
      </c>
      <c r="V62" s="581">
        <f>DCF!E75</f>
        <v>46.91099992199505</v>
      </c>
      <c r="W62" s="582">
        <f>DCF!F75</f>
        <v>38.400483249837912</v>
      </c>
      <c r="X62" s="583">
        <f>DCF!G75</f>
        <v>32.461916562328909</v>
      </c>
      <c r="Y62" s="579">
        <f>DCF!H75</f>
        <v>28.051365729088804</v>
      </c>
    </row>
    <row r="63" spans="19:25" ht="15.75" customHeight="1">
      <c r="S63" s="695"/>
      <c r="T63" s="576">
        <f>DCF!C76</f>
        <v>0.04</v>
      </c>
      <c r="U63" s="577">
        <f>DCF!D76</f>
        <v>67.969081130001911</v>
      </c>
      <c r="V63" s="577">
        <f>DCF!E76</f>
        <v>50.92867863022537</v>
      </c>
      <c r="W63" s="579">
        <f>DCF!F76</f>
        <v>40.799126553826682</v>
      </c>
      <c r="X63" s="577">
        <f>DCF!G76</f>
        <v>34.017168833976747</v>
      </c>
      <c r="Y63" s="577">
        <f>DCF!H76</f>
        <v>29.119218754712357</v>
      </c>
    </row>
    <row r="64" spans="19:25" ht="15.75" customHeight="1">
      <c r="S64" s="695"/>
      <c r="T64" s="576">
        <f>DCF!C77</f>
        <v>0.05</v>
      </c>
      <c r="U64" s="577">
        <f>DCF!D77</f>
        <v>78.99473080505885</v>
      </c>
      <c r="V64" s="577">
        <f>DCF!E77</f>
        <v>56.171393838873534</v>
      </c>
      <c r="W64" s="579">
        <f>DCF!F77</f>
        <v>43.758247679311822</v>
      </c>
      <c r="X64" s="577">
        <f>DCF!G77</f>
        <v>35.866996544792386</v>
      </c>
      <c r="Y64" s="577">
        <f>DCF!H77</f>
        <v>30.357121819131692</v>
      </c>
    </row>
    <row r="65" spans="28:30" ht="15.75" customHeight="1"/>
    <row r="66" spans="28:30" ht="15.75" customHeight="1"/>
    <row r="68" spans="28:30">
      <c r="AB68" s="585"/>
      <c r="AC68" s="586" t="s">
        <v>151</v>
      </c>
      <c r="AD68" s="586" t="s">
        <v>152</v>
      </c>
    </row>
    <row r="69" spans="28:30">
      <c r="AB69" s="557" t="s">
        <v>2999</v>
      </c>
      <c r="AC69" s="594">
        <f>'IS &amp; BS'!H17</f>
        <v>1117.8519999999985</v>
      </c>
      <c r="AD69" s="594">
        <f>'IS &amp; BS'!I17</f>
        <v>759.44881957026439</v>
      </c>
    </row>
    <row r="70" spans="28:30">
      <c r="AB70" s="557" t="s">
        <v>2995</v>
      </c>
      <c r="AC70" s="594">
        <f>DCF!G51</f>
        <v>119.78736000000001</v>
      </c>
      <c r="AD70" s="594">
        <f>DCF!G51</f>
        <v>119.78736000000001</v>
      </c>
    </row>
    <row r="71" spans="28:30" ht="3" customHeight="1">
      <c r="AB71" s="557"/>
      <c r="AC71" s="557"/>
      <c r="AD71" s="557"/>
    </row>
    <row r="72" spans="28:30">
      <c r="AB72" s="557" t="s">
        <v>15</v>
      </c>
      <c r="AC72" s="594">
        <f>Multiplier!H6</f>
        <v>9.3319695834351677</v>
      </c>
      <c r="AD72" s="594">
        <f>Multiplier!I6</f>
        <v>6.3399745980733222</v>
      </c>
    </row>
    <row r="73" spans="28:30">
      <c r="AB73" s="557" t="s">
        <v>2996</v>
      </c>
      <c r="AC73" s="600">
        <f>'PE band'!$M$3</f>
        <v>8</v>
      </c>
      <c r="AD73" s="600">
        <f>'PE band'!$M$3</f>
        <v>8</v>
      </c>
    </row>
    <row r="74" spans="28:30">
      <c r="AB74" s="585" t="str">
        <f>"Price at "&amp;ROUND(AC73,1)&amp;"x expected earnings"</f>
        <v>Price at 8x expected earnings</v>
      </c>
      <c r="AC74" s="599">
        <f>Multiplier!H11</f>
        <v>74.655756667481342</v>
      </c>
      <c r="AD74" s="599">
        <f>Multiplier!I11</f>
        <v>50.719796784586578</v>
      </c>
    </row>
  </sheetData>
  <mergeCells count="6">
    <mergeCell ref="S59:S64"/>
    <mergeCell ref="F20:H20"/>
    <mergeCell ref="L35:L36"/>
    <mergeCell ref="V49:W49"/>
    <mergeCell ref="S50:S55"/>
    <mergeCell ref="V58:W58"/>
  </mergeCells>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FFC000"/>
  </sheetPr>
  <dimension ref="B3:AP74"/>
  <sheetViews>
    <sheetView showGridLines="0" zoomScale="115" zoomScaleNormal="115" workbookViewId="0"/>
  </sheetViews>
  <sheetFormatPr defaultColWidth="9.109375" defaultRowHeight="14.4"/>
  <cols>
    <col min="1" max="1" width="9.109375" style="309"/>
    <col min="2" max="2" width="21" style="309" customWidth="1"/>
    <col min="3" max="3" width="7.5546875" style="309" hidden="1" customWidth="1"/>
    <col min="4" max="5" width="8.33203125" style="309" customWidth="1"/>
    <col min="6" max="6" width="9.109375" style="309"/>
    <col min="7" max="7" width="21" style="309" customWidth="1"/>
    <col min="8" max="8" width="8.33203125" style="309" hidden="1" customWidth="1"/>
    <col min="9" max="10" width="8.33203125" style="309" customWidth="1"/>
    <col min="11" max="11" width="13" style="309" customWidth="1"/>
    <col min="12" max="12" width="5.33203125" style="309" customWidth="1"/>
    <col min="13" max="13" width="9.109375" style="309"/>
    <col min="14" max="14" width="13.6640625" style="309" customWidth="1"/>
    <col min="15" max="15" width="5.88671875" style="309" customWidth="1"/>
    <col min="16" max="16" width="9.109375" style="309"/>
    <col min="17" max="17" width="24.6640625" style="309" customWidth="1"/>
    <col min="18" max="18" width="6.88671875" style="309" hidden="1" customWidth="1"/>
    <col min="19" max="20" width="9.44140625" style="309" customWidth="1"/>
    <col min="21" max="21" width="9.109375" style="309"/>
    <col min="22" max="22" width="8.44140625" style="309" customWidth="1"/>
    <col min="23" max="23" width="4.6640625" style="309" customWidth="1"/>
    <col min="24" max="28" width="7.109375" style="309" customWidth="1"/>
    <col min="29" max="31" width="9.109375" style="309"/>
    <col min="32" max="32" width="4.6640625" style="309" customWidth="1"/>
    <col min="33" max="37" width="7.109375" style="309" customWidth="1"/>
    <col min="38" max="38" width="9.109375" style="309"/>
    <col min="39" max="39" width="27.44140625" style="309" bestFit="1" customWidth="1"/>
    <col min="40" max="40" width="0" style="309" hidden="1" customWidth="1"/>
    <col min="41" max="16384" width="9.109375" style="309"/>
  </cols>
  <sheetData>
    <row r="3" spans="2:10">
      <c r="B3" s="365" t="s">
        <v>2997</v>
      </c>
      <c r="C3" s="395" t="s">
        <v>151</v>
      </c>
      <c r="D3" s="395" t="s">
        <v>152</v>
      </c>
      <c r="E3" s="395" t="s">
        <v>153</v>
      </c>
    </row>
    <row r="4" spans="2:10">
      <c r="B4" s="366" t="s">
        <v>2965</v>
      </c>
      <c r="C4" s="367">
        <f>Summary!H32</f>
        <v>8.2268449486411104</v>
      </c>
      <c r="D4" s="367">
        <f>Summary!I32</f>
        <v>36.9501636171847</v>
      </c>
      <c r="E4" s="367">
        <f>Summary!J32</f>
        <v>32.51756655746712</v>
      </c>
    </row>
    <row r="5" spans="2:10" ht="15" thickBot="1">
      <c r="B5" s="366" t="s">
        <v>2959</v>
      </c>
      <c r="C5" s="367">
        <f>Summary!H33</f>
        <v>74.655756667481342</v>
      </c>
      <c r="D5" s="367">
        <f>Summary!I33</f>
        <v>50.719796784586578</v>
      </c>
      <c r="E5" s="367">
        <f>Summary!J33</f>
        <v>86.898258961539284</v>
      </c>
    </row>
    <row r="6" spans="2:10" ht="15" thickBot="1">
      <c r="B6" s="678" t="s">
        <v>2960</v>
      </c>
      <c r="C6" s="679">
        <f>Summary!H42</f>
        <v>41</v>
      </c>
      <c r="D6" s="679">
        <f>Summary!I42</f>
        <v>44</v>
      </c>
      <c r="E6" s="680">
        <f>Summary!J42</f>
        <v>60</v>
      </c>
    </row>
    <row r="7" spans="2:10">
      <c r="B7" s="677" t="s">
        <v>434</v>
      </c>
      <c r="C7" s="378"/>
      <c r="D7" s="378">
        <f ca="1">Summary!I43</f>
        <v>169.74628004764068</v>
      </c>
      <c r="E7" s="378">
        <f ca="1">Summary!J43</f>
        <v>197.99890649451018</v>
      </c>
    </row>
    <row r="10" spans="2:10">
      <c r="G10" s="365" t="s">
        <v>320</v>
      </c>
      <c r="H10" s="395" t="s">
        <v>151</v>
      </c>
      <c r="I10" s="395" t="s">
        <v>152</v>
      </c>
      <c r="J10" s="395" t="s">
        <v>153</v>
      </c>
    </row>
    <row r="11" spans="2:10">
      <c r="G11" s="366" t="s">
        <v>316</v>
      </c>
      <c r="H11" s="367">
        <f>Summary!H42</f>
        <v>41</v>
      </c>
      <c r="I11" s="367">
        <f>Summary!I42</f>
        <v>44</v>
      </c>
      <c r="J11" s="367">
        <f>Summary!J42</f>
        <v>60</v>
      </c>
    </row>
    <row r="12" spans="2:10">
      <c r="G12" s="366" t="s">
        <v>319</v>
      </c>
      <c r="H12" s="367">
        <f>DCF!G50</f>
        <v>43</v>
      </c>
      <c r="I12" s="367">
        <f>DCF!$G$50</f>
        <v>43</v>
      </c>
      <c r="J12" s="367">
        <f>DCF!$G$50</f>
        <v>43</v>
      </c>
    </row>
    <row r="13" spans="2:10" ht="4.5" customHeight="1">
      <c r="G13" s="368"/>
      <c r="H13" s="369"/>
      <c r="I13" s="369"/>
      <c r="J13" s="369"/>
    </row>
    <row r="14" spans="2:10">
      <c r="G14" s="366" t="s">
        <v>2961</v>
      </c>
      <c r="H14" s="367">
        <f>H11-H12</f>
        <v>-2</v>
      </c>
      <c r="I14" s="367">
        <f>I11-I12</f>
        <v>1</v>
      </c>
      <c r="J14" s="367">
        <f>J11-J12</f>
        <v>17</v>
      </c>
    </row>
    <row r="15" spans="2:10">
      <c r="G15" s="366" t="s">
        <v>435</v>
      </c>
      <c r="H15" s="367">
        <f>DCF!H6</f>
        <v>1.5</v>
      </c>
      <c r="I15" s="385">
        <f>DCF!I6</f>
        <v>0.95099618971099831</v>
      </c>
      <c r="J15" s="385">
        <f>DCF!J6</f>
        <v>1.6293423555288615</v>
      </c>
    </row>
    <row r="16" spans="2:10" ht="4.5" customHeight="1">
      <c r="G16" s="368"/>
      <c r="H16" s="369"/>
      <c r="I16" s="369"/>
      <c r="J16" s="369"/>
    </row>
    <row r="17" spans="7:15">
      <c r="G17" s="366" t="s">
        <v>2963</v>
      </c>
      <c r="H17" s="370">
        <f>H14/H12</f>
        <v>-4.6511627906976744E-2</v>
      </c>
      <c r="I17" s="370">
        <f>Summary!I46</f>
        <v>2.3255813953488372E-2</v>
      </c>
      <c r="J17" s="370">
        <f>Summary!J46</f>
        <v>0.39534883720930231</v>
      </c>
    </row>
    <row r="18" spans="7:15">
      <c r="G18" s="366" t="s">
        <v>2962</v>
      </c>
      <c r="H18" s="370">
        <f>H15/H12</f>
        <v>3.4883720930232558E-2</v>
      </c>
      <c r="I18" s="370">
        <f>Summary!I47</f>
        <v>2.2116190458395309E-2</v>
      </c>
      <c r="J18" s="370">
        <f>Summary!J47</f>
        <v>3.7891682686717713E-2</v>
      </c>
    </row>
    <row r="19" spans="7:15">
      <c r="G19" s="365" t="s">
        <v>2964</v>
      </c>
      <c r="H19" s="371">
        <f>H18+H17</f>
        <v>-1.1627906976744186E-2</v>
      </c>
      <c r="I19" s="371">
        <f>Summary!I48</f>
        <v>4.537200441188368E-2</v>
      </c>
      <c r="J19" s="371">
        <f>Summary!J48</f>
        <v>0.43324051989602003</v>
      </c>
    </row>
    <row r="20" spans="7:15">
      <c r="G20" s="365" t="s">
        <v>3897</v>
      </c>
      <c r="H20" s="371"/>
      <c r="I20" s="371">
        <f ca="1">Summary!I49</f>
        <v>-5.3823555113570176E-3</v>
      </c>
      <c r="J20" s="371">
        <f ca="1">Summary!J49</f>
        <v>-4.86180497667551E-2</v>
      </c>
    </row>
    <row r="21" spans="7:15" ht="14.25" customHeight="1">
      <c r="G21" s="708" t="str">
        <f ca="1">"FY19E price annualised over "&amp;Summary!J51&amp;" days"</f>
        <v>FY19E price annualised over -2636 days</v>
      </c>
      <c r="H21" s="708"/>
      <c r="I21" s="708"/>
      <c r="J21" s="708"/>
    </row>
    <row r="22" spans="7:15" ht="4.5" customHeight="1">
      <c r="G22" s="708"/>
      <c r="H22" s="708"/>
      <c r="I22" s="708"/>
      <c r="J22" s="708"/>
    </row>
    <row r="23" spans="7:15" ht="15" customHeight="1">
      <c r="G23" s="394"/>
      <c r="H23" s="394"/>
    </row>
    <row r="24" spans="7:15" ht="15" customHeight="1"/>
    <row r="25" spans="7:15" ht="15" customHeight="1">
      <c r="K25" s="365" t="s">
        <v>2966</v>
      </c>
      <c r="L25" s="365"/>
    </row>
    <row r="26" spans="7:15" ht="17.25" customHeight="1">
      <c r="K26" s="366" t="s">
        <v>2988</v>
      </c>
      <c r="L26" s="370">
        <f>DCF!G41</f>
        <v>9.5399999999999999E-2</v>
      </c>
    </row>
    <row r="27" spans="7:15" ht="17.25" customHeight="1">
      <c r="K27" s="366" t="s">
        <v>2989</v>
      </c>
      <c r="L27" s="370">
        <f>DCF!G43</f>
        <v>0.18540000000000001</v>
      </c>
    </row>
    <row r="28" spans="7:15" ht="18.75" customHeight="1">
      <c r="K28" s="366" t="s">
        <v>2990</v>
      </c>
      <c r="L28" s="370">
        <f>L27-L26</f>
        <v>9.0000000000000011E-2</v>
      </c>
    </row>
    <row r="29" spans="7:15" ht="19.5" customHeight="1">
      <c r="K29" s="386" t="s">
        <v>2967</v>
      </c>
      <c r="L29" s="366">
        <f>DCF!G42</f>
        <v>0.89839999999999998</v>
      </c>
    </row>
    <row r="30" spans="7:15" ht="16.2">
      <c r="K30" s="372" t="s">
        <v>2991</v>
      </c>
      <c r="L30" s="371">
        <f>DCF!G40</f>
        <v>0.17625600000000002</v>
      </c>
    </row>
    <row r="32" spans="7:15" ht="15" customHeight="1">
      <c r="N32" s="373" t="s">
        <v>333</v>
      </c>
      <c r="O32" s="374"/>
    </row>
    <row r="33" spans="14:20" ht="15" customHeight="1">
      <c r="N33" s="387" t="s">
        <v>2992</v>
      </c>
      <c r="O33" s="388">
        <f>DCF!G40</f>
        <v>0.17625600000000002</v>
      </c>
    </row>
    <row r="34" spans="14:20" ht="15" customHeight="1">
      <c r="N34" s="387" t="s">
        <v>2993</v>
      </c>
      <c r="O34" s="388">
        <f>DCF!G44</f>
        <v>8.537662866103389E-2</v>
      </c>
    </row>
    <row r="35" spans="14:20" ht="15" customHeight="1">
      <c r="N35" s="387" t="s">
        <v>2994</v>
      </c>
      <c r="O35" s="389" t="str">
        <f>(DCF!H48*100)&amp;" /"&amp;(DCF!H47*100)</f>
        <v>40 /60</v>
      </c>
    </row>
    <row r="36" spans="14:20" ht="15" customHeight="1">
      <c r="N36" s="709" t="s">
        <v>2998</v>
      </c>
      <c r="O36" s="389"/>
    </row>
    <row r="37" spans="14:20" ht="15" customHeight="1">
      <c r="N37" s="709"/>
      <c r="O37" s="389">
        <f>DCF!G37</f>
        <v>0.03</v>
      </c>
    </row>
    <row r="38" spans="14:20" ht="15" customHeight="1">
      <c r="N38" s="365" t="s">
        <v>333</v>
      </c>
      <c r="O38" s="371">
        <f>DCF!G49</f>
        <v>0.13990425146441357</v>
      </c>
    </row>
    <row r="41" spans="14:20" ht="15" customHeight="1">
      <c r="Q41" s="373" t="s">
        <v>458</v>
      </c>
      <c r="R41" s="398" t="s">
        <v>151</v>
      </c>
      <c r="S41" s="398" t="s">
        <v>152</v>
      </c>
      <c r="T41" s="398" t="s">
        <v>153</v>
      </c>
    </row>
    <row r="42" spans="14:20" ht="15" customHeight="1">
      <c r="Q42" s="390" t="s">
        <v>2982</v>
      </c>
      <c r="R42" s="391">
        <f>DCF!H29</f>
        <v>1153.0030375270542</v>
      </c>
      <c r="S42" s="391">
        <f>DCF!I29</f>
        <v>4778.9245766080385</v>
      </c>
      <c r="T42" s="391">
        <f>DCF!J29</f>
        <v>5114.0020568325963</v>
      </c>
    </row>
    <row r="43" spans="14:20" ht="15" customHeight="1">
      <c r="Q43" s="390" t="s">
        <v>381</v>
      </c>
      <c r="R43" s="391">
        <f>DCF!H30</f>
        <v>2795.2539999999999</v>
      </c>
      <c r="S43" s="391">
        <f>DCF!I30</f>
        <v>2992.9235767353562</v>
      </c>
      <c r="T43" s="391">
        <f>DCF!J30</f>
        <v>3298.9752618966913</v>
      </c>
    </row>
    <row r="44" spans="14:20" ht="15" customHeight="1">
      <c r="Q44" s="390" t="s">
        <v>2970</v>
      </c>
      <c r="R44" s="391">
        <f>DCF!H31</f>
        <v>2627.723</v>
      </c>
      <c r="S44" s="391">
        <f>DCF!I31</f>
        <v>2640.1615513979236</v>
      </c>
      <c r="T44" s="391">
        <f>DCF!J31</f>
        <v>2080.16665660737</v>
      </c>
    </row>
    <row r="45" spans="14:20" ht="15" customHeight="1">
      <c r="Q45" s="390" t="s">
        <v>2983</v>
      </c>
      <c r="R45" s="391">
        <f>DCF!H32</f>
        <v>985.47203752705423</v>
      </c>
      <c r="S45" s="391">
        <f>DCF!I32</f>
        <v>4426.1625512706059</v>
      </c>
      <c r="T45" s="391">
        <f>DCF!J32</f>
        <v>3895.1934515432749</v>
      </c>
    </row>
    <row r="46" spans="14:20" ht="15" customHeight="1">
      <c r="Q46" s="390" t="s">
        <v>2968</v>
      </c>
      <c r="R46" s="391">
        <f>DCF!G51</f>
        <v>119.78736000000001</v>
      </c>
      <c r="S46" s="391">
        <f>DCF!$G$51</f>
        <v>119.78736000000001</v>
      </c>
      <c r="T46" s="391">
        <f>DCF!$G$51</f>
        <v>119.78736000000001</v>
      </c>
    </row>
    <row r="47" spans="14:20" ht="15" customHeight="1">
      <c r="Q47" s="375" t="s">
        <v>2973</v>
      </c>
      <c r="R47" s="376">
        <f>DCF!H33</f>
        <v>8.2268449486411104</v>
      </c>
      <c r="S47" s="376">
        <f>DCF!I33</f>
        <v>36.9501636171847</v>
      </c>
      <c r="T47" s="376">
        <f>DCF!J33</f>
        <v>32.51756655746712</v>
      </c>
    </row>
    <row r="50" spans="22:37">
      <c r="V50" s="365"/>
      <c r="W50" s="365"/>
      <c r="X50" s="365"/>
      <c r="Y50" s="710" t="str">
        <f>DCF!E61</f>
        <v>WACC</v>
      </c>
      <c r="Z50" s="710"/>
      <c r="AA50" s="365"/>
      <c r="AB50" s="365"/>
    </row>
    <row r="51" spans="22:37" ht="14.25" customHeight="1">
      <c r="V51" s="707" t="str">
        <f>DCF!B62</f>
        <v>Terminal growth rate</v>
      </c>
      <c r="W51" s="393">
        <f>DCF!C62</f>
        <v>59.707912759503202</v>
      </c>
      <c r="X51" s="392">
        <f>DCF!D62</f>
        <v>9.4803200000000004E-2</v>
      </c>
      <c r="Y51" s="392">
        <f>DCF!E62</f>
        <v>0.11480320000000001</v>
      </c>
      <c r="Z51" s="392">
        <f>DCF!F62</f>
        <v>0.13990425146441357</v>
      </c>
      <c r="AA51" s="392">
        <f>DCF!G62</f>
        <v>0.1548032</v>
      </c>
      <c r="AB51" s="392">
        <f>DCF!H62</f>
        <v>0.17480319999999999</v>
      </c>
    </row>
    <row r="52" spans="22:37">
      <c r="V52" s="707"/>
      <c r="W52" s="392">
        <f>DCF!C63</f>
        <v>9.9999999999999967E-3</v>
      </c>
      <c r="X52" s="377">
        <f>DCF!D63</f>
        <v>66.44306700007796</v>
      </c>
      <c r="Y52" s="377">
        <f>DCF!E63</f>
        <v>61.750763968923053</v>
      </c>
      <c r="Z52" s="403">
        <f>DCF!F63</f>
        <v>57.803887514526721</v>
      </c>
      <c r="AA52" s="377">
        <f>DCF!G63</f>
        <v>56.064587590061805</v>
      </c>
      <c r="AB52" s="377">
        <f>DCF!H63</f>
        <v>54.183457597517112</v>
      </c>
    </row>
    <row r="53" spans="22:37">
      <c r="V53" s="707"/>
      <c r="W53" s="392">
        <f>DCF!C64</f>
        <v>1.9999999999999997E-2</v>
      </c>
      <c r="X53" s="377">
        <f>DCF!D64</f>
        <v>68.861561436432339</v>
      </c>
      <c r="Y53" s="377">
        <f>DCF!E64</f>
        <v>63.21325605346064</v>
      </c>
      <c r="Z53" s="400">
        <f>DCF!F64</f>
        <v>58.676502399998867</v>
      </c>
      <c r="AA53" s="377">
        <f>DCF!G64</f>
        <v>56.734292352412908</v>
      </c>
      <c r="AB53" s="377">
        <f>DCF!H64</f>
        <v>54.670138996599341</v>
      </c>
    </row>
    <row r="54" spans="22:37">
      <c r="V54" s="707"/>
      <c r="W54" s="392">
        <f>DCF!C65</f>
        <v>0.03</v>
      </c>
      <c r="X54" s="404">
        <f>DCF!D65</f>
        <v>72.026467913042254</v>
      </c>
      <c r="Y54" s="401">
        <f>DCF!E65</f>
        <v>65.020662500790564</v>
      </c>
      <c r="Z54" s="399">
        <f>DCF!F65</f>
        <v>59.707912759503202</v>
      </c>
      <c r="AA54" s="402">
        <f>DCF!G65</f>
        <v>57.511318844070814</v>
      </c>
      <c r="AB54" s="400">
        <f>DCF!H65</f>
        <v>55.224040097881833</v>
      </c>
    </row>
    <row r="55" spans="22:37">
      <c r="V55" s="707"/>
      <c r="W55" s="392">
        <f>DCF!C66</f>
        <v>0.04</v>
      </c>
      <c r="X55" s="377">
        <f>DCF!D66</f>
        <v>76.346382300361739</v>
      </c>
      <c r="Y55" s="377">
        <f>DCF!E66</f>
        <v>67.311312030590202</v>
      </c>
      <c r="Z55" s="400">
        <f>DCF!F66</f>
        <v>60.945802892267572</v>
      </c>
      <c r="AA55" s="377">
        <f>DCF!G66</f>
        <v>58.423712031370982</v>
      </c>
      <c r="AB55" s="377">
        <f>DCF!H66</f>
        <v>55.860120420619374</v>
      </c>
    </row>
    <row r="56" spans="22:37">
      <c r="V56" s="707"/>
      <c r="W56" s="392">
        <f>DCF!C67</f>
        <v>0.05</v>
      </c>
      <c r="X56" s="377">
        <f>DCF!D67</f>
        <v>82.594692153772712</v>
      </c>
      <c r="Y56" s="377">
        <f>DCF!E67</f>
        <v>70.308917244615216</v>
      </c>
      <c r="Z56" s="400">
        <f>DCF!F67</f>
        <v>62.459072690086913</v>
      </c>
      <c r="AA56" s="377">
        <f>DCF!G67</f>
        <v>59.510220739437727</v>
      </c>
      <c r="AB56" s="377">
        <f>DCF!H67</f>
        <v>56.598134078838306</v>
      </c>
    </row>
    <row r="60" spans="22:37">
      <c r="AE60" s="365"/>
      <c r="AF60" s="365"/>
      <c r="AG60" s="365"/>
      <c r="AH60" s="375" t="str">
        <f>IS_BS_Assumptions!W260</f>
        <v>Copper price FY19E USD/MT</v>
      </c>
      <c r="AI60" s="375"/>
      <c r="AJ60" s="365"/>
      <c r="AK60" s="365"/>
    </row>
    <row r="61" spans="22:37">
      <c r="AE61" s="707" t="str">
        <f>IS_BS_Assumptions!Q265</f>
        <v>Estimated volume growth FY19E</v>
      </c>
      <c r="AF61" s="393"/>
      <c r="AG61" s="391">
        <f>IS_BS_Assumptions!U262</f>
        <v>6458.4000000000005</v>
      </c>
      <c r="AH61" s="391">
        <f>IS_BS_Assumptions!V262</f>
        <v>6817.2</v>
      </c>
      <c r="AI61" s="391">
        <f>IS_BS_Assumptions!W262</f>
        <v>7176</v>
      </c>
      <c r="AJ61" s="391">
        <f>IS_BS_Assumptions!X262</f>
        <v>7534.8</v>
      </c>
      <c r="AK61" s="391">
        <f>IS_BS_Assumptions!Y262</f>
        <v>7893.6</v>
      </c>
    </row>
    <row r="62" spans="22:37">
      <c r="AE62" s="707"/>
      <c r="AF62" s="392">
        <f>IS_BS_Assumptions!R263</f>
        <v>4.9999999999999989E-2</v>
      </c>
      <c r="AG62" s="377">
        <f>IS_BS_Assumptions!U263</f>
        <v>146</v>
      </c>
      <c r="AH62" s="377">
        <f>IS_BS_Assumptions!V263</f>
        <v>100</v>
      </c>
      <c r="AI62" s="400">
        <f>IS_BS_Assumptions!W263</f>
        <v>53</v>
      </c>
      <c r="AJ62" s="377">
        <f>IS_BS_Assumptions!X263</f>
        <v>7</v>
      </c>
      <c r="AK62" s="377">
        <f>IS_BS_Assumptions!Y263</f>
        <v>-40</v>
      </c>
    </row>
    <row r="63" spans="22:37">
      <c r="AE63" s="707"/>
      <c r="AF63" s="392">
        <f>IS_BS_Assumptions!R264</f>
        <v>9.9999999999999992E-2</v>
      </c>
      <c r="AG63" s="377">
        <f>IS_BS_Assumptions!U264</f>
        <v>154</v>
      </c>
      <c r="AH63" s="377">
        <f>IS_BS_Assumptions!V264</f>
        <v>105</v>
      </c>
      <c r="AI63" s="400">
        <f>IS_BS_Assumptions!W264</f>
        <v>56</v>
      </c>
      <c r="AJ63" s="377">
        <f>IS_BS_Assumptions!X264</f>
        <v>8</v>
      </c>
      <c r="AK63" s="377">
        <f>IS_BS_Assumptions!Y264</f>
        <v>-41</v>
      </c>
    </row>
    <row r="64" spans="22:37">
      <c r="AE64" s="707"/>
      <c r="AF64" s="392">
        <f>IS_BS_Assumptions!R265</f>
        <v>0.15</v>
      </c>
      <c r="AG64" s="404">
        <f>IS_BS_Assumptions!U265</f>
        <v>162</v>
      </c>
      <c r="AH64" s="401">
        <f>IS_BS_Assumptions!V265</f>
        <v>111</v>
      </c>
      <c r="AI64" s="399">
        <f>IS_BS_Assumptions!W265</f>
        <v>60</v>
      </c>
      <c r="AJ64" s="402">
        <f>IS_BS_Assumptions!X265</f>
        <v>9</v>
      </c>
      <c r="AK64" s="400">
        <f>IS_BS_Assumptions!Y265</f>
        <v>-42</v>
      </c>
    </row>
    <row r="65" spans="31:42">
      <c r="AE65" s="707"/>
      <c r="AF65" s="392">
        <f>IS_BS_Assumptions!R266</f>
        <v>0.2</v>
      </c>
      <c r="AG65" s="377">
        <f>IS_BS_Assumptions!U266</f>
        <v>169</v>
      </c>
      <c r="AH65" s="377">
        <f>IS_BS_Assumptions!V266</f>
        <v>116</v>
      </c>
      <c r="AI65" s="400">
        <f>IS_BS_Assumptions!W266</f>
        <v>63</v>
      </c>
      <c r="AJ65" s="377">
        <f>IS_BS_Assumptions!X266</f>
        <v>10</v>
      </c>
      <c r="AK65" s="377">
        <f>IS_BS_Assumptions!Y266</f>
        <v>-43</v>
      </c>
    </row>
    <row r="66" spans="31:42">
      <c r="AE66" s="707"/>
      <c r="AF66" s="392">
        <f>IS_BS_Assumptions!R267</f>
        <v>0.25</v>
      </c>
      <c r="AG66" s="377">
        <f>IS_BS_Assumptions!U267</f>
        <v>177</v>
      </c>
      <c r="AH66" s="377">
        <f>IS_BS_Assumptions!V267</f>
        <v>121</v>
      </c>
      <c r="AI66" s="400">
        <f>IS_BS_Assumptions!W267</f>
        <v>66</v>
      </c>
      <c r="AJ66" s="377">
        <f>IS_BS_Assumptions!X267</f>
        <v>11</v>
      </c>
      <c r="AK66" s="377">
        <f>IS_BS_Assumptions!Y267</f>
        <v>-45</v>
      </c>
    </row>
    <row r="68" spans="31:42">
      <c r="AM68" s="375"/>
      <c r="AN68" s="396" t="s">
        <v>151</v>
      </c>
      <c r="AO68" s="396" t="s">
        <v>152</v>
      </c>
      <c r="AP68" s="396" t="s">
        <v>153</v>
      </c>
    </row>
    <row r="69" spans="31:42">
      <c r="AM69" s="366" t="s">
        <v>2999</v>
      </c>
      <c r="AN69" s="367">
        <f>'IS &amp; BS'!H15</f>
        <v>1255.4369999999985</v>
      </c>
      <c r="AO69" s="367">
        <f>'IS &amp; BS'!I15</f>
        <v>853.3132804160274</v>
      </c>
      <c r="AP69" s="367">
        <f>'IS &amp; BS'!J15</f>
        <v>1461.9821670785298</v>
      </c>
    </row>
    <row r="70" spans="31:42">
      <c r="AM70" s="366" t="s">
        <v>2995</v>
      </c>
      <c r="AN70" s="367">
        <f>DCF!G51</f>
        <v>119.78736000000001</v>
      </c>
      <c r="AO70" s="367">
        <f>DCF!$G$51</f>
        <v>119.78736000000001</v>
      </c>
      <c r="AP70" s="367">
        <f>DCF!$G$51</f>
        <v>119.78736000000001</v>
      </c>
    </row>
    <row r="71" spans="31:42" ht="3" customHeight="1">
      <c r="AM71" s="366"/>
      <c r="AN71" s="366"/>
      <c r="AO71" s="366"/>
      <c r="AP71" s="366"/>
    </row>
    <row r="72" spans="31:42">
      <c r="AM72" s="366" t="s">
        <v>15</v>
      </c>
      <c r="AN72" s="385">
        <f>Multiplier!H6</f>
        <v>9.3319695834351677</v>
      </c>
      <c r="AO72" s="385">
        <f>Multiplier!I6</f>
        <v>6.3399745980733222</v>
      </c>
      <c r="AP72" s="385">
        <f>Multiplier!J6</f>
        <v>10.86228237019241</v>
      </c>
    </row>
    <row r="73" spans="31:42">
      <c r="AM73" s="366" t="s">
        <v>2996</v>
      </c>
      <c r="AN73" s="397">
        <f>'PE band'!$M$3</f>
        <v>8</v>
      </c>
      <c r="AO73" s="397">
        <f>'PE band'!$M$3</f>
        <v>8</v>
      </c>
      <c r="AP73" s="397">
        <f>'PE band'!$M$3</f>
        <v>8</v>
      </c>
    </row>
    <row r="74" spans="31:42">
      <c r="AM74" s="375" t="str">
        <f>"Price at "&amp;ROUND(AN73,1)&amp;"x expected earnings"</f>
        <v>Price at 8x expected earnings</v>
      </c>
      <c r="AN74" s="376">
        <f>Multiplier!H11</f>
        <v>74.655756667481342</v>
      </c>
      <c r="AO74" s="376">
        <f>Multiplier!I11</f>
        <v>50.719796784586578</v>
      </c>
      <c r="AP74" s="376">
        <f>Multiplier!J11</f>
        <v>86.898258961539284</v>
      </c>
    </row>
  </sheetData>
  <mergeCells count="5">
    <mergeCell ref="AE61:AE66"/>
    <mergeCell ref="G21:J22"/>
    <mergeCell ref="N36:N37"/>
    <mergeCell ref="V51:V56"/>
    <mergeCell ref="Y50:Z50"/>
  </mergeCells>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FFC000"/>
  </sheetPr>
  <dimension ref="B3:M1979"/>
  <sheetViews>
    <sheetView topLeftCell="A1964" zoomScale="106" zoomScaleNormal="106" workbookViewId="0">
      <selection activeCell="E1979" sqref="E1979"/>
    </sheetView>
  </sheetViews>
  <sheetFormatPr defaultRowHeight="14.4" outlineLevelRow="1"/>
  <cols>
    <col min="2" max="2" width="10.44140625" bestFit="1" customWidth="1"/>
    <col min="3" max="3" width="10.33203125" bestFit="1" customWidth="1"/>
    <col min="4" max="4" width="14.33203125" bestFit="1" customWidth="1"/>
    <col min="5" max="5" width="9.33203125" bestFit="1" customWidth="1"/>
    <col min="7" max="7" width="9.88671875" bestFit="1" customWidth="1"/>
    <col min="11" max="11" width="11" customWidth="1"/>
  </cols>
  <sheetData>
    <row r="3" spans="2:7">
      <c r="C3" s="44" t="s">
        <v>3061</v>
      </c>
      <c r="D3" s="44" t="s">
        <v>3062</v>
      </c>
      <c r="E3" t="s">
        <v>3063</v>
      </c>
      <c r="G3" t="s">
        <v>3060</v>
      </c>
    </row>
    <row r="4" spans="2:7">
      <c r="C4" s="44"/>
      <c r="D4" s="44"/>
    </row>
    <row r="5" spans="2:7" hidden="1" outlineLevel="1">
      <c r="C5" s="44"/>
      <c r="D5" s="44"/>
    </row>
    <row r="6" spans="2:7" hidden="1" outlineLevel="1">
      <c r="B6" s="412">
        <v>40087</v>
      </c>
      <c r="C6">
        <v>2997.6</v>
      </c>
      <c r="D6">
        <v>1761.8266934129999</v>
      </c>
    </row>
    <row r="7" spans="2:7" hidden="1" outlineLevel="1">
      <c r="B7" s="412">
        <v>40088</v>
      </c>
      <c r="C7">
        <v>3018.01</v>
      </c>
      <c r="D7">
        <v>1788.1324349935101</v>
      </c>
    </row>
    <row r="8" spans="2:7" hidden="1" outlineLevel="1">
      <c r="B8" s="412">
        <v>40091</v>
      </c>
      <c r="C8">
        <v>3098.24</v>
      </c>
      <c r="D8">
        <v>1874.6573683106001</v>
      </c>
    </row>
    <row r="9" spans="2:7" hidden="1" outlineLevel="1">
      <c r="B9" s="412">
        <v>40092</v>
      </c>
      <c r="C9">
        <v>3127.56</v>
      </c>
      <c r="D9">
        <v>1895.6129597731299</v>
      </c>
    </row>
    <row r="10" spans="2:7" hidden="1" outlineLevel="1">
      <c r="B10" s="412">
        <v>40093</v>
      </c>
      <c r="C10">
        <v>3116.56</v>
      </c>
      <c r="D10">
        <v>1890.55145855059</v>
      </c>
    </row>
    <row r="11" spans="2:7" hidden="1" outlineLevel="1">
      <c r="B11" s="412">
        <v>40094</v>
      </c>
      <c r="C11">
        <v>3120.73</v>
      </c>
      <c r="D11">
        <v>1872.2450987171001</v>
      </c>
    </row>
    <row r="12" spans="2:7" hidden="1" outlineLevel="1">
      <c r="B12" s="412">
        <v>40095</v>
      </c>
      <c r="C12">
        <v>3115.34</v>
      </c>
      <c r="D12">
        <v>1859.53040504501</v>
      </c>
    </row>
    <row r="13" spans="2:7" hidden="1" outlineLevel="1">
      <c r="B13" s="412">
        <v>40098</v>
      </c>
      <c r="C13">
        <v>3131.29</v>
      </c>
      <c r="D13">
        <v>1877.18199886093</v>
      </c>
    </row>
    <row r="14" spans="2:7" hidden="1" outlineLevel="1">
      <c r="B14" s="412">
        <v>40099</v>
      </c>
      <c r="C14">
        <v>3139.73</v>
      </c>
      <c r="D14">
        <v>1868.7143840694</v>
      </c>
    </row>
    <row r="15" spans="2:7" hidden="1" outlineLevel="1">
      <c r="B15" s="412">
        <v>40100</v>
      </c>
      <c r="C15">
        <v>3139.21</v>
      </c>
      <c r="D15">
        <v>1868.8534350509899</v>
      </c>
    </row>
    <row r="16" spans="2:7" hidden="1" outlineLevel="1">
      <c r="B16" s="412">
        <v>40101</v>
      </c>
      <c r="C16">
        <v>3135.13</v>
      </c>
      <c r="D16">
        <v>1870.79919319794</v>
      </c>
    </row>
    <row r="17" spans="2:4" hidden="1" outlineLevel="1">
      <c r="B17" s="412">
        <v>40102</v>
      </c>
      <c r="C17">
        <v>3131.91</v>
      </c>
      <c r="D17">
        <v>1871.81994276972</v>
      </c>
    </row>
    <row r="18" spans="2:4" hidden="1" outlineLevel="1">
      <c r="B18" s="412">
        <v>40105</v>
      </c>
      <c r="C18">
        <v>3082.91</v>
      </c>
      <c r="D18">
        <v>1827.3102160158601</v>
      </c>
    </row>
    <row r="19" spans="2:4" hidden="1" outlineLevel="1">
      <c r="B19" s="412">
        <v>40106</v>
      </c>
      <c r="C19">
        <v>2983.17</v>
      </c>
      <c r="D19">
        <v>1766.50734314896</v>
      </c>
    </row>
    <row r="20" spans="2:4" hidden="1" outlineLevel="1">
      <c r="B20" s="412">
        <v>40107</v>
      </c>
      <c r="C20">
        <v>3018.6</v>
      </c>
      <c r="D20">
        <v>1801.8359948852701</v>
      </c>
    </row>
    <row r="21" spans="2:4" hidden="1" outlineLevel="1">
      <c r="B21" s="412">
        <v>40108</v>
      </c>
      <c r="C21">
        <v>2992.87</v>
      </c>
      <c r="D21">
        <v>1780.3866883524399</v>
      </c>
    </row>
    <row r="22" spans="2:4" hidden="1" outlineLevel="1">
      <c r="B22" s="412">
        <v>40109</v>
      </c>
      <c r="C22">
        <v>3056.62</v>
      </c>
      <c r="D22">
        <v>1815.4542815979601</v>
      </c>
    </row>
    <row r="23" spans="2:4" hidden="1" outlineLevel="1">
      <c r="B23" s="412">
        <v>40112</v>
      </c>
      <c r="C23">
        <v>3024.02</v>
      </c>
      <c r="D23">
        <v>1807.0098148101799</v>
      </c>
    </row>
    <row r="24" spans="2:4" hidden="1" outlineLevel="1">
      <c r="B24" s="412">
        <v>40113</v>
      </c>
      <c r="C24">
        <v>2997.07</v>
      </c>
      <c r="D24">
        <v>1782.5822399133799</v>
      </c>
    </row>
    <row r="25" spans="2:4" hidden="1" outlineLevel="1">
      <c r="B25" s="412">
        <v>40114</v>
      </c>
      <c r="C25">
        <v>3005.72</v>
      </c>
      <c r="D25">
        <v>1787.82218994809</v>
      </c>
    </row>
    <row r="26" spans="2:4" hidden="1" outlineLevel="1">
      <c r="B26" s="412">
        <v>40115</v>
      </c>
      <c r="C26">
        <v>2977.16</v>
      </c>
      <c r="D26">
        <v>1771.5692852505699</v>
      </c>
    </row>
    <row r="27" spans="2:4" hidden="1" outlineLevel="1">
      <c r="B27" s="412">
        <v>40116</v>
      </c>
      <c r="C27">
        <v>2976.93</v>
      </c>
      <c r="D27">
        <v>1773.80811905473</v>
      </c>
    </row>
    <row r="28" spans="2:4" hidden="1" outlineLevel="1">
      <c r="B28" s="412">
        <v>40120</v>
      </c>
      <c r="C28">
        <v>2964.19</v>
      </c>
      <c r="D28">
        <v>1747.60156281895</v>
      </c>
    </row>
    <row r="29" spans="2:4" hidden="1" outlineLevel="1">
      <c r="B29" s="412">
        <v>40121</v>
      </c>
      <c r="C29">
        <v>2902.7</v>
      </c>
      <c r="D29">
        <v>1714.9517433493399</v>
      </c>
    </row>
    <row r="30" spans="2:4" hidden="1" outlineLevel="1">
      <c r="B30" s="412">
        <v>40122</v>
      </c>
      <c r="C30">
        <v>2854.82</v>
      </c>
      <c r="D30">
        <v>1702.2513291516</v>
      </c>
    </row>
    <row r="31" spans="2:4" hidden="1" outlineLevel="1">
      <c r="B31" s="412">
        <v>40123</v>
      </c>
      <c r="C31">
        <v>2911.62</v>
      </c>
      <c r="D31">
        <v>1736.5290232790601</v>
      </c>
    </row>
    <row r="32" spans="2:4" hidden="1" outlineLevel="1">
      <c r="B32" s="412">
        <v>40126</v>
      </c>
      <c r="C32">
        <v>2867.58</v>
      </c>
      <c r="D32">
        <v>1699.39743692099</v>
      </c>
    </row>
    <row r="33" spans="2:4" hidden="1" outlineLevel="1">
      <c r="B33" s="412">
        <v>40127</v>
      </c>
      <c r="C33">
        <v>2843.66</v>
      </c>
      <c r="D33">
        <v>1683.58922928895</v>
      </c>
    </row>
    <row r="34" spans="2:4" hidden="1" outlineLevel="1">
      <c r="B34" s="412">
        <v>40128</v>
      </c>
      <c r="C34">
        <v>2854.24</v>
      </c>
      <c r="D34">
        <v>1697.0031542566801</v>
      </c>
    </row>
    <row r="35" spans="2:4" hidden="1" outlineLevel="1">
      <c r="B35" s="412">
        <v>40129</v>
      </c>
      <c r="C35">
        <v>2927.56</v>
      </c>
      <c r="D35">
        <v>1766.1998845575199</v>
      </c>
    </row>
    <row r="36" spans="2:4" hidden="1" outlineLevel="1">
      <c r="B36" s="412">
        <v>40130</v>
      </c>
      <c r="C36">
        <v>2979.41</v>
      </c>
      <c r="D36">
        <v>1786.16867289015</v>
      </c>
    </row>
    <row r="37" spans="2:4" hidden="1" outlineLevel="1">
      <c r="B37" s="412">
        <v>40133</v>
      </c>
      <c r="C37">
        <v>2979.21</v>
      </c>
      <c r="D37">
        <v>1777.35661235927</v>
      </c>
    </row>
    <row r="38" spans="2:4" hidden="1" outlineLevel="1">
      <c r="B38" s="412">
        <v>40134</v>
      </c>
      <c r="C38">
        <v>2983.25</v>
      </c>
      <c r="D38">
        <v>1789.07876366295</v>
      </c>
    </row>
    <row r="39" spans="2:4" hidden="1" outlineLevel="1">
      <c r="B39" s="412">
        <v>40135</v>
      </c>
      <c r="C39">
        <v>2970.9</v>
      </c>
      <c r="D39">
        <v>1784.7575846894199</v>
      </c>
    </row>
    <row r="40" spans="2:4" hidden="1" outlineLevel="1">
      <c r="B40" s="412">
        <v>40136</v>
      </c>
      <c r="C40">
        <v>2960.77</v>
      </c>
      <c r="D40">
        <v>1780.03796510803</v>
      </c>
    </row>
    <row r="41" spans="2:4" hidden="1" outlineLevel="1">
      <c r="B41" s="412">
        <v>40137</v>
      </c>
      <c r="C41">
        <v>2933.35</v>
      </c>
      <c r="D41">
        <v>1758.5690849653899</v>
      </c>
    </row>
    <row r="42" spans="2:4" hidden="1" outlineLevel="1">
      <c r="B42" s="412">
        <v>40140</v>
      </c>
      <c r="C42">
        <v>2931.07</v>
      </c>
      <c r="D42">
        <v>1759.8480607255001</v>
      </c>
    </row>
    <row r="43" spans="2:4" hidden="1" outlineLevel="1">
      <c r="B43" s="412">
        <v>40141</v>
      </c>
      <c r="C43">
        <v>2875.39</v>
      </c>
      <c r="D43">
        <v>1732.87328424463</v>
      </c>
    </row>
    <row r="44" spans="2:4" hidden="1" outlineLevel="1">
      <c r="B44" s="412">
        <v>40142</v>
      </c>
      <c r="C44">
        <v>2858.54</v>
      </c>
      <c r="D44">
        <v>1714.0134423089501</v>
      </c>
    </row>
    <row r="45" spans="2:4" hidden="1" outlineLevel="1">
      <c r="B45" s="412">
        <v>40143</v>
      </c>
      <c r="C45">
        <v>2850.23</v>
      </c>
      <c r="D45">
        <v>1714.20191043915</v>
      </c>
    </row>
    <row r="46" spans="2:4" hidden="1" outlineLevel="1">
      <c r="B46" s="412">
        <v>40144</v>
      </c>
      <c r="C46">
        <v>2878.96</v>
      </c>
      <c r="D46">
        <v>1714.7832804242501</v>
      </c>
    </row>
    <row r="47" spans="2:4" hidden="1" outlineLevel="1">
      <c r="B47" s="412">
        <v>40147</v>
      </c>
      <c r="C47">
        <v>2913.39</v>
      </c>
      <c r="D47">
        <v>1728.21772056194</v>
      </c>
    </row>
    <row r="48" spans="2:4" hidden="1" outlineLevel="1">
      <c r="B48" s="412">
        <v>40149</v>
      </c>
      <c r="C48">
        <v>2952.16</v>
      </c>
      <c r="D48">
        <v>1757.61195821363</v>
      </c>
    </row>
    <row r="49" spans="2:4" hidden="1" outlineLevel="1">
      <c r="B49" s="412">
        <v>40150</v>
      </c>
      <c r="C49">
        <v>3004.61</v>
      </c>
      <c r="D49">
        <v>1774.31404997505</v>
      </c>
    </row>
    <row r="50" spans="2:4" hidden="1" outlineLevel="1">
      <c r="B50" s="412">
        <v>40151</v>
      </c>
      <c r="C50">
        <v>3000.33</v>
      </c>
      <c r="D50">
        <v>1772.46364569859</v>
      </c>
    </row>
    <row r="51" spans="2:4" hidden="1" outlineLevel="1">
      <c r="B51" s="412">
        <v>40154</v>
      </c>
      <c r="C51">
        <v>3025.37</v>
      </c>
      <c r="D51">
        <v>1791.8055296069699</v>
      </c>
    </row>
    <row r="52" spans="2:4" hidden="1" outlineLevel="1">
      <c r="B52" s="412">
        <v>40155</v>
      </c>
      <c r="C52">
        <v>3052.68</v>
      </c>
      <c r="D52">
        <v>1802.2810004446001</v>
      </c>
    </row>
    <row r="53" spans="2:4" hidden="1" outlineLevel="1">
      <c r="B53" s="412">
        <v>40156</v>
      </c>
      <c r="C53">
        <v>3052.74</v>
      </c>
      <c r="D53">
        <v>1800.46628100661</v>
      </c>
    </row>
    <row r="54" spans="2:4" hidden="1" outlineLevel="1">
      <c r="B54" s="412">
        <v>40157</v>
      </c>
      <c r="C54">
        <v>3060.01</v>
      </c>
      <c r="D54">
        <v>1804.4480254599</v>
      </c>
    </row>
    <row r="55" spans="2:4" hidden="1" outlineLevel="1">
      <c r="B55" s="412">
        <v>40158</v>
      </c>
      <c r="C55">
        <v>3056.64</v>
      </c>
      <c r="D55">
        <v>1803.33882891497</v>
      </c>
    </row>
    <row r="56" spans="2:4" hidden="1" outlineLevel="1">
      <c r="B56" s="412">
        <v>40161</v>
      </c>
      <c r="C56">
        <v>3039.78</v>
      </c>
      <c r="D56">
        <v>1788.95040226739</v>
      </c>
    </row>
    <row r="57" spans="2:4" hidden="1" outlineLevel="1">
      <c r="B57" s="412">
        <v>40162</v>
      </c>
      <c r="C57">
        <v>3076.96</v>
      </c>
      <c r="D57">
        <v>1825.8549369592799</v>
      </c>
    </row>
    <row r="58" spans="2:4" hidden="1" outlineLevel="1">
      <c r="B58" s="412">
        <v>40163</v>
      </c>
      <c r="C58">
        <v>3089.45</v>
      </c>
      <c r="D58">
        <v>1833.5035706349199</v>
      </c>
    </row>
    <row r="59" spans="2:4" hidden="1" outlineLevel="1">
      <c r="B59" s="412">
        <v>40164</v>
      </c>
      <c r="C59">
        <v>3134.47</v>
      </c>
      <c r="D59">
        <v>1863.2077507684801</v>
      </c>
    </row>
    <row r="60" spans="2:4" hidden="1" outlineLevel="1">
      <c r="B60" s="412">
        <v>40165</v>
      </c>
      <c r="C60">
        <v>3188.82</v>
      </c>
      <c r="D60">
        <v>1889.2724175450101</v>
      </c>
    </row>
    <row r="61" spans="2:4" hidden="1" outlineLevel="1">
      <c r="B61" s="412">
        <v>40168</v>
      </c>
      <c r="C61">
        <v>3234.28</v>
      </c>
      <c r="D61">
        <v>1937.6234552461401</v>
      </c>
    </row>
    <row r="62" spans="2:4" hidden="1" outlineLevel="1">
      <c r="B62" s="412">
        <v>40169</v>
      </c>
      <c r="C62">
        <v>3280.82</v>
      </c>
      <c r="D62">
        <v>1983.7314314916</v>
      </c>
    </row>
    <row r="63" spans="2:4" hidden="1" outlineLevel="1">
      <c r="B63" s="412">
        <v>40170</v>
      </c>
      <c r="C63">
        <v>3266</v>
      </c>
      <c r="D63">
        <v>1967.32757845674</v>
      </c>
    </row>
    <row r="64" spans="2:4" hidden="1" outlineLevel="1">
      <c r="B64" s="412">
        <v>40171</v>
      </c>
      <c r="C64">
        <v>3292.76</v>
      </c>
      <c r="D64">
        <v>1993.94134656744</v>
      </c>
    </row>
    <row r="65" spans="2:4" hidden="1" outlineLevel="1">
      <c r="B65" s="412">
        <v>40175</v>
      </c>
      <c r="C65">
        <v>3344.89</v>
      </c>
      <c r="D65">
        <v>2032.41978851523</v>
      </c>
    </row>
    <row r="66" spans="2:4" hidden="1" outlineLevel="1">
      <c r="B66" s="412">
        <v>40176</v>
      </c>
      <c r="C66">
        <v>3356.59</v>
      </c>
      <c r="D66">
        <v>2032.9574661904501</v>
      </c>
    </row>
    <row r="67" spans="2:4" hidden="1" outlineLevel="1">
      <c r="B67" s="412">
        <v>40177</v>
      </c>
      <c r="C67">
        <v>3385.55</v>
      </c>
      <c r="D67">
        <v>2053.19681148982</v>
      </c>
    </row>
    <row r="68" spans="2:4" hidden="1" outlineLevel="1">
      <c r="B68" s="412">
        <v>40182</v>
      </c>
      <c r="C68">
        <v>3481.64</v>
      </c>
      <c r="D68">
        <v>2120.26381787536</v>
      </c>
    </row>
    <row r="69" spans="2:4" hidden="1" outlineLevel="1">
      <c r="B69" s="412">
        <v>40183</v>
      </c>
      <c r="C69">
        <v>3519.94</v>
      </c>
      <c r="D69">
        <v>2153.2339516288898</v>
      </c>
    </row>
    <row r="70" spans="2:4" hidden="1" outlineLevel="1">
      <c r="B70" s="412">
        <v>40184</v>
      </c>
      <c r="C70">
        <v>3509.36</v>
      </c>
      <c r="D70">
        <v>2144.5021566369901</v>
      </c>
    </row>
    <row r="71" spans="2:4" hidden="1" outlineLevel="1">
      <c r="B71" s="412">
        <v>40185</v>
      </c>
      <c r="C71">
        <v>3478.56</v>
      </c>
      <c r="D71">
        <v>2136.4421434782098</v>
      </c>
    </row>
    <row r="72" spans="2:4" hidden="1" outlineLevel="1">
      <c r="B72" s="412">
        <v>40186</v>
      </c>
      <c r="C72">
        <v>3514.63</v>
      </c>
      <c r="D72">
        <v>2143.0625334914298</v>
      </c>
    </row>
    <row r="73" spans="2:4" hidden="1" outlineLevel="1">
      <c r="B73" s="412">
        <v>40189</v>
      </c>
      <c r="C73">
        <v>3515.78</v>
      </c>
      <c r="D73">
        <v>2142.3496768537998</v>
      </c>
    </row>
    <row r="74" spans="2:4" hidden="1" outlineLevel="1">
      <c r="B74" s="412">
        <v>40190</v>
      </c>
      <c r="C74">
        <v>3494.62</v>
      </c>
      <c r="D74">
        <v>2117.63532600398</v>
      </c>
    </row>
    <row r="75" spans="2:4" hidden="1" outlineLevel="1">
      <c r="B75" s="412">
        <v>40191</v>
      </c>
      <c r="C75">
        <v>3536.71</v>
      </c>
      <c r="D75">
        <v>2143.8490630974402</v>
      </c>
    </row>
    <row r="76" spans="2:4" hidden="1" outlineLevel="1">
      <c r="B76" s="412">
        <v>40193</v>
      </c>
      <c r="C76">
        <v>3563.14</v>
      </c>
      <c r="D76">
        <v>2176.4838946140799</v>
      </c>
    </row>
    <row r="77" spans="2:4" hidden="1" outlineLevel="1">
      <c r="B77" s="412">
        <v>40196</v>
      </c>
      <c r="C77">
        <v>3528.55</v>
      </c>
      <c r="D77">
        <v>2140.50266110853</v>
      </c>
    </row>
    <row r="78" spans="2:4" hidden="1" outlineLevel="1">
      <c r="B78" s="412">
        <v>40197</v>
      </c>
      <c r="C78">
        <v>3483.3</v>
      </c>
      <c r="D78">
        <v>2115.28430016834</v>
      </c>
    </row>
    <row r="79" spans="2:4" hidden="1" outlineLevel="1">
      <c r="B79" s="412">
        <v>40198</v>
      </c>
      <c r="C79">
        <v>3532.41</v>
      </c>
      <c r="D79">
        <v>2138.3471032912398</v>
      </c>
    </row>
    <row r="80" spans="2:4" hidden="1" outlineLevel="1">
      <c r="B80" s="412">
        <v>40199</v>
      </c>
      <c r="C80">
        <v>3519.71</v>
      </c>
      <c r="D80">
        <v>2128.58789661845</v>
      </c>
    </row>
    <row r="81" spans="2:4" hidden="1" outlineLevel="1">
      <c r="B81" s="412">
        <v>40200</v>
      </c>
      <c r="C81">
        <v>3531.73</v>
      </c>
      <c r="D81">
        <v>2134.9045481326302</v>
      </c>
    </row>
    <row r="82" spans="2:4" hidden="1" outlineLevel="1">
      <c r="B82" s="412">
        <v>40203</v>
      </c>
      <c r="C82">
        <v>3554.45</v>
      </c>
      <c r="D82">
        <v>2135.6229641356499</v>
      </c>
    </row>
    <row r="83" spans="2:4" hidden="1" outlineLevel="1">
      <c r="B83" s="412">
        <v>40204</v>
      </c>
      <c r="C83">
        <v>3591.38</v>
      </c>
      <c r="D83">
        <v>2177.5586732494799</v>
      </c>
    </row>
    <row r="84" spans="2:4" hidden="1" outlineLevel="1">
      <c r="B84" s="412">
        <v>40206</v>
      </c>
      <c r="C84">
        <v>3636.41</v>
      </c>
      <c r="D84">
        <v>2202.44469887283</v>
      </c>
    </row>
    <row r="85" spans="2:4" hidden="1" outlineLevel="1">
      <c r="B85" s="412">
        <v>40210</v>
      </c>
      <c r="C85">
        <v>3691.39</v>
      </c>
      <c r="D85">
        <v>2223.2260000134902</v>
      </c>
    </row>
    <row r="86" spans="2:4" hidden="1" outlineLevel="1">
      <c r="B86" s="412">
        <v>40211</v>
      </c>
      <c r="C86">
        <v>3709.13</v>
      </c>
      <c r="D86">
        <v>2215.3677152718901</v>
      </c>
    </row>
    <row r="87" spans="2:4" hidden="1" outlineLevel="1">
      <c r="B87" s="412">
        <v>40212</v>
      </c>
      <c r="C87">
        <v>3697.8</v>
      </c>
      <c r="D87">
        <v>2206.07641542176</v>
      </c>
    </row>
    <row r="88" spans="2:4" hidden="1" outlineLevel="1">
      <c r="B88" s="412">
        <v>40214</v>
      </c>
      <c r="C88">
        <v>3706.72</v>
      </c>
      <c r="D88">
        <v>2199.8777028968002</v>
      </c>
    </row>
    <row r="89" spans="2:4" hidden="1" outlineLevel="1">
      <c r="B89" s="412">
        <v>40217</v>
      </c>
      <c r="C89">
        <v>3789.37</v>
      </c>
      <c r="D89">
        <v>2230.1522676627101</v>
      </c>
    </row>
    <row r="90" spans="2:4" hidden="1" outlineLevel="1">
      <c r="B90" s="412">
        <v>40218</v>
      </c>
      <c r="C90">
        <v>3785.28</v>
      </c>
      <c r="D90">
        <v>2202.6791471892202</v>
      </c>
    </row>
    <row r="91" spans="2:4" hidden="1" outlineLevel="1">
      <c r="B91" s="412">
        <v>40219</v>
      </c>
      <c r="C91">
        <v>3774.34</v>
      </c>
      <c r="D91">
        <v>2184.0254862664801</v>
      </c>
    </row>
    <row r="92" spans="2:4" hidden="1" outlineLevel="1">
      <c r="B92" s="412">
        <v>40220</v>
      </c>
      <c r="C92">
        <v>3724.84</v>
      </c>
      <c r="D92">
        <v>2156.4131148208999</v>
      </c>
    </row>
    <row r="93" spans="2:4" hidden="1" outlineLevel="1">
      <c r="B93" s="412">
        <v>40221</v>
      </c>
      <c r="C93">
        <v>3709.97</v>
      </c>
      <c r="D93">
        <v>2163.15528804206</v>
      </c>
    </row>
    <row r="94" spans="2:4" hidden="1" outlineLevel="1">
      <c r="B94" s="412">
        <v>40224</v>
      </c>
      <c r="C94">
        <v>3717.51</v>
      </c>
      <c r="D94">
        <v>2158.3297678428398</v>
      </c>
    </row>
    <row r="95" spans="2:4" hidden="1" outlineLevel="1">
      <c r="B95" s="412">
        <v>40225</v>
      </c>
      <c r="C95">
        <v>3691.04</v>
      </c>
      <c r="D95">
        <v>2140.7907293396502</v>
      </c>
    </row>
    <row r="96" spans="2:4" hidden="1" outlineLevel="1">
      <c r="B96" s="412">
        <v>40226</v>
      </c>
      <c r="C96">
        <v>3721.12</v>
      </c>
      <c r="D96">
        <v>2154.5229035061798</v>
      </c>
    </row>
    <row r="97" spans="2:4" hidden="1" outlineLevel="1">
      <c r="B97" s="412">
        <v>40227</v>
      </c>
      <c r="C97">
        <v>3732.77</v>
      </c>
      <c r="D97">
        <v>2161.9208132241702</v>
      </c>
    </row>
    <row r="98" spans="2:4" hidden="1" outlineLevel="1">
      <c r="B98" s="412">
        <v>40228</v>
      </c>
      <c r="C98">
        <v>3768.81</v>
      </c>
      <c r="D98">
        <v>2171.3370633490799</v>
      </c>
    </row>
    <row r="99" spans="2:4" hidden="1" outlineLevel="1">
      <c r="B99" s="412">
        <v>40231</v>
      </c>
      <c r="C99">
        <v>3773.55</v>
      </c>
      <c r="D99">
        <v>2172.9672956040899</v>
      </c>
    </row>
    <row r="100" spans="2:4" hidden="1" outlineLevel="1">
      <c r="B100" s="412">
        <v>40232</v>
      </c>
      <c r="C100">
        <v>3770.4</v>
      </c>
      <c r="D100">
        <v>2168.7452416674901</v>
      </c>
    </row>
    <row r="101" spans="2:4" hidden="1" outlineLevel="1">
      <c r="B101" s="412">
        <v>40233</v>
      </c>
      <c r="C101">
        <v>3775.51</v>
      </c>
      <c r="D101">
        <v>2171.6305625631999</v>
      </c>
    </row>
    <row r="102" spans="2:4" hidden="1" outlineLevel="1">
      <c r="B102" s="412">
        <v>40234</v>
      </c>
      <c r="C102">
        <v>3782.25</v>
      </c>
      <c r="D102">
        <v>2170.3118776260299</v>
      </c>
    </row>
    <row r="103" spans="2:4" hidden="1" outlineLevel="1">
      <c r="B103" s="412">
        <v>40235</v>
      </c>
      <c r="C103">
        <v>3807.86</v>
      </c>
      <c r="D103">
        <v>2170.3118776260299</v>
      </c>
    </row>
    <row r="104" spans="2:4" hidden="1" outlineLevel="1">
      <c r="B104" s="412">
        <v>40238</v>
      </c>
      <c r="C104">
        <v>3825.3</v>
      </c>
      <c r="D104">
        <v>2201.4362917225499</v>
      </c>
    </row>
    <row r="105" spans="2:4" hidden="1" outlineLevel="1">
      <c r="B105" s="412">
        <v>40239</v>
      </c>
      <c r="C105">
        <v>3820.66</v>
      </c>
      <c r="D105">
        <v>2195.6401114979399</v>
      </c>
    </row>
    <row r="106" spans="2:4" hidden="1" outlineLevel="1">
      <c r="B106" s="412">
        <v>40240</v>
      </c>
      <c r="C106">
        <v>3774.03</v>
      </c>
      <c r="D106">
        <v>2180.4491286344401</v>
      </c>
    </row>
    <row r="107" spans="2:4" hidden="1" outlineLevel="1">
      <c r="B107" s="412">
        <v>40241</v>
      </c>
      <c r="C107">
        <v>3805.85</v>
      </c>
      <c r="D107">
        <v>2195.4509539309302</v>
      </c>
    </row>
    <row r="108" spans="2:4" hidden="1" outlineLevel="1">
      <c r="B108" s="412">
        <v>40242</v>
      </c>
      <c r="C108">
        <v>3824.17</v>
      </c>
      <c r="D108">
        <v>2198.8488329899801</v>
      </c>
    </row>
    <row r="109" spans="2:4" hidden="1" outlineLevel="1">
      <c r="B109" s="412">
        <v>40245</v>
      </c>
      <c r="C109">
        <v>3835.06</v>
      </c>
      <c r="D109">
        <v>2207.6707710846199</v>
      </c>
    </row>
    <row r="110" spans="2:4" hidden="1" outlineLevel="1">
      <c r="B110" s="412">
        <v>40246</v>
      </c>
      <c r="C110">
        <v>3809.01</v>
      </c>
      <c r="D110">
        <v>2193.2361823587999</v>
      </c>
    </row>
    <row r="111" spans="2:4" hidden="1" outlineLevel="1">
      <c r="B111" s="412">
        <v>40247</v>
      </c>
      <c r="C111">
        <v>3801.22</v>
      </c>
      <c r="D111">
        <v>2182.7334801817901</v>
      </c>
    </row>
    <row r="112" spans="2:4" hidden="1" outlineLevel="1">
      <c r="B112" s="412">
        <v>40248</v>
      </c>
      <c r="C112">
        <v>3832.3</v>
      </c>
      <c r="D112">
        <v>2203.6481432933001</v>
      </c>
    </row>
    <row r="113" spans="2:4" hidden="1" outlineLevel="1">
      <c r="B113" s="412">
        <v>40249</v>
      </c>
      <c r="C113">
        <v>3844.84</v>
      </c>
      <c r="D113">
        <v>2204.2855287038401</v>
      </c>
    </row>
    <row r="114" spans="2:4" hidden="1" outlineLevel="1">
      <c r="B114" s="412">
        <v>40252</v>
      </c>
      <c r="C114">
        <v>3843.55</v>
      </c>
      <c r="D114">
        <v>2190.5881935328498</v>
      </c>
    </row>
    <row r="115" spans="2:4" hidden="1" outlineLevel="1">
      <c r="B115" s="412">
        <v>40253</v>
      </c>
      <c r="C115">
        <v>3785.5</v>
      </c>
      <c r="D115">
        <v>2108.14753418279</v>
      </c>
    </row>
    <row r="116" spans="2:4" hidden="1" outlineLevel="1">
      <c r="B116" s="412">
        <v>40254</v>
      </c>
      <c r="C116">
        <v>3768.29</v>
      </c>
      <c r="D116">
        <v>2092.3025209173302</v>
      </c>
    </row>
    <row r="117" spans="2:4" hidden="1" outlineLevel="1">
      <c r="B117" s="412">
        <v>40255</v>
      </c>
      <c r="C117">
        <v>3755.19</v>
      </c>
      <c r="D117">
        <v>2094.44734285198</v>
      </c>
    </row>
    <row r="118" spans="2:4" hidden="1" outlineLevel="1">
      <c r="B118" s="412">
        <v>40256</v>
      </c>
      <c r="C118">
        <v>3744.92</v>
      </c>
      <c r="D118">
        <v>2095.95582001291</v>
      </c>
    </row>
    <row r="119" spans="2:4" hidden="1" outlineLevel="1">
      <c r="B119" s="412">
        <v>40259</v>
      </c>
      <c r="C119">
        <v>3743</v>
      </c>
      <c r="D119">
        <v>2098.6955821988799</v>
      </c>
    </row>
    <row r="120" spans="2:4" hidden="1" outlineLevel="1">
      <c r="B120" s="412">
        <v>40260</v>
      </c>
      <c r="C120">
        <v>3730.67</v>
      </c>
      <c r="D120">
        <v>2087.6599509129501</v>
      </c>
    </row>
    <row r="121" spans="2:4" hidden="1" outlineLevel="1">
      <c r="B121" s="412">
        <v>40261</v>
      </c>
      <c r="C121">
        <v>3722.72</v>
      </c>
      <c r="D121">
        <v>2086.27313153863</v>
      </c>
    </row>
    <row r="122" spans="2:4" hidden="1" outlineLevel="1">
      <c r="B122" s="412">
        <v>40262</v>
      </c>
      <c r="C122">
        <v>3730.43</v>
      </c>
      <c r="D122">
        <v>2107.0052712380402</v>
      </c>
    </row>
    <row r="123" spans="2:4" hidden="1" outlineLevel="1">
      <c r="B123" s="412">
        <v>40263</v>
      </c>
      <c r="C123">
        <v>3773.76</v>
      </c>
      <c r="D123">
        <v>2139.5972440752898</v>
      </c>
    </row>
    <row r="124" spans="2:4" hidden="1" outlineLevel="1">
      <c r="B124" s="412">
        <v>40267</v>
      </c>
      <c r="C124">
        <v>3765.07</v>
      </c>
      <c r="D124">
        <v>2140.3297007359201</v>
      </c>
    </row>
    <row r="125" spans="2:4" hidden="1" outlineLevel="1">
      <c r="B125" s="412">
        <v>40268</v>
      </c>
      <c r="C125">
        <v>3724.59</v>
      </c>
      <c r="D125">
        <v>2141.6947151223599</v>
      </c>
    </row>
    <row r="126" spans="2:4" hidden="1" outlineLevel="1">
      <c r="B126" s="412">
        <v>40269</v>
      </c>
      <c r="C126">
        <v>3746.5</v>
      </c>
      <c r="D126">
        <v>2153.9223622212999</v>
      </c>
    </row>
    <row r="127" spans="2:4" hidden="1" outlineLevel="1">
      <c r="B127" s="412">
        <v>40273</v>
      </c>
      <c r="C127">
        <v>3781.9</v>
      </c>
      <c r="D127">
        <v>2177.74863703035</v>
      </c>
    </row>
    <row r="128" spans="2:4" hidden="1" outlineLevel="1">
      <c r="B128" s="412">
        <v>40274</v>
      </c>
      <c r="C128">
        <v>3870.35</v>
      </c>
      <c r="D128">
        <v>2232.5948349115401</v>
      </c>
    </row>
    <row r="129" spans="2:4" hidden="1" outlineLevel="1">
      <c r="B129" s="412">
        <v>40275</v>
      </c>
      <c r="C129">
        <v>3909.61</v>
      </c>
      <c r="D129">
        <v>2261.3205605192002</v>
      </c>
    </row>
    <row r="130" spans="2:4" hidden="1" outlineLevel="1">
      <c r="B130" s="412">
        <v>40276</v>
      </c>
      <c r="C130">
        <v>3939.62</v>
      </c>
      <c r="D130">
        <v>2275.7297588841202</v>
      </c>
    </row>
    <row r="131" spans="2:4" hidden="1" outlineLevel="1">
      <c r="B131" s="412">
        <v>40280</v>
      </c>
      <c r="C131">
        <v>3958.78</v>
      </c>
      <c r="D131">
        <v>2295.2347966268098</v>
      </c>
    </row>
    <row r="132" spans="2:4" hidden="1" outlineLevel="1">
      <c r="B132" s="412">
        <v>40283</v>
      </c>
      <c r="C132">
        <v>3955.83</v>
      </c>
      <c r="D132">
        <v>2279.92177935982</v>
      </c>
    </row>
    <row r="133" spans="2:4" hidden="1" outlineLevel="1">
      <c r="B133" s="412">
        <v>40284</v>
      </c>
      <c r="C133">
        <v>3966.87</v>
      </c>
      <c r="D133">
        <v>2293.5025843977501</v>
      </c>
    </row>
    <row r="134" spans="2:4" hidden="1" outlineLevel="1">
      <c r="B134" s="412">
        <v>40287</v>
      </c>
      <c r="C134">
        <v>4015.36</v>
      </c>
      <c r="D134">
        <v>2328.3177885742002</v>
      </c>
    </row>
    <row r="135" spans="2:4" hidden="1" outlineLevel="1">
      <c r="B135" s="412">
        <v>40288</v>
      </c>
      <c r="C135">
        <v>4022.37</v>
      </c>
      <c r="D135">
        <v>2322.0878461523198</v>
      </c>
    </row>
    <row r="136" spans="2:4" hidden="1" outlineLevel="1">
      <c r="B136" s="412">
        <v>40289</v>
      </c>
      <c r="C136">
        <v>4038.89</v>
      </c>
      <c r="D136">
        <v>2328.7168934337201</v>
      </c>
    </row>
    <row r="137" spans="2:4" hidden="1" outlineLevel="1">
      <c r="B137" s="412">
        <v>40290</v>
      </c>
      <c r="C137">
        <v>4077.55</v>
      </c>
      <c r="D137">
        <v>2356.5925590504698</v>
      </c>
    </row>
    <row r="138" spans="2:4" hidden="1" outlineLevel="1">
      <c r="B138" s="412">
        <v>40291</v>
      </c>
      <c r="C138">
        <v>4121.6400000000003</v>
      </c>
      <c r="D138">
        <v>2365.2547186903198</v>
      </c>
    </row>
    <row r="139" spans="2:4" hidden="1" outlineLevel="1">
      <c r="B139" s="412">
        <v>40294</v>
      </c>
      <c r="C139">
        <v>4136.05</v>
      </c>
      <c r="D139">
        <v>2375.8513134844102</v>
      </c>
    </row>
    <row r="140" spans="2:4" hidden="1" outlineLevel="1">
      <c r="B140" s="412">
        <v>40295</v>
      </c>
      <c r="C140">
        <v>4134.46</v>
      </c>
      <c r="D140">
        <v>2358.9157341676</v>
      </c>
    </row>
    <row r="141" spans="2:4" hidden="1" outlineLevel="1">
      <c r="B141" s="412">
        <v>40297</v>
      </c>
      <c r="C141">
        <v>4155</v>
      </c>
      <c r="D141">
        <v>2368.27567686059</v>
      </c>
    </row>
    <row r="142" spans="2:4" hidden="1" outlineLevel="1">
      <c r="B142" s="412">
        <v>40298</v>
      </c>
      <c r="C142">
        <v>4188.88</v>
      </c>
      <c r="D142">
        <v>2368.27567686059</v>
      </c>
    </row>
    <row r="143" spans="2:4" hidden="1" outlineLevel="1">
      <c r="B143" s="412">
        <v>40301</v>
      </c>
      <c r="C143">
        <v>4219.22</v>
      </c>
      <c r="D143">
        <v>2424.5363850273802</v>
      </c>
    </row>
    <row r="144" spans="2:4" hidden="1" outlineLevel="1">
      <c r="B144" s="412">
        <v>40302</v>
      </c>
      <c r="C144">
        <v>4205.51</v>
      </c>
      <c r="D144">
        <v>2417.54547320349</v>
      </c>
    </row>
    <row r="145" spans="2:4" hidden="1" outlineLevel="1">
      <c r="B145" s="412">
        <v>40303</v>
      </c>
      <c r="C145">
        <v>4219.76</v>
      </c>
      <c r="D145">
        <v>2403.9605045227199</v>
      </c>
    </row>
    <row r="146" spans="2:4" hidden="1" outlineLevel="1">
      <c r="B146" s="412">
        <v>40304</v>
      </c>
      <c r="C146">
        <v>4219.6000000000004</v>
      </c>
      <c r="D146">
        <v>2412.9259604712702</v>
      </c>
    </row>
    <row r="147" spans="2:4" hidden="1" outlineLevel="1">
      <c r="B147" s="412">
        <v>40305</v>
      </c>
      <c r="C147">
        <v>4223.13</v>
      </c>
      <c r="D147">
        <v>2405.0032336937702</v>
      </c>
    </row>
    <row r="148" spans="2:4" hidden="1" outlineLevel="1">
      <c r="B148" s="412">
        <v>40308</v>
      </c>
      <c r="C148">
        <v>4222.04</v>
      </c>
      <c r="D148">
        <v>2398.144894952</v>
      </c>
    </row>
    <row r="149" spans="2:4" hidden="1" outlineLevel="1">
      <c r="B149" s="412">
        <v>40309</v>
      </c>
      <c r="C149">
        <v>4215.22</v>
      </c>
      <c r="D149">
        <v>2392.8722815720698</v>
      </c>
    </row>
    <row r="150" spans="2:4" hidden="1" outlineLevel="1">
      <c r="B150" s="412">
        <v>40310</v>
      </c>
      <c r="C150">
        <v>4229.41</v>
      </c>
      <c r="D150">
        <v>2397.8506202681201</v>
      </c>
    </row>
    <row r="151" spans="2:4" hidden="1" outlineLevel="1">
      <c r="B151" s="412">
        <v>40311</v>
      </c>
      <c r="C151">
        <v>4242.67</v>
      </c>
      <c r="D151">
        <v>2399.5300691944199</v>
      </c>
    </row>
    <row r="152" spans="2:4" hidden="1" outlineLevel="1">
      <c r="B152" s="412">
        <v>40312</v>
      </c>
      <c r="C152">
        <v>4252.4399999999996</v>
      </c>
      <c r="D152">
        <v>2408.40165877043</v>
      </c>
    </row>
    <row r="153" spans="2:4" hidden="1" outlineLevel="1">
      <c r="B153" s="412">
        <v>40315</v>
      </c>
      <c r="C153">
        <v>4242.49</v>
      </c>
      <c r="D153">
        <v>2404.7572954657298</v>
      </c>
    </row>
    <row r="154" spans="2:4" hidden="1" outlineLevel="1">
      <c r="B154" s="412">
        <v>40316</v>
      </c>
      <c r="C154">
        <v>4257.67</v>
      </c>
      <c r="D154">
        <v>2406.96114108032</v>
      </c>
    </row>
    <row r="155" spans="2:4" hidden="1" outlineLevel="1">
      <c r="B155" s="412">
        <v>40317</v>
      </c>
      <c r="C155">
        <v>4243.54</v>
      </c>
      <c r="D155">
        <v>2397.1378708074599</v>
      </c>
    </row>
    <row r="156" spans="2:4" hidden="1" outlineLevel="1">
      <c r="B156" s="412">
        <v>40318</v>
      </c>
      <c r="C156">
        <v>4248.37</v>
      </c>
      <c r="D156">
        <v>2403.70887014558</v>
      </c>
    </row>
    <row r="157" spans="2:4" hidden="1" outlineLevel="1">
      <c r="B157" s="412">
        <v>40319</v>
      </c>
      <c r="C157">
        <v>4235.6899999999996</v>
      </c>
      <c r="D157">
        <v>2397.8879407813101</v>
      </c>
    </row>
    <row r="158" spans="2:4" hidden="1" outlineLevel="1">
      <c r="B158" s="412">
        <v>40322</v>
      </c>
      <c r="C158">
        <v>4232.92</v>
      </c>
      <c r="D158">
        <v>2397.6841654974301</v>
      </c>
    </row>
    <row r="159" spans="2:4" hidden="1" outlineLevel="1">
      <c r="B159" s="412">
        <v>40323</v>
      </c>
      <c r="C159">
        <v>4226.49</v>
      </c>
      <c r="D159">
        <v>2387.5970667536999</v>
      </c>
    </row>
    <row r="160" spans="2:4" hidden="1" outlineLevel="1">
      <c r="B160" s="412">
        <v>40324</v>
      </c>
      <c r="C160">
        <v>4250.99</v>
      </c>
      <c r="D160">
        <v>2402.6361730110498</v>
      </c>
    </row>
    <row r="161" spans="2:4" hidden="1" outlineLevel="1">
      <c r="B161" s="412">
        <v>40329</v>
      </c>
      <c r="C161">
        <v>4237.16</v>
      </c>
      <c r="D161">
        <v>2415.6142976122001</v>
      </c>
    </row>
    <row r="162" spans="2:4" hidden="1" outlineLevel="1">
      <c r="B162" s="412">
        <v>40330</v>
      </c>
      <c r="C162">
        <v>4258.8</v>
      </c>
      <c r="D162">
        <v>2423.1630411615001</v>
      </c>
    </row>
    <row r="163" spans="2:4" hidden="1" outlineLevel="1">
      <c r="B163" s="412">
        <v>40331</v>
      </c>
      <c r="C163">
        <v>4300.3900000000003</v>
      </c>
      <c r="D163">
        <v>2459.93704317015</v>
      </c>
    </row>
    <row r="164" spans="2:4" hidden="1" outlineLevel="1">
      <c r="B164" s="412">
        <v>40332</v>
      </c>
      <c r="C164">
        <v>4332.29</v>
      </c>
      <c r="D164">
        <v>2492.81076743427</v>
      </c>
    </row>
    <row r="165" spans="2:4" hidden="1" outlineLevel="1">
      <c r="B165" s="412">
        <v>40333</v>
      </c>
      <c r="C165">
        <v>4354.2</v>
      </c>
      <c r="D165">
        <v>2491.3683138900201</v>
      </c>
    </row>
    <row r="166" spans="2:4" hidden="1" outlineLevel="1">
      <c r="B166" s="412">
        <v>40336</v>
      </c>
      <c r="C166">
        <v>4431.32</v>
      </c>
      <c r="D166">
        <v>2549.3741772509802</v>
      </c>
    </row>
    <row r="167" spans="2:4" hidden="1" outlineLevel="1">
      <c r="B167" s="412">
        <v>40337</v>
      </c>
      <c r="C167">
        <v>4427.2700000000004</v>
      </c>
      <c r="D167">
        <v>2555.50228454638</v>
      </c>
    </row>
    <row r="168" spans="2:4" hidden="1" outlineLevel="1">
      <c r="B168" s="412">
        <v>40338</v>
      </c>
      <c r="C168">
        <v>4464.41</v>
      </c>
      <c r="D168">
        <v>2571.4154978390402</v>
      </c>
    </row>
    <row r="169" spans="2:4" hidden="1" outlineLevel="1">
      <c r="B169" s="412">
        <v>40339</v>
      </c>
      <c r="C169">
        <v>4496.24</v>
      </c>
      <c r="D169">
        <v>2606.99178268776</v>
      </c>
    </row>
    <row r="170" spans="2:4" hidden="1" outlineLevel="1">
      <c r="B170" s="412">
        <v>40340</v>
      </c>
      <c r="C170">
        <v>4561.33</v>
      </c>
      <c r="D170">
        <v>2645.8516975761599</v>
      </c>
    </row>
    <row r="171" spans="2:4" hidden="1" outlineLevel="1">
      <c r="B171" s="412">
        <v>40343</v>
      </c>
      <c r="C171">
        <v>4612.76</v>
      </c>
      <c r="D171">
        <v>2663.8223611772601</v>
      </c>
    </row>
    <row r="172" spans="2:4" hidden="1" outlineLevel="1">
      <c r="B172" s="412">
        <v>40344</v>
      </c>
      <c r="C172">
        <v>4606.6899999999996</v>
      </c>
      <c r="D172">
        <v>2657.8257118271499</v>
      </c>
    </row>
    <row r="173" spans="2:4" hidden="1" outlineLevel="1">
      <c r="B173" s="412">
        <v>40345</v>
      </c>
      <c r="C173">
        <v>4603.3599999999997</v>
      </c>
      <c r="D173">
        <v>2643.5012059546998</v>
      </c>
    </row>
    <row r="174" spans="2:4" hidden="1" outlineLevel="1">
      <c r="B174" s="412">
        <v>40346</v>
      </c>
      <c r="C174">
        <v>4607.34</v>
      </c>
      <c r="D174">
        <v>2632.31396416905</v>
      </c>
    </row>
    <row r="175" spans="2:4" hidden="1" outlineLevel="1">
      <c r="B175" s="412">
        <v>40350</v>
      </c>
      <c r="C175">
        <v>4658.68</v>
      </c>
      <c r="D175">
        <v>2655.20579754966</v>
      </c>
    </row>
    <row r="176" spans="2:4" hidden="1" outlineLevel="1">
      <c r="B176" s="412">
        <v>40351</v>
      </c>
      <c r="C176">
        <v>4634.7299999999996</v>
      </c>
      <c r="D176">
        <v>2638.1356441685398</v>
      </c>
    </row>
    <row r="177" spans="2:4" hidden="1" outlineLevel="1">
      <c r="B177" s="412">
        <v>40352</v>
      </c>
      <c r="C177">
        <v>4591.17</v>
      </c>
      <c r="D177">
        <v>2604.2555815962501</v>
      </c>
    </row>
    <row r="178" spans="2:4" hidden="1" outlineLevel="1">
      <c r="B178" s="412">
        <v>40353</v>
      </c>
      <c r="C178">
        <v>4601.55</v>
      </c>
      <c r="D178">
        <v>2614.1727240400601</v>
      </c>
    </row>
    <row r="179" spans="2:4" hidden="1" outlineLevel="1">
      <c r="B179" s="412">
        <v>40357</v>
      </c>
      <c r="C179">
        <v>4574.29</v>
      </c>
      <c r="D179">
        <v>2595.0263995116002</v>
      </c>
    </row>
    <row r="180" spans="2:4" hidden="1" outlineLevel="1">
      <c r="B180" s="412">
        <v>40358</v>
      </c>
      <c r="C180">
        <v>4612.9799999999996</v>
      </c>
      <c r="D180">
        <v>2607.8107829758001</v>
      </c>
    </row>
    <row r="181" spans="2:4" hidden="1" outlineLevel="1">
      <c r="B181" s="412">
        <v>40359</v>
      </c>
      <c r="C181">
        <v>4612.46</v>
      </c>
      <c r="D181">
        <v>2593.8998884541602</v>
      </c>
    </row>
    <row r="182" spans="2:4" hidden="1" outlineLevel="1">
      <c r="B182" s="412">
        <v>40360</v>
      </c>
      <c r="C182">
        <v>4610.71</v>
      </c>
      <c r="D182">
        <v>2595.9703039763799</v>
      </c>
    </row>
    <row r="183" spans="2:4" hidden="1" outlineLevel="1">
      <c r="B183" s="412">
        <v>40361</v>
      </c>
      <c r="C183">
        <v>4593.6499999999996</v>
      </c>
      <c r="D183">
        <v>2574.0825814330901</v>
      </c>
    </row>
    <row r="184" spans="2:4" hidden="1" outlineLevel="1">
      <c r="B184" s="412">
        <v>40364</v>
      </c>
      <c r="C184">
        <v>4558.4799999999996</v>
      </c>
      <c r="D184">
        <v>2564.1435346335302</v>
      </c>
    </row>
    <row r="185" spans="2:4" hidden="1" outlineLevel="1">
      <c r="B185" s="412">
        <v>40365</v>
      </c>
      <c r="C185">
        <v>4547.18</v>
      </c>
      <c r="D185">
        <v>2547.4762124604499</v>
      </c>
    </row>
    <row r="186" spans="2:4" hidden="1" outlineLevel="1">
      <c r="B186" s="412">
        <v>40366</v>
      </c>
      <c r="C186">
        <v>4470.78</v>
      </c>
      <c r="D186">
        <v>2507.7171852278698</v>
      </c>
    </row>
    <row r="187" spans="2:4" hidden="1" outlineLevel="1">
      <c r="B187" s="412">
        <v>40367</v>
      </c>
      <c r="C187">
        <v>4521.3999999999996</v>
      </c>
      <c r="D187">
        <v>2524.6663880861602</v>
      </c>
    </row>
    <row r="188" spans="2:4" hidden="1" outlineLevel="1">
      <c r="B188" s="412">
        <v>40368</v>
      </c>
      <c r="C188">
        <v>4505.6899999999996</v>
      </c>
      <c r="D188">
        <v>2517.4603342800301</v>
      </c>
    </row>
    <row r="189" spans="2:4" hidden="1" outlineLevel="1">
      <c r="B189" s="412">
        <v>40371</v>
      </c>
      <c r="C189">
        <v>4533.95</v>
      </c>
      <c r="D189">
        <v>2537.4146703586598</v>
      </c>
    </row>
    <row r="190" spans="2:4" hidden="1" outlineLevel="1">
      <c r="B190" s="412">
        <v>40372</v>
      </c>
      <c r="C190">
        <v>4555.83</v>
      </c>
      <c r="D190">
        <v>2544.7319530928398</v>
      </c>
    </row>
    <row r="191" spans="2:4" hidden="1" outlineLevel="1">
      <c r="B191" s="412">
        <v>40373</v>
      </c>
      <c r="C191">
        <v>4600.22</v>
      </c>
      <c r="D191">
        <v>2564.1703871797999</v>
      </c>
    </row>
    <row r="192" spans="2:4" hidden="1" outlineLevel="1">
      <c r="B192" s="412">
        <v>40374</v>
      </c>
      <c r="C192">
        <v>4638.71</v>
      </c>
      <c r="D192">
        <v>2582.6260594926498</v>
      </c>
    </row>
    <row r="193" spans="2:4" hidden="1" outlineLevel="1">
      <c r="B193" s="412">
        <v>40375</v>
      </c>
      <c r="C193">
        <v>4676.8900000000003</v>
      </c>
      <c r="D193">
        <v>2607.1639216848498</v>
      </c>
    </row>
    <row r="194" spans="2:4" hidden="1" outlineLevel="1">
      <c r="B194" s="412">
        <v>40378</v>
      </c>
      <c r="C194">
        <v>4729.26</v>
      </c>
      <c r="D194">
        <v>2630.2812115326101</v>
      </c>
    </row>
    <row r="195" spans="2:4" hidden="1" outlineLevel="1">
      <c r="B195" s="412">
        <v>40379</v>
      </c>
      <c r="C195">
        <v>4806.43</v>
      </c>
      <c r="D195">
        <v>2673.4259605694701</v>
      </c>
    </row>
    <row r="196" spans="2:4" hidden="1" outlineLevel="1">
      <c r="B196" s="412">
        <v>40380</v>
      </c>
      <c r="C196">
        <v>4857.57</v>
      </c>
      <c r="D196">
        <v>2687.1178047703002</v>
      </c>
    </row>
    <row r="197" spans="2:4" hidden="1" outlineLevel="1">
      <c r="B197" s="412">
        <v>40381</v>
      </c>
      <c r="C197">
        <v>4849.17</v>
      </c>
      <c r="D197">
        <v>2682.44466650809</v>
      </c>
    </row>
    <row r="198" spans="2:4" hidden="1" outlineLevel="1">
      <c r="B198" s="412">
        <v>40382</v>
      </c>
      <c r="C198">
        <v>4895.51</v>
      </c>
      <c r="D198">
        <v>2705.44380836562</v>
      </c>
    </row>
    <row r="199" spans="2:4" hidden="1" outlineLevel="1">
      <c r="B199" s="412">
        <v>40385</v>
      </c>
      <c r="C199">
        <v>4943.53</v>
      </c>
      <c r="D199">
        <v>2729.2080230697402</v>
      </c>
    </row>
    <row r="200" spans="2:4" hidden="1" outlineLevel="1">
      <c r="B200" s="412">
        <v>40386</v>
      </c>
      <c r="C200">
        <v>4999.05</v>
      </c>
      <c r="D200">
        <v>2767.4404397402</v>
      </c>
    </row>
    <row r="201" spans="2:4" hidden="1" outlineLevel="1">
      <c r="B201" s="412">
        <v>40387</v>
      </c>
      <c r="C201">
        <v>5138.93</v>
      </c>
      <c r="D201">
        <v>2847.1292840306901</v>
      </c>
    </row>
    <row r="202" spans="2:4" hidden="1" outlineLevel="1">
      <c r="B202" s="412">
        <v>40388</v>
      </c>
      <c r="C202">
        <v>5119.1000000000004</v>
      </c>
      <c r="D202">
        <v>2827.79905002444</v>
      </c>
    </row>
    <row r="203" spans="2:4" hidden="1" outlineLevel="1">
      <c r="B203" s="412">
        <v>40389</v>
      </c>
      <c r="C203">
        <v>5161.18</v>
      </c>
      <c r="D203">
        <v>2853.4926533830899</v>
      </c>
    </row>
    <row r="204" spans="2:4" hidden="1" outlineLevel="1">
      <c r="B204" s="412">
        <v>40392</v>
      </c>
      <c r="C204">
        <v>5182.8500000000004</v>
      </c>
      <c r="D204">
        <v>2858.508603196</v>
      </c>
    </row>
    <row r="205" spans="2:4" hidden="1" outlineLevel="1">
      <c r="B205" s="412">
        <v>40393</v>
      </c>
      <c r="C205">
        <v>5156.83</v>
      </c>
      <c r="D205">
        <v>2867.9689192959299</v>
      </c>
    </row>
    <row r="206" spans="2:4" hidden="1" outlineLevel="1">
      <c r="B206" s="412">
        <v>40394</v>
      </c>
      <c r="C206">
        <v>5214.84</v>
      </c>
      <c r="D206">
        <v>2885.5975649226898</v>
      </c>
    </row>
    <row r="207" spans="2:4" hidden="1" outlineLevel="1">
      <c r="B207" s="412">
        <v>40395</v>
      </c>
      <c r="C207">
        <v>5137.38</v>
      </c>
      <c r="D207">
        <v>2858.3359675786301</v>
      </c>
    </row>
    <row r="208" spans="2:4" hidden="1" outlineLevel="1">
      <c r="B208" s="412">
        <v>40396</v>
      </c>
      <c r="C208">
        <v>5065.07</v>
      </c>
      <c r="D208">
        <v>2814.0032054738999</v>
      </c>
    </row>
    <row r="209" spans="2:4" hidden="1" outlineLevel="1">
      <c r="B209" s="412">
        <v>40399</v>
      </c>
      <c r="C209">
        <v>4862.8599999999997</v>
      </c>
      <c r="D209">
        <v>2739.3909766626598</v>
      </c>
    </row>
    <row r="210" spans="2:4" hidden="1" outlineLevel="1">
      <c r="B210" s="412">
        <v>40400</v>
      </c>
      <c r="C210">
        <v>5092.9399999999996</v>
      </c>
      <c r="D210">
        <v>2852.8215386827501</v>
      </c>
    </row>
    <row r="211" spans="2:4" hidden="1" outlineLevel="1">
      <c r="B211" s="412">
        <v>40401</v>
      </c>
      <c r="C211">
        <v>5078.6400000000003</v>
      </c>
      <c r="D211">
        <v>2843.4881076336301</v>
      </c>
    </row>
    <row r="212" spans="2:4" hidden="1" outlineLevel="1">
      <c r="B212" s="412">
        <v>40402</v>
      </c>
      <c r="C212">
        <v>5034.8500000000004</v>
      </c>
      <c r="D212">
        <v>2808.57321461436</v>
      </c>
    </row>
    <row r="213" spans="2:4" hidden="1" outlineLevel="1">
      <c r="B213" s="412">
        <v>40403</v>
      </c>
      <c r="C213">
        <v>5115.79</v>
      </c>
      <c r="D213">
        <v>2852.13222317286</v>
      </c>
    </row>
    <row r="214" spans="2:4" hidden="1" outlineLevel="1">
      <c r="B214" s="412">
        <v>40406</v>
      </c>
      <c r="C214">
        <v>5191.3</v>
      </c>
      <c r="D214">
        <v>2908.0726074474701</v>
      </c>
    </row>
    <row r="215" spans="2:4" hidden="1" outlineLevel="1">
      <c r="B215" s="412">
        <v>40407</v>
      </c>
      <c r="C215">
        <v>5305.8</v>
      </c>
      <c r="D215">
        <v>2979.75854333081</v>
      </c>
    </row>
    <row r="216" spans="2:4" hidden="1" outlineLevel="1">
      <c r="B216" s="412">
        <v>40408</v>
      </c>
      <c r="C216">
        <v>5421.75</v>
      </c>
      <c r="D216">
        <v>3062.4280709381401</v>
      </c>
    </row>
    <row r="217" spans="2:4" hidden="1" outlineLevel="1">
      <c r="B217" s="412">
        <v>40409</v>
      </c>
      <c r="C217">
        <v>5568.5</v>
      </c>
      <c r="D217">
        <v>3135.4735336189501</v>
      </c>
    </row>
    <row r="218" spans="2:4" hidden="1" outlineLevel="1">
      <c r="B218" s="412">
        <v>40410</v>
      </c>
      <c r="C218">
        <v>5563</v>
      </c>
      <c r="D218">
        <v>3129.2299378084899</v>
      </c>
    </row>
    <row r="219" spans="2:4" hidden="1" outlineLevel="1">
      <c r="B219" s="412">
        <v>40413</v>
      </c>
      <c r="C219">
        <v>5563.99</v>
      </c>
      <c r="D219">
        <v>3115.4493945928898</v>
      </c>
    </row>
    <row r="220" spans="2:4" hidden="1" outlineLevel="1">
      <c r="B220" s="412">
        <v>40415</v>
      </c>
      <c r="C220">
        <v>5582.87</v>
      </c>
      <c r="D220">
        <v>3131.1001777646702</v>
      </c>
    </row>
    <row r="221" spans="2:4" hidden="1" outlineLevel="1">
      <c r="B221" s="412">
        <v>40416</v>
      </c>
      <c r="C221">
        <v>5594.3</v>
      </c>
      <c r="D221">
        <v>3129.6968844850098</v>
      </c>
    </row>
    <row r="222" spans="2:4" hidden="1" outlineLevel="1">
      <c r="B222" s="412">
        <v>40417</v>
      </c>
      <c r="C222">
        <v>5634.15</v>
      </c>
      <c r="D222">
        <v>3133.4322131018198</v>
      </c>
    </row>
    <row r="223" spans="2:4" hidden="1" outlineLevel="1">
      <c r="B223" s="412">
        <v>40420</v>
      </c>
      <c r="C223">
        <v>5600.77</v>
      </c>
      <c r="D223">
        <v>3104.654098516</v>
      </c>
    </row>
    <row r="224" spans="2:4" hidden="1" outlineLevel="1">
      <c r="B224" s="412">
        <v>40421</v>
      </c>
      <c r="C224">
        <v>5658.01</v>
      </c>
      <c r="D224">
        <v>3142.1551785207898</v>
      </c>
    </row>
    <row r="225" spans="2:4" hidden="1" outlineLevel="1">
      <c r="B225" s="412">
        <v>40422</v>
      </c>
      <c r="C225">
        <v>5690.29</v>
      </c>
      <c r="D225">
        <v>3135.5626564335298</v>
      </c>
    </row>
    <row r="226" spans="2:4" hidden="1" outlineLevel="1">
      <c r="B226" s="412">
        <v>40423</v>
      </c>
      <c r="C226">
        <v>5785.17</v>
      </c>
      <c r="D226">
        <v>3205.8377253961698</v>
      </c>
    </row>
    <row r="227" spans="2:4" hidden="1" outlineLevel="1">
      <c r="B227" s="412">
        <v>40424</v>
      </c>
      <c r="C227">
        <v>5880.49</v>
      </c>
      <c r="D227">
        <v>3250.8193213412001</v>
      </c>
    </row>
    <row r="228" spans="2:4" hidden="1" outlineLevel="1">
      <c r="B228" s="412">
        <v>40427</v>
      </c>
      <c r="C228">
        <v>5858.54</v>
      </c>
      <c r="D228">
        <v>3229.0329141022498</v>
      </c>
    </row>
    <row r="229" spans="2:4" hidden="1" outlineLevel="1">
      <c r="B229" s="412">
        <v>40428</v>
      </c>
      <c r="C229">
        <v>5884.99</v>
      </c>
      <c r="D229">
        <v>3245.5660244966198</v>
      </c>
    </row>
    <row r="230" spans="2:4" hidden="1" outlineLevel="1">
      <c r="B230" s="412">
        <v>40429</v>
      </c>
      <c r="C230">
        <v>5962.62</v>
      </c>
      <c r="D230">
        <v>3298.2185920367401</v>
      </c>
    </row>
    <row r="231" spans="2:4" hidden="1" outlineLevel="1">
      <c r="B231" s="412">
        <v>40430</v>
      </c>
      <c r="C231">
        <v>6023.41</v>
      </c>
      <c r="D231">
        <v>3330.6142457385399</v>
      </c>
    </row>
    <row r="232" spans="2:4" hidden="1" outlineLevel="1">
      <c r="B232" s="412">
        <v>40434</v>
      </c>
      <c r="C232">
        <v>6131.22</v>
      </c>
      <c r="D232">
        <v>3388.0105791599899</v>
      </c>
    </row>
    <row r="233" spans="2:4" hidden="1" outlineLevel="1">
      <c r="B233" s="412">
        <v>40435</v>
      </c>
      <c r="C233">
        <v>6175.06</v>
      </c>
      <c r="D233">
        <v>3402.2851110624201</v>
      </c>
    </row>
    <row r="234" spans="2:4" hidden="1" outlineLevel="1">
      <c r="B234" s="412">
        <v>40436</v>
      </c>
      <c r="C234">
        <v>6238.45</v>
      </c>
      <c r="D234">
        <v>3427.97647682773</v>
      </c>
    </row>
    <row r="235" spans="2:4" hidden="1" outlineLevel="1">
      <c r="B235" s="412">
        <v>40437</v>
      </c>
      <c r="C235">
        <v>6343.71</v>
      </c>
      <c r="D235">
        <v>3514.5416086579398</v>
      </c>
    </row>
    <row r="236" spans="2:4" hidden="1" outlineLevel="1">
      <c r="B236" s="412">
        <v>40438</v>
      </c>
      <c r="C236">
        <v>6457.28</v>
      </c>
      <c r="D236">
        <v>3586.0729063818799</v>
      </c>
    </row>
    <row r="237" spans="2:4" hidden="1" outlineLevel="1">
      <c r="B237" s="412">
        <v>40441</v>
      </c>
      <c r="C237">
        <v>6521.43</v>
      </c>
      <c r="D237">
        <v>3597.0088406013601</v>
      </c>
    </row>
    <row r="238" spans="2:4" hidden="1" outlineLevel="1">
      <c r="B238" s="412">
        <v>40442</v>
      </c>
      <c r="C238">
        <v>6702.99</v>
      </c>
      <c r="D238">
        <v>3689.0463918179298</v>
      </c>
    </row>
    <row r="239" spans="2:4" hidden="1" outlineLevel="1">
      <c r="B239" s="412">
        <v>40444</v>
      </c>
      <c r="C239">
        <v>6772.43</v>
      </c>
      <c r="D239">
        <v>3760.4718782127302</v>
      </c>
    </row>
    <row r="240" spans="2:4" hidden="1" outlineLevel="1">
      <c r="B240" s="412">
        <v>40445</v>
      </c>
      <c r="C240">
        <v>6888.49</v>
      </c>
      <c r="D240">
        <v>3842.27459942212</v>
      </c>
    </row>
    <row r="241" spans="2:4" hidden="1" outlineLevel="1">
      <c r="B241" s="412">
        <v>40448</v>
      </c>
      <c r="C241">
        <v>6881.54</v>
      </c>
      <c r="D241">
        <v>3844.0891163669198</v>
      </c>
    </row>
    <row r="242" spans="2:4" hidden="1" outlineLevel="1">
      <c r="B242" s="412">
        <v>40449</v>
      </c>
      <c r="C242">
        <v>6845.77</v>
      </c>
      <c r="D242">
        <v>3790.4554124881702</v>
      </c>
    </row>
    <row r="243" spans="2:4" hidden="1" outlineLevel="1">
      <c r="B243" s="412">
        <v>40450</v>
      </c>
      <c r="C243">
        <v>6929.9</v>
      </c>
      <c r="D243">
        <v>3851.17581991631</v>
      </c>
    </row>
    <row r="244" spans="2:4" hidden="1" outlineLevel="1">
      <c r="B244" s="412">
        <v>40451</v>
      </c>
      <c r="C244">
        <v>6997.22</v>
      </c>
      <c r="D244">
        <v>3940.3557378300502</v>
      </c>
    </row>
    <row r="245" spans="2:4" hidden="1" outlineLevel="1">
      <c r="B245" s="412">
        <v>40452</v>
      </c>
      <c r="C245">
        <v>7147.77</v>
      </c>
      <c r="D245">
        <v>4053.65274009102</v>
      </c>
    </row>
    <row r="246" spans="2:4" hidden="1" outlineLevel="1">
      <c r="B246" s="412">
        <v>40455</v>
      </c>
      <c r="C246">
        <v>7089.69</v>
      </c>
      <c r="D246">
        <v>4005.64938174792</v>
      </c>
    </row>
    <row r="247" spans="2:4" hidden="1" outlineLevel="1">
      <c r="B247" s="412">
        <v>40456</v>
      </c>
      <c r="C247">
        <v>6991.06</v>
      </c>
      <c r="D247">
        <v>3930.94988354727</v>
      </c>
    </row>
    <row r="248" spans="2:4" hidden="1" outlineLevel="1">
      <c r="B248" s="412">
        <v>40457</v>
      </c>
      <c r="C248">
        <v>6862.67</v>
      </c>
      <c r="D248">
        <v>3864.0902708671001</v>
      </c>
    </row>
    <row r="249" spans="2:4" hidden="1" outlineLevel="1">
      <c r="B249" s="412">
        <v>40458</v>
      </c>
      <c r="C249">
        <v>6770.74</v>
      </c>
      <c r="D249">
        <v>3828.2405565921099</v>
      </c>
    </row>
    <row r="250" spans="2:4" hidden="1" outlineLevel="1">
      <c r="B250" s="412">
        <v>40459</v>
      </c>
      <c r="C250">
        <v>6833.61</v>
      </c>
      <c r="D250">
        <v>3844.0563615031801</v>
      </c>
    </row>
    <row r="251" spans="2:4" hidden="1" outlineLevel="1">
      <c r="B251" s="412">
        <v>40462</v>
      </c>
      <c r="C251">
        <v>6834.61</v>
      </c>
      <c r="D251">
        <v>3842.8105986099499</v>
      </c>
    </row>
    <row r="252" spans="2:4" hidden="1" outlineLevel="1">
      <c r="B252" s="412">
        <v>40463</v>
      </c>
      <c r="C252">
        <v>6534.02</v>
      </c>
      <c r="D252">
        <v>3696.7132055427801</v>
      </c>
    </row>
    <row r="253" spans="2:4" hidden="1" outlineLevel="1">
      <c r="B253" s="412">
        <v>40464</v>
      </c>
      <c r="C253">
        <v>6628.83</v>
      </c>
      <c r="D253">
        <v>3778.4464012211602</v>
      </c>
    </row>
    <row r="254" spans="2:4" hidden="1" outlineLevel="1">
      <c r="B254" s="412">
        <v>40465</v>
      </c>
      <c r="C254">
        <v>6622.08</v>
      </c>
      <c r="D254">
        <v>3760.7505111241799</v>
      </c>
    </row>
    <row r="255" spans="2:4" hidden="1" outlineLevel="1">
      <c r="B255" s="412">
        <v>40466</v>
      </c>
      <c r="C255">
        <v>6626.86</v>
      </c>
      <c r="D255">
        <v>3758.3104497158001</v>
      </c>
    </row>
    <row r="256" spans="2:4" hidden="1" outlineLevel="1">
      <c r="B256" s="412">
        <v>40469</v>
      </c>
      <c r="C256">
        <v>6622.59</v>
      </c>
      <c r="D256">
        <v>3764.04565480061</v>
      </c>
    </row>
    <row r="257" spans="2:4" hidden="1" outlineLevel="1">
      <c r="B257" s="412">
        <v>40470</v>
      </c>
      <c r="C257">
        <v>6703.61</v>
      </c>
      <c r="D257">
        <v>3807.8579165558899</v>
      </c>
    </row>
    <row r="258" spans="2:4" hidden="1" outlineLevel="1">
      <c r="B258" s="412">
        <v>40471</v>
      </c>
      <c r="C258">
        <v>6664.22</v>
      </c>
      <c r="D258">
        <v>3780.7203213017301</v>
      </c>
    </row>
    <row r="259" spans="2:4" hidden="1" outlineLevel="1">
      <c r="B259" s="412">
        <v>40472</v>
      </c>
      <c r="C259">
        <v>6685.99</v>
      </c>
      <c r="D259">
        <v>3794.2646326622598</v>
      </c>
    </row>
    <row r="260" spans="2:4" hidden="1" outlineLevel="1">
      <c r="B260" s="412">
        <v>40476</v>
      </c>
      <c r="C260">
        <v>6633.33</v>
      </c>
      <c r="D260">
        <v>3771.2814223319701</v>
      </c>
    </row>
    <row r="261" spans="2:4" hidden="1" outlineLevel="1">
      <c r="B261" s="412">
        <v>40477</v>
      </c>
      <c r="C261">
        <v>6546.16</v>
      </c>
      <c r="D261">
        <v>3738.59300003205</v>
      </c>
    </row>
    <row r="262" spans="2:4" hidden="1" outlineLevel="1">
      <c r="B262" s="412">
        <v>40478</v>
      </c>
      <c r="C262">
        <v>6557</v>
      </c>
      <c r="D262">
        <v>3751.06197788491</v>
      </c>
    </row>
    <row r="263" spans="2:4" hidden="1" outlineLevel="1">
      <c r="B263" s="412">
        <v>40479</v>
      </c>
      <c r="C263">
        <v>6575.74</v>
      </c>
      <c r="D263">
        <v>3751.8990029040101</v>
      </c>
    </row>
    <row r="264" spans="2:4" hidden="1" outlineLevel="1">
      <c r="B264" s="412">
        <v>40480</v>
      </c>
      <c r="C264">
        <v>6678.05</v>
      </c>
      <c r="D264">
        <v>3822.9114453688899</v>
      </c>
    </row>
    <row r="265" spans="2:4" hidden="1" outlineLevel="1">
      <c r="B265" s="412">
        <v>40483</v>
      </c>
      <c r="C265">
        <v>6752.43</v>
      </c>
      <c r="D265">
        <v>3867.7931451254499</v>
      </c>
    </row>
    <row r="266" spans="2:4" hidden="1" outlineLevel="1">
      <c r="B266" s="412">
        <v>40484</v>
      </c>
      <c r="C266">
        <v>6710.64</v>
      </c>
      <c r="D266">
        <v>3842.8241678673498</v>
      </c>
    </row>
    <row r="267" spans="2:4" hidden="1" outlineLevel="1">
      <c r="B267" s="412">
        <v>40485</v>
      </c>
      <c r="C267">
        <v>6674.91</v>
      </c>
      <c r="D267">
        <v>3803.64728763325</v>
      </c>
    </row>
    <row r="268" spans="2:4" hidden="1" outlineLevel="1">
      <c r="B268" s="412">
        <v>40486</v>
      </c>
      <c r="C268">
        <v>6658.45</v>
      </c>
      <c r="D268">
        <v>3803.0976402782298</v>
      </c>
    </row>
    <row r="269" spans="2:4" hidden="1" outlineLevel="1">
      <c r="B269" s="412">
        <v>40490</v>
      </c>
      <c r="C269">
        <v>6640.19</v>
      </c>
      <c r="D269">
        <v>3800.3589470730099</v>
      </c>
    </row>
    <row r="270" spans="2:4" hidden="1" outlineLevel="1">
      <c r="B270" s="412">
        <v>40491</v>
      </c>
      <c r="C270">
        <v>6592.38</v>
      </c>
      <c r="D270">
        <v>3779.1398778062799</v>
      </c>
    </row>
    <row r="271" spans="2:4" hidden="1" outlineLevel="1">
      <c r="B271" s="412">
        <v>40492</v>
      </c>
      <c r="C271">
        <v>6535.09</v>
      </c>
      <c r="D271">
        <v>3742.1774163232899</v>
      </c>
    </row>
    <row r="272" spans="2:4" hidden="1" outlineLevel="1">
      <c r="B272" s="412">
        <v>40493</v>
      </c>
      <c r="C272">
        <v>6569.61</v>
      </c>
      <c r="D272">
        <v>3763.5786550794701</v>
      </c>
    </row>
    <row r="273" spans="2:4" hidden="1" outlineLevel="1">
      <c r="B273" s="412">
        <v>40494</v>
      </c>
      <c r="C273">
        <v>6600.06</v>
      </c>
      <c r="D273">
        <v>3777.8758102936399</v>
      </c>
    </row>
    <row r="274" spans="2:4" hidden="1" outlineLevel="1">
      <c r="B274" s="412">
        <v>40497</v>
      </c>
      <c r="C274">
        <v>6507.21</v>
      </c>
      <c r="D274">
        <v>3729.6654333155502</v>
      </c>
    </row>
    <row r="275" spans="2:4" hidden="1" outlineLevel="1">
      <c r="B275" s="412">
        <v>40498</v>
      </c>
      <c r="C275">
        <v>6472.42</v>
      </c>
      <c r="D275">
        <v>3723.69121910592</v>
      </c>
    </row>
    <row r="276" spans="2:4" hidden="1" outlineLevel="1">
      <c r="B276" s="412">
        <v>40500</v>
      </c>
      <c r="C276">
        <v>6565</v>
      </c>
      <c r="D276">
        <v>3770.0247437831199</v>
      </c>
    </row>
    <row r="277" spans="2:4" hidden="1" outlineLevel="1">
      <c r="B277" s="412">
        <v>40504</v>
      </c>
      <c r="C277">
        <v>6515.8</v>
      </c>
      <c r="D277">
        <v>3734.1118609267401</v>
      </c>
    </row>
    <row r="278" spans="2:4" hidden="1" outlineLevel="1">
      <c r="B278" s="412">
        <v>40505</v>
      </c>
      <c r="C278">
        <v>6454.18</v>
      </c>
      <c r="D278">
        <v>3714.3686197422098</v>
      </c>
    </row>
    <row r="279" spans="2:4" hidden="1" outlineLevel="1">
      <c r="B279" s="412">
        <v>40506</v>
      </c>
      <c r="C279">
        <v>6462.12</v>
      </c>
      <c r="D279">
        <v>3729.1287662241698</v>
      </c>
    </row>
    <row r="280" spans="2:4" hidden="1" outlineLevel="1">
      <c r="B280" s="412">
        <v>40507</v>
      </c>
      <c r="C280">
        <v>6413.32</v>
      </c>
      <c r="D280">
        <v>3693.0482173492101</v>
      </c>
    </row>
    <row r="281" spans="2:4" hidden="1" outlineLevel="1">
      <c r="B281" s="412">
        <v>40508</v>
      </c>
      <c r="C281">
        <v>6381.07</v>
      </c>
      <c r="D281">
        <v>3686.7744110920698</v>
      </c>
    </row>
    <row r="282" spans="2:4" hidden="1" outlineLevel="1">
      <c r="B282" s="412">
        <v>40511</v>
      </c>
      <c r="C282">
        <v>6257.01</v>
      </c>
      <c r="D282">
        <v>3614.2139334866702</v>
      </c>
    </row>
    <row r="283" spans="2:4" hidden="1" outlineLevel="1">
      <c r="B283" s="412">
        <v>40512</v>
      </c>
      <c r="C283">
        <v>6434.85</v>
      </c>
      <c r="D283">
        <v>3681.3082417496998</v>
      </c>
    </row>
    <row r="284" spans="2:4" hidden="1" outlineLevel="1">
      <c r="B284" s="412">
        <v>40513</v>
      </c>
      <c r="C284">
        <v>6559.89</v>
      </c>
      <c r="D284">
        <v>3729.3305770470301</v>
      </c>
    </row>
    <row r="285" spans="2:4" hidden="1" outlineLevel="1">
      <c r="B285" s="412">
        <v>40514</v>
      </c>
      <c r="C285">
        <v>6538.84</v>
      </c>
      <c r="D285">
        <v>3723.6099426164101</v>
      </c>
    </row>
    <row r="286" spans="2:4" hidden="1" outlineLevel="1">
      <c r="B286" s="412">
        <v>40515</v>
      </c>
      <c r="C286">
        <v>6547.68</v>
      </c>
      <c r="D286">
        <v>3732.1970222939299</v>
      </c>
    </row>
    <row r="287" spans="2:4" hidden="1" outlineLevel="1">
      <c r="B287" s="412">
        <v>40518</v>
      </c>
      <c r="C287">
        <v>6506.3</v>
      </c>
      <c r="D287">
        <v>3704.2744113489398</v>
      </c>
    </row>
    <row r="288" spans="2:4" hidden="1" outlineLevel="1">
      <c r="B288" s="412">
        <v>40519</v>
      </c>
      <c r="C288">
        <v>6469.08</v>
      </c>
      <c r="D288">
        <v>3682.8105943385499</v>
      </c>
    </row>
    <row r="289" spans="2:4" hidden="1" outlineLevel="1">
      <c r="B289" s="412">
        <v>40520</v>
      </c>
      <c r="C289">
        <v>6454.31</v>
      </c>
      <c r="D289">
        <v>3669.9007620825</v>
      </c>
    </row>
    <row r="290" spans="2:4" hidden="1" outlineLevel="1">
      <c r="B290" s="412">
        <v>40521</v>
      </c>
      <c r="C290">
        <v>6445.77</v>
      </c>
      <c r="D290">
        <v>3657.2045471751899</v>
      </c>
    </row>
    <row r="291" spans="2:4" hidden="1" outlineLevel="1">
      <c r="B291" s="412">
        <v>40522</v>
      </c>
      <c r="C291">
        <v>6432.75</v>
      </c>
      <c r="D291">
        <v>3654.1932040690599</v>
      </c>
    </row>
    <row r="292" spans="2:4" hidden="1" outlineLevel="1">
      <c r="B292" s="412">
        <v>40525</v>
      </c>
      <c r="C292">
        <v>6436.82</v>
      </c>
      <c r="D292">
        <v>3666.3088613076002</v>
      </c>
    </row>
    <row r="293" spans="2:4" hidden="1" outlineLevel="1">
      <c r="B293" s="412">
        <v>40526</v>
      </c>
      <c r="C293">
        <v>6385.6</v>
      </c>
      <c r="D293">
        <v>3642.8131602172898</v>
      </c>
    </row>
    <row r="294" spans="2:4" hidden="1" outlineLevel="1">
      <c r="B294" s="412">
        <v>40527</v>
      </c>
      <c r="C294">
        <v>6373.76</v>
      </c>
      <c r="D294">
        <v>3635.6416551286902</v>
      </c>
    </row>
    <row r="295" spans="2:4" hidden="1" outlineLevel="1">
      <c r="B295" s="412">
        <v>40528</v>
      </c>
      <c r="C295">
        <v>6360.34</v>
      </c>
      <c r="D295">
        <v>3628.9069643984699</v>
      </c>
    </row>
    <row r="296" spans="2:4" hidden="1" outlineLevel="1">
      <c r="B296" s="412">
        <v>40529</v>
      </c>
      <c r="C296">
        <v>6360.84</v>
      </c>
      <c r="D296">
        <v>3632.6214675845599</v>
      </c>
    </row>
    <row r="297" spans="2:4" hidden="1" outlineLevel="1">
      <c r="B297" s="412">
        <v>40533</v>
      </c>
      <c r="C297">
        <v>6378.91</v>
      </c>
      <c r="D297">
        <v>3631.31784996236</v>
      </c>
    </row>
    <row r="298" spans="2:4" hidden="1" outlineLevel="1">
      <c r="B298" s="412">
        <v>40534</v>
      </c>
      <c r="C298">
        <v>6455.82</v>
      </c>
      <c r="D298">
        <v>3660.3710754730901</v>
      </c>
    </row>
    <row r="299" spans="2:4" hidden="1" outlineLevel="1">
      <c r="B299" s="412">
        <v>40535</v>
      </c>
      <c r="C299">
        <v>6511.51</v>
      </c>
      <c r="D299">
        <v>3680.2242480672098</v>
      </c>
    </row>
    <row r="300" spans="2:4" hidden="1" outlineLevel="1">
      <c r="B300" s="412">
        <v>40536</v>
      </c>
      <c r="C300">
        <v>6558.25</v>
      </c>
      <c r="D300">
        <v>3680.2242480672098</v>
      </c>
    </row>
    <row r="301" spans="2:4" hidden="1" outlineLevel="1">
      <c r="B301" s="412">
        <v>40539</v>
      </c>
      <c r="C301">
        <v>6621.51</v>
      </c>
      <c r="D301">
        <v>3763.3929903286498</v>
      </c>
    </row>
    <row r="302" spans="2:4" hidden="1" outlineLevel="1">
      <c r="B302" s="412">
        <v>40540</v>
      </c>
      <c r="C302">
        <v>6641.08</v>
      </c>
      <c r="D302">
        <v>3769.7347871386701</v>
      </c>
    </row>
    <row r="303" spans="2:4" hidden="1" outlineLevel="1">
      <c r="B303" s="412">
        <v>40541</v>
      </c>
      <c r="C303">
        <v>6646.92</v>
      </c>
      <c r="D303">
        <v>3774.9637281563801</v>
      </c>
    </row>
    <row r="304" spans="2:4" hidden="1" outlineLevel="1">
      <c r="B304" s="412">
        <v>40542</v>
      </c>
      <c r="C304">
        <v>6614.13</v>
      </c>
      <c r="D304">
        <v>3754.06540087236</v>
      </c>
    </row>
    <row r="305" spans="2:4" hidden="1" outlineLevel="1">
      <c r="B305" s="412">
        <v>40543</v>
      </c>
      <c r="C305">
        <v>6635.87</v>
      </c>
      <c r="D305">
        <v>3753.4587899550302</v>
      </c>
    </row>
    <row r="306" spans="2:4" hidden="1" outlineLevel="1">
      <c r="B306" s="412">
        <v>40546</v>
      </c>
      <c r="C306">
        <v>6657.96</v>
      </c>
      <c r="D306">
        <v>3738.0451064855802</v>
      </c>
    </row>
    <row r="307" spans="2:4" hidden="1" outlineLevel="1">
      <c r="B307" s="412">
        <v>40547</v>
      </c>
      <c r="C307">
        <v>6701.85</v>
      </c>
      <c r="D307">
        <v>3760.11872475976</v>
      </c>
    </row>
    <row r="308" spans="2:4" hidden="1" outlineLevel="1">
      <c r="B308" s="412">
        <v>40548</v>
      </c>
      <c r="C308">
        <v>6754.31</v>
      </c>
      <c r="D308">
        <v>3770.3014704768002</v>
      </c>
    </row>
    <row r="309" spans="2:4" hidden="1" outlineLevel="1">
      <c r="B309" s="412">
        <v>40549</v>
      </c>
      <c r="C309">
        <v>6809.73</v>
      </c>
      <c r="D309">
        <v>3786.4816948941002</v>
      </c>
    </row>
    <row r="310" spans="2:4" hidden="1" outlineLevel="1">
      <c r="B310" s="412">
        <v>40550</v>
      </c>
      <c r="C310">
        <v>6891.96</v>
      </c>
      <c r="D310">
        <v>3827.6754114085102</v>
      </c>
    </row>
    <row r="311" spans="2:4" hidden="1" outlineLevel="1">
      <c r="B311" s="412">
        <v>40553</v>
      </c>
      <c r="C311">
        <v>6916.85</v>
      </c>
      <c r="D311">
        <v>3842.4829606569901</v>
      </c>
    </row>
    <row r="312" spans="2:4" hidden="1" outlineLevel="1">
      <c r="B312" s="412">
        <v>40554</v>
      </c>
      <c r="C312">
        <v>6992.71</v>
      </c>
      <c r="D312">
        <v>3858.0827346246101</v>
      </c>
    </row>
    <row r="313" spans="2:4" hidden="1" outlineLevel="1">
      <c r="B313" s="412">
        <v>40555</v>
      </c>
      <c r="C313">
        <v>7014.85</v>
      </c>
      <c r="D313">
        <v>3843.48247515408</v>
      </c>
    </row>
    <row r="314" spans="2:4" hidden="1" outlineLevel="1">
      <c r="B314" s="412">
        <v>40556</v>
      </c>
      <c r="C314">
        <v>7021.88</v>
      </c>
      <c r="D314">
        <v>3840.5108498998502</v>
      </c>
    </row>
    <row r="315" spans="2:4" hidden="1" outlineLevel="1">
      <c r="B315" s="412">
        <v>40557</v>
      </c>
      <c r="C315">
        <v>7032.6</v>
      </c>
      <c r="D315">
        <v>3844.2983845417898</v>
      </c>
    </row>
    <row r="316" spans="2:4" hidden="1" outlineLevel="1">
      <c r="B316" s="412">
        <v>40560</v>
      </c>
      <c r="C316">
        <v>7008.06</v>
      </c>
      <c r="D316">
        <v>3803.7053957570301</v>
      </c>
    </row>
    <row r="317" spans="2:4" hidden="1" outlineLevel="1">
      <c r="B317" s="412">
        <v>40561</v>
      </c>
      <c r="C317">
        <v>7058.33</v>
      </c>
      <c r="D317">
        <v>3822.5451966542</v>
      </c>
    </row>
    <row r="318" spans="2:4" hidden="1" outlineLevel="1">
      <c r="B318" s="412">
        <v>40563</v>
      </c>
      <c r="C318">
        <v>7193.1</v>
      </c>
      <c r="D318">
        <v>3873.1516866318998</v>
      </c>
    </row>
    <row r="319" spans="2:4" hidden="1" outlineLevel="1">
      <c r="B319" s="412">
        <v>40564</v>
      </c>
      <c r="C319">
        <v>7254</v>
      </c>
      <c r="D319">
        <v>3915.5409611012301</v>
      </c>
    </row>
    <row r="320" spans="2:4" hidden="1" outlineLevel="1">
      <c r="B320" s="412">
        <v>40567</v>
      </c>
      <c r="C320">
        <v>7261.37</v>
      </c>
      <c r="D320">
        <v>3902.0214755714701</v>
      </c>
    </row>
    <row r="321" spans="2:4" hidden="1" outlineLevel="1">
      <c r="B321" s="412">
        <v>40568</v>
      </c>
      <c r="C321">
        <v>7225.24</v>
      </c>
      <c r="D321">
        <v>3884.6706334351602</v>
      </c>
    </row>
    <row r="322" spans="2:4" hidden="1" outlineLevel="1">
      <c r="B322" s="412">
        <v>40569</v>
      </c>
      <c r="C322">
        <v>7241.87</v>
      </c>
      <c r="D322">
        <v>3886.4758452564702</v>
      </c>
    </row>
    <row r="323" spans="2:4" hidden="1" outlineLevel="1">
      <c r="B323" s="412">
        <v>40570</v>
      </c>
      <c r="C323">
        <v>7211.11</v>
      </c>
      <c r="D323">
        <v>3899.1665394167699</v>
      </c>
    </row>
    <row r="324" spans="2:4" hidden="1" outlineLevel="1">
      <c r="B324" s="412">
        <v>40571</v>
      </c>
      <c r="C324">
        <v>7192.49</v>
      </c>
      <c r="D324">
        <v>3864.5425793610698</v>
      </c>
    </row>
    <row r="325" spans="2:4" hidden="1" outlineLevel="1">
      <c r="B325" s="412">
        <v>40574</v>
      </c>
      <c r="C325">
        <v>7174.87</v>
      </c>
      <c r="D325">
        <v>3863.0596453046901</v>
      </c>
    </row>
    <row r="326" spans="2:4" hidden="1" outlineLevel="1">
      <c r="B326" s="412">
        <v>40575</v>
      </c>
      <c r="C326">
        <v>7190.77</v>
      </c>
      <c r="D326">
        <v>3861.1008528131401</v>
      </c>
    </row>
    <row r="327" spans="2:4" hidden="1" outlineLevel="1">
      <c r="B327" s="412">
        <v>40576</v>
      </c>
      <c r="C327">
        <v>7262.26</v>
      </c>
      <c r="D327">
        <v>3880.61199617287</v>
      </c>
    </row>
    <row r="328" spans="2:4" hidden="1" outlineLevel="1">
      <c r="B328" s="412">
        <v>40577</v>
      </c>
      <c r="C328">
        <v>7346.81</v>
      </c>
      <c r="D328">
        <v>3905.3527572288299</v>
      </c>
    </row>
    <row r="329" spans="2:4" hidden="1" outlineLevel="1">
      <c r="B329" s="412">
        <v>40581</v>
      </c>
      <c r="C329">
        <v>7381.1</v>
      </c>
      <c r="D329">
        <v>3915.1991848347502</v>
      </c>
    </row>
    <row r="330" spans="2:4" hidden="1" outlineLevel="1">
      <c r="B330" s="412">
        <v>40582</v>
      </c>
      <c r="C330">
        <v>7385.04</v>
      </c>
      <c r="D330">
        <v>3905.09473050209</v>
      </c>
    </row>
    <row r="331" spans="2:4" hidden="1" outlineLevel="1">
      <c r="B331" s="412">
        <v>40583</v>
      </c>
      <c r="C331">
        <v>7377.44</v>
      </c>
      <c r="D331">
        <v>3880.3476002529301</v>
      </c>
    </row>
    <row r="332" spans="2:4" hidden="1" outlineLevel="1">
      <c r="B332" s="412">
        <v>40584</v>
      </c>
      <c r="C332">
        <v>7493.62</v>
      </c>
      <c r="D332">
        <v>3963.4623901176801</v>
      </c>
    </row>
    <row r="333" spans="2:4" hidden="1" outlineLevel="1">
      <c r="B333" s="412">
        <v>40585</v>
      </c>
      <c r="C333">
        <v>7586.63</v>
      </c>
      <c r="D333">
        <v>4052.2276995941902</v>
      </c>
    </row>
    <row r="334" spans="2:4" hidden="1" outlineLevel="1">
      <c r="B334" s="412">
        <v>40588</v>
      </c>
      <c r="C334">
        <v>7811.82</v>
      </c>
      <c r="D334">
        <v>4236.1212227996602</v>
      </c>
    </row>
    <row r="335" spans="2:4" hidden="1" outlineLevel="1">
      <c r="B335" s="412">
        <v>40589</v>
      </c>
      <c r="C335">
        <v>7607.79</v>
      </c>
      <c r="D335">
        <v>4110.0913227934798</v>
      </c>
    </row>
    <row r="336" spans="2:4" hidden="1" outlineLevel="1">
      <c r="B336" s="412">
        <v>40592</v>
      </c>
      <c r="C336">
        <v>7672.49</v>
      </c>
      <c r="D336">
        <v>4119.1899562750305</v>
      </c>
    </row>
    <row r="337" spans="2:4" hidden="1" outlineLevel="1">
      <c r="B337" s="412">
        <v>40595</v>
      </c>
      <c r="C337">
        <v>7617.19</v>
      </c>
      <c r="D337">
        <v>4113.6133547993304</v>
      </c>
    </row>
    <row r="338" spans="2:4" hidden="1" outlineLevel="1">
      <c r="B338" s="412">
        <v>40596</v>
      </c>
      <c r="C338">
        <v>7514.74</v>
      </c>
      <c r="D338">
        <v>4046.69255274852</v>
      </c>
    </row>
    <row r="339" spans="2:4" hidden="1" outlineLevel="1">
      <c r="B339" s="412">
        <v>40597</v>
      </c>
      <c r="C339">
        <v>7548.86</v>
      </c>
      <c r="D339">
        <v>4049.3154739585998</v>
      </c>
    </row>
    <row r="340" spans="2:4" hidden="1" outlineLevel="1">
      <c r="B340" s="412">
        <v>40598</v>
      </c>
      <c r="C340">
        <v>7583.42</v>
      </c>
      <c r="D340">
        <v>4039.7709062192398</v>
      </c>
    </row>
    <row r="341" spans="2:4" hidden="1" outlineLevel="1">
      <c r="B341" s="412">
        <v>40599</v>
      </c>
      <c r="C341">
        <v>7711.62</v>
      </c>
      <c r="D341">
        <v>4089.3795245844499</v>
      </c>
    </row>
    <row r="342" spans="2:4" hidden="1" outlineLevel="1">
      <c r="B342" s="412">
        <v>40602</v>
      </c>
      <c r="C342">
        <v>7797.96</v>
      </c>
      <c r="D342">
        <v>4096.6538263562497</v>
      </c>
    </row>
    <row r="343" spans="2:4" hidden="1" outlineLevel="1">
      <c r="B343" s="412">
        <v>40603</v>
      </c>
      <c r="C343">
        <v>7701.19</v>
      </c>
      <c r="D343">
        <v>4084.5039119166099</v>
      </c>
    </row>
    <row r="344" spans="2:4" hidden="1" outlineLevel="1">
      <c r="B344" s="412">
        <v>40605</v>
      </c>
      <c r="C344">
        <v>7520.74</v>
      </c>
      <c r="D344">
        <v>4019.6351997954098</v>
      </c>
    </row>
    <row r="345" spans="2:4" hidden="1" outlineLevel="1">
      <c r="B345" s="412">
        <v>40606</v>
      </c>
      <c r="C345">
        <v>7664.72</v>
      </c>
      <c r="D345">
        <v>4055.2625661035399</v>
      </c>
    </row>
    <row r="346" spans="2:4" hidden="1" outlineLevel="1">
      <c r="B346" s="412">
        <v>40609</v>
      </c>
      <c r="C346">
        <v>7582.55</v>
      </c>
      <c r="D346">
        <v>4028.5188180781201</v>
      </c>
    </row>
    <row r="347" spans="2:4" hidden="1" outlineLevel="1">
      <c r="B347" s="412">
        <v>40610</v>
      </c>
      <c r="C347">
        <v>7445.9</v>
      </c>
      <c r="D347">
        <v>3968.7924395980799</v>
      </c>
    </row>
    <row r="348" spans="2:4" hidden="1" outlineLevel="1">
      <c r="B348" s="412">
        <v>40611</v>
      </c>
      <c r="C348">
        <v>7343.45</v>
      </c>
      <c r="D348">
        <v>3915.5043861179402</v>
      </c>
    </row>
    <row r="349" spans="2:4" hidden="1" outlineLevel="1">
      <c r="B349" s="412">
        <v>40612</v>
      </c>
      <c r="C349">
        <v>7383.92</v>
      </c>
      <c r="D349">
        <v>3941.4919577621899</v>
      </c>
    </row>
    <row r="350" spans="2:4" hidden="1" outlineLevel="1">
      <c r="B350" s="412">
        <v>40613</v>
      </c>
      <c r="C350">
        <v>7313.02</v>
      </c>
      <c r="D350">
        <v>3912.5038794616198</v>
      </c>
    </row>
    <row r="351" spans="2:4" hidden="1" outlineLevel="1">
      <c r="B351" s="412">
        <v>40616</v>
      </c>
      <c r="C351">
        <v>7169.76</v>
      </c>
      <c r="D351">
        <v>3836.20403179495</v>
      </c>
    </row>
    <row r="352" spans="2:4" hidden="1" outlineLevel="1">
      <c r="B352" s="412">
        <v>40617</v>
      </c>
      <c r="C352">
        <v>7029.02</v>
      </c>
      <c r="D352">
        <v>3769.6999660595202</v>
      </c>
    </row>
    <row r="353" spans="2:4" hidden="1" outlineLevel="1">
      <c r="B353" s="412">
        <v>40618</v>
      </c>
      <c r="C353">
        <v>7115.62</v>
      </c>
      <c r="D353">
        <v>3809.6109518278599</v>
      </c>
    </row>
    <row r="354" spans="2:4" hidden="1" outlineLevel="1">
      <c r="B354" s="412">
        <v>40619</v>
      </c>
      <c r="C354">
        <v>7269.59</v>
      </c>
      <c r="D354">
        <v>3877.11304466712</v>
      </c>
    </row>
    <row r="355" spans="2:4" hidden="1" outlineLevel="1">
      <c r="B355" s="412">
        <v>40620</v>
      </c>
      <c r="C355">
        <v>7184.94</v>
      </c>
      <c r="D355">
        <v>3826.3452669612702</v>
      </c>
    </row>
    <row r="356" spans="2:4" hidden="1" outlineLevel="1">
      <c r="B356" s="412">
        <v>40623</v>
      </c>
      <c r="C356">
        <v>7156.33</v>
      </c>
      <c r="D356">
        <v>3798.32384623792</v>
      </c>
    </row>
    <row r="357" spans="2:4" hidden="1" outlineLevel="1">
      <c r="B357" s="412">
        <v>40624</v>
      </c>
      <c r="C357">
        <v>7220.26</v>
      </c>
      <c r="D357">
        <v>3813.9962142857098</v>
      </c>
    </row>
    <row r="358" spans="2:4" hidden="1" outlineLevel="1">
      <c r="B358" s="412">
        <v>40625</v>
      </c>
      <c r="C358">
        <v>7207.1</v>
      </c>
      <c r="D358">
        <v>3856.34771924604</v>
      </c>
    </row>
    <row r="359" spans="2:4" hidden="1" outlineLevel="1">
      <c r="B359" s="412">
        <v>40626</v>
      </c>
      <c r="C359">
        <v>7216.75</v>
      </c>
      <c r="D359">
        <v>3866.8776740511298</v>
      </c>
    </row>
    <row r="360" spans="2:4" hidden="1" outlineLevel="1">
      <c r="B360" s="412">
        <v>40627</v>
      </c>
      <c r="C360">
        <v>7240.27</v>
      </c>
      <c r="D360">
        <v>3889.80677828015</v>
      </c>
    </row>
    <row r="361" spans="2:4" hidden="1" outlineLevel="1">
      <c r="B361" s="412">
        <v>40630</v>
      </c>
      <c r="C361">
        <v>7210.09</v>
      </c>
      <c r="D361">
        <v>3875.93769529053</v>
      </c>
    </row>
    <row r="362" spans="2:4" hidden="1" outlineLevel="1">
      <c r="B362" s="412">
        <v>40631</v>
      </c>
      <c r="C362">
        <v>7207.86</v>
      </c>
      <c r="D362">
        <v>3864.1271791865101</v>
      </c>
    </row>
    <row r="363" spans="2:4" hidden="1" outlineLevel="1">
      <c r="B363" s="412">
        <v>40632</v>
      </c>
      <c r="C363">
        <v>7192.72</v>
      </c>
      <c r="D363">
        <v>3865.03036265736</v>
      </c>
    </row>
    <row r="364" spans="2:4" hidden="1" outlineLevel="1">
      <c r="B364" s="412">
        <v>40633</v>
      </c>
      <c r="C364">
        <v>7226.12</v>
      </c>
      <c r="D364">
        <v>3893.3018624780798</v>
      </c>
    </row>
    <row r="365" spans="2:4" hidden="1" outlineLevel="1">
      <c r="B365" s="412">
        <v>40634</v>
      </c>
      <c r="C365">
        <v>7377.22</v>
      </c>
      <c r="D365">
        <v>3978.0427384159898</v>
      </c>
    </row>
    <row r="366" spans="2:4" hidden="1" outlineLevel="1">
      <c r="B366" s="412">
        <v>40637</v>
      </c>
      <c r="C366">
        <v>7373.14</v>
      </c>
      <c r="D366">
        <v>3976.67205016568</v>
      </c>
    </row>
    <row r="367" spans="2:4" hidden="1" outlineLevel="1">
      <c r="B367" s="412">
        <v>40638</v>
      </c>
      <c r="C367">
        <v>7370.02</v>
      </c>
      <c r="D367">
        <v>3966.5839656574099</v>
      </c>
    </row>
    <row r="368" spans="2:4" hidden="1" outlineLevel="1">
      <c r="B368" s="412">
        <v>40639</v>
      </c>
      <c r="C368">
        <v>7359.9</v>
      </c>
      <c r="D368">
        <v>3961.2992669943501</v>
      </c>
    </row>
    <row r="369" spans="2:4" hidden="1" outlineLevel="1">
      <c r="B369" s="412">
        <v>40640</v>
      </c>
      <c r="C369">
        <v>7378.73</v>
      </c>
      <c r="D369">
        <v>3960.4722038202099</v>
      </c>
    </row>
    <row r="370" spans="2:4" hidden="1" outlineLevel="1">
      <c r="B370" s="412">
        <v>40641</v>
      </c>
      <c r="C370">
        <v>7413.87</v>
      </c>
      <c r="D370">
        <v>3969.21002374105</v>
      </c>
    </row>
    <row r="371" spans="2:4" hidden="1" outlineLevel="1">
      <c r="B371" s="412">
        <v>40644</v>
      </c>
      <c r="C371">
        <v>7454.22</v>
      </c>
      <c r="D371">
        <v>3980.2013580406801</v>
      </c>
    </row>
    <row r="372" spans="2:4" hidden="1" outlineLevel="1">
      <c r="B372" s="412">
        <v>40645</v>
      </c>
      <c r="C372">
        <v>7574.86</v>
      </c>
      <c r="D372">
        <v>4021.1292496227702</v>
      </c>
    </row>
    <row r="373" spans="2:4" hidden="1" outlineLevel="1">
      <c r="B373" s="412">
        <v>40651</v>
      </c>
      <c r="C373">
        <v>7547.79</v>
      </c>
      <c r="D373">
        <v>4001.6929511438698</v>
      </c>
    </row>
    <row r="374" spans="2:4" hidden="1" outlineLevel="1">
      <c r="B374" s="412">
        <v>40652</v>
      </c>
      <c r="C374">
        <v>7475.16</v>
      </c>
      <c r="D374">
        <v>3958.6357435139698</v>
      </c>
    </row>
    <row r="375" spans="2:4" hidden="1" outlineLevel="1">
      <c r="B375" s="412">
        <v>40653</v>
      </c>
      <c r="C375">
        <v>7474.5</v>
      </c>
      <c r="D375">
        <v>3963.7698863884402</v>
      </c>
    </row>
    <row r="376" spans="2:4" hidden="1" outlineLevel="1">
      <c r="B376" s="412">
        <v>40654</v>
      </c>
      <c r="C376">
        <v>7456.82</v>
      </c>
      <c r="D376">
        <v>3957.3769534192902</v>
      </c>
    </row>
    <row r="377" spans="2:4" hidden="1" outlineLevel="1">
      <c r="B377" s="412">
        <v>40658</v>
      </c>
      <c r="C377">
        <v>7345.48</v>
      </c>
      <c r="D377">
        <v>3906.2606460791599</v>
      </c>
    </row>
    <row r="378" spans="2:4" hidden="1" outlineLevel="1">
      <c r="B378" s="412">
        <v>40659</v>
      </c>
      <c r="C378">
        <v>7349.17</v>
      </c>
      <c r="D378">
        <v>3915.9813061621799</v>
      </c>
    </row>
    <row r="379" spans="2:4" hidden="1" outlineLevel="1">
      <c r="B379" s="412">
        <v>40660</v>
      </c>
      <c r="C379">
        <v>7363.78</v>
      </c>
      <c r="D379">
        <v>3895.5431525634399</v>
      </c>
    </row>
    <row r="380" spans="2:4" hidden="1" outlineLevel="1">
      <c r="B380" s="412">
        <v>40661</v>
      </c>
      <c r="C380">
        <v>7377.65</v>
      </c>
      <c r="D380">
        <v>3897.4678278512802</v>
      </c>
    </row>
    <row r="381" spans="2:4" hidden="1" outlineLevel="1">
      <c r="B381" s="412">
        <v>40662</v>
      </c>
      <c r="C381">
        <v>7356.97</v>
      </c>
      <c r="D381">
        <v>3884.39574932904</v>
      </c>
    </row>
    <row r="382" spans="2:4" hidden="1" outlineLevel="1">
      <c r="B382" s="412">
        <v>40666</v>
      </c>
      <c r="C382">
        <v>7270.67</v>
      </c>
      <c r="D382">
        <v>3822.1678821841701</v>
      </c>
    </row>
    <row r="383" spans="2:4" hidden="1" outlineLevel="1">
      <c r="B383" s="412">
        <v>40667</v>
      </c>
      <c r="C383">
        <v>7213.33</v>
      </c>
      <c r="D383">
        <v>3803.7595086081301</v>
      </c>
    </row>
    <row r="384" spans="2:4" hidden="1" outlineLevel="1">
      <c r="B384" s="412">
        <v>40668</v>
      </c>
      <c r="C384">
        <v>7317.17</v>
      </c>
      <c r="D384">
        <v>3832.95326368224</v>
      </c>
    </row>
    <row r="385" spans="2:4" hidden="1" outlineLevel="1">
      <c r="B385" s="412">
        <v>40669</v>
      </c>
      <c r="C385">
        <v>7319.15</v>
      </c>
      <c r="D385">
        <v>3827.8775034116502</v>
      </c>
    </row>
    <row r="386" spans="2:4" hidden="1" outlineLevel="1">
      <c r="B386" s="412">
        <v>40672</v>
      </c>
      <c r="C386">
        <v>7377.86</v>
      </c>
      <c r="D386">
        <v>3866.4019879330899</v>
      </c>
    </row>
    <row r="387" spans="2:4" hidden="1" outlineLevel="1">
      <c r="B387" s="412">
        <v>40673</v>
      </c>
      <c r="C387">
        <v>7339.65</v>
      </c>
      <c r="D387">
        <v>3856.3984078210801</v>
      </c>
    </row>
    <row r="388" spans="2:4" hidden="1" outlineLevel="1">
      <c r="B388" s="412">
        <v>40674</v>
      </c>
      <c r="C388">
        <v>7280.66</v>
      </c>
      <c r="D388">
        <v>3815.20698467482</v>
      </c>
    </row>
    <row r="389" spans="2:4" hidden="1" outlineLevel="1">
      <c r="B389" s="412">
        <v>40675</v>
      </c>
      <c r="C389">
        <v>7300.82</v>
      </c>
      <c r="D389">
        <v>3819.0874399325699</v>
      </c>
    </row>
    <row r="390" spans="2:4" hidden="1" outlineLevel="1">
      <c r="B390" s="412">
        <v>40676</v>
      </c>
      <c r="C390">
        <v>7319.94</v>
      </c>
      <c r="D390">
        <v>3833.5319911464799</v>
      </c>
    </row>
    <row r="391" spans="2:4" hidden="1" outlineLevel="1">
      <c r="B391" s="412">
        <v>40679</v>
      </c>
      <c r="C391">
        <v>7358.69</v>
      </c>
      <c r="D391">
        <v>3838.31248871657</v>
      </c>
    </row>
    <row r="392" spans="2:4" hidden="1" outlineLevel="1">
      <c r="B392" s="412">
        <v>40682</v>
      </c>
      <c r="C392">
        <v>7487.61</v>
      </c>
      <c r="D392">
        <v>3886.2177828031099</v>
      </c>
    </row>
    <row r="393" spans="2:4" hidden="1" outlineLevel="1">
      <c r="B393" s="412">
        <v>40683</v>
      </c>
      <c r="C393">
        <v>7479.63</v>
      </c>
      <c r="D393">
        <v>3879.2990501966501</v>
      </c>
    </row>
    <row r="394" spans="2:4" hidden="1" outlineLevel="1">
      <c r="B394" s="412">
        <v>40686</v>
      </c>
      <c r="C394">
        <v>7439.15</v>
      </c>
      <c r="D394">
        <v>3846.2170934793899</v>
      </c>
    </row>
    <row r="395" spans="2:4" hidden="1" outlineLevel="1">
      <c r="B395" s="412">
        <v>40687</v>
      </c>
      <c r="C395">
        <v>7431.97</v>
      </c>
      <c r="D395">
        <v>3845.23322921925</v>
      </c>
    </row>
    <row r="396" spans="2:4" hidden="1" outlineLevel="1">
      <c r="B396" s="412">
        <v>40688</v>
      </c>
      <c r="C396">
        <v>7446.69</v>
      </c>
      <c r="D396">
        <v>3855.0047117586</v>
      </c>
    </row>
    <row r="397" spans="2:4" hidden="1" outlineLevel="1">
      <c r="B397" s="412">
        <v>40689</v>
      </c>
      <c r="C397">
        <v>7419.44</v>
      </c>
      <c r="D397">
        <v>3845.5132158480201</v>
      </c>
    </row>
    <row r="398" spans="2:4" hidden="1" outlineLevel="1">
      <c r="B398" s="412">
        <v>40690</v>
      </c>
      <c r="C398">
        <v>7459.58</v>
      </c>
      <c r="D398">
        <v>3855.92650962979</v>
      </c>
    </row>
    <row r="399" spans="2:4" hidden="1" outlineLevel="1">
      <c r="B399" s="412">
        <v>40693</v>
      </c>
      <c r="C399">
        <v>7468.41</v>
      </c>
      <c r="D399">
        <v>3843.06483928443</v>
      </c>
    </row>
    <row r="400" spans="2:4" hidden="1" outlineLevel="1">
      <c r="B400" s="412">
        <v>40694</v>
      </c>
      <c r="C400">
        <v>7418.07</v>
      </c>
      <c r="D400">
        <v>3819.1814846412299</v>
      </c>
    </row>
    <row r="401" spans="2:4" hidden="1" outlineLevel="1">
      <c r="B401" s="412">
        <v>40695</v>
      </c>
      <c r="C401">
        <v>7387.15</v>
      </c>
      <c r="D401">
        <v>3804.4738620005101</v>
      </c>
    </row>
    <row r="402" spans="2:4" hidden="1" outlineLevel="1">
      <c r="B402" s="412">
        <v>40696</v>
      </c>
      <c r="C402">
        <v>7375.9</v>
      </c>
      <c r="D402">
        <v>3800.0886676319601</v>
      </c>
    </row>
    <row r="403" spans="2:4" hidden="1" outlineLevel="1">
      <c r="B403" s="412">
        <v>40697</v>
      </c>
      <c r="C403">
        <v>7406.02</v>
      </c>
      <c r="D403">
        <v>3820.2053951478101</v>
      </c>
    </row>
    <row r="404" spans="2:4" hidden="1" outlineLevel="1">
      <c r="B404" s="412">
        <v>40700</v>
      </c>
      <c r="C404">
        <v>7355.43</v>
      </c>
      <c r="D404">
        <v>3807.1996808377698</v>
      </c>
    </row>
    <row r="405" spans="2:4" hidden="1" outlineLevel="1">
      <c r="B405" s="412">
        <v>40701</v>
      </c>
      <c r="C405">
        <v>7294.54</v>
      </c>
      <c r="D405">
        <v>3788.9867773466599</v>
      </c>
    </row>
    <row r="406" spans="2:4" hidden="1" outlineLevel="1">
      <c r="B406" s="412">
        <v>40702</v>
      </c>
      <c r="C406">
        <v>7257.7</v>
      </c>
      <c r="D406">
        <v>3770.17714157404</v>
      </c>
    </row>
    <row r="407" spans="2:4" hidden="1" outlineLevel="1">
      <c r="B407" s="412">
        <v>40703</v>
      </c>
      <c r="C407">
        <v>7279.62</v>
      </c>
      <c r="D407">
        <v>3782.6487548592499</v>
      </c>
    </row>
    <row r="408" spans="2:4" hidden="1" outlineLevel="1">
      <c r="B408" s="412">
        <v>40704</v>
      </c>
      <c r="C408">
        <v>7231.92</v>
      </c>
      <c r="D408">
        <v>3778.0796163121499</v>
      </c>
    </row>
    <row r="409" spans="2:4" hidden="1" outlineLevel="1">
      <c r="B409" s="412">
        <v>40707</v>
      </c>
      <c r="C409">
        <v>7186.86</v>
      </c>
      <c r="D409">
        <v>3753.7149260843398</v>
      </c>
    </row>
    <row r="410" spans="2:4" hidden="1" outlineLevel="1">
      <c r="B410" s="412">
        <v>40708</v>
      </c>
      <c r="C410">
        <v>7083.05</v>
      </c>
      <c r="D410">
        <v>3724.6857452543099</v>
      </c>
    </row>
    <row r="411" spans="2:4" hidden="1" outlineLevel="1">
      <c r="B411" s="412">
        <v>40710</v>
      </c>
      <c r="C411">
        <v>7015.71</v>
      </c>
      <c r="D411">
        <v>3686.10841209113</v>
      </c>
    </row>
    <row r="412" spans="2:4" hidden="1" outlineLevel="1">
      <c r="B412" s="412">
        <v>40711</v>
      </c>
      <c r="C412">
        <v>7050.03</v>
      </c>
      <c r="D412">
        <v>3697.5910938863199</v>
      </c>
    </row>
    <row r="413" spans="2:4" hidden="1" outlineLevel="1">
      <c r="B413" s="412">
        <v>40714</v>
      </c>
      <c r="C413">
        <v>7040.68</v>
      </c>
      <c r="D413">
        <v>3698.9161505184202</v>
      </c>
    </row>
    <row r="414" spans="2:4" hidden="1" outlineLevel="1">
      <c r="B414" s="412">
        <v>40715</v>
      </c>
      <c r="C414">
        <v>6996.64</v>
      </c>
      <c r="D414">
        <v>3675.7055542132698</v>
      </c>
    </row>
    <row r="415" spans="2:4" hidden="1" outlineLevel="1">
      <c r="B415" s="412">
        <v>40716</v>
      </c>
      <c r="C415">
        <v>6927.74</v>
      </c>
      <c r="D415">
        <v>3644.0683262398902</v>
      </c>
    </row>
    <row r="416" spans="2:4" hidden="1" outlineLevel="1">
      <c r="B416" s="412">
        <v>40717</v>
      </c>
      <c r="C416">
        <v>6871.68</v>
      </c>
      <c r="D416">
        <v>3603.92536155574</v>
      </c>
    </row>
    <row r="417" spans="2:4" hidden="1" outlineLevel="1">
      <c r="B417" s="412">
        <v>40718</v>
      </c>
      <c r="C417">
        <v>6892.56</v>
      </c>
      <c r="D417">
        <v>3637.0172911085901</v>
      </c>
    </row>
    <row r="418" spans="2:4" hidden="1" outlineLevel="1">
      <c r="B418" s="412">
        <v>40721</v>
      </c>
      <c r="C418">
        <v>6894.26</v>
      </c>
      <c r="D418">
        <v>3639.24491704098</v>
      </c>
    </row>
    <row r="419" spans="2:4" hidden="1" outlineLevel="1">
      <c r="B419" s="412">
        <v>40722</v>
      </c>
      <c r="C419">
        <v>6862.83</v>
      </c>
      <c r="D419">
        <v>3613.1430479293299</v>
      </c>
    </row>
    <row r="420" spans="2:4" hidden="1" outlineLevel="1">
      <c r="B420" s="412">
        <v>40723</v>
      </c>
      <c r="C420">
        <v>6878.16</v>
      </c>
      <c r="D420">
        <v>3603.1673376766798</v>
      </c>
    </row>
    <row r="421" spans="2:4" hidden="1" outlineLevel="1">
      <c r="B421" s="412">
        <v>40724</v>
      </c>
      <c r="C421">
        <v>6825.94</v>
      </c>
      <c r="D421">
        <v>3553.6313775521398</v>
      </c>
    </row>
    <row r="422" spans="2:4" hidden="1" outlineLevel="1">
      <c r="B422" s="412">
        <v>40725</v>
      </c>
      <c r="C422">
        <v>6844.71</v>
      </c>
      <c r="D422">
        <v>3563.9785470967599</v>
      </c>
    </row>
    <row r="423" spans="2:4" hidden="1" outlineLevel="1">
      <c r="B423" s="412">
        <v>40728</v>
      </c>
      <c r="C423">
        <v>6816.74</v>
      </c>
      <c r="D423">
        <v>3566.1248646153699</v>
      </c>
    </row>
    <row r="424" spans="2:4" hidden="1" outlineLevel="1">
      <c r="B424" s="412">
        <v>40729</v>
      </c>
      <c r="C424">
        <v>6862.72</v>
      </c>
      <c r="D424">
        <v>3608.6429383643199</v>
      </c>
    </row>
    <row r="425" spans="2:4" hidden="1" outlineLevel="1">
      <c r="B425" s="412">
        <v>40730</v>
      </c>
      <c r="C425">
        <v>6884.06</v>
      </c>
      <c r="D425">
        <v>3626.1350952253001</v>
      </c>
    </row>
    <row r="426" spans="2:4" hidden="1" outlineLevel="1">
      <c r="B426" s="412">
        <v>40731</v>
      </c>
      <c r="C426">
        <v>6918.41</v>
      </c>
      <c r="D426">
        <v>3606.46124675694</v>
      </c>
    </row>
    <row r="427" spans="2:4" hidden="1" outlineLevel="1">
      <c r="B427" s="412">
        <v>40732</v>
      </c>
      <c r="C427">
        <v>6911.98</v>
      </c>
      <c r="D427">
        <v>3613.8268321545702</v>
      </c>
    </row>
    <row r="428" spans="2:4" hidden="1" outlineLevel="1">
      <c r="B428" s="412">
        <v>40735</v>
      </c>
      <c r="C428">
        <v>6767.59</v>
      </c>
      <c r="D428">
        <v>3569.1646103271801</v>
      </c>
    </row>
    <row r="429" spans="2:4" hidden="1" outlineLevel="1">
      <c r="B429" s="412">
        <v>40736</v>
      </c>
      <c r="C429">
        <v>6663.64</v>
      </c>
      <c r="D429">
        <v>3534.8650641804402</v>
      </c>
    </row>
    <row r="430" spans="2:4" hidden="1" outlineLevel="1">
      <c r="B430" s="412">
        <v>40737</v>
      </c>
      <c r="C430">
        <v>6715.67</v>
      </c>
      <c r="D430">
        <v>3529.52707630753</v>
      </c>
    </row>
    <row r="431" spans="2:4" hidden="1" outlineLevel="1">
      <c r="B431" s="412">
        <v>40739</v>
      </c>
      <c r="C431">
        <v>6777.03</v>
      </c>
      <c r="D431">
        <v>3589.5106295723099</v>
      </c>
    </row>
    <row r="432" spans="2:4" hidden="1" outlineLevel="1">
      <c r="B432" s="412">
        <v>40742</v>
      </c>
      <c r="C432">
        <v>6744.19</v>
      </c>
      <c r="D432">
        <v>3548.15297896416</v>
      </c>
    </row>
    <row r="433" spans="2:4" hidden="1" outlineLevel="1">
      <c r="B433" s="412">
        <v>40743</v>
      </c>
      <c r="C433">
        <v>6675.7</v>
      </c>
      <c r="D433">
        <v>3525.5791859238102</v>
      </c>
    </row>
    <row r="434" spans="2:4" hidden="1" outlineLevel="1">
      <c r="B434" s="412">
        <v>40744</v>
      </c>
      <c r="C434">
        <v>6682.46</v>
      </c>
      <c r="D434">
        <v>3532.9499259651202</v>
      </c>
    </row>
    <row r="435" spans="2:4" hidden="1" outlineLevel="1">
      <c r="B435" s="412">
        <v>40745</v>
      </c>
      <c r="C435">
        <v>6598.97</v>
      </c>
      <c r="D435">
        <v>3499.3939243831301</v>
      </c>
    </row>
    <row r="436" spans="2:4" hidden="1" outlineLevel="1">
      <c r="B436" s="412">
        <v>40746</v>
      </c>
      <c r="C436">
        <v>6537.25</v>
      </c>
      <c r="D436">
        <v>3467.0626922974602</v>
      </c>
    </row>
    <row r="437" spans="2:4" hidden="1" outlineLevel="1">
      <c r="B437" s="412">
        <v>40749</v>
      </c>
      <c r="C437">
        <v>6434.34</v>
      </c>
      <c r="D437">
        <v>3420.4311144940998</v>
      </c>
    </row>
    <row r="438" spans="2:4" hidden="1" outlineLevel="1">
      <c r="B438" s="412">
        <v>40750</v>
      </c>
      <c r="C438">
        <v>6493.6</v>
      </c>
      <c r="D438">
        <v>3432.5316350848202</v>
      </c>
    </row>
    <row r="439" spans="2:4" hidden="1" outlineLevel="1">
      <c r="B439" s="412">
        <v>40751</v>
      </c>
      <c r="C439">
        <v>6505.56</v>
      </c>
      <c r="D439">
        <v>3434.3137162625899</v>
      </c>
    </row>
    <row r="440" spans="2:4" hidden="1" outlineLevel="1">
      <c r="B440" s="412">
        <v>40752</v>
      </c>
      <c r="C440">
        <v>6653.57</v>
      </c>
      <c r="D440">
        <v>3492.93954743523</v>
      </c>
    </row>
    <row r="441" spans="2:4" hidden="1" outlineLevel="1">
      <c r="B441" s="412">
        <v>40753</v>
      </c>
      <c r="C441">
        <v>6845.38</v>
      </c>
      <c r="D441">
        <v>3554.7997826826299</v>
      </c>
    </row>
    <row r="442" spans="2:4" hidden="1" outlineLevel="1">
      <c r="B442" s="412">
        <v>40756</v>
      </c>
      <c r="C442">
        <v>6854.14</v>
      </c>
      <c r="D442">
        <v>3562.00680868673</v>
      </c>
    </row>
    <row r="443" spans="2:4" hidden="1" outlineLevel="1">
      <c r="B443" s="412">
        <v>40757</v>
      </c>
      <c r="C443">
        <v>6819.58</v>
      </c>
      <c r="D443">
        <v>3555.9897774965498</v>
      </c>
    </row>
    <row r="444" spans="2:4" hidden="1" outlineLevel="1">
      <c r="B444" s="412">
        <v>40758</v>
      </c>
      <c r="C444">
        <v>6812.59</v>
      </c>
      <c r="D444">
        <v>3538.9325820611598</v>
      </c>
    </row>
    <row r="445" spans="2:4" hidden="1" outlineLevel="1">
      <c r="B445" s="412">
        <v>40759</v>
      </c>
      <c r="C445">
        <v>6809.78</v>
      </c>
      <c r="D445">
        <v>3533.5336254838398</v>
      </c>
    </row>
    <row r="446" spans="2:4" hidden="1" outlineLevel="1">
      <c r="B446" s="412">
        <v>40760</v>
      </c>
      <c r="C446">
        <v>6751.29</v>
      </c>
      <c r="D446">
        <v>3524.0294206910098</v>
      </c>
    </row>
    <row r="447" spans="2:4" hidden="1" outlineLevel="1">
      <c r="B447" s="412">
        <v>40763</v>
      </c>
      <c r="C447">
        <v>6806.97</v>
      </c>
      <c r="D447">
        <v>3512.7385026604202</v>
      </c>
    </row>
    <row r="448" spans="2:4" hidden="1" outlineLevel="1">
      <c r="B448" s="412">
        <v>40764</v>
      </c>
      <c r="C448">
        <v>6750.19</v>
      </c>
      <c r="D448">
        <v>3477.2730566924702</v>
      </c>
    </row>
    <row r="449" spans="2:4" hidden="1" outlineLevel="1">
      <c r="B449" s="412">
        <v>40765</v>
      </c>
      <c r="C449">
        <v>6819.9</v>
      </c>
      <c r="D449">
        <v>3476.41794640936</v>
      </c>
    </row>
    <row r="450" spans="2:4" hidden="1" outlineLevel="1">
      <c r="B450" s="412">
        <v>40766</v>
      </c>
      <c r="C450">
        <v>6767.09</v>
      </c>
      <c r="D450">
        <v>3455.6061366643698</v>
      </c>
    </row>
    <row r="451" spans="2:4" hidden="1" outlineLevel="1">
      <c r="B451" s="412">
        <v>40767</v>
      </c>
      <c r="C451">
        <v>6833.06</v>
      </c>
      <c r="D451">
        <v>3482.9564234886202</v>
      </c>
    </row>
    <row r="452" spans="2:4" hidden="1" outlineLevel="1">
      <c r="B452" s="412">
        <v>40770</v>
      </c>
      <c r="C452">
        <v>6836.53</v>
      </c>
      <c r="D452">
        <v>3491.7062701330801</v>
      </c>
    </row>
    <row r="453" spans="2:4" hidden="1" outlineLevel="1">
      <c r="B453" s="412">
        <v>40771</v>
      </c>
      <c r="C453">
        <v>7050.74</v>
      </c>
      <c r="D453">
        <v>3596.7572355017101</v>
      </c>
    </row>
    <row r="454" spans="2:4" hidden="1" outlineLevel="1">
      <c r="B454" s="412">
        <v>40772</v>
      </c>
      <c r="C454">
        <v>7014.11</v>
      </c>
      <c r="D454">
        <v>3576.2803123941499</v>
      </c>
    </row>
    <row r="455" spans="2:4" hidden="1" outlineLevel="1">
      <c r="B455" s="412">
        <v>40773</v>
      </c>
      <c r="C455">
        <v>7030.85</v>
      </c>
      <c r="D455">
        <v>3595.6844519236001</v>
      </c>
    </row>
    <row r="456" spans="2:4" hidden="1" outlineLevel="1">
      <c r="B456" s="412">
        <v>40774</v>
      </c>
      <c r="C456">
        <v>6951.64</v>
      </c>
      <c r="D456">
        <v>3554.4588173694401</v>
      </c>
    </row>
    <row r="457" spans="2:4" hidden="1" outlineLevel="1">
      <c r="B457" s="412">
        <v>40777</v>
      </c>
      <c r="C457">
        <v>6928.03</v>
      </c>
      <c r="D457">
        <v>3553.11813345378</v>
      </c>
    </row>
    <row r="458" spans="2:4" hidden="1" outlineLevel="1">
      <c r="B458" s="412">
        <v>40778</v>
      </c>
      <c r="C458">
        <v>6861.73</v>
      </c>
      <c r="D458">
        <v>3517.9223423434</v>
      </c>
    </row>
    <row r="459" spans="2:4" hidden="1" outlineLevel="1">
      <c r="B459" s="412">
        <v>40779</v>
      </c>
      <c r="C459">
        <v>6812.71</v>
      </c>
      <c r="D459">
        <v>3512.1193395861901</v>
      </c>
    </row>
    <row r="460" spans="2:4" hidden="1" outlineLevel="1">
      <c r="B460" s="412">
        <v>40780</v>
      </c>
      <c r="C460">
        <v>6839.2</v>
      </c>
      <c r="D460">
        <v>3542.1829039629902</v>
      </c>
    </row>
    <row r="461" spans="2:4" hidden="1" outlineLevel="1">
      <c r="B461" s="412">
        <v>40781</v>
      </c>
      <c r="C461">
        <v>6852.96</v>
      </c>
      <c r="D461">
        <v>3534.9729550398101</v>
      </c>
    </row>
    <row r="462" spans="2:4" hidden="1" outlineLevel="1">
      <c r="B462" s="412">
        <v>40784</v>
      </c>
      <c r="C462">
        <v>6837.35</v>
      </c>
      <c r="D462">
        <v>3529.01137384089</v>
      </c>
    </row>
    <row r="463" spans="2:4" hidden="1" outlineLevel="1">
      <c r="B463" s="412">
        <v>40785</v>
      </c>
      <c r="C463">
        <v>6879.29</v>
      </c>
      <c r="D463">
        <v>3554.6192119859702</v>
      </c>
    </row>
    <row r="464" spans="2:4" hidden="1" outlineLevel="1">
      <c r="B464" s="412">
        <v>40787</v>
      </c>
      <c r="C464">
        <v>6950.78</v>
      </c>
      <c r="D464">
        <v>3583.24753824352</v>
      </c>
    </row>
    <row r="465" spans="2:4" hidden="1" outlineLevel="1">
      <c r="B465" s="412">
        <v>40788</v>
      </c>
      <c r="C465">
        <v>6950.61</v>
      </c>
      <c r="D465">
        <v>3569.3458175423002</v>
      </c>
    </row>
    <row r="466" spans="2:4" hidden="1" outlineLevel="1">
      <c r="B466" s="412">
        <v>40791</v>
      </c>
      <c r="C466">
        <v>6996.58</v>
      </c>
      <c r="D466">
        <v>3585.2709638607498</v>
      </c>
    </row>
    <row r="467" spans="2:4" hidden="1" outlineLevel="1">
      <c r="B467" s="412">
        <v>40792</v>
      </c>
      <c r="C467">
        <v>6956.21</v>
      </c>
      <c r="D467">
        <v>3574.7846517615999</v>
      </c>
    </row>
    <row r="468" spans="2:4" hidden="1" outlineLevel="1">
      <c r="B468" s="412">
        <v>40793</v>
      </c>
      <c r="C468">
        <v>6997.86</v>
      </c>
      <c r="D468">
        <v>3586.2645207814398</v>
      </c>
    </row>
    <row r="469" spans="2:4" hidden="1" outlineLevel="1">
      <c r="B469" s="412">
        <v>40794</v>
      </c>
      <c r="C469">
        <v>6991.6</v>
      </c>
      <c r="D469">
        <v>3574.7225948474502</v>
      </c>
    </row>
    <row r="470" spans="2:4" hidden="1" outlineLevel="1">
      <c r="B470" s="412">
        <v>40795</v>
      </c>
      <c r="C470">
        <v>6989.35</v>
      </c>
      <c r="D470">
        <v>3571.6958215712698</v>
      </c>
    </row>
    <row r="471" spans="2:4" hidden="1" outlineLevel="1">
      <c r="B471" s="412">
        <v>40798</v>
      </c>
      <c r="C471">
        <v>6967.62</v>
      </c>
      <c r="D471">
        <v>3561.5732634649098</v>
      </c>
    </row>
    <row r="472" spans="2:4" hidden="1" outlineLevel="1">
      <c r="B472" s="412">
        <v>40799</v>
      </c>
      <c r="C472">
        <v>6930.04</v>
      </c>
      <c r="D472">
        <v>3553.9654878915298</v>
      </c>
    </row>
    <row r="473" spans="2:4" hidden="1" outlineLevel="1">
      <c r="B473" s="412">
        <v>40800</v>
      </c>
      <c r="C473">
        <v>6895.61</v>
      </c>
      <c r="D473">
        <v>3543.7952268732101</v>
      </c>
    </row>
    <row r="474" spans="2:4" hidden="1" outlineLevel="1">
      <c r="B474" s="412">
        <v>40801</v>
      </c>
      <c r="C474">
        <v>6850.93</v>
      </c>
      <c r="D474">
        <v>3514.90023604108</v>
      </c>
    </row>
    <row r="475" spans="2:4" hidden="1" outlineLevel="1">
      <c r="B475" s="412">
        <v>40802</v>
      </c>
      <c r="C475">
        <v>6870.92</v>
      </c>
      <c r="D475">
        <v>3521.0093607464601</v>
      </c>
    </row>
    <row r="476" spans="2:4" hidden="1" outlineLevel="1">
      <c r="B476" s="412">
        <v>40806</v>
      </c>
      <c r="C476">
        <v>6828.57</v>
      </c>
      <c r="D476">
        <v>3497.8985769925398</v>
      </c>
    </row>
    <row r="477" spans="2:4" hidden="1" outlineLevel="1">
      <c r="B477" s="412">
        <v>40807</v>
      </c>
      <c r="C477">
        <v>6792.88</v>
      </c>
      <c r="D477">
        <v>3478.1402597966598</v>
      </c>
    </row>
    <row r="478" spans="2:4" hidden="1" outlineLevel="1">
      <c r="B478" s="412">
        <v>40808</v>
      </c>
      <c r="C478">
        <v>6762.38</v>
      </c>
      <c r="D478">
        <v>3457.18148408865</v>
      </c>
    </row>
    <row r="479" spans="2:4" hidden="1" outlineLevel="1">
      <c r="B479" s="412">
        <v>40809</v>
      </c>
      <c r="C479">
        <v>6734.6</v>
      </c>
      <c r="D479">
        <v>3438.3081320465799</v>
      </c>
    </row>
    <row r="480" spans="2:4" hidden="1" outlineLevel="1">
      <c r="B480" s="412">
        <v>40812</v>
      </c>
      <c r="C480">
        <v>6736.02</v>
      </c>
      <c r="D480">
        <v>3443.0361513056801</v>
      </c>
    </row>
    <row r="481" spans="2:4" hidden="1" outlineLevel="1">
      <c r="B481" s="412">
        <v>40813</v>
      </c>
      <c r="C481">
        <v>6737.68</v>
      </c>
      <c r="D481">
        <v>3433.84724211721</v>
      </c>
    </row>
    <row r="482" spans="2:4" hidden="1" outlineLevel="1">
      <c r="B482" s="412">
        <v>40814</v>
      </c>
      <c r="C482">
        <v>6710.57</v>
      </c>
      <c r="D482">
        <v>3429.2888437053398</v>
      </c>
    </row>
    <row r="483" spans="2:4" hidden="1" outlineLevel="1">
      <c r="B483" s="412">
        <v>40815</v>
      </c>
      <c r="C483">
        <v>6747.91</v>
      </c>
      <c r="D483">
        <v>3420.0927257841799</v>
      </c>
    </row>
    <row r="484" spans="2:4" hidden="1" outlineLevel="1">
      <c r="B484" s="412">
        <v>40816</v>
      </c>
      <c r="C484">
        <v>6783.17</v>
      </c>
      <c r="D484">
        <v>3430.2164477937299</v>
      </c>
    </row>
    <row r="485" spans="2:4" hidden="1" outlineLevel="1">
      <c r="B485" s="412">
        <v>40819</v>
      </c>
      <c r="C485">
        <v>6783.39</v>
      </c>
      <c r="D485">
        <v>3427.1523645265702</v>
      </c>
    </row>
    <row r="486" spans="2:4" hidden="1" outlineLevel="1">
      <c r="B486" s="412">
        <v>40820</v>
      </c>
      <c r="C486">
        <v>6721.54</v>
      </c>
      <c r="D486">
        <v>3403.6140052516798</v>
      </c>
    </row>
    <row r="487" spans="2:4" hidden="1" outlineLevel="1">
      <c r="B487" s="412">
        <v>40821</v>
      </c>
      <c r="C487">
        <v>6706.48</v>
      </c>
      <c r="D487">
        <v>3416.0561693834202</v>
      </c>
    </row>
    <row r="488" spans="2:4" hidden="1" outlineLevel="1">
      <c r="B488" s="412">
        <v>40822</v>
      </c>
      <c r="C488">
        <v>6677.84</v>
      </c>
      <c r="D488">
        <v>3405.7775927164298</v>
      </c>
    </row>
    <row r="489" spans="2:4" hidden="1" outlineLevel="1">
      <c r="B489" s="412">
        <v>40823</v>
      </c>
      <c r="C489">
        <v>6698.64</v>
      </c>
      <c r="D489">
        <v>3404.66637195368</v>
      </c>
    </row>
    <row r="490" spans="2:4" hidden="1" outlineLevel="1">
      <c r="B490" s="412">
        <v>40826</v>
      </c>
      <c r="C490">
        <v>6669.04</v>
      </c>
      <c r="D490">
        <v>3404.3622601172201</v>
      </c>
    </row>
    <row r="491" spans="2:4" hidden="1" outlineLevel="1">
      <c r="B491" s="412">
        <v>40828</v>
      </c>
      <c r="C491">
        <v>6604.23</v>
      </c>
      <c r="D491">
        <v>3398.5789639337099</v>
      </c>
    </row>
    <row r="492" spans="2:4" hidden="1" outlineLevel="1">
      <c r="B492" s="412">
        <v>40829</v>
      </c>
      <c r="C492">
        <v>6585.99</v>
      </c>
      <c r="D492">
        <v>3391.3402516116498</v>
      </c>
    </row>
    <row r="493" spans="2:4" hidden="1" outlineLevel="1">
      <c r="B493" s="412">
        <v>40830</v>
      </c>
      <c r="C493">
        <v>6549.91</v>
      </c>
      <c r="D493">
        <v>3380.44412324317</v>
      </c>
    </row>
    <row r="494" spans="2:4" hidden="1" outlineLevel="1">
      <c r="B494" s="412">
        <v>40833</v>
      </c>
      <c r="C494">
        <v>6457.51</v>
      </c>
      <c r="D494">
        <v>3357.7107050107702</v>
      </c>
    </row>
    <row r="495" spans="2:4" hidden="1" outlineLevel="1">
      <c r="B495" s="412">
        <v>40834</v>
      </c>
      <c r="C495">
        <v>6388.52</v>
      </c>
      <c r="D495">
        <v>3335.2113829945501</v>
      </c>
    </row>
    <row r="496" spans="2:4" hidden="1" outlineLevel="1">
      <c r="B496" s="412">
        <v>40835</v>
      </c>
      <c r="C496">
        <v>6347.72</v>
      </c>
      <c r="D496">
        <v>3313.63605136041</v>
      </c>
    </row>
    <row r="497" spans="2:4" hidden="1" outlineLevel="1">
      <c r="B497" s="412">
        <v>40836</v>
      </c>
      <c r="C497">
        <v>6288</v>
      </c>
      <c r="D497">
        <v>3302.3252496610398</v>
      </c>
    </row>
    <row r="498" spans="2:4" hidden="1" outlineLevel="1">
      <c r="B498" s="412">
        <v>40837</v>
      </c>
      <c r="C498">
        <v>6356.94</v>
      </c>
      <c r="D498">
        <v>3302.7727860615801</v>
      </c>
    </row>
    <row r="499" spans="2:4" hidden="1" outlineLevel="1">
      <c r="B499" s="412">
        <v>40840</v>
      </c>
      <c r="C499">
        <v>6424.36</v>
      </c>
      <c r="D499">
        <v>3306.2536642595101</v>
      </c>
    </row>
    <row r="500" spans="2:4" hidden="1" outlineLevel="1">
      <c r="B500" s="412">
        <v>40841</v>
      </c>
      <c r="C500">
        <v>6346.05</v>
      </c>
      <c r="D500">
        <v>3273.1435769863101</v>
      </c>
    </row>
    <row r="501" spans="2:4" hidden="1" outlineLevel="1">
      <c r="B501" s="412">
        <v>40843</v>
      </c>
      <c r="C501">
        <v>6323.59</v>
      </c>
      <c r="D501">
        <v>3289.00077885371</v>
      </c>
    </row>
    <row r="502" spans="2:4" hidden="1" outlineLevel="1">
      <c r="B502" s="412">
        <v>40844</v>
      </c>
      <c r="C502">
        <v>6348.44</v>
      </c>
      <c r="D502">
        <v>3290.6311208747202</v>
      </c>
    </row>
    <row r="503" spans="2:4" hidden="1" outlineLevel="1">
      <c r="B503" s="412">
        <v>40847</v>
      </c>
      <c r="C503">
        <v>6319.25</v>
      </c>
      <c r="D503">
        <v>3286.6537901790098</v>
      </c>
    </row>
    <row r="504" spans="2:4" hidden="1" outlineLevel="1">
      <c r="B504" s="412">
        <v>40848</v>
      </c>
      <c r="C504">
        <v>6281.85</v>
      </c>
      <c r="D504">
        <v>3271.5951844625401</v>
      </c>
    </row>
    <row r="505" spans="2:4" hidden="1" outlineLevel="1">
      <c r="B505" s="412">
        <v>40849</v>
      </c>
      <c r="C505">
        <v>6452.28</v>
      </c>
      <c r="D505">
        <v>3360.26494004395</v>
      </c>
    </row>
    <row r="506" spans="2:4" hidden="1" outlineLevel="1">
      <c r="B506" s="412">
        <v>40850</v>
      </c>
      <c r="C506">
        <v>6397.44</v>
      </c>
      <c r="D506">
        <v>3325.6832700540999</v>
      </c>
    </row>
    <row r="507" spans="2:4" hidden="1" outlineLevel="1">
      <c r="B507" s="412">
        <v>40851</v>
      </c>
      <c r="C507">
        <v>6406.52</v>
      </c>
      <c r="D507">
        <v>3342.0560379880399</v>
      </c>
    </row>
    <row r="508" spans="2:4" hidden="1" outlineLevel="1">
      <c r="B508" s="412">
        <v>40855</v>
      </c>
      <c r="C508">
        <v>6322.01</v>
      </c>
      <c r="D508">
        <v>3292.44528666627</v>
      </c>
    </row>
    <row r="509" spans="2:4" hidden="1" outlineLevel="1">
      <c r="B509" s="412">
        <v>40856</v>
      </c>
      <c r="C509">
        <v>6316.87</v>
      </c>
      <c r="D509">
        <v>3294.9514285999599</v>
      </c>
    </row>
    <row r="510" spans="2:4" hidden="1" outlineLevel="1">
      <c r="B510" s="412">
        <v>40858</v>
      </c>
      <c r="C510">
        <v>6332.47</v>
      </c>
      <c r="D510">
        <v>3304.2672815685601</v>
      </c>
    </row>
    <row r="511" spans="2:4" hidden="1" outlineLevel="1">
      <c r="B511" s="412">
        <v>40861</v>
      </c>
      <c r="C511">
        <v>6239.52</v>
      </c>
      <c r="D511">
        <v>3250.82130967892</v>
      </c>
    </row>
    <row r="512" spans="2:4" hidden="1" outlineLevel="1">
      <c r="B512" s="412">
        <v>40862</v>
      </c>
      <c r="C512">
        <v>6092.3</v>
      </c>
      <c r="D512">
        <v>3174.7897317212601</v>
      </c>
    </row>
    <row r="513" spans="2:4" hidden="1" outlineLevel="1">
      <c r="B513" s="412">
        <v>40863</v>
      </c>
      <c r="C513">
        <v>6022.88</v>
      </c>
      <c r="D513">
        <v>3131.07561267249</v>
      </c>
    </row>
    <row r="514" spans="2:4" hidden="1" outlineLevel="1">
      <c r="B514" s="412">
        <v>40864</v>
      </c>
      <c r="C514">
        <v>6092.56</v>
      </c>
      <c r="D514">
        <v>3162.8666279910399</v>
      </c>
    </row>
    <row r="515" spans="2:4" hidden="1" outlineLevel="1">
      <c r="B515" s="412">
        <v>40865</v>
      </c>
      <c r="C515">
        <v>6140.52</v>
      </c>
      <c r="D515">
        <v>3172.8838384218302</v>
      </c>
    </row>
    <row r="516" spans="2:4" hidden="1" outlineLevel="1">
      <c r="B516" s="412">
        <v>40868</v>
      </c>
      <c r="C516">
        <v>6119.86</v>
      </c>
      <c r="D516">
        <v>3171.2541193902898</v>
      </c>
    </row>
    <row r="517" spans="2:4" hidden="1" outlineLevel="1">
      <c r="B517" s="412">
        <v>40869</v>
      </c>
      <c r="C517">
        <v>6060.95</v>
      </c>
      <c r="D517">
        <v>3145.5589011869001</v>
      </c>
    </row>
    <row r="518" spans="2:4" hidden="1" outlineLevel="1">
      <c r="B518" s="412">
        <v>40870</v>
      </c>
      <c r="C518">
        <v>6035.36</v>
      </c>
      <c r="D518">
        <v>3132.0109597949099</v>
      </c>
    </row>
    <row r="519" spans="2:4" hidden="1" outlineLevel="1">
      <c r="B519" s="412">
        <v>40871</v>
      </c>
      <c r="C519">
        <v>5866.75</v>
      </c>
      <c r="D519">
        <v>3074.1718827443801</v>
      </c>
    </row>
    <row r="520" spans="2:4" hidden="1" outlineLevel="1">
      <c r="B520" s="412">
        <v>40872</v>
      </c>
      <c r="C520">
        <v>5805.76</v>
      </c>
      <c r="D520">
        <v>3043.1839377740898</v>
      </c>
    </row>
    <row r="521" spans="2:4" hidden="1" outlineLevel="1">
      <c r="B521" s="412">
        <v>40875</v>
      </c>
      <c r="C521">
        <v>6022.24</v>
      </c>
      <c r="D521">
        <v>3100.2498196831398</v>
      </c>
    </row>
    <row r="522" spans="2:4" hidden="1" outlineLevel="1">
      <c r="B522" s="412">
        <v>40876</v>
      </c>
      <c r="C522">
        <v>6020.08</v>
      </c>
      <c r="D522">
        <v>3112.25340201267</v>
      </c>
    </row>
    <row r="523" spans="2:4" hidden="1" outlineLevel="1">
      <c r="B523" s="412">
        <v>40877</v>
      </c>
      <c r="C523">
        <v>6087.4</v>
      </c>
      <c r="D523">
        <v>3108.3208938620301</v>
      </c>
    </row>
    <row r="524" spans="2:4" hidden="1" outlineLevel="1">
      <c r="B524" s="412">
        <v>40878</v>
      </c>
      <c r="C524">
        <v>6144.67</v>
      </c>
      <c r="D524">
        <v>3102.2321537692101</v>
      </c>
    </row>
    <row r="525" spans="2:4" hidden="1" outlineLevel="1">
      <c r="B525" s="412">
        <v>40879</v>
      </c>
      <c r="C525">
        <v>6087.4</v>
      </c>
      <c r="D525">
        <v>3093.16367784763</v>
      </c>
    </row>
    <row r="526" spans="2:4" hidden="1" outlineLevel="1">
      <c r="B526" s="412">
        <v>40882</v>
      </c>
      <c r="C526">
        <v>5995.92</v>
      </c>
      <c r="D526">
        <v>3048.2804223506901</v>
      </c>
    </row>
    <row r="527" spans="2:4" hidden="1" outlineLevel="1">
      <c r="B527" s="412">
        <v>40883</v>
      </c>
      <c r="C527">
        <v>5988.65</v>
      </c>
      <c r="D527">
        <v>3046.3101247603399</v>
      </c>
    </row>
    <row r="528" spans="2:4" hidden="1" outlineLevel="1">
      <c r="B528" s="412">
        <v>40884</v>
      </c>
      <c r="C528">
        <v>6028.79</v>
      </c>
      <c r="D528">
        <v>3079.44634624642</v>
      </c>
    </row>
    <row r="529" spans="2:4" hidden="1" outlineLevel="1">
      <c r="B529" s="412">
        <v>40885</v>
      </c>
      <c r="C529">
        <v>6027.19</v>
      </c>
      <c r="D529">
        <v>3081.0417156069202</v>
      </c>
    </row>
    <row r="530" spans="2:4" hidden="1" outlineLevel="1">
      <c r="B530" s="412">
        <v>40886</v>
      </c>
      <c r="C530">
        <v>5996.44</v>
      </c>
      <c r="D530">
        <v>3068.2726880014202</v>
      </c>
    </row>
    <row r="531" spans="2:4" hidden="1" outlineLevel="1">
      <c r="B531" s="412">
        <v>40889</v>
      </c>
      <c r="C531">
        <v>5965</v>
      </c>
      <c r="D531">
        <v>3074.5733942586098</v>
      </c>
    </row>
    <row r="532" spans="2:4" hidden="1" outlineLevel="1">
      <c r="B532" s="412">
        <v>40890</v>
      </c>
      <c r="C532">
        <v>5994.66</v>
      </c>
      <c r="D532">
        <v>3100.4047554498602</v>
      </c>
    </row>
    <row r="533" spans="2:4" hidden="1" outlineLevel="1">
      <c r="B533" s="412">
        <v>40891</v>
      </c>
      <c r="C533">
        <v>5950.99</v>
      </c>
      <c r="D533">
        <v>3096.2145796638101</v>
      </c>
    </row>
    <row r="534" spans="2:4" hidden="1" outlineLevel="1">
      <c r="B534" s="412">
        <v>40892</v>
      </c>
      <c r="C534">
        <v>5941.32</v>
      </c>
      <c r="D534">
        <v>3082.1877952149998</v>
      </c>
    </row>
    <row r="535" spans="2:4" hidden="1" outlineLevel="1">
      <c r="B535" s="412">
        <v>40893</v>
      </c>
      <c r="C535">
        <v>5892.69</v>
      </c>
      <c r="D535">
        <v>3060.4374096337401</v>
      </c>
    </row>
    <row r="536" spans="2:4" hidden="1" outlineLevel="1">
      <c r="B536" s="412">
        <v>40896</v>
      </c>
      <c r="C536">
        <v>5860.96</v>
      </c>
      <c r="D536">
        <v>3018.1090210864299</v>
      </c>
    </row>
    <row r="537" spans="2:4" hidden="1" outlineLevel="1">
      <c r="B537" s="412">
        <v>40897</v>
      </c>
      <c r="C537">
        <v>5851.94</v>
      </c>
      <c r="D537">
        <v>3010.2378868204801</v>
      </c>
    </row>
    <row r="538" spans="2:4" hidden="1" outlineLevel="1">
      <c r="B538" s="412">
        <v>40898</v>
      </c>
      <c r="C538">
        <v>5842.83</v>
      </c>
      <c r="D538">
        <v>3018.40784990985</v>
      </c>
    </row>
    <row r="539" spans="2:4" hidden="1" outlineLevel="1">
      <c r="B539" s="412">
        <v>40899</v>
      </c>
      <c r="C539">
        <v>5919.35</v>
      </c>
      <c r="D539">
        <v>3046.41721387998</v>
      </c>
    </row>
    <row r="540" spans="2:4" hidden="1" outlineLevel="1">
      <c r="B540" s="412">
        <v>40900</v>
      </c>
      <c r="C540">
        <v>5982.58</v>
      </c>
      <c r="D540">
        <v>3061.0853450744598</v>
      </c>
    </row>
    <row r="541" spans="2:4" hidden="1" outlineLevel="1">
      <c r="B541" s="412">
        <v>40904</v>
      </c>
      <c r="C541">
        <v>6015.09</v>
      </c>
      <c r="D541">
        <v>3076.6336600671998</v>
      </c>
    </row>
    <row r="542" spans="2:4" hidden="1" outlineLevel="1">
      <c r="B542" s="412">
        <v>40905</v>
      </c>
      <c r="C542">
        <v>6093.39</v>
      </c>
      <c r="D542">
        <v>3119.7360437021198</v>
      </c>
    </row>
    <row r="543" spans="2:4" hidden="1" outlineLevel="1">
      <c r="B543" s="412">
        <v>40906</v>
      </c>
      <c r="C543">
        <v>6089.38</v>
      </c>
      <c r="D543">
        <v>3115.4983231384899</v>
      </c>
    </row>
    <row r="544" spans="2:4" hidden="1" outlineLevel="1">
      <c r="B544" s="412">
        <v>40907</v>
      </c>
      <c r="C544">
        <v>6074.42</v>
      </c>
      <c r="D544">
        <v>3101.48113125293</v>
      </c>
    </row>
    <row r="545" spans="2:4" hidden="1" outlineLevel="1">
      <c r="B545" s="412">
        <v>40910</v>
      </c>
      <c r="C545">
        <v>6074.87</v>
      </c>
      <c r="D545">
        <v>3102.3561888153899</v>
      </c>
    </row>
    <row r="546" spans="2:4" hidden="1" outlineLevel="1">
      <c r="B546" s="412">
        <v>40911</v>
      </c>
      <c r="C546">
        <v>6035.65</v>
      </c>
      <c r="D546">
        <v>3102.32642345254</v>
      </c>
    </row>
    <row r="547" spans="2:4" hidden="1" outlineLevel="1">
      <c r="B547" s="412">
        <v>40912</v>
      </c>
      <c r="C547">
        <v>5972.75</v>
      </c>
      <c r="D547">
        <v>3069.8639185853199</v>
      </c>
    </row>
    <row r="548" spans="2:4" hidden="1" outlineLevel="1">
      <c r="B548" s="412">
        <v>40913</v>
      </c>
      <c r="C548">
        <v>5939.75</v>
      </c>
      <c r="D548">
        <v>3065.5389472476299</v>
      </c>
    </row>
    <row r="549" spans="2:4" hidden="1" outlineLevel="1">
      <c r="B549" s="412">
        <v>40914</v>
      </c>
      <c r="C549">
        <v>5930.52</v>
      </c>
      <c r="D549">
        <v>3066.3019649501798</v>
      </c>
    </row>
    <row r="550" spans="2:4" hidden="1" outlineLevel="1">
      <c r="B550" s="412">
        <v>40917</v>
      </c>
      <c r="C550">
        <v>5872.94</v>
      </c>
      <c r="D550">
        <v>3029.3533870706801</v>
      </c>
    </row>
    <row r="551" spans="2:4" hidden="1" outlineLevel="1">
      <c r="B551" s="412">
        <v>40918</v>
      </c>
      <c r="C551">
        <v>5859.67</v>
      </c>
      <c r="D551">
        <v>3021.6157516093299</v>
      </c>
    </row>
    <row r="552" spans="2:4" hidden="1" outlineLevel="1">
      <c r="B552" s="412">
        <v>40919</v>
      </c>
      <c r="C552">
        <v>5865.06</v>
      </c>
      <c r="D552">
        <v>3024.7132185114301</v>
      </c>
    </row>
    <row r="553" spans="2:4" hidden="1" outlineLevel="1">
      <c r="B553" s="412">
        <v>40920</v>
      </c>
      <c r="C553">
        <v>5942.47</v>
      </c>
      <c r="D553">
        <v>3035.9247951208499</v>
      </c>
    </row>
    <row r="554" spans="2:4" hidden="1" outlineLevel="1">
      <c r="B554" s="412">
        <v>40921</v>
      </c>
      <c r="C554">
        <v>5929.34</v>
      </c>
      <c r="D554">
        <v>3027.4262175435601</v>
      </c>
    </row>
    <row r="555" spans="2:4" hidden="1" outlineLevel="1">
      <c r="B555" s="412">
        <v>40925</v>
      </c>
      <c r="C555">
        <v>5924.61</v>
      </c>
      <c r="D555">
        <v>3023.6760581339499</v>
      </c>
    </row>
    <row r="556" spans="2:4" hidden="1" outlineLevel="1">
      <c r="B556" s="412">
        <v>40926</v>
      </c>
      <c r="C556">
        <v>5846.41</v>
      </c>
      <c r="D556">
        <v>3004.4044686202401</v>
      </c>
    </row>
    <row r="557" spans="2:4" hidden="1" outlineLevel="1">
      <c r="B557" s="412">
        <v>40927</v>
      </c>
      <c r="C557">
        <v>5786.6</v>
      </c>
      <c r="D557">
        <v>2967.6538050016302</v>
      </c>
    </row>
    <row r="558" spans="2:4" hidden="1" outlineLevel="1">
      <c r="B558" s="412">
        <v>40928</v>
      </c>
      <c r="C558">
        <v>5781.13</v>
      </c>
      <c r="D558">
        <v>2968.0624948705499</v>
      </c>
    </row>
    <row r="559" spans="2:4" hidden="1" outlineLevel="1">
      <c r="B559" s="412">
        <v>40931</v>
      </c>
      <c r="C559">
        <v>5663.09</v>
      </c>
      <c r="D559">
        <v>2938.2131462932698</v>
      </c>
    </row>
    <row r="560" spans="2:4" hidden="1" outlineLevel="1">
      <c r="B560" s="412">
        <v>40932</v>
      </c>
      <c r="C560">
        <v>5536.09</v>
      </c>
      <c r="D560">
        <v>2871.0031943680501</v>
      </c>
    </row>
    <row r="561" spans="2:4" hidden="1" outlineLevel="1">
      <c r="B561" s="412">
        <v>40933</v>
      </c>
      <c r="C561">
        <v>5556.29</v>
      </c>
      <c r="D561">
        <v>2906.6360298688501</v>
      </c>
    </row>
    <row r="562" spans="2:4" hidden="1" outlineLevel="1">
      <c r="B562" s="412">
        <v>40934</v>
      </c>
      <c r="C562">
        <v>5592.4</v>
      </c>
      <c r="D562">
        <v>2928.6016942393699</v>
      </c>
    </row>
    <row r="563" spans="2:4" hidden="1" outlineLevel="1">
      <c r="B563" s="412">
        <v>40935</v>
      </c>
      <c r="C563">
        <v>5725.44</v>
      </c>
      <c r="D563">
        <v>2980.11121278269</v>
      </c>
    </row>
    <row r="564" spans="2:4" hidden="1" outlineLevel="1">
      <c r="B564" s="412">
        <v>40938</v>
      </c>
      <c r="C564">
        <v>5755.56</v>
      </c>
      <c r="D564">
        <v>3011.2782731558</v>
      </c>
    </row>
    <row r="565" spans="2:4" hidden="1" outlineLevel="1">
      <c r="B565" s="412">
        <v>40939</v>
      </c>
      <c r="C565">
        <v>5693.92</v>
      </c>
      <c r="D565">
        <v>2992.22075652902</v>
      </c>
    </row>
    <row r="566" spans="2:4" hidden="1" outlineLevel="1">
      <c r="B566" s="412">
        <v>40940</v>
      </c>
      <c r="C566">
        <v>5682.33</v>
      </c>
      <c r="D566">
        <v>2993.76356585234</v>
      </c>
    </row>
    <row r="567" spans="2:4" hidden="1" outlineLevel="1">
      <c r="B567" s="412">
        <v>40941</v>
      </c>
      <c r="C567">
        <v>5605.49</v>
      </c>
      <c r="D567">
        <v>2964.7945225328999</v>
      </c>
    </row>
    <row r="568" spans="2:4" hidden="1" outlineLevel="1">
      <c r="B568" s="412">
        <v>40942</v>
      </c>
      <c r="C568">
        <v>5586.39</v>
      </c>
      <c r="D568">
        <v>2950.6519163124599</v>
      </c>
    </row>
    <row r="569" spans="2:4" hidden="1" outlineLevel="1">
      <c r="B569" s="412">
        <v>40945</v>
      </c>
      <c r="C569">
        <v>5561.43</v>
      </c>
      <c r="D569">
        <v>2956.0862697421999</v>
      </c>
    </row>
    <row r="570" spans="2:4" hidden="1" outlineLevel="1">
      <c r="B570" s="412">
        <v>40947</v>
      </c>
      <c r="C570">
        <v>5442.25</v>
      </c>
      <c r="D570">
        <v>2898.6030679360601</v>
      </c>
    </row>
    <row r="571" spans="2:4" hidden="1" outlineLevel="1">
      <c r="B571" s="412">
        <v>40948</v>
      </c>
      <c r="C571">
        <v>5316.99</v>
      </c>
      <c r="D571">
        <v>2829.0956371078501</v>
      </c>
    </row>
    <row r="572" spans="2:4" hidden="1" outlineLevel="1">
      <c r="B572" s="412">
        <v>40952</v>
      </c>
      <c r="C572">
        <v>5199.9799999999996</v>
      </c>
      <c r="D572">
        <v>2808.8353558138001</v>
      </c>
    </row>
    <row r="573" spans="2:4" hidden="1" outlineLevel="1">
      <c r="B573" s="412">
        <v>40953</v>
      </c>
      <c r="C573">
        <v>5009.96</v>
      </c>
      <c r="D573">
        <v>2775.6364025797802</v>
      </c>
    </row>
    <row r="574" spans="2:4" hidden="1" outlineLevel="1">
      <c r="B574" s="412">
        <v>40954</v>
      </c>
      <c r="C574">
        <v>5023.8</v>
      </c>
      <c r="D574">
        <v>2774.5831710848702</v>
      </c>
    </row>
    <row r="575" spans="2:4" hidden="1" outlineLevel="1">
      <c r="B575" s="412">
        <v>40955</v>
      </c>
      <c r="C575">
        <v>5279.09</v>
      </c>
      <c r="D575">
        <v>2844.48037453498</v>
      </c>
    </row>
    <row r="576" spans="2:4" hidden="1" outlineLevel="1">
      <c r="B576" s="412">
        <v>40956</v>
      </c>
      <c r="C576">
        <v>5285.17</v>
      </c>
      <c r="D576">
        <v>2868.0022808489298</v>
      </c>
    </row>
    <row r="577" spans="2:4" hidden="1" outlineLevel="1">
      <c r="B577" s="412">
        <v>40960</v>
      </c>
      <c r="C577">
        <v>5308.51</v>
      </c>
      <c r="D577">
        <v>2883.76280414967</v>
      </c>
    </row>
    <row r="578" spans="2:4" hidden="1" outlineLevel="1">
      <c r="B578" s="412">
        <v>40961</v>
      </c>
      <c r="C578">
        <v>5420.97</v>
      </c>
      <c r="D578">
        <v>2924.16778133568</v>
      </c>
    </row>
    <row r="579" spans="2:4" hidden="1" outlineLevel="1">
      <c r="B579" s="412">
        <v>40962</v>
      </c>
      <c r="C579">
        <v>5507.6</v>
      </c>
      <c r="D579">
        <v>2971.8406898878402</v>
      </c>
    </row>
    <row r="580" spans="2:4" hidden="1" outlineLevel="1">
      <c r="B580" s="412">
        <v>40963</v>
      </c>
      <c r="C580">
        <v>5566.3</v>
      </c>
      <c r="D580">
        <v>2982.69481656384</v>
      </c>
    </row>
    <row r="581" spans="2:4" hidden="1" outlineLevel="1">
      <c r="B581" s="412">
        <v>40966</v>
      </c>
      <c r="C581">
        <v>5476.59</v>
      </c>
      <c r="D581">
        <v>2955.57996477918</v>
      </c>
    </row>
    <row r="582" spans="2:4" hidden="1" outlineLevel="1">
      <c r="B582" s="412">
        <v>40967</v>
      </c>
      <c r="C582">
        <v>5431.67</v>
      </c>
      <c r="D582">
        <v>2929.2833937815699</v>
      </c>
    </row>
    <row r="583" spans="2:4" hidden="1" outlineLevel="1">
      <c r="B583" s="412">
        <v>40968</v>
      </c>
      <c r="C583">
        <v>5458.09</v>
      </c>
      <c r="D583">
        <v>2950.0292163158201</v>
      </c>
    </row>
    <row r="584" spans="2:4" hidden="1" outlineLevel="1">
      <c r="B584" s="412">
        <v>40969</v>
      </c>
      <c r="C584">
        <v>5469.68</v>
      </c>
      <c r="D584">
        <v>2963.6432801793499</v>
      </c>
    </row>
    <row r="585" spans="2:4" hidden="1" outlineLevel="1">
      <c r="B585" s="412">
        <v>40970</v>
      </c>
      <c r="C585">
        <v>5460.19</v>
      </c>
      <c r="D585">
        <v>2964.9054877747699</v>
      </c>
    </row>
    <row r="586" spans="2:4" hidden="1" outlineLevel="1">
      <c r="B586" s="412">
        <v>40973</v>
      </c>
      <c r="C586">
        <v>5464.81</v>
      </c>
      <c r="D586">
        <v>2972.8756323932498</v>
      </c>
    </row>
    <row r="587" spans="2:4" hidden="1" outlineLevel="1">
      <c r="B587" s="412">
        <v>40974</v>
      </c>
      <c r="C587">
        <v>5477.67</v>
      </c>
      <c r="D587">
        <v>2995.4279270012398</v>
      </c>
    </row>
    <row r="588" spans="2:4" hidden="1" outlineLevel="1">
      <c r="B588" s="412">
        <v>40976</v>
      </c>
      <c r="C588">
        <v>5456.51</v>
      </c>
      <c r="D588">
        <v>2975.74178025741</v>
      </c>
    </row>
    <row r="589" spans="2:4" hidden="1" outlineLevel="1">
      <c r="B589" s="412">
        <v>40977</v>
      </c>
      <c r="C589">
        <v>5456.27</v>
      </c>
      <c r="D589">
        <v>2976.3663376895302</v>
      </c>
    </row>
    <row r="590" spans="2:4" hidden="1" outlineLevel="1">
      <c r="B590" s="412">
        <v>40980</v>
      </c>
      <c r="C590">
        <v>5424.46</v>
      </c>
      <c r="D590">
        <v>2971.4574980028101</v>
      </c>
    </row>
    <row r="591" spans="2:4" hidden="1" outlineLevel="1">
      <c r="B591" s="412">
        <v>40981</v>
      </c>
      <c r="C591">
        <v>5423.26</v>
      </c>
      <c r="D591">
        <v>2970.3780731162901</v>
      </c>
    </row>
    <row r="592" spans="2:4" hidden="1" outlineLevel="1">
      <c r="B592" s="412">
        <v>40982</v>
      </c>
      <c r="C592">
        <v>5418.07</v>
      </c>
      <c r="D592">
        <v>2974.1543207765299</v>
      </c>
    </row>
    <row r="593" spans="2:4" hidden="1" outlineLevel="1">
      <c r="B593" s="412">
        <v>40983</v>
      </c>
      <c r="C593">
        <v>5397.2</v>
      </c>
      <c r="D593">
        <v>2965.9999998101498</v>
      </c>
    </row>
    <row r="594" spans="2:4" hidden="1" outlineLevel="1">
      <c r="B594" s="412">
        <v>40984</v>
      </c>
      <c r="C594">
        <v>5449.05</v>
      </c>
      <c r="D594">
        <v>2978.05502917063</v>
      </c>
    </row>
    <row r="595" spans="2:4" hidden="1" outlineLevel="1">
      <c r="B595" s="412">
        <v>40987</v>
      </c>
      <c r="C595">
        <v>5449.46</v>
      </c>
      <c r="D595">
        <v>2981.6143663574699</v>
      </c>
    </row>
    <row r="596" spans="2:4" hidden="1" outlineLevel="1">
      <c r="B596" s="412">
        <v>40988</v>
      </c>
      <c r="C596">
        <v>5414.02</v>
      </c>
      <c r="D596">
        <v>2986.6971647175601</v>
      </c>
    </row>
    <row r="597" spans="2:4" hidden="1" outlineLevel="1">
      <c r="B597" s="412">
        <v>40989</v>
      </c>
      <c r="C597">
        <v>5384.1</v>
      </c>
      <c r="D597">
        <v>2966.96915947548</v>
      </c>
    </row>
    <row r="598" spans="2:4" hidden="1" outlineLevel="1">
      <c r="B598" s="412">
        <v>40990</v>
      </c>
      <c r="C598">
        <v>5349.7</v>
      </c>
      <c r="D598">
        <v>2957.9556803300002</v>
      </c>
    </row>
    <row r="599" spans="2:4" hidden="1" outlineLevel="1">
      <c r="B599" s="412">
        <v>40991</v>
      </c>
      <c r="C599">
        <v>5422.33</v>
      </c>
      <c r="D599">
        <v>2976.46324940556</v>
      </c>
    </row>
    <row r="600" spans="2:4" hidden="1" outlineLevel="1">
      <c r="B600" s="412">
        <v>40994</v>
      </c>
      <c r="C600">
        <v>5430.96</v>
      </c>
      <c r="D600">
        <v>2973.3538935720499</v>
      </c>
    </row>
    <row r="601" spans="2:4" hidden="1" outlineLevel="1">
      <c r="B601" s="412">
        <v>40995</v>
      </c>
      <c r="C601">
        <v>5425</v>
      </c>
      <c r="D601">
        <v>2978.01977537429</v>
      </c>
    </row>
    <row r="602" spans="2:4" hidden="1" outlineLevel="1">
      <c r="B602" s="412">
        <v>40996</v>
      </c>
      <c r="C602">
        <v>5416.57</v>
      </c>
      <c r="D602">
        <v>2989.0664484735098</v>
      </c>
    </row>
    <row r="603" spans="2:4" hidden="1" outlineLevel="1">
      <c r="B603" s="412">
        <v>40997</v>
      </c>
      <c r="C603">
        <v>5412.04</v>
      </c>
      <c r="D603">
        <v>2980.6291940719402</v>
      </c>
    </row>
    <row r="604" spans="2:4" hidden="1" outlineLevel="1">
      <c r="B604" s="412">
        <v>40998</v>
      </c>
      <c r="C604">
        <v>5420.2</v>
      </c>
      <c r="D604">
        <v>2985.54180686981</v>
      </c>
    </row>
    <row r="605" spans="2:4" hidden="1" outlineLevel="1">
      <c r="B605" s="412">
        <v>41001</v>
      </c>
      <c r="C605">
        <v>5398.7</v>
      </c>
      <c r="D605">
        <v>2990.70517342323</v>
      </c>
    </row>
    <row r="606" spans="2:4" hidden="1" outlineLevel="1">
      <c r="B606" s="412">
        <v>41002</v>
      </c>
      <c r="C606">
        <v>5416.65</v>
      </c>
      <c r="D606">
        <v>3006.8226324454499</v>
      </c>
    </row>
    <row r="607" spans="2:4" hidden="1" outlineLevel="1">
      <c r="B607" s="412">
        <v>41003</v>
      </c>
      <c r="C607">
        <v>5400.91</v>
      </c>
      <c r="D607">
        <v>3009.5932556125099</v>
      </c>
    </row>
    <row r="608" spans="2:4" hidden="1" outlineLevel="1">
      <c r="B608" s="412">
        <v>41004</v>
      </c>
      <c r="C608">
        <v>5423.25</v>
      </c>
      <c r="D608">
        <v>3028.24277968555</v>
      </c>
    </row>
    <row r="609" spans="2:4" hidden="1" outlineLevel="1">
      <c r="B609" s="412">
        <v>41008</v>
      </c>
      <c r="C609">
        <v>5413.12</v>
      </c>
      <c r="D609">
        <v>3041.5648739506901</v>
      </c>
    </row>
    <row r="610" spans="2:4" hidden="1" outlineLevel="1">
      <c r="B610" s="412">
        <v>41009</v>
      </c>
      <c r="C610">
        <v>5392.34</v>
      </c>
      <c r="D610">
        <v>3019.5031701926</v>
      </c>
    </row>
    <row r="611" spans="2:4" hidden="1" outlineLevel="1">
      <c r="B611" s="412">
        <v>41010</v>
      </c>
      <c r="C611">
        <v>5425.73</v>
      </c>
      <c r="D611">
        <v>3021.79506522052</v>
      </c>
    </row>
    <row r="612" spans="2:4" hidden="1" outlineLevel="1">
      <c r="B612" s="412">
        <v>41015</v>
      </c>
      <c r="C612">
        <v>5434.8</v>
      </c>
      <c r="D612">
        <v>3034.6441240990898</v>
      </c>
    </row>
    <row r="613" spans="2:4" hidden="1" outlineLevel="1">
      <c r="B613" s="412">
        <v>41016</v>
      </c>
      <c r="C613">
        <v>5412.44</v>
      </c>
      <c r="D613">
        <v>3022.7569949160902</v>
      </c>
    </row>
    <row r="614" spans="2:4" hidden="1" outlineLevel="1">
      <c r="B614" s="412">
        <v>41017</v>
      </c>
      <c r="C614">
        <v>5407.47</v>
      </c>
      <c r="D614">
        <v>3021.9349038084101</v>
      </c>
    </row>
    <row r="615" spans="2:4" hidden="1" outlineLevel="1">
      <c r="B615" s="412">
        <v>41018</v>
      </c>
      <c r="C615">
        <v>5518.72</v>
      </c>
      <c r="D615">
        <v>3100.87675555132</v>
      </c>
    </row>
    <row r="616" spans="2:4" hidden="1" outlineLevel="1">
      <c r="B616" s="412">
        <v>41019</v>
      </c>
      <c r="C616">
        <v>5457.13</v>
      </c>
      <c r="D616">
        <v>3046.0389454245401</v>
      </c>
    </row>
    <row r="617" spans="2:4" hidden="1" outlineLevel="1">
      <c r="B617" s="412">
        <v>41022</v>
      </c>
      <c r="C617">
        <v>5455.06</v>
      </c>
      <c r="D617">
        <v>3071.4457957023901</v>
      </c>
    </row>
    <row r="618" spans="2:4" hidden="1" outlineLevel="1">
      <c r="B618" s="412">
        <v>41023</v>
      </c>
      <c r="C618">
        <v>5441.53</v>
      </c>
      <c r="D618">
        <v>3053.7830115402098</v>
      </c>
    </row>
    <row r="619" spans="2:4" hidden="1" outlineLevel="1">
      <c r="B619" s="412">
        <v>41024</v>
      </c>
      <c r="C619">
        <v>5440.01</v>
      </c>
      <c r="D619">
        <v>3055.6725341927099</v>
      </c>
    </row>
    <row r="620" spans="2:4" hidden="1" outlineLevel="1">
      <c r="B620" s="412">
        <v>41025</v>
      </c>
      <c r="C620">
        <v>5445.01</v>
      </c>
      <c r="D620">
        <v>3051.1471508796999</v>
      </c>
    </row>
    <row r="621" spans="2:4" hidden="1" outlineLevel="1">
      <c r="B621" s="412">
        <v>41026</v>
      </c>
      <c r="C621">
        <v>5440.52</v>
      </c>
      <c r="D621">
        <v>3051.3534532537801</v>
      </c>
    </row>
    <row r="622" spans="2:4" hidden="1" outlineLevel="1">
      <c r="B622" s="412">
        <v>41029</v>
      </c>
      <c r="C622">
        <v>5419.2</v>
      </c>
      <c r="D622">
        <v>3043.2596761500999</v>
      </c>
    </row>
    <row r="623" spans="2:4" hidden="1" outlineLevel="1">
      <c r="B623" s="412">
        <v>41031</v>
      </c>
      <c r="C623">
        <v>5417.17</v>
      </c>
      <c r="D623">
        <v>3039.9116207105499</v>
      </c>
    </row>
    <row r="624" spans="2:4" hidden="1" outlineLevel="1">
      <c r="B624" s="412">
        <v>41032</v>
      </c>
      <c r="C624">
        <v>5389.47</v>
      </c>
      <c r="D624">
        <v>3033.1288474288299</v>
      </c>
    </row>
    <row r="625" spans="2:4" hidden="1" outlineLevel="1">
      <c r="B625" s="412">
        <v>41033</v>
      </c>
      <c r="C625">
        <v>5375.44</v>
      </c>
      <c r="D625">
        <v>3037.2405136811399</v>
      </c>
    </row>
    <row r="626" spans="2:4" hidden="1" outlineLevel="1">
      <c r="B626" s="412">
        <v>41037</v>
      </c>
      <c r="C626">
        <v>5295.6</v>
      </c>
      <c r="D626">
        <v>3007.0023585215099</v>
      </c>
    </row>
    <row r="627" spans="2:4" hidden="1" outlineLevel="1">
      <c r="B627" s="412">
        <v>41038</v>
      </c>
      <c r="C627">
        <v>5256.79</v>
      </c>
      <c r="D627">
        <v>3012.94766919727</v>
      </c>
    </row>
    <row r="628" spans="2:4" hidden="1" outlineLevel="1">
      <c r="B628" s="412">
        <v>41039</v>
      </c>
      <c r="C628">
        <v>5163.9399999999996</v>
      </c>
      <c r="D628">
        <v>2964.4021290282299</v>
      </c>
    </row>
    <row r="629" spans="2:4" hidden="1" outlineLevel="1">
      <c r="B629" s="412">
        <v>41040</v>
      </c>
      <c r="C629">
        <v>5108.5600000000004</v>
      </c>
      <c r="D629">
        <v>2946.4791971853201</v>
      </c>
    </row>
    <row r="630" spans="2:4" hidden="1" outlineLevel="1">
      <c r="B630" s="412">
        <v>41043</v>
      </c>
      <c r="C630">
        <v>5116.3100000000004</v>
      </c>
      <c r="D630">
        <v>2947.9764087312101</v>
      </c>
    </row>
    <row r="631" spans="2:4" hidden="1" outlineLevel="1">
      <c r="B631" s="412">
        <v>41044</v>
      </c>
      <c r="C631">
        <v>5125.8599999999997</v>
      </c>
      <c r="D631">
        <v>2954.9020912402302</v>
      </c>
    </row>
    <row r="632" spans="2:4" hidden="1" outlineLevel="1">
      <c r="B632" s="412">
        <v>41045</v>
      </c>
      <c r="C632">
        <v>5213.68</v>
      </c>
      <c r="D632">
        <v>2977.7852635839399</v>
      </c>
    </row>
    <row r="633" spans="2:4" hidden="1" outlineLevel="1">
      <c r="B633" s="412">
        <v>41046</v>
      </c>
      <c r="C633">
        <v>5221.53</v>
      </c>
      <c r="D633">
        <v>2991.9969211636399</v>
      </c>
    </row>
    <row r="634" spans="2:4" hidden="1" outlineLevel="1">
      <c r="B634" s="412">
        <v>41047</v>
      </c>
      <c r="C634">
        <v>5222.09</v>
      </c>
      <c r="D634">
        <v>2989.4464238667902</v>
      </c>
    </row>
    <row r="635" spans="2:4" hidden="1" outlineLevel="1">
      <c r="B635" s="412">
        <v>41050</v>
      </c>
      <c r="C635">
        <v>5207.72</v>
      </c>
      <c r="D635">
        <v>2986.2894563445898</v>
      </c>
    </row>
    <row r="636" spans="2:4" hidden="1" outlineLevel="1">
      <c r="B636" s="412">
        <v>41051</v>
      </c>
      <c r="C636">
        <v>5155.6099999999997</v>
      </c>
      <c r="D636">
        <v>2973.9215280363901</v>
      </c>
    </row>
    <row r="637" spans="2:4" hidden="1" outlineLevel="1">
      <c r="B637" s="412">
        <v>41052</v>
      </c>
      <c r="C637">
        <v>5048.1099999999997</v>
      </c>
      <c r="D637">
        <v>2925.1872644483701</v>
      </c>
    </row>
    <row r="638" spans="2:4" hidden="1" outlineLevel="1">
      <c r="B638" s="412">
        <v>41053</v>
      </c>
      <c r="C638">
        <v>5019.12</v>
      </c>
      <c r="D638">
        <v>2911.3890208052098</v>
      </c>
    </row>
    <row r="639" spans="2:4" hidden="1" outlineLevel="1">
      <c r="B639" s="412">
        <v>41054</v>
      </c>
      <c r="C639">
        <v>5009.67</v>
      </c>
      <c r="D639">
        <v>2908.7077170391099</v>
      </c>
    </row>
    <row r="640" spans="2:4" hidden="1" outlineLevel="1">
      <c r="B640" s="412">
        <v>41057</v>
      </c>
      <c r="C640">
        <v>4935.01</v>
      </c>
      <c r="D640">
        <v>2870.3221512075702</v>
      </c>
    </row>
    <row r="641" spans="2:4" hidden="1" outlineLevel="1">
      <c r="B641" s="412">
        <v>41058</v>
      </c>
      <c r="C641">
        <v>4813.26</v>
      </c>
      <c r="D641">
        <v>2823.5110475704801</v>
      </c>
    </row>
    <row r="642" spans="2:4" hidden="1" outlineLevel="1">
      <c r="B642" s="412">
        <v>41059</v>
      </c>
      <c r="C642">
        <v>4865.12</v>
      </c>
      <c r="D642">
        <v>2821.32602094186</v>
      </c>
    </row>
    <row r="643" spans="2:4" hidden="1" outlineLevel="1">
      <c r="B643" s="412">
        <v>41060</v>
      </c>
      <c r="C643">
        <v>4832.1499999999996</v>
      </c>
      <c r="D643">
        <v>2811.6798764131699</v>
      </c>
    </row>
    <row r="644" spans="2:4" hidden="1" outlineLevel="1">
      <c r="B644" s="412">
        <v>41061</v>
      </c>
      <c r="C644">
        <v>4885.18</v>
      </c>
      <c r="D644">
        <v>2831.98142714712</v>
      </c>
    </row>
    <row r="645" spans="2:4" hidden="1" outlineLevel="1">
      <c r="B645" s="412">
        <v>41065</v>
      </c>
      <c r="C645">
        <v>4748.6000000000004</v>
      </c>
      <c r="D645">
        <v>2766.2065831391901</v>
      </c>
    </row>
    <row r="646" spans="2:4" hidden="1" outlineLevel="1">
      <c r="B646" s="412">
        <v>41066</v>
      </c>
      <c r="C646">
        <v>4737.75</v>
      </c>
      <c r="D646">
        <v>2763.6433600836099</v>
      </c>
    </row>
    <row r="647" spans="2:4" hidden="1" outlineLevel="1">
      <c r="B647" s="412">
        <v>41067</v>
      </c>
      <c r="C647">
        <v>4757.9799999999996</v>
      </c>
      <c r="D647">
        <v>2752.6561316868701</v>
      </c>
    </row>
    <row r="648" spans="2:4" hidden="1" outlineLevel="1">
      <c r="B648" s="412">
        <v>41068</v>
      </c>
      <c r="C648">
        <v>4923.0200000000004</v>
      </c>
      <c r="D648">
        <v>2777.3654887371699</v>
      </c>
    </row>
    <row r="649" spans="2:4" hidden="1" outlineLevel="1">
      <c r="B649" s="412">
        <v>41071</v>
      </c>
      <c r="C649">
        <v>4811.4399999999996</v>
      </c>
      <c r="D649">
        <v>2789.0681102866802</v>
      </c>
    </row>
    <row r="650" spans="2:4" hidden="1" outlineLevel="1">
      <c r="B650" s="412">
        <v>41072</v>
      </c>
      <c r="C650">
        <v>4807.55</v>
      </c>
      <c r="D650">
        <v>2782.1260520674</v>
      </c>
    </row>
    <row r="651" spans="2:4" hidden="1" outlineLevel="1">
      <c r="B651" s="412">
        <v>41073</v>
      </c>
      <c r="C651">
        <v>4844.79</v>
      </c>
      <c r="D651">
        <v>2795.4116208625901</v>
      </c>
    </row>
    <row r="652" spans="2:4" hidden="1" outlineLevel="1">
      <c r="B652" s="412">
        <v>41074</v>
      </c>
      <c r="C652">
        <v>4923.0200000000004</v>
      </c>
      <c r="D652">
        <v>2825.14692408671</v>
      </c>
    </row>
    <row r="653" spans="2:4" hidden="1" outlineLevel="1">
      <c r="B653" s="412">
        <v>41075</v>
      </c>
      <c r="C653">
        <v>4991.21</v>
      </c>
      <c r="D653">
        <v>2836.43417870859</v>
      </c>
    </row>
    <row r="654" spans="2:4" hidden="1" outlineLevel="1">
      <c r="B654" s="412">
        <v>41078</v>
      </c>
      <c r="C654">
        <v>4998.1000000000004</v>
      </c>
      <c r="D654">
        <v>2836.43417870859</v>
      </c>
    </row>
    <row r="655" spans="2:4" hidden="1" outlineLevel="1">
      <c r="B655" s="412">
        <v>41079</v>
      </c>
      <c r="C655">
        <v>5059.29</v>
      </c>
      <c r="D655">
        <v>2852.8898090828302</v>
      </c>
    </row>
    <row r="656" spans="2:4" hidden="1" outlineLevel="1">
      <c r="B656" s="412">
        <v>41080</v>
      </c>
      <c r="C656">
        <v>5078.0600000000004</v>
      </c>
      <c r="D656">
        <v>2852.8898090828302</v>
      </c>
    </row>
    <row r="657" spans="2:4" hidden="1" outlineLevel="1">
      <c r="B657" s="412">
        <v>41081</v>
      </c>
      <c r="C657">
        <v>5042.07</v>
      </c>
      <c r="D657">
        <v>2859.2265573690402</v>
      </c>
    </row>
    <row r="658" spans="2:4" hidden="1" outlineLevel="1">
      <c r="B658" s="412">
        <v>41082</v>
      </c>
      <c r="C658">
        <v>5039.1499999999996</v>
      </c>
      <c r="D658">
        <v>2867.7160159452801</v>
      </c>
    </row>
    <row r="659" spans="2:4" hidden="1" outlineLevel="1">
      <c r="B659" s="412">
        <v>41085</v>
      </c>
      <c r="C659">
        <v>4990.43</v>
      </c>
      <c r="D659">
        <v>2844.7986261425499</v>
      </c>
    </row>
    <row r="660" spans="2:4" hidden="1" outlineLevel="1">
      <c r="B660" s="412">
        <v>41086</v>
      </c>
      <c r="C660">
        <v>4989.99</v>
      </c>
      <c r="D660">
        <v>2851.7835795390001</v>
      </c>
    </row>
    <row r="661" spans="2:4" hidden="1" outlineLevel="1">
      <c r="B661" s="412">
        <v>41087</v>
      </c>
      <c r="C661">
        <v>4995.6899999999996</v>
      </c>
      <c r="D661">
        <v>2845.23</v>
      </c>
    </row>
    <row r="662" spans="2:4" hidden="1" outlineLevel="1">
      <c r="B662" s="412">
        <v>41088</v>
      </c>
      <c r="C662">
        <v>4955.91</v>
      </c>
      <c r="D662">
        <v>2811.52</v>
      </c>
    </row>
    <row r="663" spans="2:4" hidden="1" outlineLevel="1">
      <c r="B663" s="412">
        <v>41089</v>
      </c>
      <c r="C663">
        <v>4965.7700000000004</v>
      </c>
      <c r="D663">
        <v>2817.35</v>
      </c>
    </row>
    <row r="664" spans="2:4" hidden="1" outlineLevel="1">
      <c r="B664" s="412">
        <v>41092</v>
      </c>
      <c r="C664">
        <v>4952.93</v>
      </c>
      <c r="D664">
        <v>2810.37</v>
      </c>
    </row>
    <row r="665" spans="2:4" hidden="1" outlineLevel="1">
      <c r="B665" s="412">
        <v>41094</v>
      </c>
      <c r="C665">
        <v>4946.58</v>
      </c>
      <c r="D665">
        <v>2809.3108642160701</v>
      </c>
    </row>
    <row r="666" spans="2:4" hidden="1" outlineLevel="1">
      <c r="B666" s="412">
        <v>41095</v>
      </c>
      <c r="C666">
        <v>4924.6099999999997</v>
      </c>
      <c r="D666">
        <v>2797.38771564844</v>
      </c>
    </row>
    <row r="667" spans="2:4" hidden="1" outlineLevel="1">
      <c r="B667" s="412">
        <v>41096</v>
      </c>
      <c r="C667">
        <v>4928.6400000000003</v>
      </c>
      <c r="D667">
        <v>2796.5053242082499</v>
      </c>
    </row>
    <row r="668" spans="2:4" hidden="1" outlineLevel="1">
      <c r="B668" s="412">
        <v>41099</v>
      </c>
      <c r="C668">
        <v>4925.0600000000004</v>
      </c>
      <c r="D668">
        <v>2796.46270003362</v>
      </c>
    </row>
    <row r="669" spans="2:4" hidden="1" outlineLevel="1">
      <c r="B669" s="412">
        <v>41100</v>
      </c>
      <c r="C669">
        <v>4905.6000000000004</v>
      </c>
      <c r="D669">
        <v>2793.5631608492999</v>
      </c>
    </row>
    <row r="670" spans="2:4" hidden="1" outlineLevel="1">
      <c r="B670" s="412">
        <v>41101</v>
      </c>
      <c r="C670">
        <v>4868.3900000000003</v>
      </c>
      <c r="D670">
        <v>2775.5538704297901</v>
      </c>
    </row>
    <row r="671" spans="2:4" hidden="1" outlineLevel="1">
      <c r="B671" s="412">
        <v>41102</v>
      </c>
      <c r="C671">
        <v>4872.0600000000004</v>
      </c>
      <c r="D671">
        <v>2780.3436999999999</v>
      </c>
    </row>
    <row r="672" spans="2:4" hidden="1" outlineLevel="1">
      <c r="B672" s="412">
        <v>41103</v>
      </c>
      <c r="C672">
        <v>4867.5200000000004</v>
      </c>
      <c r="D672">
        <v>2772.8636125262201</v>
      </c>
    </row>
    <row r="673" spans="2:4" hidden="1" outlineLevel="1">
      <c r="B673" s="412">
        <v>41106</v>
      </c>
      <c r="C673">
        <v>4880.1000000000004</v>
      </c>
      <c r="D673">
        <v>2775.0888124210501</v>
      </c>
    </row>
    <row r="674" spans="2:4" hidden="1" outlineLevel="1">
      <c r="B674" s="412">
        <v>41107</v>
      </c>
      <c r="C674">
        <v>4853.03</v>
      </c>
      <c r="D674">
        <v>2755.7738376320199</v>
      </c>
    </row>
    <row r="675" spans="2:4" hidden="1" outlineLevel="1">
      <c r="B675" s="412">
        <v>41108</v>
      </c>
      <c r="C675">
        <v>4822.6400000000003</v>
      </c>
      <c r="D675">
        <v>2742.74721533307</v>
      </c>
    </row>
    <row r="676" spans="2:4" hidden="1" outlineLevel="1">
      <c r="B676" s="412">
        <v>41109</v>
      </c>
      <c r="C676">
        <v>4891.1099999999997</v>
      </c>
      <c r="D676">
        <v>2760.1787210162302</v>
      </c>
    </row>
    <row r="677" spans="2:4" hidden="1" outlineLevel="1">
      <c r="B677" s="412">
        <v>41110</v>
      </c>
      <c r="C677">
        <v>4888.22</v>
      </c>
      <c r="D677">
        <v>2768.4378384912302</v>
      </c>
    </row>
    <row r="678" spans="2:4" hidden="1" outlineLevel="1">
      <c r="B678" s="412">
        <v>41113</v>
      </c>
      <c r="C678">
        <v>4881.7700000000004</v>
      </c>
      <c r="D678">
        <v>2761.8986253799599</v>
      </c>
    </row>
    <row r="679" spans="2:4" hidden="1" outlineLevel="1">
      <c r="B679" s="412">
        <v>41114</v>
      </c>
      <c r="C679">
        <v>4874.3599999999997</v>
      </c>
      <c r="D679">
        <v>2760.92441798247</v>
      </c>
    </row>
    <row r="680" spans="2:4" hidden="1" outlineLevel="1">
      <c r="B680" s="412">
        <v>41115</v>
      </c>
      <c r="C680">
        <v>4883.88</v>
      </c>
      <c r="D680">
        <v>2761.9865585184698</v>
      </c>
    </row>
    <row r="681" spans="2:4" hidden="1" outlineLevel="1">
      <c r="B681" s="412">
        <v>41116</v>
      </c>
      <c r="C681">
        <v>4876.1899999999996</v>
      </c>
      <c r="D681">
        <v>2755.5858992518001</v>
      </c>
    </row>
    <row r="682" spans="2:4" hidden="1" outlineLevel="1">
      <c r="B682" s="412">
        <v>41117</v>
      </c>
      <c r="C682">
        <v>4933.09</v>
      </c>
      <c r="D682">
        <v>2782.5</v>
      </c>
    </row>
    <row r="683" spans="2:4" hidden="1" outlineLevel="1">
      <c r="B683" s="412">
        <v>41120</v>
      </c>
      <c r="C683">
        <v>4935.51</v>
      </c>
      <c r="D683">
        <v>2776.7375952447201</v>
      </c>
    </row>
    <row r="684" spans="2:4" hidden="1" outlineLevel="1">
      <c r="B684" s="412">
        <v>41121</v>
      </c>
      <c r="C684">
        <v>4944.8599999999997</v>
      </c>
      <c r="D684">
        <v>2785.7266567884099</v>
      </c>
    </row>
    <row r="685" spans="2:4" hidden="1" outlineLevel="1">
      <c r="B685" s="412">
        <v>41123</v>
      </c>
      <c r="C685">
        <v>4960.05</v>
      </c>
      <c r="D685">
        <v>2791.6833305507998</v>
      </c>
    </row>
    <row r="686" spans="2:4" hidden="1" outlineLevel="1">
      <c r="B686" s="412">
        <v>41124</v>
      </c>
      <c r="C686">
        <v>4931.47</v>
      </c>
      <c r="D686">
        <v>2766.26578897321</v>
      </c>
    </row>
    <row r="687" spans="2:4" hidden="1" outlineLevel="1">
      <c r="B687" s="412">
        <v>41127</v>
      </c>
      <c r="C687">
        <v>4928.5</v>
      </c>
      <c r="D687">
        <v>2766.0271242205499</v>
      </c>
    </row>
    <row r="688" spans="2:4" hidden="1" outlineLevel="1">
      <c r="B688" s="412">
        <v>41128</v>
      </c>
      <c r="C688">
        <v>4898.22</v>
      </c>
      <c r="D688">
        <v>2760.9517028987698</v>
      </c>
    </row>
    <row r="689" spans="2:4" hidden="1" outlineLevel="1">
      <c r="B689" s="412">
        <v>41129</v>
      </c>
      <c r="C689">
        <v>4889.87</v>
      </c>
      <c r="D689">
        <v>2753.4541681465998</v>
      </c>
    </row>
    <row r="690" spans="2:4" hidden="1" outlineLevel="1">
      <c r="B690" s="412">
        <v>41130</v>
      </c>
      <c r="C690">
        <v>4851.88</v>
      </c>
      <c r="D690">
        <v>2739.2870419999999</v>
      </c>
    </row>
    <row r="691" spans="2:4" hidden="1" outlineLevel="1">
      <c r="B691" s="412">
        <v>41131</v>
      </c>
      <c r="C691">
        <v>4854.22</v>
      </c>
      <c r="D691">
        <v>2734.2051970000002</v>
      </c>
    </row>
    <row r="692" spans="2:4" hidden="1" outlineLevel="1">
      <c r="B692" s="412">
        <v>41134</v>
      </c>
      <c r="C692">
        <v>4846.45</v>
      </c>
      <c r="D692">
        <v>2729.2693669999999</v>
      </c>
    </row>
    <row r="693" spans="2:4" hidden="1" outlineLevel="1">
      <c r="B693" s="412">
        <v>41135</v>
      </c>
      <c r="C693">
        <v>4908.1899999999996</v>
      </c>
      <c r="D693">
        <v>2768.84</v>
      </c>
    </row>
    <row r="694" spans="2:4" hidden="1" outlineLevel="1">
      <c r="B694" s="412">
        <v>41136</v>
      </c>
      <c r="C694">
        <v>4939.66</v>
      </c>
      <c r="D694">
        <v>2799.78</v>
      </c>
    </row>
    <row r="695" spans="2:4" hidden="1" outlineLevel="1">
      <c r="B695" s="412">
        <v>41137</v>
      </c>
      <c r="C695">
        <v>4908.72</v>
      </c>
      <c r="D695">
        <v>2778.88</v>
      </c>
    </row>
    <row r="696" spans="2:4" hidden="1" outlineLevel="1">
      <c r="B696" s="412">
        <v>41138</v>
      </c>
      <c r="C696">
        <v>4927.13</v>
      </c>
      <c r="D696">
        <v>2792.08</v>
      </c>
    </row>
    <row r="697" spans="2:4" hidden="1" outlineLevel="1">
      <c r="B697" s="412">
        <v>41141</v>
      </c>
      <c r="C697">
        <v>4949.46</v>
      </c>
      <c r="D697">
        <v>2799.31</v>
      </c>
    </row>
    <row r="698" spans="2:4" hidden="1" outlineLevel="1">
      <c r="B698" s="412">
        <v>41142</v>
      </c>
      <c r="C698">
        <v>4945.13</v>
      </c>
      <c r="D698">
        <v>2795.62</v>
      </c>
    </row>
    <row r="699" spans="2:4" hidden="1" outlineLevel="1">
      <c r="B699" s="412">
        <v>41143</v>
      </c>
      <c r="C699">
        <v>5027.3999999999996</v>
      </c>
      <c r="D699">
        <v>2831.7</v>
      </c>
    </row>
    <row r="700" spans="2:4" hidden="1" outlineLevel="1">
      <c r="B700" s="412">
        <v>41144</v>
      </c>
      <c r="C700">
        <v>5038.1499999999996</v>
      </c>
      <c r="D700">
        <v>2847.5</v>
      </c>
    </row>
    <row r="701" spans="2:4" hidden="1" outlineLevel="1">
      <c r="B701" s="412">
        <v>41145</v>
      </c>
      <c r="C701">
        <v>5012.84</v>
      </c>
      <c r="D701">
        <v>2828.54</v>
      </c>
    </row>
    <row r="702" spans="2:4" hidden="1" outlineLevel="1">
      <c r="B702" s="412">
        <v>41148</v>
      </c>
      <c r="C702">
        <v>5073.1000000000004</v>
      </c>
      <c r="D702">
        <v>2846.84</v>
      </c>
    </row>
    <row r="703" spans="2:4" hidden="1" outlineLevel="1">
      <c r="B703" s="412">
        <v>41149</v>
      </c>
      <c r="C703">
        <v>5102.6499999999996</v>
      </c>
      <c r="D703">
        <v>2856.75</v>
      </c>
    </row>
    <row r="704" spans="2:4" hidden="1" outlineLevel="1">
      <c r="B704" s="412">
        <v>41150</v>
      </c>
      <c r="C704">
        <v>5114.1499999999996</v>
      </c>
      <c r="D704">
        <v>2866.13</v>
      </c>
    </row>
    <row r="705" spans="2:4" hidden="1" outlineLevel="1">
      <c r="B705" s="412">
        <v>41151</v>
      </c>
      <c r="C705">
        <v>5180.1499999999996</v>
      </c>
      <c r="D705">
        <v>2877.88</v>
      </c>
    </row>
    <row r="706" spans="2:4" hidden="1" outlineLevel="1">
      <c r="B706" s="412">
        <v>41155</v>
      </c>
      <c r="C706">
        <v>5250.99</v>
      </c>
      <c r="D706">
        <v>2897.76</v>
      </c>
    </row>
    <row r="707" spans="2:4" hidden="1" outlineLevel="1">
      <c r="B707" s="412">
        <v>41156</v>
      </c>
      <c r="C707">
        <v>5327.22</v>
      </c>
      <c r="D707">
        <v>2931.41</v>
      </c>
    </row>
    <row r="708" spans="2:4" hidden="1" outlineLevel="1">
      <c r="B708" s="412">
        <v>41157</v>
      </c>
      <c r="C708">
        <v>5372.13</v>
      </c>
      <c r="D708">
        <v>2943.31</v>
      </c>
    </row>
    <row r="709" spans="2:4" hidden="1" outlineLevel="1">
      <c r="B709" s="412">
        <v>41158</v>
      </c>
      <c r="C709">
        <v>5388.92</v>
      </c>
      <c r="D709">
        <v>2936.01</v>
      </c>
    </row>
    <row r="710" spans="2:4" hidden="1" outlineLevel="1">
      <c r="B710" s="412">
        <v>41159</v>
      </c>
      <c r="C710">
        <v>5496.85</v>
      </c>
      <c r="D710">
        <v>2983.81</v>
      </c>
    </row>
    <row r="711" spans="2:4" hidden="1" outlineLevel="1">
      <c r="B711" s="412">
        <v>41162</v>
      </c>
      <c r="C711">
        <v>5592.03</v>
      </c>
      <c r="D711">
        <v>3026.5</v>
      </c>
    </row>
    <row r="712" spans="2:4" hidden="1" outlineLevel="1">
      <c r="B712" s="412">
        <v>41163</v>
      </c>
      <c r="C712">
        <v>5590.9</v>
      </c>
      <c r="D712">
        <v>3034</v>
      </c>
    </row>
    <row r="713" spans="2:4" hidden="1" outlineLevel="1">
      <c r="B713" s="412">
        <v>41164</v>
      </c>
      <c r="C713">
        <v>5668.3</v>
      </c>
      <c r="D713">
        <v>3073.26</v>
      </c>
    </row>
    <row r="714" spans="2:4" hidden="1" outlineLevel="1">
      <c r="B714" s="412">
        <v>41165</v>
      </c>
      <c r="C714">
        <v>5777.22</v>
      </c>
      <c r="D714">
        <v>3132.59</v>
      </c>
    </row>
    <row r="715" spans="2:4" hidden="1" outlineLevel="1">
      <c r="B715" s="412">
        <v>41166</v>
      </c>
      <c r="C715">
        <v>5926.9</v>
      </c>
      <c r="D715">
        <v>3214.35</v>
      </c>
    </row>
    <row r="716" spans="2:4" hidden="1" outlineLevel="1">
      <c r="B716" s="412">
        <v>41169</v>
      </c>
      <c r="C716">
        <v>5969.09</v>
      </c>
      <c r="D716">
        <v>3210.7</v>
      </c>
    </row>
    <row r="717" spans="2:4" hidden="1" outlineLevel="1">
      <c r="B717" s="412">
        <v>41170</v>
      </c>
      <c r="C717">
        <v>5910.81</v>
      </c>
      <c r="D717">
        <v>3177.73</v>
      </c>
    </row>
    <row r="718" spans="2:4" hidden="1" outlineLevel="1">
      <c r="B718" s="412">
        <v>41171</v>
      </c>
      <c r="C718">
        <v>5849.14</v>
      </c>
      <c r="D718">
        <v>3141.64</v>
      </c>
    </row>
    <row r="719" spans="2:4" hidden="1" outlineLevel="1">
      <c r="B719" s="412">
        <v>41172</v>
      </c>
      <c r="C719">
        <v>5901.97</v>
      </c>
      <c r="D719">
        <v>3169.61</v>
      </c>
    </row>
    <row r="720" spans="2:4" hidden="1" outlineLevel="1">
      <c r="B720" s="412">
        <v>41173</v>
      </c>
      <c r="C720">
        <v>5910.07</v>
      </c>
      <c r="D720">
        <v>3178.16</v>
      </c>
    </row>
    <row r="721" spans="2:4" hidden="1" outlineLevel="1">
      <c r="B721" s="412">
        <v>41176</v>
      </c>
      <c r="C721">
        <v>5915.9</v>
      </c>
      <c r="D721">
        <v>3194.91</v>
      </c>
    </row>
    <row r="722" spans="2:4" hidden="1" outlineLevel="1">
      <c r="B722" s="412">
        <v>41177</v>
      </c>
      <c r="C722">
        <v>5926.29</v>
      </c>
      <c r="D722">
        <v>3201.1</v>
      </c>
    </row>
    <row r="723" spans="2:4" hidden="1" outlineLevel="1">
      <c r="B723" s="412">
        <v>41178</v>
      </c>
      <c r="C723">
        <v>5943.76</v>
      </c>
      <c r="D723">
        <v>3220.27</v>
      </c>
    </row>
    <row r="724" spans="2:4" hidden="1" outlineLevel="1">
      <c r="B724" s="412">
        <v>41179</v>
      </c>
      <c r="C724">
        <v>5949.42</v>
      </c>
      <c r="D724">
        <v>3222.31</v>
      </c>
    </row>
    <row r="725" spans="2:4" hidden="1" outlineLevel="1">
      <c r="B725" s="412">
        <v>41180</v>
      </c>
      <c r="C725">
        <v>5971.99</v>
      </c>
      <c r="D725">
        <v>3240.98</v>
      </c>
    </row>
    <row r="726" spans="2:4" hidden="1" outlineLevel="1">
      <c r="B726" s="412">
        <v>41183</v>
      </c>
      <c r="C726">
        <v>5964.29</v>
      </c>
      <c r="D726">
        <v>3236.61</v>
      </c>
    </row>
    <row r="727" spans="2:4" hidden="1" outlineLevel="1">
      <c r="B727" s="412">
        <v>41184</v>
      </c>
      <c r="C727">
        <v>5928.53</v>
      </c>
      <c r="D727">
        <v>3222.4</v>
      </c>
    </row>
    <row r="728" spans="2:4" hidden="1" outlineLevel="1">
      <c r="B728" s="412">
        <v>41185</v>
      </c>
      <c r="C728">
        <v>5890.69</v>
      </c>
      <c r="D728">
        <v>3189.94</v>
      </c>
    </row>
    <row r="729" spans="2:4" hidden="1" outlineLevel="1">
      <c r="B729" s="412">
        <v>41186</v>
      </c>
      <c r="C729">
        <v>5861.35</v>
      </c>
      <c r="D729">
        <v>3177.88</v>
      </c>
    </row>
    <row r="730" spans="2:4" hidden="1" outlineLevel="1">
      <c r="B730" s="412">
        <v>41187</v>
      </c>
      <c r="C730">
        <v>5879.69</v>
      </c>
      <c r="D730">
        <v>3170.14</v>
      </c>
    </row>
    <row r="731" spans="2:4" hidden="1" outlineLevel="1">
      <c r="B731" s="412">
        <v>41190</v>
      </c>
      <c r="C731">
        <v>5847.17</v>
      </c>
      <c r="D731">
        <v>3153.67</v>
      </c>
    </row>
    <row r="732" spans="2:4" hidden="1" outlineLevel="1">
      <c r="B732" s="412">
        <v>41191</v>
      </c>
      <c r="C732">
        <v>5833.32</v>
      </c>
      <c r="D732">
        <v>3143.93</v>
      </c>
    </row>
    <row r="733" spans="2:4" hidden="1" outlineLevel="1">
      <c r="B733" s="412">
        <v>41192</v>
      </c>
      <c r="C733">
        <v>5772.52</v>
      </c>
      <c r="D733">
        <v>3127.62</v>
      </c>
    </row>
    <row r="734" spans="2:4" hidden="1" outlineLevel="1">
      <c r="B734" s="412">
        <v>41193</v>
      </c>
      <c r="C734">
        <v>5720.86</v>
      </c>
      <c r="D734">
        <v>3092.8</v>
      </c>
    </row>
    <row r="735" spans="2:4" hidden="1" outlineLevel="1">
      <c r="B735" s="412">
        <v>41194</v>
      </c>
      <c r="C735">
        <v>5738.24</v>
      </c>
      <c r="D735">
        <v>3098.42</v>
      </c>
    </row>
    <row r="736" spans="2:4" hidden="1" outlineLevel="1">
      <c r="B736" s="412">
        <v>41197</v>
      </c>
      <c r="C736">
        <v>5653.8</v>
      </c>
      <c r="D736">
        <v>3055.86</v>
      </c>
    </row>
    <row r="737" spans="2:4" hidden="1" outlineLevel="1">
      <c r="B737" s="412">
        <v>41198</v>
      </c>
      <c r="C737">
        <v>5608.13</v>
      </c>
      <c r="D737">
        <v>3036.94</v>
      </c>
    </row>
    <row r="738" spans="2:4" hidden="1" outlineLevel="1">
      <c r="B738" s="412">
        <v>41199</v>
      </c>
      <c r="C738">
        <v>5586.4</v>
      </c>
      <c r="D738">
        <v>3017.33</v>
      </c>
    </row>
    <row r="739" spans="2:4" hidden="1" outlineLevel="1">
      <c r="B739" s="412">
        <v>41200</v>
      </c>
      <c r="C739">
        <v>5625.32</v>
      </c>
      <c r="D739">
        <v>3029</v>
      </c>
    </row>
    <row r="740" spans="2:4" hidden="1" outlineLevel="1">
      <c r="B740" s="412">
        <v>41201</v>
      </c>
      <c r="C740">
        <v>5649.53</v>
      </c>
      <c r="D740">
        <v>3041.98</v>
      </c>
    </row>
    <row r="741" spans="2:4" hidden="1" outlineLevel="1">
      <c r="B741" s="412">
        <v>41204</v>
      </c>
      <c r="C741">
        <v>5553.89</v>
      </c>
      <c r="D741">
        <v>3010.02</v>
      </c>
    </row>
    <row r="742" spans="2:4" hidden="1" outlineLevel="1">
      <c r="B742" s="412">
        <v>41205</v>
      </c>
      <c r="C742">
        <v>5556.77</v>
      </c>
      <c r="D742">
        <v>3013.57</v>
      </c>
    </row>
    <row r="743" spans="2:4" hidden="1" outlineLevel="1">
      <c r="B743" s="412">
        <v>41206</v>
      </c>
      <c r="C743">
        <v>5543.25</v>
      </c>
      <c r="D743">
        <v>3008.4</v>
      </c>
    </row>
    <row r="744" spans="2:4" hidden="1" outlineLevel="1">
      <c r="B744" s="412">
        <v>41207</v>
      </c>
      <c r="C744">
        <v>5576.72</v>
      </c>
      <c r="D744">
        <v>3009.59</v>
      </c>
    </row>
    <row r="745" spans="2:4" hidden="1" outlineLevel="1">
      <c r="B745" s="412">
        <v>41208</v>
      </c>
      <c r="C745">
        <v>5550.88</v>
      </c>
      <c r="D745">
        <v>2997.35</v>
      </c>
    </row>
    <row r="746" spans="2:4" hidden="1" outlineLevel="1">
      <c r="B746" s="412">
        <v>41212</v>
      </c>
      <c r="C746">
        <v>5520.62</v>
      </c>
      <c r="D746">
        <v>2983.87</v>
      </c>
    </row>
    <row r="747" spans="2:4" hidden="1" outlineLevel="1">
      <c r="B747" s="412">
        <v>41213</v>
      </c>
      <c r="C747">
        <v>5513.64</v>
      </c>
      <c r="D747">
        <v>2988.05</v>
      </c>
    </row>
    <row r="748" spans="2:4" hidden="1" outlineLevel="1">
      <c r="B748" s="412">
        <v>41214</v>
      </c>
      <c r="C748">
        <v>5494.54</v>
      </c>
      <c r="D748">
        <v>2974.15</v>
      </c>
    </row>
    <row r="749" spans="2:4" hidden="1" outlineLevel="1">
      <c r="B749" s="412">
        <v>41215</v>
      </c>
      <c r="C749">
        <v>5532.32</v>
      </c>
      <c r="D749">
        <v>2997.95</v>
      </c>
    </row>
    <row r="750" spans="2:4" hidden="1" outlineLevel="1">
      <c r="B750" s="412">
        <v>41218</v>
      </c>
      <c r="C750">
        <v>5539.31</v>
      </c>
      <c r="D750">
        <v>3005.75</v>
      </c>
    </row>
    <row r="751" spans="2:4" hidden="1" outlineLevel="1">
      <c r="B751" s="412">
        <v>41219</v>
      </c>
      <c r="C751">
        <v>5556.59</v>
      </c>
      <c r="D751">
        <v>3012.98</v>
      </c>
    </row>
    <row r="752" spans="2:4" hidden="1" outlineLevel="1">
      <c r="B752" s="412">
        <v>41220</v>
      </c>
      <c r="C752">
        <v>5570.87</v>
      </c>
      <c r="D752">
        <v>3022.87</v>
      </c>
    </row>
    <row r="753" spans="2:4" hidden="1" outlineLevel="1">
      <c r="B753" s="412">
        <v>41221</v>
      </c>
      <c r="C753">
        <v>5580.84</v>
      </c>
      <c r="D753">
        <v>3022.16</v>
      </c>
    </row>
    <row r="754" spans="2:4" hidden="1" outlineLevel="1">
      <c r="B754" s="412">
        <v>41222</v>
      </c>
      <c r="C754">
        <v>5589.43</v>
      </c>
      <c r="D754">
        <v>3034.6</v>
      </c>
    </row>
    <row r="755" spans="2:4" hidden="1" outlineLevel="1">
      <c r="B755" s="412">
        <v>41225</v>
      </c>
      <c r="C755">
        <v>5599.88</v>
      </c>
      <c r="D755">
        <v>3044.36</v>
      </c>
    </row>
    <row r="756" spans="2:4" hidden="1" outlineLevel="1">
      <c r="B756" s="412">
        <v>41227</v>
      </c>
      <c r="C756">
        <v>5574.96</v>
      </c>
      <c r="D756">
        <v>3043.52</v>
      </c>
    </row>
    <row r="757" spans="2:4" hidden="1" outlineLevel="1">
      <c r="B757" s="412">
        <v>41228</v>
      </c>
      <c r="C757">
        <v>5558.25</v>
      </c>
      <c r="D757">
        <v>3026.71</v>
      </c>
    </row>
    <row r="758" spans="2:4" hidden="1" outlineLevel="1">
      <c r="B758" s="412">
        <v>41229</v>
      </c>
      <c r="C758">
        <v>5556.32</v>
      </c>
      <c r="D758">
        <v>3028.68</v>
      </c>
    </row>
    <row r="759" spans="2:4" hidden="1" outlineLevel="1">
      <c r="B759" s="412">
        <v>41232</v>
      </c>
      <c r="C759">
        <v>5503.93</v>
      </c>
      <c r="D759">
        <v>3006.47</v>
      </c>
    </row>
    <row r="760" spans="2:4" hidden="1" outlineLevel="1">
      <c r="B760" s="412">
        <v>41233</v>
      </c>
      <c r="C760">
        <v>5433.95</v>
      </c>
      <c r="D760">
        <v>2992.03</v>
      </c>
    </row>
    <row r="761" spans="2:4" hidden="1" outlineLevel="1">
      <c r="B761" s="412">
        <v>41234</v>
      </c>
      <c r="C761">
        <v>5360.6</v>
      </c>
      <c r="D761">
        <v>2951.26</v>
      </c>
    </row>
    <row r="762" spans="2:4" hidden="1" outlineLevel="1">
      <c r="B762" s="412">
        <v>41234</v>
      </c>
      <c r="C762">
        <v>5360.6</v>
      </c>
      <c r="D762">
        <v>2951.26</v>
      </c>
    </row>
    <row r="763" spans="2:4" hidden="1" outlineLevel="1">
      <c r="B763" s="412">
        <v>41235</v>
      </c>
      <c r="C763">
        <v>5406.65</v>
      </c>
      <c r="D763">
        <v>2967.53</v>
      </c>
    </row>
    <row r="764" spans="2:4" hidden="1" outlineLevel="1">
      <c r="B764" s="412">
        <v>41236</v>
      </c>
      <c r="C764">
        <v>5407.11</v>
      </c>
      <c r="D764">
        <v>2967.31</v>
      </c>
    </row>
    <row r="765" spans="2:4" hidden="1" outlineLevel="1">
      <c r="B765" s="412">
        <v>41239</v>
      </c>
      <c r="C765">
        <v>5384.89</v>
      </c>
      <c r="D765">
        <v>2960.01</v>
      </c>
    </row>
    <row r="766" spans="2:4" hidden="1" outlineLevel="1">
      <c r="B766" s="412">
        <v>41241</v>
      </c>
      <c r="C766">
        <v>5334.68</v>
      </c>
      <c r="D766">
        <v>2934.77</v>
      </c>
    </row>
    <row r="767" spans="2:4" hidden="1" outlineLevel="1">
      <c r="B767" s="412">
        <v>41242</v>
      </c>
      <c r="C767">
        <v>5363.6</v>
      </c>
      <c r="D767">
        <v>2952.16</v>
      </c>
    </row>
    <row r="768" spans="2:4" hidden="1" outlineLevel="1">
      <c r="B768" s="412">
        <v>41243</v>
      </c>
      <c r="C768">
        <v>5351.25</v>
      </c>
      <c r="D768">
        <v>2942.02</v>
      </c>
    </row>
    <row r="769" spans="2:4" hidden="1" outlineLevel="1">
      <c r="B769" s="412">
        <v>41246</v>
      </c>
      <c r="C769">
        <v>5337.71</v>
      </c>
      <c r="D769">
        <v>2931.4</v>
      </c>
    </row>
    <row r="770" spans="2:4" hidden="1" outlineLevel="1">
      <c r="B770" s="412">
        <v>41247</v>
      </c>
      <c r="C770">
        <v>5331.45</v>
      </c>
      <c r="D770">
        <v>2932.17</v>
      </c>
    </row>
    <row r="771" spans="2:4" hidden="1" outlineLevel="1">
      <c r="B771" s="412">
        <v>41248</v>
      </c>
      <c r="C771">
        <v>5323.21</v>
      </c>
      <c r="D771">
        <v>2923.14</v>
      </c>
    </row>
    <row r="772" spans="2:4" hidden="1" outlineLevel="1">
      <c r="B772" s="412">
        <v>41249</v>
      </c>
      <c r="C772">
        <v>5387.33</v>
      </c>
      <c r="D772">
        <v>2951.85</v>
      </c>
    </row>
    <row r="773" spans="2:4" hidden="1" outlineLevel="1">
      <c r="B773" s="412">
        <v>41250</v>
      </c>
      <c r="C773">
        <v>5387.4</v>
      </c>
      <c r="D773">
        <v>2953.62</v>
      </c>
    </row>
    <row r="774" spans="2:4" hidden="1" outlineLevel="1">
      <c r="B774" s="412">
        <v>41253</v>
      </c>
      <c r="C774">
        <v>5404.86</v>
      </c>
      <c r="D774">
        <v>2958.11</v>
      </c>
    </row>
    <row r="775" spans="2:4" hidden="1" outlineLevel="1">
      <c r="B775" s="412">
        <v>41254</v>
      </c>
      <c r="C775">
        <v>5417.78</v>
      </c>
      <c r="D775">
        <v>2963.21</v>
      </c>
    </row>
    <row r="776" spans="2:4" hidden="1" outlineLevel="1">
      <c r="B776" s="412">
        <v>41255</v>
      </c>
      <c r="C776">
        <v>5516.64</v>
      </c>
      <c r="D776">
        <v>2994.55</v>
      </c>
    </row>
    <row r="777" spans="2:4" hidden="1" outlineLevel="1">
      <c r="B777" s="412">
        <v>41256</v>
      </c>
      <c r="C777">
        <v>5547.36</v>
      </c>
      <c r="D777">
        <v>3024.29</v>
      </c>
    </row>
    <row r="778" spans="2:4" hidden="1" outlineLevel="1">
      <c r="B778" s="412">
        <v>41257</v>
      </c>
      <c r="C778">
        <v>5522.72</v>
      </c>
      <c r="D778">
        <v>3022.79</v>
      </c>
    </row>
    <row r="779" spans="2:4" hidden="1" outlineLevel="1">
      <c r="B779" s="412">
        <v>41260</v>
      </c>
      <c r="C779">
        <v>5503.51</v>
      </c>
      <c r="D779">
        <v>3009.44</v>
      </c>
    </row>
    <row r="780" spans="2:4" hidden="1" outlineLevel="1">
      <c r="B780" s="412">
        <v>41261</v>
      </c>
      <c r="C780">
        <v>5507.79</v>
      </c>
      <c r="D780">
        <v>3019.62</v>
      </c>
    </row>
    <row r="781" spans="2:4" hidden="1" outlineLevel="1">
      <c r="B781" s="412">
        <v>41262</v>
      </c>
      <c r="C781">
        <v>5512.66</v>
      </c>
      <c r="D781">
        <v>3017.99</v>
      </c>
    </row>
    <row r="782" spans="2:4" hidden="1" outlineLevel="1">
      <c r="B782" s="412">
        <v>41263</v>
      </c>
      <c r="C782">
        <v>5527.36</v>
      </c>
      <c r="D782">
        <v>3030.86</v>
      </c>
    </row>
    <row r="783" spans="2:4" hidden="1" outlineLevel="1">
      <c r="B783" s="412">
        <v>41264</v>
      </c>
      <c r="C783">
        <v>5516.49</v>
      </c>
      <c r="D783">
        <v>3034.24</v>
      </c>
    </row>
    <row r="784" spans="2:4" hidden="1" outlineLevel="1">
      <c r="B784" s="412">
        <v>41267</v>
      </c>
      <c r="C784">
        <v>5524.89</v>
      </c>
      <c r="D784">
        <v>3038.78</v>
      </c>
    </row>
    <row r="785" spans="2:4" hidden="1" outlineLevel="1">
      <c r="B785" s="412">
        <v>41269</v>
      </c>
      <c r="C785">
        <v>5570.91</v>
      </c>
      <c r="D785">
        <v>3060.37</v>
      </c>
    </row>
    <row r="786" spans="2:4" hidden="1" outlineLevel="1">
      <c r="B786" s="412">
        <v>41271</v>
      </c>
      <c r="C786">
        <v>5607.13</v>
      </c>
      <c r="D786">
        <v>3068.99</v>
      </c>
    </row>
    <row r="787" spans="2:4" hidden="1" outlineLevel="1">
      <c r="B787" s="412">
        <v>41274</v>
      </c>
      <c r="C787">
        <v>5643</v>
      </c>
      <c r="D787">
        <v>3085.33</v>
      </c>
    </row>
    <row r="788" spans="2:4" hidden="1" outlineLevel="1">
      <c r="B788" s="412">
        <v>41276</v>
      </c>
      <c r="C788">
        <v>5683.79</v>
      </c>
      <c r="D788">
        <v>3090.88</v>
      </c>
    </row>
    <row r="789" spans="2:4" hidden="1" outlineLevel="1">
      <c r="B789" s="412">
        <v>41277</v>
      </c>
      <c r="C789">
        <v>5730.45</v>
      </c>
      <c r="D789">
        <v>3104.25</v>
      </c>
    </row>
    <row r="790" spans="2:4" hidden="1" outlineLevel="1">
      <c r="B790" s="412">
        <v>41278</v>
      </c>
      <c r="C790">
        <v>5747.71</v>
      </c>
      <c r="D790">
        <v>3121.71</v>
      </c>
    </row>
    <row r="791" spans="2:4" hidden="1" outlineLevel="1">
      <c r="B791" s="412">
        <v>41281</v>
      </c>
      <c r="C791">
        <v>5746.09</v>
      </c>
      <c r="D791">
        <v>3120.04</v>
      </c>
    </row>
    <row r="792" spans="2:4" hidden="1" outlineLevel="1">
      <c r="B792" s="412">
        <v>41282</v>
      </c>
      <c r="C792">
        <v>5751.93</v>
      </c>
      <c r="D792">
        <v>3123.97</v>
      </c>
    </row>
    <row r="793" spans="2:4" hidden="1" outlineLevel="1">
      <c r="B793" s="412">
        <v>41283</v>
      </c>
      <c r="C793">
        <v>5745.1</v>
      </c>
      <c r="D793">
        <v>3120.87</v>
      </c>
    </row>
    <row r="794" spans="2:4" hidden="1" outlineLevel="1">
      <c r="B794" s="412">
        <v>41284</v>
      </c>
      <c r="C794">
        <v>5732.21</v>
      </c>
      <c r="D794">
        <v>3121.53</v>
      </c>
    </row>
    <row r="795" spans="2:4" hidden="1" outlineLevel="1">
      <c r="B795" s="412">
        <v>41285</v>
      </c>
      <c r="C795">
        <v>5746.49</v>
      </c>
      <c r="D795">
        <v>3133.87</v>
      </c>
    </row>
    <row r="796" spans="2:4" hidden="1" outlineLevel="1">
      <c r="B796" s="412">
        <v>41289</v>
      </c>
      <c r="C796">
        <v>5750.24</v>
      </c>
      <c r="D796">
        <v>3134.32</v>
      </c>
    </row>
    <row r="797" spans="2:4" hidden="1" outlineLevel="1">
      <c r="B797" s="412">
        <v>41290</v>
      </c>
      <c r="C797">
        <v>5812.47</v>
      </c>
      <c r="D797">
        <v>3163.18</v>
      </c>
    </row>
    <row r="798" spans="2:4" hidden="1" outlineLevel="1">
      <c r="B798" s="412">
        <v>41291</v>
      </c>
      <c r="C798">
        <v>5875.28</v>
      </c>
      <c r="D798">
        <v>3184.61</v>
      </c>
    </row>
    <row r="799" spans="2:4" hidden="1" outlineLevel="1">
      <c r="B799" s="412">
        <v>41292</v>
      </c>
      <c r="C799">
        <v>5875.77</v>
      </c>
      <c r="D799">
        <v>3174.36</v>
      </c>
    </row>
    <row r="800" spans="2:4" hidden="1" outlineLevel="1">
      <c r="B800" s="412">
        <v>41295</v>
      </c>
      <c r="C800">
        <v>5862.02</v>
      </c>
      <c r="D800">
        <v>3174.11</v>
      </c>
    </row>
    <row r="801" spans="2:4" hidden="1" outlineLevel="1">
      <c r="B801" s="412">
        <v>41296</v>
      </c>
      <c r="C801">
        <v>5870.93</v>
      </c>
      <c r="D801">
        <v>3184.57</v>
      </c>
    </row>
    <row r="802" spans="2:4" hidden="1" outlineLevel="1">
      <c r="B802" s="412">
        <v>41297</v>
      </c>
      <c r="C802">
        <v>5883.66</v>
      </c>
      <c r="D802">
        <v>3191.8</v>
      </c>
    </row>
    <row r="803" spans="2:4" hidden="1" outlineLevel="1">
      <c r="B803" s="412">
        <v>41298</v>
      </c>
      <c r="C803">
        <v>5878.19</v>
      </c>
      <c r="D803">
        <v>3190.65</v>
      </c>
    </row>
    <row r="804" spans="2:4" hidden="1" outlineLevel="1">
      <c r="B804" s="412">
        <v>41302</v>
      </c>
      <c r="C804">
        <v>5855.09</v>
      </c>
      <c r="D804">
        <v>3194.72</v>
      </c>
    </row>
    <row r="805" spans="2:4" hidden="1" outlineLevel="1">
      <c r="B805" s="412">
        <v>41303</v>
      </c>
      <c r="C805">
        <v>5800.75</v>
      </c>
      <c r="D805">
        <v>3185.76</v>
      </c>
    </row>
    <row r="806" spans="2:4" hidden="1" outlineLevel="1">
      <c r="B806" s="412">
        <v>41304</v>
      </c>
      <c r="C806">
        <v>5825.9</v>
      </c>
      <c r="D806">
        <v>3193.63</v>
      </c>
    </row>
    <row r="807" spans="2:4" hidden="1" outlineLevel="1">
      <c r="B807" s="412">
        <v>41305</v>
      </c>
      <c r="C807">
        <v>5816.89</v>
      </c>
      <c r="D807">
        <v>3197.61</v>
      </c>
    </row>
    <row r="808" spans="2:4" hidden="1" outlineLevel="1">
      <c r="B808" s="412">
        <v>41306</v>
      </c>
      <c r="C808">
        <v>5799.69</v>
      </c>
      <c r="D808">
        <v>3196.81</v>
      </c>
    </row>
    <row r="809" spans="2:4" hidden="1" outlineLevel="1">
      <c r="B809" s="412">
        <v>41310</v>
      </c>
      <c r="C809">
        <v>5781.3</v>
      </c>
      <c r="D809">
        <v>3203.91</v>
      </c>
    </row>
    <row r="810" spans="2:4" hidden="1" outlineLevel="1">
      <c r="B810" s="412">
        <v>41311</v>
      </c>
      <c r="C810">
        <v>5780.09</v>
      </c>
      <c r="D810">
        <v>3217.39</v>
      </c>
    </row>
    <row r="811" spans="2:4" hidden="1" outlineLevel="1">
      <c r="B811" s="412">
        <v>41312</v>
      </c>
      <c r="C811">
        <v>5810.42</v>
      </c>
      <c r="D811">
        <v>3243.7</v>
      </c>
    </row>
    <row r="812" spans="2:4" hidden="1" outlineLevel="1">
      <c r="B812" s="412">
        <v>41313</v>
      </c>
      <c r="C812">
        <v>5850.67</v>
      </c>
      <c r="D812">
        <v>3271.25</v>
      </c>
    </row>
    <row r="813" spans="2:4" hidden="1" outlineLevel="1">
      <c r="B813" s="412">
        <v>41316</v>
      </c>
      <c r="C813">
        <v>5851.35</v>
      </c>
      <c r="D813">
        <v>3268.24</v>
      </c>
    </row>
    <row r="814" spans="2:4" hidden="1" outlineLevel="1">
      <c r="B814" s="412">
        <v>41317</v>
      </c>
      <c r="C814">
        <v>5836.11</v>
      </c>
      <c r="D814">
        <v>3257.98</v>
      </c>
    </row>
    <row r="815" spans="2:4" hidden="1" outlineLevel="1">
      <c r="B815" s="412">
        <v>41319</v>
      </c>
      <c r="C815">
        <v>5825.29</v>
      </c>
      <c r="D815">
        <v>3269.5</v>
      </c>
    </row>
    <row r="816" spans="2:4" hidden="1" outlineLevel="1">
      <c r="B816" s="412">
        <v>41320</v>
      </c>
      <c r="C816">
        <v>5830.26</v>
      </c>
      <c r="D816">
        <v>3274.25</v>
      </c>
    </row>
    <row r="817" spans="2:4" hidden="1" outlineLevel="1">
      <c r="B817" s="412">
        <v>41323</v>
      </c>
      <c r="C817">
        <v>5774.59</v>
      </c>
      <c r="D817">
        <v>3249.28</v>
      </c>
    </row>
    <row r="818" spans="2:4" hidden="1" outlineLevel="1">
      <c r="B818" s="412">
        <v>41324</v>
      </c>
      <c r="C818">
        <v>5737.48</v>
      </c>
      <c r="D818">
        <v>3238.57</v>
      </c>
    </row>
    <row r="819" spans="2:4" hidden="1" outlineLevel="1">
      <c r="B819" s="412">
        <v>41325</v>
      </c>
      <c r="C819">
        <v>5730.54</v>
      </c>
      <c r="D819">
        <v>3224.85</v>
      </c>
    </row>
    <row r="820" spans="2:4" hidden="1" outlineLevel="1">
      <c r="B820" s="412">
        <v>41326</v>
      </c>
      <c r="C820">
        <v>5726.11</v>
      </c>
      <c r="D820">
        <v>3212.56</v>
      </c>
    </row>
    <row r="821" spans="2:4" hidden="1" outlineLevel="1">
      <c r="B821" s="412">
        <v>41327</v>
      </c>
      <c r="C821">
        <v>5735.61</v>
      </c>
      <c r="D821">
        <v>3223.28</v>
      </c>
    </row>
    <row r="822" spans="2:4" hidden="1" outlineLevel="1">
      <c r="B822" s="412">
        <v>41331</v>
      </c>
      <c r="C822">
        <v>5669.48</v>
      </c>
      <c r="D822">
        <v>3202.21</v>
      </c>
    </row>
    <row r="823" spans="2:4" hidden="1" outlineLevel="1">
      <c r="B823" s="412">
        <v>41332</v>
      </c>
      <c r="C823">
        <v>5674.47</v>
      </c>
      <c r="D823">
        <v>3210.82</v>
      </c>
    </row>
    <row r="824" spans="2:4" hidden="1" outlineLevel="1">
      <c r="B824" s="412">
        <v>41333</v>
      </c>
      <c r="C824">
        <v>5635.9</v>
      </c>
      <c r="D824">
        <v>3194.39</v>
      </c>
    </row>
    <row r="825" spans="2:4" hidden="1" outlineLevel="1">
      <c r="B825" s="412">
        <v>41334</v>
      </c>
      <c r="C825">
        <v>5652.69</v>
      </c>
      <c r="D825">
        <v>3206.85</v>
      </c>
    </row>
    <row r="826" spans="2:4" hidden="1" outlineLevel="1">
      <c r="B826" s="412">
        <v>41337</v>
      </c>
      <c r="C826">
        <v>5631.89</v>
      </c>
      <c r="D826">
        <v>3203.78</v>
      </c>
    </row>
    <row r="827" spans="2:4" hidden="1" outlineLevel="1">
      <c r="B827" s="412">
        <v>41338</v>
      </c>
      <c r="C827">
        <v>5626.77</v>
      </c>
      <c r="D827">
        <v>3208.92</v>
      </c>
    </row>
    <row r="828" spans="2:4" hidden="1" outlineLevel="1">
      <c r="B828" s="412">
        <v>41339</v>
      </c>
      <c r="C828">
        <v>5663.36</v>
      </c>
      <c r="D828">
        <v>3214.86</v>
      </c>
    </row>
    <row r="829" spans="2:4" hidden="1" outlineLevel="1">
      <c r="B829" s="412">
        <v>41340</v>
      </c>
      <c r="C829">
        <v>5680.02</v>
      </c>
      <c r="D829">
        <v>3220.41</v>
      </c>
    </row>
    <row r="830" spans="2:4" hidden="1" outlineLevel="1">
      <c r="B830" s="412">
        <v>41341</v>
      </c>
      <c r="C830">
        <v>5691.39</v>
      </c>
      <c r="D830">
        <v>3222.74</v>
      </c>
    </row>
    <row r="831" spans="2:4" hidden="1" outlineLevel="1">
      <c r="B831" s="412">
        <v>41344</v>
      </c>
      <c r="C831">
        <v>5677.31</v>
      </c>
      <c r="D831">
        <v>3229.19</v>
      </c>
    </row>
    <row r="832" spans="2:4" hidden="1" outlineLevel="1">
      <c r="B832" s="412">
        <v>41345</v>
      </c>
      <c r="C832">
        <v>5704.32</v>
      </c>
      <c r="D832">
        <v>3247.09</v>
      </c>
    </row>
    <row r="833" spans="2:4" hidden="1" outlineLevel="1">
      <c r="B833" s="412">
        <v>41346</v>
      </c>
      <c r="C833">
        <v>5685.82</v>
      </c>
      <c r="D833">
        <v>3235.24</v>
      </c>
    </row>
    <row r="834" spans="2:4" hidden="1" outlineLevel="1">
      <c r="B834" s="412">
        <v>41347</v>
      </c>
      <c r="C834">
        <v>5688.98</v>
      </c>
      <c r="D834">
        <v>3241.03</v>
      </c>
    </row>
    <row r="835" spans="2:4" hidden="1" outlineLevel="1">
      <c r="B835" s="412">
        <v>41348</v>
      </c>
      <c r="C835">
        <v>5704.53</v>
      </c>
      <c r="D835">
        <v>3262.44</v>
      </c>
    </row>
    <row r="836" spans="2:4" hidden="1" outlineLevel="1">
      <c r="B836" s="412">
        <v>41351</v>
      </c>
      <c r="C836">
        <v>5708.01</v>
      </c>
      <c r="D836">
        <v>3270.21</v>
      </c>
    </row>
    <row r="837" spans="2:4" hidden="1" outlineLevel="1">
      <c r="B837" s="412">
        <v>41352</v>
      </c>
      <c r="C837">
        <v>5722.86</v>
      </c>
      <c r="D837">
        <v>3283.79</v>
      </c>
    </row>
    <row r="838" spans="2:4" hidden="1" outlineLevel="1">
      <c r="B838" s="412">
        <v>41353</v>
      </c>
      <c r="C838">
        <v>5734.82</v>
      </c>
      <c r="D838">
        <v>3299.56</v>
      </c>
    </row>
    <row r="839" spans="2:4" hidden="1" outlineLevel="1">
      <c r="B839" s="412">
        <v>41354</v>
      </c>
      <c r="C839">
        <v>5763.83</v>
      </c>
      <c r="D839">
        <v>3313.28</v>
      </c>
    </row>
    <row r="840" spans="2:4" hidden="1" outlineLevel="1">
      <c r="B840" s="412">
        <v>41355</v>
      </c>
      <c r="C840">
        <v>5768.88</v>
      </c>
      <c r="D840">
        <v>3312.71</v>
      </c>
    </row>
    <row r="841" spans="2:4" hidden="1" outlineLevel="1">
      <c r="B841" s="412">
        <v>41358</v>
      </c>
      <c r="C841">
        <v>5745.55</v>
      </c>
      <c r="D841">
        <v>3295.96</v>
      </c>
    </row>
    <row r="842" spans="2:4" hidden="1" outlineLevel="1">
      <c r="B842" s="412">
        <v>41360</v>
      </c>
      <c r="C842">
        <v>5744.99</v>
      </c>
      <c r="D842">
        <v>3299.87</v>
      </c>
    </row>
    <row r="843" spans="2:4" hidden="1" outlineLevel="1">
      <c r="B843" s="412">
        <v>41361</v>
      </c>
      <c r="C843">
        <v>5735.68</v>
      </c>
      <c r="D843">
        <v>3293.57</v>
      </c>
    </row>
    <row r="844" spans="2:4" hidden="1" outlineLevel="1">
      <c r="B844" s="412">
        <v>41365</v>
      </c>
      <c r="C844">
        <v>5705.2</v>
      </c>
      <c r="D844">
        <v>3281.63</v>
      </c>
    </row>
    <row r="845" spans="2:4" hidden="1" outlineLevel="1">
      <c r="B845" s="412">
        <v>41366</v>
      </c>
      <c r="C845">
        <v>5704.62</v>
      </c>
      <c r="D845">
        <v>3289.37</v>
      </c>
    </row>
    <row r="846" spans="2:4" hidden="1" outlineLevel="1">
      <c r="B846" s="412">
        <v>41367</v>
      </c>
      <c r="C846">
        <v>5728.47</v>
      </c>
      <c r="D846">
        <v>3305.27</v>
      </c>
    </row>
    <row r="847" spans="2:4" hidden="1" outlineLevel="1">
      <c r="B847" s="412">
        <v>41368</v>
      </c>
      <c r="C847">
        <v>5753.56</v>
      </c>
      <c r="D847">
        <v>3319.01</v>
      </c>
    </row>
    <row r="848" spans="2:4" hidden="1" outlineLevel="1">
      <c r="B848" s="412">
        <v>41369</v>
      </c>
      <c r="C848">
        <v>5765.94</v>
      </c>
      <c r="D848">
        <v>3312.53</v>
      </c>
    </row>
    <row r="849" spans="2:4" hidden="1" outlineLevel="1">
      <c r="B849" s="412">
        <v>41372</v>
      </c>
      <c r="C849">
        <v>5777.38</v>
      </c>
      <c r="D849">
        <v>3321.81</v>
      </c>
    </row>
    <row r="850" spans="2:4" hidden="1" outlineLevel="1">
      <c r="B850" s="412">
        <v>41373</v>
      </c>
      <c r="C850">
        <v>5767.6</v>
      </c>
      <c r="D850">
        <v>3316.75</v>
      </c>
    </row>
    <row r="851" spans="2:4" hidden="1" outlineLevel="1">
      <c r="B851" s="412">
        <v>41374</v>
      </c>
      <c r="C851">
        <v>5794.3</v>
      </c>
      <c r="D851">
        <v>3322.49</v>
      </c>
    </row>
    <row r="852" spans="2:4" hidden="1" outlineLevel="1">
      <c r="B852" s="412">
        <v>41375</v>
      </c>
      <c r="C852">
        <v>5813.37</v>
      </c>
      <c r="D852">
        <v>3329.42</v>
      </c>
    </row>
    <row r="853" spans="2:4" hidden="1" outlineLevel="1">
      <c r="B853" s="412">
        <v>41376</v>
      </c>
      <c r="C853">
        <v>5839.88</v>
      </c>
      <c r="D853">
        <v>3333.54</v>
      </c>
    </row>
    <row r="854" spans="2:4" hidden="1" outlineLevel="1">
      <c r="B854" s="412">
        <v>41380</v>
      </c>
      <c r="C854">
        <v>5852.68</v>
      </c>
      <c r="D854">
        <v>3351.57</v>
      </c>
    </row>
    <row r="855" spans="2:4" hidden="1" outlineLevel="1">
      <c r="B855" s="412">
        <v>41381</v>
      </c>
      <c r="C855">
        <v>5868.53</v>
      </c>
      <c r="D855">
        <v>3361.99</v>
      </c>
    </row>
    <row r="856" spans="2:4" hidden="1" outlineLevel="1">
      <c r="B856" s="412">
        <v>41382</v>
      </c>
      <c r="C856">
        <v>5891.83</v>
      </c>
      <c r="D856">
        <v>3351.15</v>
      </c>
    </row>
    <row r="857" spans="2:4" hidden="1" outlineLevel="1">
      <c r="B857" s="412">
        <v>41383</v>
      </c>
      <c r="C857">
        <v>5882.25</v>
      </c>
      <c r="D857">
        <v>3336.12</v>
      </c>
    </row>
    <row r="858" spans="2:4" hidden="1" outlineLevel="1">
      <c r="B858" s="412">
        <v>41386</v>
      </c>
      <c r="C858">
        <v>5872.43</v>
      </c>
      <c r="D858">
        <v>3338.38</v>
      </c>
    </row>
    <row r="859" spans="2:4" hidden="1" outlineLevel="1">
      <c r="B859" s="412">
        <v>41387</v>
      </c>
      <c r="C859">
        <v>5883.52</v>
      </c>
      <c r="D859">
        <v>3344.85</v>
      </c>
    </row>
    <row r="860" spans="2:4" hidden="1" outlineLevel="1">
      <c r="B860" s="412">
        <v>41388</v>
      </c>
      <c r="C860">
        <v>5933.73</v>
      </c>
      <c r="D860">
        <v>3358.51</v>
      </c>
    </row>
    <row r="861" spans="2:4" hidden="1" outlineLevel="1">
      <c r="B861" s="412">
        <v>41390</v>
      </c>
      <c r="C861">
        <v>5962.17</v>
      </c>
      <c r="D861">
        <v>3359.36</v>
      </c>
    </row>
    <row r="862" spans="2:4" hidden="1" outlineLevel="1">
      <c r="B862" s="412">
        <v>41393</v>
      </c>
      <c r="C862">
        <v>5967.62</v>
      </c>
      <c r="D862">
        <v>3363.14</v>
      </c>
    </row>
    <row r="863" spans="2:4" hidden="1" outlineLevel="1">
      <c r="B863" s="412">
        <v>41394</v>
      </c>
      <c r="C863">
        <v>5953.19</v>
      </c>
      <c r="D863">
        <v>3365.79</v>
      </c>
    </row>
    <row r="864" spans="2:4" hidden="1" outlineLevel="1">
      <c r="B864" s="412">
        <v>41396</v>
      </c>
      <c r="C864">
        <v>5972.37</v>
      </c>
      <c r="D864">
        <v>3381.38</v>
      </c>
    </row>
    <row r="865" spans="2:4" hidden="1" outlineLevel="1">
      <c r="B865" s="412">
        <v>41397</v>
      </c>
      <c r="C865">
        <v>6013.18</v>
      </c>
      <c r="D865">
        <v>3405.99</v>
      </c>
    </row>
    <row r="866" spans="2:4" hidden="1" outlineLevel="1">
      <c r="B866" s="412">
        <v>41400</v>
      </c>
      <c r="C866">
        <v>6121.17</v>
      </c>
      <c r="D866">
        <v>3461.12</v>
      </c>
    </row>
    <row r="867" spans="2:4" hidden="1" outlineLevel="1">
      <c r="B867" s="412">
        <v>41401</v>
      </c>
      <c r="C867">
        <v>6201.68</v>
      </c>
      <c r="D867">
        <v>3511.95</v>
      </c>
    </row>
    <row r="868" spans="2:4" hidden="1" outlineLevel="1">
      <c r="B868" s="412">
        <v>41402</v>
      </c>
      <c r="C868">
        <v>6210.1</v>
      </c>
      <c r="D868">
        <v>3521.3</v>
      </c>
    </row>
    <row r="869" spans="2:4" hidden="1" outlineLevel="1">
      <c r="B869" s="412">
        <v>41403</v>
      </c>
      <c r="C869">
        <v>6238.71</v>
      </c>
      <c r="D869">
        <v>3526.51</v>
      </c>
    </row>
    <row r="870" spans="2:4" hidden="1" outlineLevel="1">
      <c r="B870" s="412">
        <v>41404</v>
      </c>
      <c r="C870">
        <v>6250</v>
      </c>
      <c r="D870">
        <v>3530.9</v>
      </c>
    </row>
    <row r="871" spans="2:4" hidden="1" outlineLevel="1">
      <c r="B871" s="412">
        <v>41407</v>
      </c>
      <c r="C871">
        <v>6239.03</v>
      </c>
      <c r="D871">
        <v>3518.85</v>
      </c>
    </row>
    <row r="872" spans="2:4" hidden="1" outlineLevel="1">
      <c r="B872" s="412">
        <v>41408</v>
      </c>
      <c r="C872">
        <v>6206.59</v>
      </c>
      <c r="D872">
        <v>3500.5</v>
      </c>
    </row>
    <row r="873" spans="2:4" hidden="1" outlineLevel="1">
      <c r="B873" s="412">
        <v>41409</v>
      </c>
      <c r="C873">
        <v>6221.12</v>
      </c>
      <c r="D873">
        <v>3498.34</v>
      </c>
    </row>
    <row r="874" spans="2:4" hidden="1" outlineLevel="1">
      <c r="B874" s="412">
        <v>41410</v>
      </c>
      <c r="C874">
        <v>6287</v>
      </c>
      <c r="D874">
        <v>3531.37</v>
      </c>
    </row>
    <row r="875" spans="2:4" hidden="1" outlineLevel="1">
      <c r="B875" s="412">
        <v>41411</v>
      </c>
      <c r="C875">
        <v>6380.7</v>
      </c>
      <c r="D875">
        <v>3589.26</v>
      </c>
    </row>
    <row r="876" spans="2:4" hidden="1" outlineLevel="1">
      <c r="B876" s="412">
        <v>41414</v>
      </c>
      <c r="C876">
        <v>6466.67</v>
      </c>
      <c r="D876">
        <v>3649.35</v>
      </c>
    </row>
    <row r="877" spans="2:4" hidden="1" outlineLevel="1">
      <c r="B877" s="412">
        <v>41415</v>
      </c>
      <c r="C877">
        <v>6441.64</v>
      </c>
      <c r="D877">
        <v>3660.94</v>
      </c>
    </row>
    <row r="878" spans="2:4" hidden="1" outlineLevel="1">
      <c r="B878" s="412">
        <v>41416</v>
      </c>
      <c r="C878">
        <v>6461.62</v>
      </c>
      <c r="D878">
        <v>3663.98</v>
      </c>
    </row>
    <row r="879" spans="2:4" hidden="1" outlineLevel="1">
      <c r="B879" s="412">
        <v>41417</v>
      </c>
      <c r="C879">
        <v>6488.85</v>
      </c>
      <c r="D879">
        <v>3666.04</v>
      </c>
    </row>
    <row r="880" spans="2:4" hidden="1" outlineLevel="1">
      <c r="B880" s="412">
        <v>41421</v>
      </c>
      <c r="C880">
        <v>6446.54</v>
      </c>
      <c r="D880">
        <v>3641.91</v>
      </c>
    </row>
    <row r="881" spans="2:4" hidden="1" outlineLevel="1">
      <c r="B881" s="412">
        <v>41422</v>
      </c>
      <c r="C881">
        <v>6434.7</v>
      </c>
      <c r="D881">
        <v>3626.96</v>
      </c>
    </row>
    <row r="882" spans="2:4" hidden="1" outlineLevel="1">
      <c r="B882" s="412">
        <v>41423</v>
      </c>
      <c r="C882">
        <v>6455.81</v>
      </c>
      <c r="D882">
        <v>3644.64</v>
      </c>
    </row>
    <row r="883" spans="2:4" hidden="1" outlineLevel="1">
      <c r="B883" s="412">
        <v>41424</v>
      </c>
      <c r="C883">
        <v>6455.12</v>
      </c>
      <c r="D883">
        <v>3640.04</v>
      </c>
    </row>
    <row r="884" spans="2:4" hidden="1" outlineLevel="1">
      <c r="B884" s="412">
        <v>41425</v>
      </c>
      <c r="C884">
        <v>6463.06</v>
      </c>
      <c r="D884">
        <v>3646.32</v>
      </c>
    </row>
    <row r="885" spans="2:4" hidden="1" outlineLevel="1">
      <c r="B885" s="412">
        <v>41428</v>
      </c>
      <c r="C885">
        <v>6451.68</v>
      </c>
      <c r="D885">
        <v>3635.59</v>
      </c>
    </row>
    <row r="886" spans="2:4" hidden="1" outlineLevel="1">
      <c r="B886" s="412">
        <v>41429</v>
      </c>
      <c r="C886">
        <v>6449.66</v>
      </c>
      <c r="D886">
        <v>3645.9</v>
      </c>
    </row>
    <row r="887" spans="2:4" hidden="1" outlineLevel="1">
      <c r="B887" s="412">
        <v>41430</v>
      </c>
      <c r="C887">
        <v>6422.84</v>
      </c>
      <c r="D887">
        <v>3635.05</v>
      </c>
    </row>
    <row r="888" spans="2:4" hidden="1" outlineLevel="1">
      <c r="B888" s="412">
        <v>41431</v>
      </c>
      <c r="C888">
        <v>6372.38</v>
      </c>
      <c r="D888">
        <v>3596.34</v>
      </c>
    </row>
    <row r="889" spans="2:4" hidden="1" outlineLevel="1">
      <c r="B889" s="412">
        <v>41432</v>
      </c>
      <c r="C889">
        <v>6307.43</v>
      </c>
      <c r="D889">
        <v>3550.47</v>
      </c>
    </row>
    <row r="890" spans="2:4" hidden="1" outlineLevel="1">
      <c r="B890" s="412">
        <v>41435</v>
      </c>
      <c r="C890">
        <v>6341.28</v>
      </c>
      <c r="D890">
        <v>3574.45</v>
      </c>
    </row>
    <row r="891" spans="2:4" hidden="1" outlineLevel="1">
      <c r="B891" s="412">
        <v>41436</v>
      </c>
      <c r="C891">
        <v>6303.79</v>
      </c>
      <c r="D891">
        <v>3560.47</v>
      </c>
    </row>
    <row r="892" spans="2:4" hidden="1" outlineLevel="1">
      <c r="B892" s="412">
        <v>41437</v>
      </c>
      <c r="C892">
        <v>6284.76</v>
      </c>
      <c r="D892">
        <v>3551.41</v>
      </c>
    </row>
    <row r="893" spans="2:4" hidden="1" outlineLevel="1">
      <c r="B893" s="412">
        <v>41438</v>
      </c>
      <c r="C893">
        <v>6207.87</v>
      </c>
      <c r="D893">
        <v>3499.09</v>
      </c>
    </row>
    <row r="894" spans="2:4" hidden="1" outlineLevel="1">
      <c r="B894" s="412">
        <v>41439</v>
      </c>
      <c r="C894">
        <v>6219.39</v>
      </c>
      <c r="D894">
        <v>3504.35</v>
      </c>
    </row>
    <row r="895" spans="2:4" hidden="1" outlineLevel="1">
      <c r="B895" s="412">
        <v>41442</v>
      </c>
      <c r="C895">
        <v>6219.11</v>
      </c>
      <c r="D895">
        <v>3496.79</v>
      </c>
    </row>
    <row r="896" spans="2:4" hidden="1" outlineLevel="1">
      <c r="B896" s="412">
        <v>41443</v>
      </c>
      <c r="C896">
        <v>6193</v>
      </c>
      <c r="D896">
        <v>3497.12</v>
      </c>
    </row>
    <row r="897" spans="2:4" hidden="1" outlineLevel="1">
      <c r="B897" s="412">
        <v>41444</v>
      </c>
      <c r="C897">
        <v>6209.23</v>
      </c>
      <c r="D897">
        <v>3495.68</v>
      </c>
    </row>
    <row r="898" spans="2:4" hidden="1" outlineLevel="1">
      <c r="B898" s="412">
        <v>41445</v>
      </c>
      <c r="C898">
        <v>6211.44</v>
      </c>
      <c r="D898">
        <v>3492.14</v>
      </c>
    </row>
    <row r="899" spans="2:4" hidden="1" outlineLevel="1">
      <c r="B899" s="412">
        <v>41446</v>
      </c>
      <c r="C899">
        <v>6155.27</v>
      </c>
      <c r="D899">
        <v>3466.57</v>
      </c>
    </row>
    <row r="900" spans="2:4" hidden="1" outlineLevel="1">
      <c r="B900" s="412">
        <v>41449</v>
      </c>
      <c r="C900">
        <v>6149.38</v>
      </c>
      <c r="D900">
        <v>3472.3</v>
      </c>
    </row>
    <row r="901" spans="2:4" hidden="1" outlineLevel="1">
      <c r="B901" s="412">
        <v>41450</v>
      </c>
      <c r="C901">
        <v>6086.22</v>
      </c>
      <c r="D901">
        <v>3430.43</v>
      </c>
    </row>
    <row r="902" spans="2:4" hidden="1" outlineLevel="1">
      <c r="B902" s="412">
        <v>41451</v>
      </c>
      <c r="C902">
        <v>6072.68</v>
      </c>
      <c r="D902">
        <v>3413.63</v>
      </c>
    </row>
    <row r="903" spans="2:4" hidden="1" outlineLevel="1">
      <c r="B903" s="412">
        <v>41452</v>
      </c>
      <c r="C903">
        <v>6111.36</v>
      </c>
      <c r="D903">
        <v>3426.48</v>
      </c>
    </row>
    <row r="904" spans="2:4" hidden="1" outlineLevel="1">
      <c r="B904" s="412">
        <v>41453</v>
      </c>
      <c r="C904">
        <v>6121.01</v>
      </c>
      <c r="D904">
        <v>3431.74</v>
      </c>
    </row>
    <row r="905" spans="2:4" hidden="1" outlineLevel="1">
      <c r="B905" s="412">
        <v>41456</v>
      </c>
      <c r="C905">
        <v>6132.75</v>
      </c>
      <c r="D905">
        <v>3447.74</v>
      </c>
    </row>
    <row r="906" spans="2:4" hidden="1" outlineLevel="1">
      <c r="B906" s="412">
        <v>41457</v>
      </c>
      <c r="C906">
        <v>6140.79</v>
      </c>
      <c r="D906">
        <v>3462.51</v>
      </c>
    </row>
    <row r="907" spans="2:4" hidden="1" outlineLevel="1">
      <c r="B907" s="412">
        <v>41458</v>
      </c>
      <c r="C907">
        <v>6117.97</v>
      </c>
      <c r="D907">
        <v>3433</v>
      </c>
    </row>
    <row r="908" spans="2:4" hidden="1" outlineLevel="1">
      <c r="B908" s="412">
        <v>41459</v>
      </c>
      <c r="C908">
        <v>6073.17</v>
      </c>
      <c r="D908">
        <v>3399.46</v>
      </c>
    </row>
    <row r="909" spans="2:4" hidden="1" outlineLevel="1">
      <c r="B909" s="412">
        <v>41460</v>
      </c>
      <c r="C909">
        <v>6048.18</v>
      </c>
      <c r="D909">
        <v>3383.46</v>
      </c>
    </row>
    <row r="910" spans="2:4" hidden="1" outlineLevel="1">
      <c r="B910" s="412">
        <v>41463</v>
      </c>
      <c r="C910">
        <v>5995.64</v>
      </c>
      <c r="D910">
        <v>3351.49</v>
      </c>
    </row>
    <row r="911" spans="2:4" hidden="1" outlineLevel="1">
      <c r="B911" s="412">
        <v>41464</v>
      </c>
      <c r="C911">
        <v>5980.16</v>
      </c>
      <c r="D911">
        <v>3347.96</v>
      </c>
    </row>
    <row r="912" spans="2:4" hidden="1" outlineLevel="1">
      <c r="B912" s="412">
        <v>41465</v>
      </c>
      <c r="C912">
        <v>6016.05</v>
      </c>
      <c r="D912">
        <v>3365.08</v>
      </c>
    </row>
    <row r="913" spans="2:4" hidden="1" outlineLevel="1">
      <c r="B913" s="412">
        <v>41466</v>
      </c>
      <c r="C913">
        <v>6062.38</v>
      </c>
      <c r="D913">
        <v>3392.9</v>
      </c>
    </row>
    <row r="914" spans="2:4" hidden="1" outlineLevel="1">
      <c r="B914" s="412">
        <v>41467</v>
      </c>
      <c r="C914">
        <v>6028.74</v>
      </c>
      <c r="D914">
        <v>3385.43</v>
      </c>
    </row>
    <row r="915" spans="2:4" hidden="1" outlineLevel="1">
      <c r="B915" s="412">
        <v>41470</v>
      </c>
      <c r="C915">
        <v>6015.2</v>
      </c>
      <c r="D915">
        <v>3397.44</v>
      </c>
    </row>
    <row r="916" spans="2:4" hidden="1" outlineLevel="1">
      <c r="B916" s="412">
        <v>41471</v>
      </c>
      <c r="C916">
        <v>6007.65</v>
      </c>
      <c r="D916">
        <v>3386.42</v>
      </c>
    </row>
    <row r="917" spans="2:4" hidden="1" outlineLevel="1">
      <c r="B917" s="412">
        <v>41472</v>
      </c>
      <c r="C917">
        <v>5982.35</v>
      </c>
      <c r="D917">
        <v>3376.73</v>
      </c>
    </row>
    <row r="918" spans="2:4" hidden="1" outlineLevel="1">
      <c r="B918" s="412">
        <v>41473</v>
      </c>
      <c r="C918">
        <v>5985.45</v>
      </c>
      <c r="D918">
        <v>3378.73</v>
      </c>
    </row>
    <row r="919" spans="2:4" hidden="1" outlineLevel="1">
      <c r="B919" s="412">
        <v>41474</v>
      </c>
      <c r="C919">
        <v>6041.06</v>
      </c>
      <c r="D919">
        <v>3409.16</v>
      </c>
    </row>
    <row r="920" spans="2:4" hidden="1" outlineLevel="1">
      <c r="B920" s="412">
        <v>41478</v>
      </c>
      <c r="C920">
        <v>6084.24</v>
      </c>
      <c r="D920">
        <v>3436.09</v>
      </c>
    </row>
    <row r="921" spans="2:4" hidden="1" outlineLevel="1">
      <c r="B921" s="412">
        <v>41479</v>
      </c>
      <c r="C921">
        <v>6079.14</v>
      </c>
      <c r="D921">
        <v>3448.11</v>
      </c>
    </row>
    <row r="922" spans="2:4" hidden="1" outlineLevel="1">
      <c r="B922" s="412">
        <v>41480</v>
      </c>
      <c r="C922">
        <v>6038.16</v>
      </c>
      <c r="D922">
        <v>3423.48</v>
      </c>
    </row>
    <row r="923" spans="2:4" hidden="1" outlineLevel="1">
      <c r="B923" s="412">
        <v>41481</v>
      </c>
      <c r="C923">
        <v>6051.77</v>
      </c>
      <c r="D923">
        <v>3427.87</v>
      </c>
    </row>
    <row r="924" spans="2:4" hidden="1" outlineLevel="1">
      <c r="B924" s="412">
        <v>41484</v>
      </c>
      <c r="C924">
        <v>6056.92</v>
      </c>
      <c r="D924">
        <v>3425.77</v>
      </c>
    </row>
    <row r="925" spans="2:4" hidden="1" outlineLevel="1">
      <c r="B925" s="412">
        <v>41485</v>
      </c>
      <c r="C925">
        <v>6055.48</v>
      </c>
      <c r="D925">
        <v>3432.03</v>
      </c>
    </row>
    <row r="926" spans="2:4" hidden="1" outlineLevel="1">
      <c r="B926" s="412">
        <v>41486</v>
      </c>
      <c r="C926">
        <v>6037.22</v>
      </c>
      <c r="D926">
        <v>3428.96</v>
      </c>
    </row>
    <row r="927" spans="2:4" hidden="1" outlineLevel="1">
      <c r="B927" s="412">
        <v>41487</v>
      </c>
      <c r="C927">
        <v>6156.6</v>
      </c>
      <c r="D927">
        <v>3477.57</v>
      </c>
    </row>
    <row r="928" spans="2:4" hidden="1" outlineLevel="1">
      <c r="B928" s="412">
        <v>41488</v>
      </c>
      <c r="C928">
        <v>6155.82</v>
      </c>
      <c r="D928">
        <v>3490.57</v>
      </c>
    </row>
    <row r="929" spans="2:4" hidden="1" outlineLevel="1">
      <c r="B929" s="412">
        <v>41491</v>
      </c>
      <c r="C929">
        <v>6114.18</v>
      </c>
      <c r="D929">
        <v>3471.47</v>
      </c>
    </row>
    <row r="930" spans="2:4" hidden="1" outlineLevel="1">
      <c r="B930" s="412">
        <v>41492</v>
      </c>
      <c r="C930">
        <v>6121.45</v>
      </c>
      <c r="D930">
        <v>3477.04</v>
      </c>
    </row>
    <row r="931" spans="2:4" hidden="1" outlineLevel="1">
      <c r="B931" s="412">
        <v>41493</v>
      </c>
      <c r="C931">
        <v>6151.79</v>
      </c>
      <c r="D931">
        <v>3479.87</v>
      </c>
    </row>
    <row r="932" spans="2:4" hidden="1" outlineLevel="1">
      <c r="B932" s="412">
        <v>41494</v>
      </c>
      <c r="C932">
        <v>6151.92</v>
      </c>
      <c r="D932">
        <v>3470.16</v>
      </c>
    </row>
    <row r="933" spans="2:4" hidden="1" outlineLevel="1">
      <c r="B933" s="412">
        <v>41498</v>
      </c>
      <c r="C933">
        <v>6130.24</v>
      </c>
      <c r="D933">
        <v>3451.45</v>
      </c>
    </row>
    <row r="934" spans="2:4" hidden="1" outlineLevel="1">
      <c r="B934" s="412">
        <v>41499</v>
      </c>
      <c r="C934">
        <v>6142.87</v>
      </c>
      <c r="D934">
        <v>3453.23</v>
      </c>
    </row>
    <row r="935" spans="2:4" hidden="1" outlineLevel="1">
      <c r="B935" s="412">
        <v>41500</v>
      </c>
      <c r="C935">
        <v>6208.67</v>
      </c>
      <c r="D935">
        <v>3484.1</v>
      </c>
    </row>
    <row r="936" spans="2:4" hidden="1" outlineLevel="1">
      <c r="B936" s="412">
        <v>41501</v>
      </c>
      <c r="C936">
        <v>6220.1</v>
      </c>
      <c r="D936">
        <v>3495.69</v>
      </c>
    </row>
    <row r="937" spans="2:4" hidden="1" outlineLevel="1">
      <c r="B937" s="412">
        <v>41502</v>
      </c>
      <c r="C937">
        <v>6233.21</v>
      </c>
      <c r="D937">
        <v>3491.55</v>
      </c>
    </row>
    <row r="938" spans="2:4" hidden="1" outlineLevel="1">
      <c r="B938" s="412">
        <v>41505</v>
      </c>
      <c r="C938">
        <v>6224.34</v>
      </c>
      <c r="D938">
        <v>3494.18</v>
      </c>
    </row>
    <row r="939" spans="2:4" hidden="1" outlineLevel="1">
      <c r="B939" s="412">
        <v>41507</v>
      </c>
      <c r="C939">
        <v>6116.67</v>
      </c>
      <c r="D939">
        <v>3434.37</v>
      </c>
    </row>
    <row r="940" spans="2:4" hidden="1" outlineLevel="1">
      <c r="B940" s="412">
        <v>41508</v>
      </c>
      <c r="C940">
        <v>6085.88</v>
      </c>
      <c r="D940">
        <v>3422.27</v>
      </c>
    </row>
    <row r="941" spans="2:4" hidden="1" outlineLevel="1">
      <c r="B941" s="412">
        <v>41509</v>
      </c>
      <c r="C941">
        <v>5951.83</v>
      </c>
      <c r="D941">
        <v>3342.96</v>
      </c>
    </row>
    <row r="942" spans="2:4" hidden="1" outlineLevel="1">
      <c r="B942" s="412">
        <v>41512</v>
      </c>
      <c r="C942">
        <v>5895.65</v>
      </c>
      <c r="D942">
        <v>3327.63</v>
      </c>
    </row>
    <row r="943" spans="2:4" hidden="1" outlineLevel="1">
      <c r="B943" s="412">
        <v>41513</v>
      </c>
      <c r="C943">
        <v>5923.34</v>
      </c>
      <c r="D943">
        <v>3319.33</v>
      </c>
    </row>
    <row r="944" spans="2:4" hidden="1" outlineLevel="1">
      <c r="B944" s="412">
        <v>41514</v>
      </c>
      <c r="C944">
        <v>5753.2</v>
      </c>
      <c r="D944">
        <v>3209.93</v>
      </c>
    </row>
    <row r="945" spans="2:4" hidden="1" outlineLevel="1">
      <c r="B945" s="412">
        <v>41515</v>
      </c>
      <c r="C945">
        <v>5825.06</v>
      </c>
      <c r="D945">
        <v>3264.96</v>
      </c>
    </row>
    <row r="946" spans="2:4" hidden="1" outlineLevel="1">
      <c r="B946" s="412">
        <v>41516</v>
      </c>
      <c r="C946">
        <v>5834.04</v>
      </c>
      <c r="D946">
        <v>3261.33</v>
      </c>
    </row>
    <row r="947" spans="2:4" hidden="1" outlineLevel="1">
      <c r="B947" s="412">
        <v>41519</v>
      </c>
      <c r="C947">
        <v>5782.72</v>
      </c>
      <c r="D947">
        <v>3229.09</v>
      </c>
    </row>
    <row r="948" spans="2:4" hidden="1" outlineLevel="1">
      <c r="B948" s="412">
        <v>41520</v>
      </c>
      <c r="C948">
        <v>5752.36</v>
      </c>
      <c r="D948">
        <v>3210.89</v>
      </c>
    </row>
    <row r="949" spans="2:4" hidden="1" outlineLevel="1">
      <c r="B949" s="412">
        <v>41521</v>
      </c>
      <c r="C949">
        <v>5744.89</v>
      </c>
      <c r="D949">
        <v>3210.96</v>
      </c>
    </row>
    <row r="950" spans="2:4" hidden="1" outlineLevel="1">
      <c r="B950" s="412">
        <v>41522</v>
      </c>
      <c r="C950">
        <v>5686.99</v>
      </c>
      <c r="D950">
        <v>3178.12</v>
      </c>
    </row>
    <row r="951" spans="2:4" hidden="1" outlineLevel="1">
      <c r="B951" s="412">
        <v>41523</v>
      </c>
      <c r="C951">
        <v>5672.64</v>
      </c>
      <c r="D951">
        <v>3177.17</v>
      </c>
    </row>
    <row r="952" spans="2:4" hidden="1" outlineLevel="1">
      <c r="B952" s="412">
        <v>41526</v>
      </c>
      <c r="C952">
        <v>5605.26</v>
      </c>
      <c r="D952">
        <v>3132.1</v>
      </c>
    </row>
    <row r="953" spans="2:4" hidden="1" outlineLevel="1">
      <c r="B953" s="412">
        <v>41527</v>
      </c>
      <c r="C953">
        <v>5667.33</v>
      </c>
      <c r="D953">
        <v>3150.69</v>
      </c>
    </row>
    <row r="954" spans="2:4" hidden="1" outlineLevel="1">
      <c r="B954" s="412">
        <v>41528</v>
      </c>
      <c r="C954">
        <v>5730.21</v>
      </c>
      <c r="D954">
        <v>3178.96</v>
      </c>
    </row>
    <row r="955" spans="2:4" hidden="1" outlineLevel="1">
      <c r="B955" s="412">
        <v>41529</v>
      </c>
      <c r="C955">
        <v>5744.5</v>
      </c>
      <c r="D955">
        <v>3184.9</v>
      </c>
    </row>
    <row r="956" spans="2:4" hidden="1" outlineLevel="1">
      <c r="B956" s="412">
        <v>41530</v>
      </c>
      <c r="C956">
        <v>5749.46</v>
      </c>
      <c r="D956">
        <v>3176.74</v>
      </c>
    </row>
    <row r="957" spans="2:4" hidden="1" outlineLevel="1">
      <c r="B957" s="412">
        <v>41533</v>
      </c>
      <c r="C957">
        <v>5730.12</v>
      </c>
      <c r="D957">
        <v>3180.24</v>
      </c>
    </row>
    <row r="958" spans="2:4" hidden="1" outlineLevel="1">
      <c r="B958" s="412">
        <v>41534</v>
      </c>
      <c r="C958">
        <v>5705.26</v>
      </c>
      <c r="D958">
        <v>3161.9</v>
      </c>
    </row>
    <row r="959" spans="2:4" hidden="1" outlineLevel="1">
      <c r="B959" s="412">
        <v>41535</v>
      </c>
      <c r="C959">
        <v>5700.74</v>
      </c>
      <c r="D959">
        <v>3157.38</v>
      </c>
    </row>
    <row r="960" spans="2:4" hidden="1" outlineLevel="1">
      <c r="B960" s="412">
        <v>41537</v>
      </c>
      <c r="C960">
        <v>5814.1</v>
      </c>
      <c r="D960">
        <v>3217.6</v>
      </c>
    </row>
    <row r="961" spans="2:4" hidden="1" outlineLevel="1">
      <c r="B961" s="412">
        <v>41540</v>
      </c>
      <c r="C961">
        <v>5782.85</v>
      </c>
      <c r="D961">
        <v>3206.23</v>
      </c>
    </row>
    <row r="962" spans="2:4" hidden="1" outlineLevel="1">
      <c r="B962" s="412">
        <v>41541</v>
      </c>
      <c r="C962">
        <v>5794.47</v>
      </c>
      <c r="D962">
        <v>3214.3</v>
      </c>
    </row>
    <row r="963" spans="2:4" hidden="1" outlineLevel="1">
      <c r="B963" s="412">
        <v>41542</v>
      </c>
      <c r="C963">
        <v>5783.62</v>
      </c>
      <c r="D963">
        <v>3205.48</v>
      </c>
    </row>
    <row r="964" spans="2:4" hidden="1" outlineLevel="1">
      <c r="B964" s="412">
        <v>41543</v>
      </c>
      <c r="C964">
        <v>5786.16</v>
      </c>
      <c r="D964">
        <v>3219.09</v>
      </c>
    </row>
    <row r="965" spans="2:4" hidden="1" outlineLevel="1">
      <c r="B965" s="412">
        <v>41544</v>
      </c>
      <c r="C965">
        <v>5808.62</v>
      </c>
      <c r="D965">
        <v>3210.3</v>
      </c>
    </row>
    <row r="966" spans="2:4" hidden="1" outlineLevel="1">
      <c r="B966" s="412">
        <v>41547</v>
      </c>
      <c r="C966">
        <v>5803.32</v>
      </c>
      <c r="D966">
        <v>3214.37</v>
      </c>
    </row>
    <row r="967" spans="2:4" hidden="1" outlineLevel="1">
      <c r="B967" s="412">
        <v>41547</v>
      </c>
      <c r="C967">
        <v>5808.62</v>
      </c>
      <c r="D967">
        <v>3210.3</v>
      </c>
    </row>
    <row r="968" spans="2:4" hidden="1" outlineLevel="1">
      <c r="B968" s="412">
        <v>41548</v>
      </c>
      <c r="C968">
        <v>5780.83</v>
      </c>
      <c r="D968">
        <v>3210.89</v>
      </c>
    </row>
    <row r="969" spans="2:4" hidden="1" outlineLevel="1">
      <c r="B969" s="412">
        <v>41549</v>
      </c>
      <c r="C969">
        <v>5805.62</v>
      </c>
      <c r="D969">
        <v>3222.89</v>
      </c>
    </row>
    <row r="970" spans="2:4" hidden="1" outlineLevel="1">
      <c r="B970" s="412">
        <v>41550</v>
      </c>
      <c r="C970">
        <v>5814.8</v>
      </c>
      <c r="D970">
        <v>3220.71</v>
      </c>
    </row>
    <row r="971" spans="2:4" hidden="1" outlineLevel="1">
      <c r="B971" s="412">
        <v>41551</v>
      </c>
      <c r="C971">
        <v>5837.95</v>
      </c>
      <c r="D971">
        <v>3231.79</v>
      </c>
    </row>
    <row r="972" spans="2:4" hidden="1" outlineLevel="1">
      <c r="B972" s="412">
        <v>41554</v>
      </c>
      <c r="C972">
        <v>5867.1</v>
      </c>
      <c r="D972">
        <v>3244.38</v>
      </c>
    </row>
    <row r="973" spans="2:4" hidden="1" outlineLevel="1">
      <c r="B973" s="412">
        <v>41555</v>
      </c>
      <c r="C973">
        <v>5897.05</v>
      </c>
      <c r="D973">
        <v>3257.34</v>
      </c>
    </row>
    <row r="974" spans="2:4" hidden="1" outlineLevel="1">
      <c r="B974" s="412">
        <v>41556</v>
      </c>
      <c r="C974">
        <v>5909.95</v>
      </c>
      <c r="D974">
        <v>3254.99</v>
      </c>
    </row>
    <row r="975" spans="2:4" hidden="1" outlineLevel="1">
      <c r="B975" s="412">
        <v>41557</v>
      </c>
      <c r="C975">
        <v>5957.37</v>
      </c>
      <c r="D975">
        <v>3286.91</v>
      </c>
    </row>
    <row r="976" spans="2:4" hidden="1" outlineLevel="1">
      <c r="B976" s="412">
        <v>41558</v>
      </c>
      <c r="C976">
        <v>5947.42</v>
      </c>
      <c r="D976">
        <v>3283.62</v>
      </c>
    </row>
    <row r="977" spans="2:4" hidden="1" outlineLevel="1">
      <c r="B977" s="412">
        <v>41561</v>
      </c>
      <c r="C977">
        <v>5952.62</v>
      </c>
      <c r="D977">
        <v>3288.74</v>
      </c>
    </row>
    <row r="978" spans="2:4" hidden="1" outlineLevel="1">
      <c r="B978" s="412">
        <v>41562</v>
      </c>
      <c r="C978">
        <v>5961.98</v>
      </c>
      <c r="D978">
        <v>3290.58</v>
      </c>
    </row>
    <row r="979" spans="2:4" hidden="1" outlineLevel="1">
      <c r="B979" s="412">
        <v>41564</v>
      </c>
      <c r="C979">
        <v>5976.51</v>
      </c>
      <c r="D979">
        <v>3309</v>
      </c>
    </row>
    <row r="980" spans="2:4" hidden="1" outlineLevel="1">
      <c r="B980" s="412">
        <v>41568</v>
      </c>
      <c r="C980">
        <v>5946.65</v>
      </c>
      <c r="D980">
        <v>3287.53</v>
      </c>
    </row>
    <row r="981" spans="2:4" hidden="1" outlineLevel="1">
      <c r="B981" s="412">
        <v>41569</v>
      </c>
      <c r="C981">
        <v>5925.22</v>
      </c>
      <c r="D981">
        <v>3272.58</v>
      </c>
    </row>
    <row r="982" spans="2:4" hidden="1" outlineLevel="1">
      <c r="B982" s="412">
        <v>41570</v>
      </c>
      <c r="C982">
        <v>5900.9</v>
      </c>
      <c r="D982">
        <v>3259.18</v>
      </c>
    </row>
    <row r="983" spans="2:4" hidden="1" outlineLevel="1">
      <c r="B983" s="412">
        <v>41571</v>
      </c>
      <c r="C983">
        <v>5936.4</v>
      </c>
      <c r="D983">
        <v>3263.76</v>
      </c>
    </row>
    <row r="984" spans="2:4" hidden="1" outlineLevel="1">
      <c r="B984" s="412">
        <v>41572</v>
      </c>
      <c r="C984">
        <v>5948.75</v>
      </c>
      <c r="D984">
        <v>3280.48</v>
      </c>
    </row>
    <row r="985" spans="2:4" hidden="1" outlineLevel="1">
      <c r="B985" s="412">
        <v>41575</v>
      </c>
      <c r="C985">
        <v>5928.97</v>
      </c>
      <c r="D985">
        <v>3261.76</v>
      </c>
    </row>
    <row r="986" spans="2:4" hidden="1" outlineLevel="1">
      <c r="B986" s="412">
        <v>41576</v>
      </c>
      <c r="C986">
        <v>5906.53</v>
      </c>
      <c r="D986">
        <v>3260.62</v>
      </c>
    </row>
    <row r="987" spans="2:4" hidden="1" outlineLevel="1">
      <c r="B987" s="412">
        <v>41577</v>
      </c>
      <c r="C987">
        <v>5934.41</v>
      </c>
      <c r="D987">
        <v>3265.82</v>
      </c>
    </row>
    <row r="988" spans="2:4" hidden="1" outlineLevel="1">
      <c r="B988" s="412">
        <v>41578</v>
      </c>
      <c r="C988">
        <v>5954.62</v>
      </c>
      <c r="D988">
        <v>3282.07</v>
      </c>
    </row>
    <row r="989" spans="2:4" hidden="1" outlineLevel="1">
      <c r="B989" s="412">
        <v>41579</v>
      </c>
      <c r="C989">
        <v>5954.36</v>
      </c>
      <c r="D989">
        <v>3280.33</v>
      </c>
    </row>
    <row r="990" spans="2:4" hidden="1" outlineLevel="1">
      <c r="B990" s="412">
        <v>41582</v>
      </c>
      <c r="C990">
        <v>5927.41</v>
      </c>
      <c r="D990">
        <v>3274.31</v>
      </c>
    </row>
    <row r="991" spans="2:4" hidden="1" outlineLevel="1">
      <c r="B991" s="412">
        <v>41583</v>
      </c>
      <c r="C991">
        <v>5912.91</v>
      </c>
      <c r="D991">
        <v>3263.51</v>
      </c>
    </row>
    <row r="992" spans="2:4" hidden="1" outlineLevel="1">
      <c r="B992" s="412">
        <v>41584</v>
      </c>
      <c r="C992">
        <v>5906.18</v>
      </c>
      <c r="D992">
        <v>3254.89</v>
      </c>
    </row>
    <row r="993" spans="2:4" hidden="1" outlineLevel="1">
      <c r="B993" s="412">
        <v>41585</v>
      </c>
      <c r="C993">
        <v>5870.47</v>
      </c>
      <c r="D993">
        <v>3243.71</v>
      </c>
    </row>
    <row r="994" spans="2:4" hidden="1" outlineLevel="1">
      <c r="B994" s="412">
        <v>41586</v>
      </c>
      <c r="C994">
        <v>5855.34</v>
      </c>
      <c r="D994">
        <v>3232.5</v>
      </c>
    </row>
    <row r="995" spans="2:4" hidden="1" outlineLevel="1">
      <c r="B995" s="412">
        <v>41589</v>
      </c>
      <c r="C995">
        <v>5862.82</v>
      </c>
      <c r="D995">
        <v>3230.36</v>
      </c>
    </row>
    <row r="996" spans="2:4" hidden="1" outlineLevel="1">
      <c r="B996" s="412">
        <v>41590</v>
      </c>
      <c r="C996">
        <v>5812.84</v>
      </c>
      <c r="D996">
        <v>3190.66</v>
      </c>
    </row>
    <row r="997" spans="2:4" hidden="1" outlineLevel="1">
      <c r="B997" s="412">
        <v>41591</v>
      </c>
      <c r="C997">
        <v>5816.04</v>
      </c>
      <c r="D997">
        <v>3178.28</v>
      </c>
    </row>
    <row r="998" spans="2:4" hidden="1" outlineLevel="1">
      <c r="B998" s="412">
        <v>41592</v>
      </c>
      <c r="C998">
        <v>5829.05</v>
      </c>
      <c r="D998">
        <v>3185.96</v>
      </c>
    </row>
    <row r="999" spans="2:4" hidden="1" outlineLevel="1">
      <c r="B999" s="412">
        <v>41593</v>
      </c>
      <c r="C999">
        <v>5810.97</v>
      </c>
      <c r="D999">
        <v>3174.68</v>
      </c>
    </row>
    <row r="1000" spans="2:4" hidden="1" outlineLevel="1">
      <c r="B1000" s="412">
        <v>41596</v>
      </c>
      <c r="C1000">
        <v>5824.48</v>
      </c>
      <c r="D1000">
        <v>3200.31</v>
      </c>
    </row>
    <row r="1001" spans="2:4" hidden="1" outlineLevel="1">
      <c r="B1001" s="412">
        <v>41597</v>
      </c>
      <c r="C1001">
        <v>5809.15</v>
      </c>
      <c r="D1001">
        <v>3213.93</v>
      </c>
    </row>
    <row r="1002" spans="2:4" hidden="1" outlineLevel="1">
      <c r="B1002" s="412">
        <v>41598</v>
      </c>
      <c r="C1002">
        <v>5793.53</v>
      </c>
      <c r="D1002">
        <v>3209.27</v>
      </c>
    </row>
    <row r="1003" spans="2:4" hidden="1" outlineLevel="1">
      <c r="B1003" s="412">
        <v>41599</v>
      </c>
      <c r="C1003">
        <v>5801.85</v>
      </c>
      <c r="D1003">
        <v>3202.19</v>
      </c>
    </row>
    <row r="1004" spans="2:4" hidden="1" outlineLevel="1">
      <c r="B1004" s="412">
        <v>41600</v>
      </c>
      <c r="C1004">
        <v>5792.72</v>
      </c>
      <c r="D1004">
        <v>3197.88</v>
      </c>
    </row>
    <row r="1005" spans="2:4" hidden="1" outlineLevel="1">
      <c r="B1005" s="412">
        <v>41603</v>
      </c>
      <c r="C1005">
        <v>5775.67</v>
      </c>
      <c r="D1005">
        <v>3182.94</v>
      </c>
    </row>
    <row r="1006" spans="2:4" hidden="1" outlineLevel="1">
      <c r="B1006" s="412">
        <v>41604</v>
      </c>
      <c r="C1006">
        <v>5748.01</v>
      </c>
      <c r="D1006">
        <v>3168.69</v>
      </c>
    </row>
    <row r="1007" spans="2:4" hidden="1" outlineLevel="1">
      <c r="B1007" s="412">
        <v>41605</v>
      </c>
      <c r="C1007">
        <v>5744.67</v>
      </c>
      <c r="D1007">
        <v>3162.52</v>
      </c>
    </row>
    <row r="1008" spans="2:4" hidden="1" outlineLevel="1">
      <c r="B1008" s="412">
        <v>41606</v>
      </c>
      <c r="C1008">
        <v>5752.2</v>
      </c>
      <c r="D1008">
        <v>3163.59</v>
      </c>
    </row>
    <row r="1009" spans="2:4" hidden="1" outlineLevel="1">
      <c r="B1009" s="412">
        <v>41607</v>
      </c>
      <c r="C1009">
        <v>5775.09</v>
      </c>
      <c r="D1009">
        <v>3174.63</v>
      </c>
    </row>
    <row r="1010" spans="2:4" hidden="1" outlineLevel="1">
      <c r="B1010" s="412">
        <v>41610</v>
      </c>
      <c r="C1010">
        <v>5774.1</v>
      </c>
      <c r="D1010">
        <v>3165.88</v>
      </c>
    </row>
    <row r="1011" spans="2:4" hidden="1" outlineLevel="1">
      <c r="B1011" s="412">
        <v>41611</v>
      </c>
      <c r="C1011">
        <v>5773.12</v>
      </c>
      <c r="D1011">
        <v>3160.94</v>
      </c>
    </row>
    <row r="1012" spans="2:4" hidden="1" outlineLevel="1">
      <c r="B1012" s="412">
        <v>41612</v>
      </c>
      <c r="C1012">
        <v>5782.92</v>
      </c>
      <c r="D1012">
        <v>3165.05</v>
      </c>
    </row>
    <row r="1013" spans="2:4" hidden="1" outlineLevel="1">
      <c r="B1013" s="412">
        <v>41613</v>
      </c>
      <c r="C1013">
        <v>5780.58</v>
      </c>
      <c r="D1013">
        <v>3161.62</v>
      </c>
    </row>
    <row r="1014" spans="2:4" hidden="1" outlineLevel="1">
      <c r="B1014" s="412">
        <v>41614</v>
      </c>
      <c r="C1014">
        <v>5810.24</v>
      </c>
      <c r="D1014">
        <v>3183.09</v>
      </c>
    </row>
    <row r="1015" spans="2:4" hidden="1" outlineLevel="1">
      <c r="B1015" s="412">
        <v>41617</v>
      </c>
      <c r="C1015">
        <v>5821.3</v>
      </c>
      <c r="D1015">
        <v>3194.3</v>
      </c>
    </row>
    <row r="1016" spans="2:4" hidden="1" outlineLevel="1">
      <c r="B1016" s="412">
        <v>41618</v>
      </c>
      <c r="C1016">
        <v>5778.52</v>
      </c>
      <c r="D1016">
        <v>3176.62</v>
      </c>
    </row>
    <row r="1017" spans="2:4" hidden="1" outlineLevel="1">
      <c r="B1017" s="412">
        <v>41619</v>
      </c>
      <c r="C1017">
        <v>5787.81</v>
      </c>
      <c r="D1017">
        <v>3182.27</v>
      </c>
    </row>
    <row r="1018" spans="2:4" hidden="1" outlineLevel="1">
      <c r="B1018" s="412">
        <v>41620</v>
      </c>
      <c r="C1018">
        <v>5793.19</v>
      </c>
      <c r="D1018">
        <v>3189.44</v>
      </c>
    </row>
    <row r="1019" spans="2:4" hidden="1" outlineLevel="1">
      <c r="B1019" s="412">
        <v>41621</v>
      </c>
      <c r="C1019">
        <v>5795.66</v>
      </c>
      <c r="D1019">
        <v>3185.67</v>
      </c>
    </row>
    <row r="1020" spans="2:4" hidden="1" outlineLevel="1">
      <c r="B1020" s="412">
        <v>41625</v>
      </c>
      <c r="C1020">
        <v>5811.88</v>
      </c>
      <c r="D1020">
        <v>3193.87</v>
      </c>
    </row>
    <row r="1021" spans="2:4" hidden="1" outlineLevel="1">
      <c r="B1021" s="412">
        <v>41626</v>
      </c>
      <c r="C1021">
        <v>5811.76</v>
      </c>
      <c r="D1021">
        <v>3191.71</v>
      </c>
    </row>
    <row r="1022" spans="2:4" hidden="1" outlineLevel="1">
      <c r="B1022" s="412">
        <v>41627</v>
      </c>
      <c r="C1022">
        <v>5867</v>
      </c>
      <c r="D1022">
        <v>3224.46</v>
      </c>
    </row>
    <row r="1023" spans="2:4" hidden="1" outlineLevel="1">
      <c r="B1023" s="412">
        <v>41628</v>
      </c>
      <c r="C1023">
        <v>5857.36</v>
      </c>
      <c r="D1023">
        <v>3228.17</v>
      </c>
    </row>
    <row r="1024" spans="2:4" hidden="1" outlineLevel="1">
      <c r="B1024" s="412">
        <v>41631</v>
      </c>
      <c r="C1024">
        <v>5846.42</v>
      </c>
      <c r="D1024">
        <v>3224.24</v>
      </c>
    </row>
    <row r="1025" spans="2:4" hidden="1" outlineLevel="1">
      <c r="B1025" s="412">
        <v>41632</v>
      </c>
      <c r="C1025">
        <v>5845.93</v>
      </c>
      <c r="D1025">
        <v>3225.13</v>
      </c>
    </row>
    <row r="1026" spans="2:4" hidden="1" outlineLevel="1">
      <c r="B1026" s="412">
        <v>41634</v>
      </c>
      <c r="C1026">
        <v>5848.49</v>
      </c>
      <c r="D1026">
        <v>3223.12</v>
      </c>
    </row>
    <row r="1027" spans="2:4" hidden="1" outlineLevel="1">
      <c r="B1027" s="412">
        <v>41635</v>
      </c>
      <c r="C1027">
        <v>5876.66</v>
      </c>
      <c r="D1027">
        <v>3240.63</v>
      </c>
    </row>
    <row r="1028" spans="2:4" hidden="1" outlineLevel="1">
      <c r="B1028" s="412">
        <v>41638</v>
      </c>
      <c r="C1028">
        <v>5899.2</v>
      </c>
      <c r="D1028">
        <v>3267.45</v>
      </c>
    </row>
    <row r="1029" spans="2:4" hidden="1" outlineLevel="1">
      <c r="B1029" s="412">
        <v>41639</v>
      </c>
      <c r="C1029">
        <v>5912.78</v>
      </c>
      <c r="D1029">
        <v>3263.87</v>
      </c>
    </row>
    <row r="1030" spans="2:4" hidden="1" outlineLevel="1">
      <c r="B1030" s="412">
        <v>41641</v>
      </c>
      <c r="C1030">
        <v>5968.04</v>
      </c>
      <c r="D1030">
        <v>3285.39</v>
      </c>
    </row>
    <row r="1031" spans="2:4" hidden="1" outlineLevel="1">
      <c r="B1031" s="412">
        <v>41642</v>
      </c>
      <c r="C1031">
        <v>5973.8</v>
      </c>
      <c r="D1031">
        <v>3294.82</v>
      </c>
    </row>
    <row r="1032" spans="2:4" hidden="1" outlineLevel="1">
      <c r="B1032" s="412">
        <v>41645</v>
      </c>
      <c r="C1032">
        <v>5944.99</v>
      </c>
      <c r="D1032">
        <v>3281.24</v>
      </c>
    </row>
    <row r="1033" spans="2:4" hidden="1" outlineLevel="1">
      <c r="B1033" s="412">
        <v>41646</v>
      </c>
      <c r="C1033">
        <v>5977.07</v>
      </c>
      <c r="D1033">
        <v>3300.45</v>
      </c>
    </row>
    <row r="1034" spans="2:4" hidden="1" outlineLevel="1">
      <c r="B1034" s="412">
        <v>41647</v>
      </c>
      <c r="C1034">
        <v>6054.47</v>
      </c>
      <c r="D1034">
        <v>3350.31</v>
      </c>
    </row>
    <row r="1035" spans="2:4" hidden="1" outlineLevel="1">
      <c r="B1035" s="412">
        <v>41648</v>
      </c>
      <c r="C1035">
        <v>6069.34</v>
      </c>
      <c r="D1035">
        <v>3362.39</v>
      </c>
    </row>
    <row r="1036" spans="2:4" hidden="1" outlineLevel="1">
      <c r="B1036" s="412">
        <v>41649</v>
      </c>
      <c r="C1036">
        <v>6083.14</v>
      </c>
      <c r="D1036">
        <v>3384.51</v>
      </c>
    </row>
    <row r="1037" spans="2:4" hidden="1" outlineLevel="1">
      <c r="B1037" s="412">
        <v>41652</v>
      </c>
      <c r="C1037">
        <v>6116.39</v>
      </c>
      <c r="D1037">
        <v>3388.07</v>
      </c>
    </row>
    <row r="1038" spans="2:4" hidden="1" outlineLevel="1">
      <c r="B1038" s="412">
        <v>41655</v>
      </c>
      <c r="C1038">
        <v>6166.98</v>
      </c>
      <c r="D1038">
        <v>3427.05</v>
      </c>
    </row>
    <row r="1039" spans="2:4" hidden="1" outlineLevel="1">
      <c r="B1039" s="412">
        <v>41656</v>
      </c>
      <c r="C1039">
        <v>6131.05</v>
      </c>
      <c r="D1039">
        <v>3407.94</v>
      </c>
    </row>
    <row r="1040" spans="2:4" hidden="1" outlineLevel="1">
      <c r="B1040" s="412">
        <v>41659</v>
      </c>
      <c r="C1040">
        <v>6156.68</v>
      </c>
      <c r="D1040">
        <v>3425.71</v>
      </c>
    </row>
    <row r="1041" spans="2:4" hidden="1" outlineLevel="1">
      <c r="B1041" s="412">
        <v>41660</v>
      </c>
      <c r="C1041">
        <v>6153.54</v>
      </c>
      <c r="D1041">
        <v>3428.16</v>
      </c>
    </row>
    <row r="1042" spans="2:4" hidden="1" outlineLevel="1">
      <c r="B1042" s="412">
        <v>41661</v>
      </c>
      <c r="C1042">
        <v>6212.67</v>
      </c>
      <c r="D1042">
        <v>3458.26</v>
      </c>
    </row>
    <row r="1043" spans="2:4" hidden="1" outlineLevel="1">
      <c r="B1043" s="412">
        <v>41662</v>
      </c>
      <c r="C1043">
        <v>6226.14</v>
      </c>
      <c r="D1043">
        <v>3469.12</v>
      </c>
    </row>
    <row r="1044" spans="2:4" hidden="1" outlineLevel="1">
      <c r="B1044" s="412">
        <v>41663</v>
      </c>
      <c r="C1044">
        <v>6255.63</v>
      </c>
      <c r="D1044">
        <v>3478.09</v>
      </c>
    </row>
    <row r="1045" spans="2:4" hidden="1" outlineLevel="1">
      <c r="B1045" s="412">
        <v>41666</v>
      </c>
      <c r="C1045">
        <v>6245.81</v>
      </c>
      <c r="D1045">
        <v>3461.75</v>
      </c>
    </row>
    <row r="1046" spans="2:4" hidden="1" outlineLevel="1">
      <c r="B1046" s="412">
        <v>41667</v>
      </c>
      <c r="C1046">
        <v>6218.83</v>
      </c>
      <c r="D1046">
        <v>3435.87</v>
      </c>
    </row>
    <row r="1047" spans="2:4" hidden="1" outlineLevel="1">
      <c r="B1047" s="412">
        <v>41668</v>
      </c>
      <c r="C1047">
        <v>6252.14</v>
      </c>
      <c r="D1047">
        <v>3456.69</v>
      </c>
    </row>
    <row r="1048" spans="2:4" hidden="1" outlineLevel="1">
      <c r="B1048" s="412">
        <v>41669</v>
      </c>
      <c r="C1048">
        <v>6227.26</v>
      </c>
      <c r="D1048">
        <v>3444.56</v>
      </c>
    </row>
    <row r="1049" spans="2:4" hidden="1" outlineLevel="1">
      <c r="B1049" s="412">
        <v>41670</v>
      </c>
      <c r="C1049">
        <v>6248.08</v>
      </c>
      <c r="D1049">
        <v>3443.25</v>
      </c>
    </row>
    <row r="1050" spans="2:4" hidden="1" outlineLevel="1">
      <c r="B1050" s="412">
        <v>41673</v>
      </c>
      <c r="C1050">
        <v>6219.34</v>
      </c>
      <c r="D1050">
        <v>3431.22</v>
      </c>
    </row>
    <row r="1051" spans="2:4" hidden="1" outlineLevel="1">
      <c r="B1051" s="412">
        <v>41675</v>
      </c>
      <c r="C1051">
        <v>6175.63</v>
      </c>
      <c r="D1051">
        <v>3382.82</v>
      </c>
    </row>
    <row r="1052" spans="2:4" hidden="1" outlineLevel="1">
      <c r="B1052" s="412">
        <v>41676</v>
      </c>
      <c r="C1052">
        <v>6168.5</v>
      </c>
      <c r="D1052">
        <v>3384.32</v>
      </c>
    </row>
    <row r="1053" spans="2:4" hidden="1" outlineLevel="1">
      <c r="B1053" s="412">
        <v>41677</v>
      </c>
      <c r="C1053">
        <v>6141.72</v>
      </c>
      <c r="D1053">
        <v>3369.3</v>
      </c>
    </row>
    <row r="1054" spans="2:4" hidden="1" outlineLevel="1">
      <c r="B1054" s="412">
        <v>41680</v>
      </c>
      <c r="C1054">
        <v>6110.27</v>
      </c>
      <c r="D1054">
        <v>3354.43</v>
      </c>
    </row>
    <row r="1055" spans="2:4" hidden="1" outlineLevel="1">
      <c r="B1055" s="412">
        <v>41681</v>
      </c>
      <c r="C1055">
        <v>6113.15</v>
      </c>
      <c r="D1055">
        <v>3349.35</v>
      </c>
    </row>
    <row r="1056" spans="2:4" hidden="1" outlineLevel="1">
      <c r="B1056" s="412">
        <v>41682</v>
      </c>
      <c r="C1056">
        <v>6084.48</v>
      </c>
      <c r="D1056">
        <v>3336.96</v>
      </c>
    </row>
    <row r="1057" spans="2:4" hidden="1" outlineLevel="1">
      <c r="B1057" s="412">
        <v>41683</v>
      </c>
      <c r="C1057">
        <v>6083.39</v>
      </c>
      <c r="D1057">
        <v>3325.76</v>
      </c>
    </row>
    <row r="1058" spans="2:4" hidden="1" outlineLevel="1">
      <c r="B1058" s="412">
        <v>41687</v>
      </c>
      <c r="C1058">
        <v>6056.11</v>
      </c>
      <c r="D1058">
        <v>3306.24</v>
      </c>
    </row>
    <row r="1059" spans="2:4" hidden="1" outlineLevel="1">
      <c r="B1059" s="412">
        <v>41688</v>
      </c>
      <c r="C1059">
        <v>6021.66</v>
      </c>
      <c r="D1059">
        <v>3288.04</v>
      </c>
    </row>
    <row r="1060" spans="2:4" hidden="1" outlineLevel="1">
      <c r="B1060" s="412">
        <v>41689</v>
      </c>
      <c r="C1060">
        <v>5986.24</v>
      </c>
      <c r="D1060">
        <v>3281.77</v>
      </c>
    </row>
    <row r="1061" spans="2:4" hidden="1" outlineLevel="1">
      <c r="B1061" s="412">
        <v>41690</v>
      </c>
      <c r="C1061">
        <v>5956.16</v>
      </c>
      <c r="D1061">
        <v>3257.53</v>
      </c>
    </row>
    <row r="1062" spans="2:4" hidden="1" outlineLevel="1">
      <c r="B1062" s="412">
        <v>41691</v>
      </c>
      <c r="C1062">
        <v>5937.28</v>
      </c>
      <c r="D1062">
        <v>3237.82</v>
      </c>
    </row>
    <row r="1063" spans="2:4" hidden="1" outlineLevel="1">
      <c r="B1063" s="412">
        <v>41694</v>
      </c>
      <c r="C1063">
        <v>5883.05</v>
      </c>
      <c r="D1063">
        <v>3208</v>
      </c>
    </row>
    <row r="1064" spans="2:4" hidden="1" outlineLevel="1">
      <c r="B1064" s="412">
        <v>41695</v>
      </c>
      <c r="C1064">
        <v>5835.92</v>
      </c>
      <c r="D1064">
        <v>3180.06</v>
      </c>
    </row>
    <row r="1065" spans="2:4" hidden="1" outlineLevel="1">
      <c r="B1065" s="412">
        <v>41696</v>
      </c>
      <c r="C1065">
        <v>5872.81</v>
      </c>
      <c r="D1065">
        <v>3188.8</v>
      </c>
    </row>
    <row r="1066" spans="2:4" hidden="1" outlineLevel="1">
      <c r="B1066" s="412">
        <v>41698</v>
      </c>
      <c r="C1066">
        <v>5940.31</v>
      </c>
      <c r="D1066">
        <v>3223.66</v>
      </c>
    </row>
    <row r="1067" spans="2:4" hidden="1" outlineLevel="1">
      <c r="B1067" s="412">
        <v>41701</v>
      </c>
      <c r="C1067">
        <v>5914.01</v>
      </c>
      <c r="D1067">
        <v>3213.89</v>
      </c>
    </row>
    <row r="1068" spans="2:4" hidden="1" outlineLevel="1">
      <c r="B1068" s="412">
        <v>41702</v>
      </c>
      <c r="C1068">
        <v>5936.62</v>
      </c>
      <c r="D1068">
        <v>3221.42</v>
      </c>
    </row>
    <row r="1069" spans="2:4" hidden="1" outlineLevel="1">
      <c r="B1069" s="412">
        <v>41703</v>
      </c>
      <c r="C1069">
        <v>5936.43</v>
      </c>
      <c r="D1069">
        <v>3216.97</v>
      </c>
    </row>
    <row r="1070" spans="2:4" hidden="1" outlineLevel="1">
      <c r="B1070" s="412">
        <v>41704</v>
      </c>
      <c r="C1070">
        <v>5961.93</v>
      </c>
      <c r="D1070">
        <v>3234.05</v>
      </c>
    </row>
    <row r="1071" spans="2:4" hidden="1" outlineLevel="1">
      <c r="B1071" s="412">
        <v>41705</v>
      </c>
      <c r="C1071">
        <v>5966.06</v>
      </c>
      <c r="D1071">
        <v>3244.99</v>
      </c>
    </row>
    <row r="1072" spans="2:4" hidden="1" outlineLevel="1">
      <c r="B1072" s="412">
        <v>41708</v>
      </c>
      <c r="C1072">
        <v>5957.61</v>
      </c>
      <c r="D1072">
        <v>3252.29</v>
      </c>
    </row>
    <row r="1073" spans="2:4" hidden="1" outlineLevel="1">
      <c r="B1073" s="412">
        <v>41709</v>
      </c>
      <c r="C1073">
        <v>5944.57</v>
      </c>
      <c r="D1073">
        <v>3240.12</v>
      </c>
    </row>
    <row r="1074" spans="2:4" hidden="1" outlineLevel="1">
      <c r="B1074" s="412">
        <v>41710</v>
      </c>
      <c r="C1074">
        <v>5933.52</v>
      </c>
      <c r="D1074">
        <v>3236.29</v>
      </c>
    </row>
    <row r="1075" spans="2:4" hidden="1" outlineLevel="1">
      <c r="B1075" s="412">
        <v>41711</v>
      </c>
      <c r="C1075">
        <v>5913.94</v>
      </c>
      <c r="D1075">
        <v>3222.13</v>
      </c>
    </row>
    <row r="1076" spans="2:4" hidden="1" outlineLevel="1">
      <c r="B1076" s="412">
        <v>41712</v>
      </c>
      <c r="C1076">
        <v>5896.23</v>
      </c>
      <c r="D1076">
        <v>3207.11</v>
      </c>
    </row>
    <row r="1077" spans="2:4" hidden="1" outlineLevel="1">
      <c r="B1077" s="412">
        <v>41715</v>
      </c>
      <c r="C1077">
        <v>5914.11</v>
      </c>
      <c r="D1077">
        <v>3213.42</v>
      </c>
    </row>
    <row r="1078" spans="2:4" hidden="1" outlineLevel="1">
      <c r="B1078" s="412">
        <v>41716</v>
      </c>
      <c r="C1078">
        <v>5907.64</v>
      </c>
      <c r="D1078">
        <v>3214.64</v>
      </c>
    </row>
    <row r="1079" spans="2:4" hidden="1" outlineLevel="1">
      <c r="B1079" s="412">
        <v>41717</v>
      </c>
      <c r="C1079">
        <v>5912.05</v>
      </c>
      <c r="D1079">
        <v>3225.22</v>
      </c>
    </row>
    <row r="1080" spans="2:4" hidden="1" outlineLevel="1">
      <c r="B1080" s="412">
        <v>41718</v>
      </c>
      <c r="C1080">
        <v>5914.56</v>
      </c>
      <c r="D1080">
        <v>3231.91</v>
      </c>
    </row>
    <row r="1081" spans="2:4" hidden="1" outlineLevel="1">
      <c r="B1081" s="412">
        <v>41719</v>
      </c>
      <c r="C1081">
        <v>5937.87</v>
      </c>
      <c r="D1081">
        <v>3246.02</v>
      </c>
    </row>
    <row r="1082" spans="2:4" hidden="1" outlineLevel="1">
      <c r="B1082" s="412">
        <v>41722</v>
      </c>
      <c r="C1082">
        <v>5922.23</v>
      </c>
      <c r="D1082">
        <v>3246.91</v>
      </c>
    </row>
    <row r="1083" spans="2:4" hidden="1" outlineLevel="1">
      <c r="B1083" s="412">
        <v>41723</v>
      </c>
      <c r="C1083">
        <v>5952.78</v>
      </c>
      <c r="D1083">
        <v>3256.49</v>
      </c>
    </row>
    <row r="1084" spans="2:4" hidden="1" outlineLevel="1">
      <c r="B1084" s="412">
        <v>41724</v>
      </c>
      <c r="C1084">
        <v>5950.97</v>
      </c>
      <c r="D1084">
        <v>3261.05</v>
      </c>
    </row>
    <row r="1085" spans="2:4" hidden="1" outlineLevel="1">
      <c r="B1085" s="412">
        <v>41725</v>
      </c>
      <c r="C1085">
        <v>5992.62</v>
      </c>
      <c r="D1085">
        <v>3274.15</v>
      </c>
    </row>
    <row r="1086" spans="2:4" hidden="1" outlineLevel="1">
      <c r="B1086" s="412">
        <v>41726</v>
      </c>
      <c r="C1086">
        <v>5972.17</v>
      </c>
      <c r="D1086">
        <v>3278.67</v>
      </c>
    </row>
    <row r="1087" spans="2:4" hidden="1" outlineLevel="1">
      <c r="B1087" s="412">
        <v>41729</v>
      </c>
      <c r="C1087">
        <v>5968.31</v>
      </c>
      <c r="D1087">
        <v>3279.92</v>
      </c>
    </row>
    <row r="1088" spans="2:4" hidden="1" outlineLevel="1">
      <c r="B1088" s="412">
        <v>41730</v>
      </c>
      <c r="C1088">
        <v>6001.83</v>
      </c>
      <c r="D1088">
        <v>3299.9</v>
      </c>
    </row>
    <row r="1089" spans="2:4" hidden="1" outlineLevel="1">
      <c r="B1089" s="412">
        <v>41731</v>
      </c>
      <c r="C1089">
        <v>6004.78</v>
      </c>
      <c r="D1089">
        <v>3281.94</v>
      </c>
    </row>
    <row r="1090" spans="2:4" hidden="1" outlineLevel="1">
      <c r="B1090" s="412">
        <v>41732</v>
      </c>
      <c r="C1090">
        <v>6018.47</v>
      </c>
      <c r="D1090">
        <v>3295.5</v>
      </c>
    </row>
    <row r="1091" spans="2:4" hidden="1" outlineLevel="1">
      <c r="B1091" s="412">
        <v>41733</v>
      </c>
      <c r="C1091">
        <v>6054.55</v>
      </c>
      <c r="D1091">
        <v>3323.1</v>
      </c>
    </row>
    <row r="1092" spans="2:4" hidden="1" outlineLevel="1">
      <c r="B1092" s="412">
        <v>41736</v>
      </c>
      <c r="C1092">
        <v>6048.38</v>
      </c>
      <c r="D1092">
        <v>3321.43</v>
      </c>
    </row>
    <row r="1093" spans="2:4" hidden="1" outlineLevel="1">
      <c r="B1093" s="412">
        <v>41737</v>
      </c>
      <c r="C1093">
        <v>6072.16</v>
      </c>
      <c r="D1093">
        <v>3326.7</v>
      </c>
    </row>
    <row r="1094" spans="2:4" hidden="1" outlineLevel="1">
      <c r="B1094" s="412">
        <v>41738</v>
      </c>
      <c r="C1094">
        <v>6083.55</v>
      </c>
      <c r="D1094">
        <v>3345.96</v>
      </c>
    </row>
    <row r="1095" spans="2:4" hidden="1" outlineLevel="1">
      <c r="B1095" s="412">
        <v>41739</v>
      </c>
      <c r="C1095">
        <v>6075.05</v>
      </c>
      <c r="D1095">
        <v>3345</v>
      </c>
    </row>
    <row r="1096" spans="2:4" hidden="1" outlineLevel="1">
      <c r="B1096" s="412">
        <v>41740</v>
      </c>
      <c r="C1096">
        <v>6092.34</v>
      </c>
      <c r="D1096">
        <v>3346.92</v>
      </c>
    </row>
    <row r="1097" spans="2:4" hidden="1" outlineLevel="1">
      <c r="B1097" s="412">
        <v>41745</v>
      </c>
      <c r="C1097">
        <v>6118.85</v>
      </c>
      <c r="D1097">
        <v>3361.48</v>
      </c>
    </row>
    <row r="1098" spans="2:4" hidden="1" outlineLevel="1">
      <c r="B1098" s="412">
        <v>41746</v>
      </c>
      <c r="C1098">
        <v>6180.76</v>
      </c>
      <c r="D1098">
        <v>3388.02</v>
      </c>
    </row>
    <row r="1099" spans="2:4" hidden="1" outlineLevel="1">
      <c r="B1099" s="412">
        <v>41750</v>
      </c>
      <c r="C1099">
        <v>6187.03</v>
      </c>
      <c r="D1099">
        <v>3394.94</v>
      </c>
    </row>
    <row r="1100" spans="2:4" hidden="1" outlineLevel="1">
      <c r="B1100" s="412">
        <v>41751</v>
      </c>
      <c r="C1100">
        <v>6191.83</v>
      </c>
      <c r="D1100">
        <v>3397.42</v>
      </c>
    </row>
    <row r="1101" spans="2:4" hidden="1" outlineLevel="1">
      <c r="B1101" s="412">
        <v>41752</v>
      </c>
      <c r="C1101">
        <v>6172.77</v>
      </c>
      <c r="D1101">
        <v>3373.55</v>
      </c>
    </row>
    <row r="1102" spans="2:4" hidden="1" outlineLevel="1">
      <c r="B1102" s="412">
        <v>41753</v>
      </c>
      <c r="C1102">
        <v>6178.13</v>
      </c>
      <c r="D1102">
        <v>3394.56</v>
      </c>
    </row>
    <row r="1103" spans="2:4" hidden="1" outlineLevel="1">
      <c r="B1103" s="412">
        <v>41754</v>
      </c>
      <c r="C1103">
        <v>6167.81</v>
      </c>
      <c r="D1103">
        <v>3387.97</v>
      </c>
    </row>
    <row r="1104" spans="2:4" hidden="1" outlineLevel="1">
      <c r="B1104" s="412">
        <v>41757</v>
      </c>
      <c r="C1104">
        <v>6171.94</v>
      </c>
      <c r="D1104">
        <v>3394.34</v>
      </c>
    </row>
    <row r="1105" spans="2:4" hidden="1" outlineLevel="1">
      <c r="B1105" s="412">
        <v>41758</v>
      </c>
      <c r="C1105">
        <v>6186.25</v>
      </c>
      <c r="D1105">
        <v>3405.32</v>
      </c>
    </row>
    <row r="1106" spans="2:4" hidden="1" outlineLevel="1">
      <c r="B1106" s="412">
        <v>41759</v>
      </c>
      <c r="C1106">
        <v>6223.67</v>
      </c>
      <c r="D1106">
        <v>3418.19</v>
      </c>
    </row>
    <row r="1107" spans="2:4" hidden="1" outlineLevel="1">
      <c r="B1107" s="412">
        <v>41761</v>
      </c>
      <c r="C1107">
        <v>6248.44</v>
      </c>
      <c r="D1107">
        <v>3435.81</v>
      </c>
    </row>
    <row r="1108" spans="2:4" hidden="1" outlineLevel="1">
      <c r="B1108" s="412">
        <v>41764</v>
      </c>
      <c r="C1108">
        <v>6249.43</v>
      </c>
      <c r="D1108">
        <v>3441.69</v>
      </c>
    </row>
    <row r="1109" spans="2:4" hidden="1" outlineLevel="1">
      <c r="B1109" s="412">
        <v>41765</v>
      </c>
      <c r="C1109">
        <v>6226.13</v>
      </c>
      <c r="D1109">
        <v>3424.12</v>
      </c>
    </row>
    <row r="1110" spans="2:4" hidden="1" outlineLevel="1">
      <c r="B1110" s="412">
        <v>41766</v>
      </c>
      <c r="C1110">
        <v>6252.6</v>
      </c>
      <c r="D1110">
        <v>3433.95</v>
      </c>
    </row>
    <row r="1111" spans="2:4" hidden="1" outlineLevel="1">
      <c r="B1111" s="412">
        <v>41767</v>
      </c>
      <c r="C1111">
        <v>6275.73</v>
      </c>
      <c r="D1111">
        <v>3446.76</v>
      </c>
    </row>
    <row r="1112" spans="2:4" hidden="1" outlineLevel="1">
      <c r="B1112" s="412">
        <v>41768</v>
      </c>
      <c r="C1112">
        <v>6284.87</v>
      </c>
      <c r="D1112">
        <v>3457.26</v>
      </c>
    </row>
    <row r="1113" spans="2:4" hidden="1" outlineLevel="1">
      <c r="B1113" s="412">
        <v>41771</v>
      </c>
      <c r="C1113">
        <v>6303.16</v>
      </c>
      <c r="D1113">
        <v>3480.91</v>
      </c>
    </row>
    <row r="1114" spans="2:4" hidden="1" outlineLevel="1">
      <c r="B1114" s="412">
        <v>41772</v>
      </c>
      <c r="C1114">
        <v>6284.96</v>
      </c>
      <c r="D1114">
        <v>3478.99</v>
      </c>
    </row>
    <row r="1115" spans="2:4" hidden="1" outlineLevel="1">
      <c r="B1115" s="412">
        <v>41775</v>
      </c>
      <c r="C1115">
        <v>6315.19</v>
      </c>
      <c r="D1115">
        <v>3479.17</v>
      </c>
    </row>
    <row r="1116" spans="2:4" hidden="1" outlineLevel="1">
      <c r="B1116" s="412">
        <v>41778</v>
      </c>
      <c r="C1116">
        <v>6319.24</v>
      </c>
      <c r="D1116">
        <v>3472.79</v>
      </c>
    </row>
    <row r="1117" spans="2:4" hidden="1" outlineLevel="1">
      <c r="B1117" s="412">
        <v>41779</v>
      </c>
      <c r="C1117">
        <v>6321.61</v>
      </c>
      <c r="D1117">
        <v>3480.1</v>
      </c>
    </row>
    <row r="1118" spans="2:4" hidden="1" outlineLevel="1">
      <c r="B1118" s="412">
        <v>41780</v>
      </c>
      <c r="C1118">
        <v>6289.32</v>
      </c>
      <c r="D1118">
        <v>3465.84</v>
      </c>
    </row>
    <row r="1119" spans="2:4" hidden="1" outlineLevel="1">
      <c r="B1119" s="412">
        <v>41781</v>
      </c>
      <c r="C1119">
        <v>6290.17</v>
      </c>
      <c r="D1119">
        <v>3465.05</v>
      </c>
    </row>
    <row r="1120" spans="2:4" hidden="1" outlineLevel="1">
      <c r="B1120" s="412">
        <v>41782</v>
      </c>
      <c r="C1120">
        <v>6280.31</v>
      </c>
      <c r="D1120">
        <v>3459.43</v>
      </c>
    </row>
    <row r="1121" spans="2:4" hidden="1" outlineLevel="1">
      <c r="B1121" s="412">
        <v>41785</v>
      </c>
      <c r="C1121">
        <v>6293.02</v>
      </c>
      <c r="D1121">
        <v>3462.89</v>
      </c>
    </row>
    <row r="1122" spans="2:4" hidden="1" outlineLevel="1">
      <c r="B1122" s="412">
        <v>41786</v>
      </c>
      <c r="C1122">
        <v>6267.44</v>
      </c>
      <c r="D1122">
        <v>3447.25</v>
      </c>
    </row>
    <row r="1123" spans="2:4" hidden="1" outlineLevel="1">
      <c r="B1123" s="412">
        <v>41787</v>
      </c>
      <c r="C1123">
        <v>6272.76</v>
      </c>
      <c r="D1123">
        <v>3450.65</v>
      </c>
    </row>
    <row r="1124" spans="2:4" hidden="1" outlineLevel="1">
      <c r="B1124" s="412">
        <v>41788</v>
      </c>
      <c r="C1124">
        <v>6303.77</v>
      </c>
      <c r="D1124">
        <v>3486.69</v>
      </c>
    </row>
    <row r="1125" spans="2:4" hidden="1" outlineLevel="1">
      <c r="B1125" s="412">
        <v>41789</v>
      </c>
      <c r="C1125">
        <v>6263.46</v>
      </c>
      <c r="D1125">
        <v>3454.61</v>
      </c>
    </row>
    <row r="1126" spans="2:4" hidden="1" outlineLevel="1">
      <c r="B1126" s="412">
        <v>41792</v>
      </c>
      <c r="C1126">
        <v>6292.41</v>
      </c>
      <c r="D1126">
        <v>3470.19</v>
      </c>
    </row>
    <row r="1127" spans="2:4" hidden="1" outlineLevel="1">
      <c r="B1127" s="412">
        <v>41793</v>
      </c>
      <c r="C1127">
        <v>6286.02</v>
      </c>
      <c r="D1127">
        <v>3470.75</v>
      </c>
    </row>
    <row r="1128" spans="2:4" hidden="1" outlineLevel="1">
      <c r="B1128" s="412">
        <v>41794</v>
      </c>
      <c r="C1128">
        <v>6286.06</v>
      </c>
      <c r="D1128">
        <v>3472</v>
      </c>
    </row>
    <row r="1129" spans="2:4" hidden="1" outlineLevel="1">
      <c r="B1129" s="412">
        <v>41795</v>
      </c>
      <c r="C1129">
        <v>6280.16</v>
      </c>
      <c r="D1129">
        <v>3473.43</v>
      </c>
    </row>
    <row r="1130" spans="2:4" hidden="1" outlineLevel="1">
      <c r="B1130" s="412">
        <v>41796</v>
      </c>
      <c r="C1130">
        <v>6279.14</v>
      </c>
      <c r="D1130">
        <v>3479.17</v>
      </c>
    </row>
    <row r="1131" spans="2:4" hidden="1" outlineLevel="1">
      <c r="B1131" s="412">
        <v>41799</v>
      </c>
      <c r="C1131">
        <v>6287.03</v>
      </c>
      <c r="D1131">
        <v>3479.69</v>
      </c>
    </row>
    <row r="1132" spans="2:4" hidden="1" outlineLevel="1">
      <c r="B1132" s="412">
        <v>41800</v>
      </c>
      <c r="C1132">
        <v>6293.64</v>
      </c>
      <c r="D1132">
        <v>3484.12</v>
      </c>
    </row>
    <row r="1133" spans="2:4" hidden="1" outlineLevel="1">
      <c r="B1133" s="412">
        <v>41801</v>
      </c>
      <c r="C1133">
        <v>6293.36</v>
      </c>
      <c r="D1133">
        <v>3476.58</v>
      </c>
    </row>
    <row r="1134" spans="2:4" hidden="1" outlineLevel="1">
      <c r="B1134" s="412">
        <v>41803</v>
      </c>
      <c r="C1134">
        <v>6337.22</v>
      </c>
      <c r="D1134">
        <v>3505.03</v>
      </c>
    </row>
    <row r="1135" spans="2:4" hidden="1" outlineLevel="1">
      <c r="B1135" s="412">
        <v>41806</v>
      </c>
      <c r="C1135">
        <v>6344.1</v>
      </c>
      <c r="D1135">
        <v>3520.67</v>
      </c>
    </row>
    <row r="1136" spans="2:4" hidden="1" outlineLevel="1">
      <c r="B1136" s="412">
        <v>41807</v>
      </c>
      <c r="C1136">
        <v>6344.41</v>
      </c>
      <c r="D1136">
        <v>3521.07</v>
      </c>
    </row>
    <row r="1137" spans="2:4" hidden="1" outlineLevel="1">
      <c r="B1137" s="412">
        <v>41808</v>
      </c>
      <c r="C1137">
        <v>6317.61</v>
      </c>
      <c r="D1137">
        <v>3499.49</v>
      </c>
    </row>
    <row r="1138" spans="2:4" hidden="1" outlineLevel="1">
      <c r="B1138" s="412">
        <v>41809</v>
      </c>
      <c r="C1138">
        <v>6313.2</v>
      </c>
      <c r="D1138">
        <v>3490.67</v>
      </c>
    </row>
    <row r="1139" spans="2:4" hidden="1" outlineLevel="1">
      <c r="B1139" s="412">
        <v>41810</v>
      </c>
      <c r="C1139">
        <v>6302.45</v>
      </c>
      <c r="D1139">
        <v>3478.86</v>
      </c>
    </row>
    <row r="1140" spans="2:4" hidden="1" outlineLevel="1">
      <c r="B1140" s="412">
        <v>41813</v>
      </c>
      <c r="C1140">
        <v>6299.35</v>
      </c>
      <c r="D1140">
        <v>3474.93</v>
      </c>
    </row>
    <row r="1141" spans="2:4" hidden="1" outlineLevel="1">
      <c r="B1141" s="412">
        <v>41814</v>
      </c>
      <c r="C1141">
        <v>6310.87</v>
      </c>
      <c r="D1141">
        <v>3496.12</v>
      </c>
    </row>
    <row r="1142" spans="2:4" hidden="1" outlineLevel="1">
      <c r="B1142" s="412">
        <v>41815</v>
      </c>
      <c r="C1142">
        <v>6321.55</v>
      </c>
      <c r="D1142">
        <v>3501.55</v>
      </c>
    </row>
    <row r="1143" spans="2:4" hidden="1" outlineLevel="1">
      <c r="B1143" s="412">
        <v>41816</v>
      </c>
      <c r="C1143">
        <v>6328.16</v>
      </c>
      <c r="D1143">
        <v>3507.54</v>
      </c>
    </row>
    <row r="1144" spans="2:4" hidden="1" outlineLevel="1">
      <c r="B1144" s="412">
        <v>41817</v>
      </c>
      <c r="C1144">
        <v>6363.49</v>
      </c>
      <c r="D1144">
        <v>3520.85</v>
      </c>
    </row>
    <row r="1145" spans="2:4" hidden="1" outlineLevel="1">
      <c r="B1145" s="412">
        <v>41820</v>
      </c>
      <c r="C1145">
        <v>6378.62</v>
      </c>
      <c r="D1145">
        <v>3534.43</v>
      </c>
    </row>
    <row r="1146" spans="2:4" hidden="1" outlineLevel="1">
      <c r="B1146" s="412">
        <v>41821</v>
      </c>
      <c r="C1146">
        <v>6376.01</v>
      </c>
      <c r="D1146">
        <v>3543.56</v>
      </c>
    </row>
    <row r="1147" spans="2:4" hidden="1" outlineLevel="1">
      <c r="B1147" s="412">
        <v>41822</v>
      </c>
      <c r="C1147">
        <v>6432.52</v>
      </c>
      <c r="D1147">
        <v>3577.94</v>
      </c>
    </row>
    <row r="1148" spans="2:4" hidden="1" outlineLevel="1">
      <c r="B1148" s="412">
        <v>41823</v>
      </c>
      <c r="C1148">
        <v>6467.28</v>
      </c>
      <c r="D1148">
        <v>3608.42</v>
      </c>
    </row>
    <row r="1149" spans="2:4" hidden="1" outlineLevel="1">
      <c r="B1149" s="412">
        <v>41824</v>
      </c>
      <c r="C1149">
        <v>6477.51</v>
      </c>
      <c r="D1149">
        <v>3610.68</v>
      </c>
    </row>
    <row r="1150" spans="2:4" hidden="1" outlineLevel="1">
      <c r="B1150" s="412">
        <v>41827</v>
      </c>
      <c r="C1150">
        <v>6499</v>
      </c>
      <c r="D1150">
        <v>3617.89</v>
      </c>
    </row>
    <row r="1151" spans="2:4" hidden="1" outlineLevel="1">
      <c r="B1151" s="412">
        <v>41828</v>
      </c>
      <c r="C1151">
        <v>6565.81</v>
      </c>
      <c r="D1151">
        <v>3676.11</v>
      </c>
    </row>
    <row r="1152" spans="2:4" hidden="1" outlineLevel="1">
      <c r="B1152" s="412">
        <v>41829</v>
      </c>
      <c r="C1152">
        <v>6613.84</v>
      </c>
      <c r="D1152">
        <v>3706.06</v>
      </c>
    </row>
    <row r="1153" spans="2:4" hidden="1" outlineLevel="1">
      <c r="B1153" s="412">
        <v>41830</v>
      </c>
      <c r="C1153">
        <v>6668.86</v>
      </c>
      <c r="D1153">
        <v>3735.14</v>
      </c>
    </row>
    <row r="1154" spans="2:4" hidden="1" outlineLevel="1">
      <c r="B1154" s="412">
        <v>41831</v>
      </c>
      <c r="C1154">
        <v>6661.4</v>
      </c>
      <c r="D1154">
        <v>3708.16</v>
      </c>
    </row>
    <row r="1155" spans="2:4" hidden="1" outlineLevel="1">
      <c r="B1155" s="412">
        <v>41834</v>
      </c>
      <c r="C1155">
        <v>6699.03</v>
      </c>
      <c r="D1155">
        <v>3721.23</v>
      </c>
    </row>
    <row r="1156" spans="2:4" hidden="1" outlineLevel="1">
      <c r="B1156" s="412">
        <v>41835</v>
      </c>
      <c r="C1156">
        <v>6727.79</v>
      </c>
      <c r="D1156">
        <v>3750.26</v>
      </c>
    </row>
    <row r="1157" spans="2:4" hidden="1" outlineLevel="1">
      <c r="B1157" s="412">
        <v>41836</v>
      </c>
      <c r="C1157">
        <v>6742.56</v>
      </c>
      <c r="D1157">
        <v>3761.05</v>
      </c>
    </row>
    <row r="1158" spans="2:4" hidden="1" outlineLevel="1">
      <c r="B1158" s="412">
        <v>41837</v>
      </c>
      <c r="C1158">
        <v>6721.87</v>
      </c>
      <c r="D1158">
        <v>3747.47</v>
      </c>
    </row>
    <row r="1159" spans="2:4" hidden="1" outlineLevel="1">
      <c r="B1159" s="412">
        <v>41838</v>
      </c>
      <c r="C1159">
        <v>6722.2</v>
      </c>
      <c r="D1159">
        <v>3738.98</v>
      </c>
    </row>
    <row r="1160" spans="2:4" hidden="1" outlineLevel="1">
      <c r="B1160" s="412">
        <v>41841</v>
      </c>
      <c r="C1160">
        <v>6756.52</v>
      </c>
      <c r="D1160">
        <v>3768.15</v>
      </c>
    </row>
    <row r="1161" spans="2:4" hidden="1" outlineLevel="1">
      <c r="B1161" s="412">
        <v>41842</v>
      </c>
      <c r="C1161">
        <v>6796.37</v>
      </c>
      <c r="D1161">
        <v>3789.15</v>
      </c>
    </row>
    <row r="1162" spans="2:4" hidden="1" outlineLevel="1">
      <c r="B1162" s="412">
        <v>41843</v>
      </c>
      <c r="C1162">
        <v>6783.98</v>
      </c>
      <c r="D1162">
        <v>3775.14</v>
      </c>
    </row>
    <row r="1163" spans="2:4" hidden="1" outlineLevel="1">
      <c r="B1163" s="412">
        <v>41844</v>
      </c>
      <c r="C1163">
        <v>6781.4</v>
      </c>
      <c r="D1163">
        <v>3767.2</v>
      </c>
    </row>
    <row r="1164" spans="2:4" hidden="1" outlineLevel="1">
      <c r="B1164" s="412">
        <v>41845</v>
      </c>
      <c r="C1164">
        <v>6783.64</v>
      </c>
      <c r="D1164">
        <v>3764.9</v>
      </c>
    </row>
    <row r="1165" spans="2:4" hidden="1" outlineLevel="1">
      <c r="B1165" s="412">
        <v>41848</v>
      </c>
      <c r="C1165">
        <v>6784.27</v>
      </c>
      <c r="D1165">
        <v>3761.43</v>
      </c>
    </row>
    <row r="1166" spans="2:4" hidden="1" outlineLevel="1">
      <c r="B1166" s="412">
        <v>41850</v>
      </c>
      <c r="C1166">
        <v>6801.84</v>
      </c>
      <c r="D1166">
        <v>3768.18</v>
      </c>
    </row>
    <row r="1167" spans="2:4" hidden="1" outlineLevel="1">
      <c r="B1167" s="412">
        <v>41851</v>
      </c>
      <c r="C1167">
        <v>6813.9</v>
      </c>
      <c r="D1167">
        <v>3772.51</v>
      </c>
    </row>
    <row r="1168" spans="2:4" hidden="1" outlineLevel="1">
      <c r="B1168" s="412">
        <v>41852</v>
      </c>
      <c r="C1168">
        <v>6810.13</v>
      </c>
      <c r="D1168">
        <v>3759.42</v>
      </c>
    </row>
    <row r="1169" spans="2:4" hidden="1" outlineLevel="1">
      <c r="B1169" s="412">
        <v>41855</v>
      </c>
      <c r="C1169">
        <v>6822.15</v>
      </c>
      <c r="D1169">
        <v>3760.33</v>
      </c>
    </row>
    <row r="1170" spans="2:4" hidden="1" outlineLevel="1">
      <c r="B1170" s="412">
        <v>41856</v>
      </c>
      <c r="C1170">
        <v>6815.42</v>
      </c>
      <c r="D1170">
        <v>3743.03</v>
      </c>
    </row>
    <row r="1171" spans="2:4" hidden="1" outlineLevel="1">
      <c r="B1171" s="412">
        <v>41857</v>
      </c>
      <c r="C1171">
        <v>6833.26</v>
      </c>
      <c r="D1171">
        <v>3752.79</v>
      </c>
    </row>
    <row r="1172" spans="2:4" hidden="1" outlineLevel="1">
      <c r="B1172" s="412">
        <v>41858</v>
      </c>
      <c r="C1172">
        <v>6908.18</v>
      </c>
      <c r="D1172">
        <v>3790.03</v>
      </c>
    </row>
    <row r="1173" spans="2:4" hidden="1" outlineLevel="1">
      <c r="B1173" s="412">
        <v>41859</v>
      </c>
      <c r="C1173">
        <v>6918.23</v>
      </c>
      <c r="D1173">
        <v>3801.87</v>
      </c>
    </row>
    <row r="1174" spans="2:4" hidden="1" outlineLevel="1">
      <c r="B1174" s="412">
        <v>41862</v>
      </c>
      <c r="C1174">
        <v>6942.92</v>
      </c>
      <c r="D1174">
        <v>3818.54</v>
      </c>
    </row>
    <row r="1175" spans="2:4" hidden="1" outlineLevel="1">
      <c r="B1175" s="412">
        <v>41863</v>
      </c>
      <c r="C1175">
        <v>6947.9</v>
      </c>
      <c r="D1175">
        <v>3817.52</v>
      </c>
    </row>
    <row r="1176" spans="2:4" hidden="1" outlineLevel="1">
      <c r="B1176" s="412">
        <v>41864</v>
      </c>
      <c r="C1176">
        <v>6954.14</v>
      </c>
      <c r="D1176">
        <v>3820.26</v>
      </c>
    </row>
    <row r="1177" spans="2:4" hidden="1" outlineLevel="1">
      <c r="B1177" s="412">
        <v>41865</v>
      </c>
      <c r="C1177">
        <v>6973.09</v>
      </c>
      <c r="D1177">
        <v>3828.77</v>
      </c>
    </row>
    <row r="1178" spans="2:4" hidden="1" outlineLevel="1">
      <c r="B1178" s="412">
        <v>41866</v>
      </c>
      <c r="C1178">
        <v>6943.85</v>
      </c>
      <c r="D1178">
        <v>3820.98</v>
      </c>
    </row>
    <row r="1179" spans="2:4" hidden="1" outlineLevel="1">
      <c r="B1179" s="412">
        <v>41869</v>
      </c>
      <c r="C1179">
        <v>6974.71</v>
      </c>
      <c r="D1179">
        <v>3830.57</v>
      </c>
    </row>
    <row r="1180" spans="2:4" hidden="1" outlineLevel="1">
      <c r="B1180" s="412">
        <v>41870</v>
      </c>
      <c r="C1180">
        <v>6981.46</v>
      </c>
      <c r="D1180">
        <v>3848.5</v>
      </c>
    </row>
    <row r="1181" spans="2:4" hidden="1" outlineLevel="1">
      <c r="B1181" s="412">
        <v>41871</v>
      </c>
      <c r="C1181">
        <v>6999.97</v>
      </c>
      <c r="D1181">
        <v>3862.61</v>
      </c>
    </row>
    <row r="1182" spans="2:4" hidden="1" outlineLevel="1">
      <c r="B1182" s="412">
        <v>41872</v>
      </c>
      <c r="C1182">
        <v>7004.75</v>
      </c>
      <c r="D1182">
        <v>3862.91</v>
      </c>
    </row>
    <row r="1183" spans="2:4" hidden="1" outlineLevel="1">
      <c r="B1183" s="412">
        <v>41873</v>
      </c>
      <c r="C1183">
        <v>7008.02</v>
      </c>
      <c r="D1183">
        <v>3863.88</v>
      </c>
    </row>
    <row r="1184" spans="2:4" hidden="1" outlineLevel="1">
      <c r="B1184" s="412">
        <v>41876</v>
      </c>
      <c r="C1184">
        <v>6984.03</v>
      </c>
      <c r="D1184">
        <v>3855.27</v>
      </c>
    </row>
    <row r="1185" spans="2:4" hidden="1" outlineLevel="1">
      <c r="B1185" s="412">
        <v>41877</v>
      </c>
      <c r="C1185">
        <v>7013.32</v>
      </c>
      <c r="D1185">
        <v>3851.85</v>
      </c>
    </row>
    <row r="1186" spans="2:4" hidden="1" outlineLevel="1">
      <c r="B1186" s="412">
        <v>41878</v>
      </c>
      <c r="C1186">
        <v>6984.91</v>
      </c>
      <c r="D1186">
        <v>3842.83</v>
      </c>
    </row>
    <row r="1187" spans="2:4" hidden="1" outlineLevel="1">
      <c r="B1187" s="412">
        <v>41879</v>
      </c>
      <c r="C1187">
        <v>6991.76</v>
      </c>
      <c r="D1187">
        <v>3845.87</v>
      </c>
    </row>
    <row r="1188" spans="2:4" hidden="1" outlineLevel="1">
      <c r="B1188" s="412">
        <v>41880</v>
      </c>
      <c r="C1188">
        <v>7034.09</v>
      </c>
      <c r="D1188">
        <v>3872.51</v>
      </c>
    </row>
    <row r="1189" spans="2:4" hidden="1" outlineLevel="1">
      <c r="B1189" s="412">
        <v>41883</v>
      </c>
      <c r="C1189">
        <v>7030.89</v>
      </c>
      <c r="D1189">
        <v>3877.39</v>
      </c>
    </row>
    <row r="1190" spans="2:4" hidden="1" outlineLevel="1">
      <c r="B1190" s="412">
        <v>41884</v>
      </c>
      <c r="C1190">
        <v>7024.82</v>
      </c>
      <c r="D1190">
        <v>3874.5</v>
      </c>
    </row>
    <row r="1191" spans="2:4" hidden="1" outlineLevel="1">
      <c r="B1191" s="412">
        <v>41885</v>
      </c>
      <c r="C1191">
        <v>7047.1</v>
      </c>
      <c r="D1191">
        <v>3886.88</v>
      </c>
    </row>
    <row r="1192" spans="2:4" hidden="1" outlineLevel="1">
      <c r="B1192" s="412">
        <v>41886</v>
      </c>
      <c r="C1192">
        <v>7060.6</v>
      </c>
      <c r="D1192">
        <v>3902.81</v>
      </c>
    </row>
    <row r="1193" spans="2:4" hidden="1" outlineLevel="1">
      <c r="B1193" s="412">
        <v>41887</v>
      </c>
      <c r="C1193">
        <v>7087.41</v>
      </c>
      <c r="D1193">
        <v>3932.81</v>
      </c>
    </row>
    <row r="1194" spans="2:4" hidden="1" outlineLevel="1">
      <c r="B1194" s="412">
        <v>41891</v>
      </c>
      <c r="C1194">
        <v>7123.44</v>
      </c>
      <c r="D1194">
        <v>3969.49</v>
      </c>
    </row>
    <row r="1195" spans="2:4" hidden="1" outlineLevel="1">
      <c r="B1195" s="412">
        <v>41892</v>
      </c>
      <c r="C1195">
        <v>7163.25</v>
      </c>
      <c r="D1195">
        <v>3988.59</v>
      </c>
    </row>
    <row r="1196" spans="2:4" hidden="1" outlineLevel="1">
      <c r="B1196" s="412">
        <v>41893</v>
      </c>
      <c r="C1196">
        <v>7199.25</v>
      </c>
      <c r="D1196">
        <v>4013.18</v>
      </c>
    </row>
    <row r="1197" spans="2:4" hidden="1" outlineLevel="1">
      <c r="B1197" s="412">
        <v>41894</v>
      </c>
      <c r="C1197">
        <v>7218.68</v>
      </c>
      <c r="D1197">
        <v>4015.63</v>
      </c>
    </row>
    <row r="1198" spans="2:4" hidden="1" outlineLevel="1">
      <c r="B1198" s="412">
        <v>41897</v>
      </c>
      <c r="C1198">
        <v>7174.97</v>
      </c>
      <c r="D1198">
        <v>3974.42</v>
      </c>
    </row>
    <row r="1199" spans="2:4" hidden="1" outlineLevel="1">
      <c r="B1199" s="412">
        <v>41898</v>
      </c>
      <c r="C1199">
        <v>7176.1</v>
      </c>
      <c r="D1199">
        <v>3976.76</v>
      </c>
    </row>
    <row r="1200" spans="2:4" hidden="1" outlineLevel="1">
      <c r="B1200" s="412">
        <v>41899</v>
      </c>
      <c r="C1200">
        <v>7179.2</v>
      </c>
      <c r="D1200">
        <v>3976.81</v>
      </c>
    </row>
    <row r="1201" spans="2:4" hidden="1" outlineLevel="1">
      <c r="B1201" s="412">
        <v>41900</v>
      </c>
      <c r="C1201">
        <v>7206.9</v>
      </c>
      <c r="D1201">
        <v>3989.6</v>
      </c>
    </row>
    <row r="1202" spans="2:4" hidden="1" outlineLevel="1">
      <c r="B1202" s="412">
        <v>41901</v>
      </c>
      <c r="C1202">
        <v>7234.92</v>
      </c>
      <c r="D1202">
        <v>4018.98</v>
      </c>
    </row>
    <row r="1203" spans="2:4" hidden="1" outlineLevel="1">
      <c r="B1203" s="412">
        <v>41904</v>
      </c>
      <c r="C1203">
        <v>7256.41</v>
      </c>
      <c r="D1203">
        <v>4030.87</v>
      </c>
    </row>
    <row r="1204" spans="2:4" hidden="1" outlineLevel="1">
      <c r="B1204" s="412">
        <v>41905</v>
      </c>
      <c r="C1204">
        <v>7260.64</v>
      </c>
      <c r="D1204">
        <v>4030.09</v>
      </c>
    </row>
    <row r="1205" spans="2:4" hidden="1" outlineLevel="1">
      <c r="B1205" s="412">
        <v>41906</v>
      </c>
      <c r="C1205">
        <v>7254.43</v>
      </c>
      <c r="D1205">
        <v>4022.63</v>
      </c>
    </row>
    <row r="1206" spans="2:4" hidden="1" outlineLevel="1">
      <c r="B1206" s="412">
        <v>41907</v>
      </c>
      <c r="C1206">
        <v>7232.98</v>
      </c>
      <c r="D1206">
        <v>4013.02</v>
      </c>
    </row>
    <row r="1207" spans="2:4" hidden="1" outlineLevel="1">
      <c r="B1207" s="412">
        <v>41908</v>
      </c>
      <c r="C1207">
        <v>7233.71</v>
      </c>
      <c r="D1207">
        <v>4008.42</v>
      </c>
    </row>
    <row r="1208" spans="2:4" hidden="1" outlineLevel="1">
      <c r="B1208" s="412">
        <v>41911</v>
      </c>
      <c r="C1208">
        <v>7238.16</v>
      </c>
      <c r="D1208">
        <v>4019</v>
      </c>
    </row>
    <row r="1209" spans="2:4" hidden="1" outlineLevel="1">
      <c r="B1209" s="412">
        <v>41912</v>
      </c>
      <c r="C1209">
        <v>7252.14</v>
      </c>
      <c r="D1209">
        <v>4038.3</v>
      </c>
    </row>
    <row r="1210" spans="2:4" hidden="1" outlineLevel="1">
      <c r="B1210" s="412">
        <v>41913</v>
      </c>
      <c r="C1210">
        <v>7293.08</v>
      </c>
      <c r="D1210">
        <v>4065.11</v>
      </c>
    </row>
    <row r="1211" spans="2:4" hidden="1" outlineLevel="1">
      <c r="B1211" s="412">
        <v>41914</v>
      </c>
      <c r="C1211">
        <v>7351.05</v>
      </c>
      <c r="D1211">
        <v>4107.3599999999997</v>
      </c>
    </row>
    <row r="1212" spans="2:4" hidden="1" outlineLevel="1">
      <c r="B1212" s="412">
        <v>41915</v>
      </c>
      <c r="C1212">
        <v>7406.6</v>
      </c>
      <c r="D1212">
        <v>4160.3100000000004</v>
      </c>
    </row>
    <row r="1213" spans="2:4" hidden="1" outlineLevel="1">
      <c r="B1213" s="412">
        <v>41919</v>
      </c>
      <c r="C1213">
        <v>7396.01</v>
      </c>
      <c r="D1213">
        <v>4150.6400000000003</v>
      </c>
    </row>
    <row r="1214" spans="2:4" hidden="1" outlineLevel="1">
      <c r="B1214" s="412">
        <v>41921</v>
      </c>
      <c r="C1214">
        <v>7386.08</v>
      </c>
      <c r="D1214">
        <v>4151.3500000000004</v>
      </c>
    </row>
    <row r="1215" spans="2:4" hidden="1" outlineLevel="1">
      <c r="B1215" s="412">
        <v>41922</v>
      </c>
      <c r="C1215">
        <v>7321</v>
      </c>
      <c r="D1215">
        <v>4110.0200000000004</v>
      </c>
    </row>
    <row r="1216" spans="2:4" hidden="1" outlineLevel="1">
      <c r="B1216" s="412">
        <v>41925</v>
      </c>
      <c r="C1216">
        <v>7184.22</v>
      </c>
      <c r="D1216">
        <v>4014.55</v>
      </c>
    </row>
    <row r="1217" spans="2:4" hidden="1" outlineLevel="1">
      <c r="B1217" s="412">
        <v>41926</v>
      </c>
      <c r="C1217">
        <v>7205.47</v>
      </c>
      <c r="D1217">
        <v>4011.75</v>
      </c>
    </row>
    <row r="1218" spans="2:4" hidden="1" outlineLevel="1">
      <c r="B1218" s="412">
        <v>41927</v>
      </c>
      <c r="C1218">
        <v>7288.83</v>
      </c>
      <c r="D1218">
        <v>4064.84</v>
      </c>
    </row>
    <row r="1219" spans="2:4" hidden="1" outlineLevel="1">
      <c r="B1219" s="412">
        <v>41928</v>
      </c>
      <c r="C1219">
        <v>7257.07</v>
      </c>
      <c r="D1219">
        <v>4056.39</v>
      </c>
    </row>
    <row r="1220" spans="2:4" hidden="1" outlineLevel="1">
      <c r="B1220" s="412">
        <v>41929</v>
      </c>
      <c r="C1220">
        <v>7234.47</v>
      </c>
      <c r="D1220">
        <v>4029.55</v>
      </c>
    </row>
    <row r="1221" spans="2:4" hidden="1" outlineLevel="1">
      <c r="B1221" s="412">
        <v>41932</v>
      </c>
      <c r="C1221">
        <v>7213.45</v>
      </c>
      <c r="D1221">
        <v>4008.16</v>
      </c>
    </row>
    <row r="1222" spans="2:4" hidden="1" outlineLevel="1">
      <c r="B1222" s="412">
        <v>41933</v>
      </c>
      <c r="C1222">
        <v>7161.16</v>
      </c>
      <c r="D1222">
        <v>3978.65</v>
      </c>
    </row>
    <row r="1223" spans="2:4" hidden="1" outlineLevel="1">
      <c r="B1223" s="412">
        <v>41935</v>
      </c>
      <c r="C1223">
        <v>7189.51</v>
      </c>
      <c r="D1223">
        <v>3991.59</v>
      </c>
    </row>
    <row r="1224" spans="2:4" hidden="1" outlineLevel="1">
      <c r="B1224" s="412">
        <v>41936</v>
      </c>
      <c r="C1224">
        <v>7213.48</v>
      </c>
      <c r="D1224">
        <v>4003.79</v>
      </c>
    </row>
    <row r="1225" spans="2:4" hidden="1" outlineLevel="1">
      <c r="B1225" s="412">
        <v>41939</v>
      </c>
      <c r="C1225">
        <v>7221.08</v>
      </c>
      <c r="D1225">
        <v>4014.22</v>
      </c>
    </row>
    <row r="1226" spans="2:4" hidden="1" outlineLevel="1">
      <c r="B1226" s="412">
        <v>41940</v>
      </c>
      <c r="C1226">
        <v>7227.12</v>
      </c>
      <c r="D1226">
        <v>4008.1</v>
      </c>
    </row>
    <row r="1227" spans="2:4" hidden="1" outlineLevel="1">
      <c r="B1227" s="412">
        <v>41941</v>
      </c>
      <c r="C1227">
        <v>7265.9</v>
      </c>
      <c r="D1227">
        <v>4029.43</v>
      </c>
    </row>
    <row r="1228" spans="2:4" hidden="1" outlineLevel="1">
      <c r="B1228" s="412">
        <v>41942</v>
      </c>
      <c r="C1228">
        <v>7294.41</v>
      </c>
      <c r="D1228">
        <v>4051.42</v>
      </c>
    </row>
    <row r="1229" spans="2:4" hidden="1" outlineLevel="1">
      <c r="B1229" s="412">
        <v>41943</v>
      </c>
      <c r="C1229">
        <v>7326.81</v>
      </c>
      <c r="D1229">
        <v>4087.38</v>
      </c>
    </row>
    <row r="1230" spans="2:4" hidden="1" outlineLevel="1">
      <c r="B1230" s="412">
        <v>41946</v>
      </c>
      <c r="C1230">
        <v>7353.15</v>
      </c>
      <c r="D1230">
        <v>4104.6899999999996</v>
      </c>
    </row>
    <row r="1231" spans="2:4" hidden="1" outlineLevel="1">
      <c r="B1231" s="412">
        <v>41947</v>
      </c>
      <c r="C1231">
        <v>7320.89</v>
      </c>
      <c r="D1231">
        <v>4086.25</v>
      </c>
    </row>
    <row r="1232" spans="2:4" hidden="1" outlineLevel="1">
      <c r="B1232" s="412">
        <v>41948</v>
      </c>
      <c r="C1232">
        <v>7358.46</v>
      </c>
      <c r="D1232">
        <v>4102.1099999999997</v>
      </c>
    </row>
    <row r="1233" spans="2:4" hidden="1" outlineLevel="1">
      <c r="B1233" s="412">
        <v>41950</v>
      </c>
      <c r="C1233">
        <v>7416.15</v>
      </c>
      <c r="D1233">
        <v>4128.3</v>
      </c>
    </row>
    <row r="1234" spans="2:4" hidden="1" outlineLevel="1">
      <c r="B1234" s="412">
        <v>41953</v>
      </c>
      <c r="C1234">
        <v>7403.38</v>
      </c>
      <c r="D1234">
        <v>4120.87</v>
      </c>
    </row>
    <row r="1235" spans="2:4" hidden="1" outlineLevel="1">
      <c r="B1235" s="412">
        <v>41954</v>
      </c>
      <c r="C1235">
        <v>7412.72</v>
      </c>
      <c r="D1235">
        <v>4120</v>
      </c>
    </row>
    <row r="1236" spans="2:4" hidden="1" outlineLevel="1">
      <c r="B1236" s="412">
        <v>41955</v>
      </c>
      <c r="C1236">
        <v>7469.41</v>
      </c>
      <c r="D1236">
        <v>4136.59</v>
      </c>
    </row>
    <row r="1237" spans="2:4" hidden="1" outlineLevel="1">
      <c r="B1237" s="412">
        <v>41956</v>
      </c>
      <c r="C1237">
        <v>7479.69</v>
      </c>
      <c r="D1237">
        <v>4143.8599999999997</v>
      </c>
    </row>
    <row r="1238" spans="2:4" hidden="1" outlineLevel="1">
      <c r="B1238" s="412">
        <v>41957</v>
      </c>
      <c r="C1238">
        <v>7501.09</v>
      </c>
      <c r="D1238">
        <v>4155.82</v>
      </c>
    </row>
    <row r="1239" spans="2:4" hidden="1" outlineLevel="1">
      <c r="B1239" s="412">
        <v>41960</v>
      </c>
      <c r="C1239">
        <v>7524</v>
      </c>
      <c r="D1239">
        <v>4170.08</v>
      </c>
    </row>
    <row r="1240" spans="2:4" hidden="1" outlineLevel="1">
      <c r="B1240" s="412">
        <v>41961</v>
      </c>
      <c r="C1240">
        <v>7548.23</v>
      </c>
      <c r="D1240">
        <v>4204.87</v>
      </c>
    </row>
    <row r="1241" spans="2:4" hidden="1" outlineLevel="1">
      <c r="B1241" s="412">
        <v>41962</v>
      </c>
      <c r="C1241">
        <v>7525.1</v>
      </c>
      <c r="D1241">
        <v>4188.8100000000004</v>
      </c>
    </row>
    <row r="1242" spans="2:4" hidden="1" outlineLevel="1">
      <c r="B1242" s="412">
        <v>41963</v>
      </c>
      <c r="C1242">
        <v>7530.33</v>
      </c>
      <c r="D1242">
        <v>4190.93</v>
      </c>
    </row>
    <row r="1243" spans="2:4" hidden="1" outlineLevel="1">
      <c r="B1243" s="412">
        <v>41964</v>
      </c>
      <c r="C1243">
        <v>7401.62</v>
      </c>
      <c r="D1243">
        <v>4127.26</v>
      </c>
    </row>
    <row r="1244" spans="2:4" hidden="1" outlineLevel="1">
      <c r="B1244" s="412">
        <v>41967</v>
      </c>
      <c r="C1244">
        <v>7235.25</v>
      </c>
      <c r="D1244">
        <v>4044.94</v>
      </c>
    </row>
    <row r="1245" spans="2:4" hidden="1" outlineLevel="1">
      <c r="B1245" s="412">
        <v>41968</v>
      </c>
      <c r="C1245">
        <v>7239.36</v>
      </c>
      <c r="D1245">
        <v>4045.72</v>
      </c>
    </row>
    <row r="1246" spans="2:4" hidden="1" outlineLevel="1">
      <c r="B1246" s="412">
        <v>41969</v>
      </c>
      <c r="C1246">
        <v>7179.72</v>
      </c>
      <c r="D1246">
        <v>4024.7</v>
      </c>
    </row>
    <row r="1247" spans="2:4" hidden="1" outlineLevel="1">
      <c r="B1247" s="412">
        <v>41970</v>
      </c>
      <c r="C1247">
        <v>7115.89</v>
      </c>
      <c r="D1247">
        <v>3977.15</v>
      </c>
    </row>
    <row r="1248" spans="2:4" hidden="1" outlineLevel="1">
      <c r="B1248" s="412">
        <v>41971</v>
      </c>
      <c r="C1248">
        <v>7153.9</v>
      </c>
      <c r="D1248">
        <v>3971.12</v>
      </c>
    </row>
    <row r="1249" spans="2:4" hidden="1" outlineLevel="1">
      <c r="B1249" s="412">
        <v>41974</v>
      </c>
      <c r="C1249">
        <v>7275.68</v>
      </c>
      <c r="D1249">
        <v>4040.67</v>
      </c>
    </row>
    <row r="1250" spans="2:4" hidden="1" outlineLevel="1">
      <c r="B1250" s="412">
        <v>41975</v>
      </c>
      <c r="C1250">
        <v>7230.58</v>
      </c>
      <c r="D1250">
        <v>4025.13</v>
      </c>
    </row>
    <row r="1251" spans="2:4" hidden="1" outlineLevel="1">
      <c r="B1251" s="412">
        <v>41976</v>
      </c>
      <c r="C1251">
        <v>7274.43</v>
      </c>
      <c r="D1251">
        <v>4066.92</v>
      </c>
    </row>
    <row r="1252" spans="2:4" hidden="1" outlineLevel="1">
      <c r="B1252" s="412">
        <v>41977</v>
      </c>
      <c r="C1252">
        <v>7254.8</v>
      </c>
      <c r="D1252">
        <v>4056.54</v>
      </c>
    </row>
    <row r="1253" spans="2:4" hidden="1" outlineLevel="1">
      <c r="B1253" s="412">
        <v>41978</v>
      </c>
      <c r="C1253">
        <v>7238.92</v>
      </c>
      <c r="D1253">
        <v>4061.56</v>
      </c>
    </row>
    <row r="1254" spans="2:4" hidden="1" outlineLevel="1">
      <c r="B1254" s="412">
        <v>41981</v>
      </c>
      <c r="C1254">
        <v>7241.47</v>
      </c>
      <c r="D1254">
        <v>4059.32</v>
      </c>
    </row>
    <row r="1255" spans="2:4" hidden="1" outlineLevel="1">
      <c r="B1255" s="412">
        <v>41982</v>
      </c>
      <c r="C1255">
        <v>7217.94</v>
      </c>
      <c r="D1255">
        <v>4063.7</v>
      </c>
    </row>
    <row r="1256" spans="2:4" hidden="1" outlineLevel="1">
      <c r="B1256" s="412">
        <v>41983</v>
      </c>
      <c r="C1256">
        <v>7254.28</v>
      </c>
      <c r="D1256">
        <v>4083.41</v>
      </c>
    </row>
    <row r="1257" spans="2:4" hidden="1" outlineLevel="1">
      <c r="B1257" s="412">
        <v>41984</v>
      </c>
      <c r="C1257">
        <v>7243.34</v>
      </c>
      <c r="D1257">
        <v>4082.95</v>
      </c>
    </row>
    <row r="1258" spans="2:4" hidden="1" outlineLevel="1">
      <c r="B1258" s="412">
        <v>41985</v>
      </c>
      <c r="C1258">
        <v>7236.37</v>
      </c>
      <c r="D1258">
        <v>4075.14</v>
      </c>
    </row>
    <row r="1259" spans="2:4" hidden="1" outlineLevel="1">
      <c r="B1259" s="412">
        <v>41988</v>
      </c>
      <c r="C1259">
        <v>7230.26</v>
      </c>
      <c r="D1259">
        <v>4069.61</v>
      </c>
    </row>
    <row r="1260" spans="2:4" hidden="1" outlineLevel="1">
      <c r="B1260" s="412">
        <v>41989</v>
      </c>
      <c r="C1260">
        <v>7223.56</v>
      </c>
      <c r="D1260">
        <v>4067.46</v>
      </c>
    </row>
    <row r="1261" spans="2:4" hidden="1" outlineLevel="1">
      <c r="B1261" s="412">
        <v>41990</v>
      </c>
      <c r="C1261">
        <v>7199.73</v>
      </c>
      <c r="D1261">
        <v>4049.61</v>
      </c>
    </row>
    <row r="1262" spans="2:4" hidden="1" outlineLevel="1">
      <c r="B1262" s="412">
        <v>41991</v>
      </c>
      <c r="C1262">
        <v>7230.52</v>
      </c>
      <c r="D1262">
        <v>4069.09</v>
      </c>
    </row>
    <row r="1263" spans="2:4" hidden="1" outlineLevel="1">
      <c r="B1263" s="412">
        <v>41992</v>
      </c>
      <c r="C1263">
        <v>7252.6</v>
      </c>
      <c r="D1263">
        <v>4062.79</v>
      </c>
    </row>
    <row r="1264" spans="2:4" hidden="1" outlineLevel="1">
      <c r="B1264" s="412">
        <v>41995</v>
      </c>
      <c r="C1264">
        <v>7251.57</v>
      </c>
      <c r="D1264">
        <v>4063.61</v>
      </c>
    </row>
    <row r="1265" spans="2:4" hidden="1" outlineLevel="1">
      <c r="B1265" s="412">
        <v>41996</v>
      </c>
      <c r="C1265">
        <v>7238.05</v>
      </c>
      <c r="D1265">
        <v>4063.17</v>
      </c>
    </row>
    <row r="1266" spans="2:4" hidden="1" outlineLevel="1">
      <c r="B1266" s="412">
        <v>41997</v>
      </c>
      <c r="C1266">
        <v>7263.25</v>
      </c>
      <c r="D1266">
        <v>4069.75</v>
      </c>
    </row>
    <row r="1267" spans="2:4" hidden="1" outlineLevel="1">
      <c r="B1267" s="412">
        <v>41999</v>
      </c>
      <c r="C1267">
        <v>7309.03</v>
      </c>
      <c r="D1267">
        <v>4084.17</v>
      </c>
    </row>
    <row r="1268" spans="2:4" hidden="1" outlineLevel="1">
      <c r="B1268" s="412">
        <v>42002</v>
      </c>
      <c r="C1268">
        <v>7287.59</v>
      </c>
      <c r="D1268">
        <v>4080.81</v>
      </c>
    </row>
    <row r="1269" spans="2:4" hidden="1" outlineLevel="1">
      <c r="B1269" s="412">
        <v>42003</v>
      </c>
      <c r="C1269">
        <v>7291.33</v>
      </c>
      <c r="D1269">
        <v>4086.6</v>
      </c>
    </row>
    <row r="1270" spans="2:4" hidden="1" outlineLevel="1">
      <c r="B1270" s="412">
        <v>42004</v>
      </c>
      <c r="C1270">
        <v>7298.95</v>
      </c>
      <c r="D1270">
        <v>4089.14</v>
      </c>
    </row>
    <row r="1271" spans="2:4" hidden="1" outlineLevel="1">
      <c r="B1271" s="412">
        <v>42006</v>
      </c>
      <c r="C1271">
        <v>7348.39</v>
      </c>
      <c r="D1271">
        <v>4110.3</v>
      </c>
    </row>
    <row r="1272" spans="2:4" hidden="1" outlineLevel="1">
      <c r="B1272" s="412">
        <v>42010</v>
      </c>
      <c r="C1272">
        <v>7420.14</v>
      </c>
      <c r="D1272">
        <v>4145.41</v>
      </c>
    </row>
    <row r="1273" spans="2:4" hidden="1" outlineLevel="1">
      <c r="B1273" s="412">
        <v>42011</v>
      </c>
      <c r="C1273">
        <v>7438.52</v>
      </c>
      <c r="D1273">
        <v>4149.1099999999997</v>
      </c>
    </row>
    <row r="1274" spans="2:4" hidden="1" outlineLevel="1">
      <c r="B1274" s="412">
        <v>42012</v>
      </c>
      <c r="C1274">
        <v>7497.6</v>
      </c>
      <c r="D1274">
        <v>4185.97</v>
      </c>
    </row>
    <row r="1275" spans="2:4" hidden="1" outlineLevel="1">
      <c r="B1275" s="412">
        <v>42013</v>
      </c>
      <c r="C1275">
        <v>7605.79</v>
      </c>
      <c r="D1275">
        <v>4272.5</v>
      </c>
    </row>
    <row r="1276" spans="2:4" hidden="1" outlineLevel="1">
      <c r="B1276" s="412">
        <v>42016</v>
      </c>
      <c r="C1276">
        <v>7566.7</v>
      </c>
      <c r="D1276">
        <v>4261.59</v>
      </c>
    </row>
    <row r="1277" spans="2:4" hidden="1" outlineLevel="1">
      <c r="B1277" s="412">
        <v>42017</v>
      </c>
      <c r="C1277">
        <v>7549.85</v>
      </c>
      <c r="D1277">
        <v>4265.68</v>
      </c>
    </row>
    <row r="1278" spans="2:4" hidden="1" outlineLevel="1">
      <c r="B1278" s="412">
        <v>42020</v>
      </c>
      <c r="C1278">
        <v>7513.86</v>
      </c>
      <c r="D1278">
        <v>4248.03</v>
      </c>
    </row>
    <row r="1279" spans="2:4" hidden="1" outlineLevel="1">
      <c r="B1279" s="412">
        <v>42023</v>
      </c>
      <c r="C1279">
        <v>7366.68</v>
      </c>
      <c r="D1279">
        <v>4140.1099999999997</v>
      </c>
    </row>
    <row r="1280" spans="2:4" hidden="1" outlineLevel="1">
      <c r="B1280" s="412">
        <v>42024</v>
      </c>
      <c r="C1280">
        <v>7368.5</v>
      </c>
      <c r="D1280">
        <v>4133.5200000000004</v>
      </c>
    </row>
    <row r="1281" spans="2:4" hidden="1" outlineLevel="1">
      <c r="B1281" s="412">
        <v>42025</v>
      </c>
      <c r="C1281">
        <v>7324.4</v>
      </c>
      <c r="D1281">
        <v>4103.6499999999996</v>
      </c>
    </row>
    <row r="1282" spans="2:4" hidden="1" outlineLevel="1">
      <c r="B1282" s="412">
        <v>42026</v>
      </c>
      <c r="C1282">
        <v>7329.59</v>
      </c>
      <c r="D1282">
        <v>4107.82</v>
      </c>
    </row>
    <row r="1283" spans="2:4" hidden="1" outlineLevel="1">
      <c r="B1283" s="412">
        <v>42027</v>
      </c>
      <c r="C1283">
        <v>7276.63</v>
      </c>
      <c r="D1283">
        <v>4078.89</v>
      </c>
    </row>
    <row r="1284" spans="2:4" hidden="1" outlineLevel="1">
      <c r="B1284" s="412">
        <v>42030</v>
      </c>
      <c r="C1284">
        <v>7316.08</v>
      </c>
      <c r="D1284">
        <v>4096.74</v>
      </c>
    </row>
    <row r="1285" spans="2:4" hidden="1" outlineLevel="1">
      <c r="B1285" s="412">
        <v>42031</v>
      </c>
      <c r="C1285">
        <v>7367.65</v>
      </c>
      <c r="D1285">
        <v>4130.43</v>
      </c>
    </row>
    <row r="1286" spans="2:4" hidden="1" outlineLevel="1">
      <c r="B1286" s="412">
        <v>42032</v>
      </c>
      <c r="C1286">
        <v>7395.29</v>
      </c>
      <c r="D1286">
        <v>4143.72</v>
      </c>
    </row>
    <row r="1287" spans="2:4" hidden="1" outlineLevel="1">
      <c r="B1287" s="412">
        <v>42033</v>
      </c>
      <c r="C1287">
        <v>7376.51</v>
      </c>
      <c r="D1287">
        <v>4134.7</v>
      </c>
    </row>
    <row r="1288" spans="2:4" hidden="1" outlineLevel="1">
      <c r="B1288" s="412">
        <v>42034</v>
      </c>
      <c r="C1288">
        <v>7180.05</v>
      </c>
      <c r="D1288">
        <v>3962.24</v>
      </c>
    </row>
    <row r="1289" spans="2:4" hidden="1" outlineLevel="1">
      <c r="B1289" s="412">
        <v>42037</v>
      </c>
      <c r="C1289">
        <v>7000.06</v>
      </c>
      <c r="D1289">
        <v>3824.98</v>
      </c>
    </row>
    <row r="1290" spans="2:4" hidden="1" outlineLevel="1">
      <c r="B1290" s="412">
        <v>42040</v>
      </c>
      <c r="C1290">
        <v>7047.31</v>
      </c>
      <c r="D1290">
        <v>3853.65</v>
      </c>
    </row>
    <row r="1291" spans="2:4" hidden="1" outlineLevel="1">
      <c r="B1291" s="412">
        <v>42041</v>
      </c>
      <c r="C1291">
        <v>7162.75</v>
      </c>
      <c r="D1291">
        <v>3958.93</v>
      </c>
    </row>
    <row r="1292" spans="2:4" hidden="1" outlineLevel="1">
      <c r="B1292" s="412">
        <v>42044</v>
      </c>
      <c r="C1292">
        <v>7198.44</v>
      </c>
      <c r="D1292">
        <v>3983.41</v>
      </c>
    </row>
    <row r="1293" spans="2:4" hidden="1" outlineLevel="1">
      <c r="B1293" s="412">
        <v>42045</v>
      </c>
      <c r="C1293">
        <v>7304.7</v>
      </c>
      <c r="D1293">
        <v>4071.6</v>
      </c>
    </row>
    <row r="1294" spans="2:4" hidden="1" outlineLevel="1">
      <c r="B1294" s="412">
        <v>42046</v>
      </c>
      <c r="C1294">
        <v>7359.41</v>
      </c>
      <c r="D1294">
        <v>4116.41</v>
      </c>
    </row>
    <row r="1295" spans="2:4" hidden="1" outlineLevel="1">
      <c r="B1295" s="412">
        <v>42047</v>
      </c>
      <c r="C1295">
        <v>7331.39</v>
      </c>
      <c r="D1295">
        <v>4115.7700000000004</v>
      </c>
    </row>
    <row r="1296" spans="2:4" hidden="1" outlineLevel="1">
      <c r="B1296" s="412">
        <v>42048</v>
      </c>
      <c r="C1296">
        <v>7335.51</v>
      </c>
      <c r="D1296">
        <v>4113.1899999999996</v>
      </c>
    </row>
    <row r="1297" spans="2:4" hidden="1" outlineLevel="1">
      <c r="B1297" s="412">
        <v>42051</v>
      </c>
      <c r="C1297">
        <v>7300.75</v>
      </c>
      <c r="D1297">
        <v>4078.11</v>
      </c>
    </row>
    <row r="1298" spans="2:4" hidden="1" outlineLevel="1">
      <c r="B1298" s="412">
        <v>42053</v>
      </c>
      <c r="C1298">
        <v>7266.84</v>
      </c>
      <c r="D1298">
        <v>4074.62</v>
      </c>
    </row>
    <row r="1299" spans="2:4" hidden="1" outlineLevel="1">
      <c r="B1299" s="412">
        <v>42054</v>
      </c>
      <c r="C1299">
        <v>7306.17</v>
      </c>
      <c r="D1299">
        <v>4113.34</v>
      </c>
    </row>
    <row r="1300" spans="2:4" hidden="1" outlineLevel="1">
      <c r="B1300" s="412">
        <v>42055</v>
      </c>
      <c r="C1300">
        <v>7314.91</v>
      </c>
      <c r="D1300">
        <v>4133.01</v>
      </c>
    </row>
    <row r="1301" spans="2:4" hidden="1" outlineLevel="1">
      <c r="B1301" s="412">
        <v>42058</v>
      </c>
      <c r="C1301">
        <v>7326.31</v>
      </c>
      <c r="D1301">
        <v>4127.49</v>
      </c>
    </row>
    <row r="1302" spans="2:4" hidden="1" outlineLevel="1">
      <c r="B1302" s="412">
        <v>42059</v>
      </c>
      <c r="C1302">
        <v>7311.29</v>
      </c>
      <c r="D1302">
        <v>4111.55</v>
      </c>
    </row>
    <row r="1303" spans="2:4" hidden="1" outlineLevel="1">
      <c r="B1303" s="412">
        <v>42060</v>
      </c>
      <c r="C1303">
        <v>7304.61</v>
      </c>
      <c r="D1303">
        <v>4119.22</v>
      </c>
    </row>
    <row r="1304" spans="2:4" hidden="1" outlineLevel="1">
      <c r="B1304" s="412">
        <v>42061</v>
      </c>
      <c r="C1304">
        <v>7317.44</v>
      </c>
      <c r="D1304">
        <v>4122.28</v>
      </c>
    </row>
    <row r="1305" spans="2:4" hidden="1" outlineLevel="1">
      <c r="B1305" s="412">
        <v>42062</v>
      </c>
      <c r="C1305">
        <v>7301.29</v>
      </c>
      <c r="D1305">
        <v>4115.88</v>
      </c>
    </row>
    <row r="1306" spans="2:4" hidden="1" outlineLevel="1">
      <c r="B1306" s="412">
        <v>42065</v>
      </c>
      <c r="C1306">
        <v>7244.4</v>
      </c>
      <c r="D1306">
        <v>4101.43</v>
      </c>
    </row>
    <row r="1307" spans="2:4" hidden="1" outlineLevel="1">
      <c r="B1307" s="412">
        <v>42066</v>
      </c>
      <c r="C1307">
        <v>7234.92</v>
      </c>
      <c r="D1307">
        <v>4108.29</v>
      </c>
    </row>
    <row r="1308" spans="2:4" hidden="1" outlineLevel="1">
      <c r="B1308" s="412">
        <v>42067</v>
      </c>
      <c r="C1308">
        <v>7202.2</v>
      </c>
      <c r="D1308">
        <v>4092.84</v>
      </c>
    </row>
    <row r="1309" spans="2:4" hidden="1" outlineLevel="1">
      <c r="B1309" s="412">
        <v>42069</v>
      </c>
      <c r="C1309">
        <v>7183.5</v>
      </c>
      <c r="D1309">
        <v>4097.05</v>
      </c>
    </row>
    <row r="1310" spans="2:4" hidden="1" outlineLevel="1">
      <c r="B1310" s="412">
        <v>42072</v>
      </c>
      <c r="C1310">
        <v>7136.33</v>
      </c>
      <c r="D1310">
        <v>4084.68</v>
      </c>
    </row>
    <row r="1311" spans="2:4" hidden="1" outlineLevel="1">
      <c r="B1311" s="412">
        <v>42073</v>
      </c>
      <c r="C1311">
        <v>7130.05</v>
      </c>
      <c r="D1311">
        <v>4087.67</v>
      </c>
    </row>
    <row r="1312" spans="2:4" hidden="1" outlineLevel="1">
      <c r="B1312" s="412">
        <v>42074</v>
      </c>
      <c r="C1312">
        <v>7110.19</v>
      </c>
      <c r="D1312">
        <v>4070.74</v>
      </c>
    </row>
    <row r="1313" spans="2:4" hidden="1" outlineLevel="1">
      <c r="B1313" s="412">
        <v>42075</v>
      </c>
      <c r="C1313">
        <v>7109.07</v>
      </c>
      <c r="D1313">
        <v>4068.83</v>
      </c>
    </row>
    <row r="1314" spans="2:4" hidden="1" outlineLevel="1">
      <c r="B1314" s="412">
        <v>42076</v>
      </c>
      <c r="C1314">
        <v>7091.25</v>
      </c>
      <c r="D1314">
        <v>4047.97</v>
      </c>
    </row>
    <row r="1315" spans="2:4" hidden="1" outlineLevel="1">
      <c r="B1315" s="412">
        <v>42079</v>
      </c>
      <c r="C1315">
        <v>7050.91</v>
      </c>
      <c r="D1315">
        <v>4035.41</v>
      </c>
    </row>
    <row r="1316" spans="2:4" hidden="1" outlineLevel="1">
      <c r="B1316" s="412">
        <v>42080</v>
      </c>
      <c r="C1316">
        <v>7057</v>
      </c>
      <c r="D1316">
        <v>4029.3</v>
      </c>
    </row>
    <row r="1317" spans="2:4" hidden="1" outlineLevel="1">
      <c r="B1317" s="412">
        <v>42081</v>
      </c>
      <c r="C1317">
        <v>7043.9</v>
      </c>
      <c r="D1317">
        <v>4013.82</v>
      </c>
    </row>
    <row r="1318" spans="2:4" hidden="1" outlineLevel="1">
      <c r="B1318" s="412">
        <v>42082</v>
      </c>
      <c r="C1318">
        <v>7046.71</v>
      </c>
      <c r="D1318">
        <v>4019.48</v>
      </c>
    </row>
    <row r="1319" spans="2:4" hidden="1" outlineLevel="1">
      <c r="B1319" s="412">
        <v>42083</v>
      </c>
      <c r="C1319">
        <v>7054.58</v>
      </c>
      <c r="D1319">
        <v>4016.9</v>
      </c>
    </row>
    <row r="1320" spans="2:4" hidden="1" outlineLevel="1">
      <c r="B1320" s="412">
        <v>42086</v>
      </c>
      <c r="C1320">
        <v>7042.3</v>
      </c>
      <c r="D1320">
        <v>4002.77</v>
      </c>
    </row>
    <row r="1321" spans="2:4" hidden="1" outlineLevel="1">
      <c r="B1321" s="412">
        <v>42087</v>
      </c>
      <c r="C1321">
        <v>6997.93</v>
      </c>
      <c r="D1321">
        <v>3977.17</v>
      </c>
    </row>
    <row r="1322" spans="2:4" hidden="1" outlineLevel="1">
      <c r="B1322" s="412">
        <v>42088</v>
      </c>
      <c r="C1322">
        <v>6973.03</v>
      </c>
      <c r="D1322">
        <v>3961.31</v>
      </c>
    </row>
    <row r="1323" spans="2:4" hidden="1" outlineLevel="1">
      <c r="B1323" s="412">
        <v>42089</v>
      </c>
      <c r="C1323">
        <v>6922.83</v>
      </c>
      <c r="D1323">
        <v>3930.82</v>
      </c>
    </row>
    <row r="1324" spans="2:4" hidden="1" outlineLevel="1">
      <c r="B1324" s="412">
        <v>42090</v>
      </c>
      <c r="C1324">
        <v>6873.52</v>
      </c>
      <c r="D1324">
        <v>3901.34</v>
      </c>
    </row>
    <row r="1325" spans="2:4" hidden="1" outlineLevel="1">
      <c r="B1325" s="412">
        <v>42093</v>
      </c>
      <c r="C1325">
        <v>6782.43</v>
      </c>
      <c r="D1325">
        <v>3832.53</v>
      </c>
    </row>
    <row r="1326" spans="2:4" hidden="1" outlineLevel="1">
      <c r="B1326" s="412">
        <v>42094</v>
      </c>
      <c r="C1326">
        <v>6820.34</v>
      </c>
      <c r="D1326">
        <v>3852.43</v>
      </c>
    </row>
    <row r="1327" spans="2:4" hidden="1" outlineLevel="1">
      <c r="B1327" s="412">
        <v>42095</v>
      </c>
      <c r="C1327">
        <v>6916.08</v>
      </c>
      <c r="D1327">
        <v>3900.67</v>
      </c>
    </row>
    <row r="1328" spans="2:4" hidden="1" outlineLevel="1">
      <c r="B1328" s="412">
        <v>42096</v>
      </c>
      <c r="C1328">
        <v>6948.14</v>
      </c>
      <c r="D1328">
        <v>3909.58</v>
      </c>
    </row>
    <row r="1329" spans="2:4" hidden="1" outlineLevel="1">
      <c r="B1329" s="412">
        <v>42100</v>
      </c>
      <c r="C1329">
        <v>6917.51</v>
      </c>
      <c r="D1329">
        <v>3893.87</v>
      </c>
    </row>
    <row r="1330" spans="2:4" hidden="1" outlineLevel="1">
      <c r="B1330" s="412">
        <v>42101</v>
      </c>
      <c r="C1330">
        <v>6927.25</v>
      </c>
      <c r="D1330">
        <v>3909.66</v>
      </c>
    </row>
    <row r="1331" spans="2:4" hidden="1" outlineLevel="1">
      <c r="B1331" s="412">
        <v>42102</v>
      </c>
      <c r="C1331">
        <v>6913.73</v>
      </c>
      <c r="D1331">
        <v>3904.32</v>
      </c>
    </row>
    <row r="1332" spans="2:4" hidden="1" outlineLevel="1">
      <c r="B1332" s="412">
        <v>42103</v>
      </c>
      <c r="C1332">
        <v>6899.29</v>
      </c>
      <c r="D1332">
        <v>3894.49</v>
      </c>
    </row>
    <row r="1333" spans="2:4" hidden="1" outlineLevel="1">
      <c r="B1333" s="412">
        <v>42104</v>
      </c>
      <c r="C1333">
        <v>6901.06</v>
      </c>
      <c r="D1333">
        <v>3888.33</v>
      </c>
    </row>
    <row r="1334" spans="2:4" hidden="1" outlineLevel="1">
      <c r="B1334" s="412">
        <v>42109</v>
      </c>
      <c r="C1334">
        <v>6981.03</v>
      </c>
      <c r="D1334">
        <v>3940.64</v>
      </c>
    </row>
    <row r="1335" spans="2:4" hidden="1" outlineLevel="1">
      <c r="B1335" s="412">
        <v>42110</v>
      </c>
      <c r="C1335">
        <v>7077.27</v>
      </c>
      <c r="D1335">
        <v>3991.1</v>
      </c>
    </row>
    <row r="1336" spans="2:4" hidden="1" outlineLevel="1">
      <c r="B1336" s="412">
        <v>42111</v>
      </c>
      <c r="C1336">
        <v>7086.41</v>
      </c>
      <c r="D1336">
        <v>4012.56</v>
      </c>
    </row>
    <row r="1337" spans="2:4" hidden="1" outlineLevel="1">
      <c r="B1337" s="412">
        <v>42114</v>
      </c>
      <c r="C1337">
        <v>7080.38</v>
      </c>
      <c r="D1337">
        <v>4020.6</v>
      </c>
    </row>
    <row r="1338" spans="2:4" hidden="1" outlineLevel="1">
      <c r="B1338" s="412">
        <v>42115</v>
      </c>
      <c r="C1338">
        <v>7098.6</v>
      </c>
      <c r="D1338">
        <v>4026.43</v>
      </c>
    </row>
    <row r="1339" spans="2:4" hidden="1" outlineLevel="1">
      <c r="B1339" s="412">
        <v>42116</v>
      </c>
      <c r="C1339">
        <v>7117.13</v>
      </c>
      <c r="D1339">
        <v>4029.61</v>
      </c>
    </row>
    <row r="1340" spans="2:4" hidden="1" outlineLevel="1">
      <c r="B1340" s="412">
        <v>42117</v>
      </c>
      <c r="C1340">
        <v>7114.39</v>
      </c>
      <c r="D1340">
        <v>4026.32</v>
      </c>
    </row>
    <row r="1341" spans="2:4" hidden="1" outlineLevel="1">
      <c r="B1341" s="412">
        <v>42118</v>
      </c>
      <c r="C1341">
        <v>7129.78</v>
      </c>
      <c r="D1341">
        <v>4023.26</v>
      </c>
    </row>
    <row r="1342" spans="2:4" hidden="1" outlineLevel="1">
      <c r="B1342" s="412">
        <v>42121</v>
      </c>
      <c r="C1342">
        <v>7125.12</v>
      </c>
      <c r="D1342">
        <v>4020.79</v>
      </c>
    </row>
    <row r="1343" spans="2:4" hidden="1" outlineLevel="1">
      <c r="B1343" s="412">
        <v>42122</v>
      </c>
      <c r="C1343">
        <v>7134.43</v>
      </c>
      <c r="D1343">
        <v>4026.26</v>
      </c>
    </row>
    <row r="1344" spans="2:4" hidden="1" outlineLevel="1">
      <c r="B1344" s="412">
        <v>42123</v>
      </c>
      <c r="C1344">
        <v>7173.37</v>
      </c>
      <c r="D1344">
        <v>4048.44</v>
      </c>
    </row>
    <row r="1345" spans="2:4" hidden="1" outlineLevel="1">
      <c r="B1345" s="412">
        <v>42124</v>
      </c>
      <c r="C1345">
        <v>7179</v>
      </c>
      <c r="D1345">
        <v>4053.45</v>
      </c>
    </row>
    <row r="1346" spans="2:4" hidden="1" outlineLevel="1">
      <c r="B1346" s="412">
        <v>42129</v>
      </c>
      <c r="C1346">
        <v>7202.11</v>
      </c>
      <c r="D1346">
        <v>4064.16</v>
      </c>
    </row>
    <row r="1347" spans="2:4" hidden="1" outlineLevel="1">
      <c r="B1347" s="412">
        <v>42130</v>
      </c>
      <c r="C1347">
        <v>7192.29</v>
      </c>
      <c r="D1347">
        <v>4058.98</v>
      </c>
    </row>
    <row r="1348" spans="2:4" hidden="1" outlineLevel="1">
      <c r="B1348" s="412">
        <v>42131</v>
      </c>
      <c r="C1348">
        <v>7212.9</v>
      </c>
      <c r="D1348">
        <v>4059.54</v>
      </c>
    </row>
    <row r="1349" spans="2:4" hidden="1" outlineLevel="1">
      <c r="B1349" s="412">
        <v>42132</v>
      </c>
      <c r="C1349">
        <v>7212.47</v>
      </c>
      <c r="D1349">
        <v>4058.62</v>
      </c>
    </row>
    <row r="1350" spans="2:4" hidden="1" outlineLevel="1">
      <c r="B1350" s="412">
        <v>42135</v>
      </c>
      <c r="C1350">
        <v>7213.63</v>
      </c>
      <c r="D1350">
        <v>4061.04</v>
      </c>
    </row>
    <row r="1351" spans="2:4" hidden="1" outlineLevel="1">
      <c r="B1351" s="412">
        <v>42136</v>
      </c>
      <c r="C1351">
        <v>7258.61</v>
      </c>
      <c r="D1351">
        <v>4073.56</v>
      </c>
    </row>
    <row r="1352" spans="2:4" hidden="1" outlineLevel="1">
      <c r="B1352" s="412">
        <v>42137</v>
      </c>
      <c r="C1352">
        <v>7245.05</v>
      </c>
      <c r="D1352">
        <v>4060.85</v>
      </c>
    </row>
    <row r="1353" spans="2:4" hidden="1" outlineLevel="1">
      <c r="B1353" s="412">
        <v>42138</v>
      </c>
      <c r="C1353">
        <v>7236.87</v>
      </c>
      <c r="D1353">
        <v>4043.6</v>
      </c>
    </row>
    <row r="1354" spans="2:4" hidden="1" outlineLevel="1">
      <c r="B1354" s="412">
        <v>42139</v>
      </c>
      <c r="C1354">
        <v>7258.67</v>
      </c>
      <c r="D1354">
        <v>4050.68</v>
      </c>
    </row>
    <row r="1355" spans="2:4" hidden="1" outlineLevel="1">
      <c r="B1355" s="412">
        <v>42142</v>
      </c>
      <c r="C1355">
        <v>7255.02</v>
      </c>
      <c r="D1355">
        <v>4037.32</v>
      </c>
    </row>
    <row r="1356" spans="2:4" hidden="1" outlineLevel="1">
      <c r="B1356" s="412">
        <v>42143</v>
      </c>
      <c r="C1356">
        <v>7266.2</v>
      </c>
      <c r="D1356">
        <v>4046.83</v>
      </c>
    </row>
    <row r="1357" spans="2:4" hidden="1" outlineLevel="1">
      <c r="B1357" s="412">
        <v>42144</v>
      </c>
      <c r="C1357">
        <v>7289.77</v>
      </c>
      <c r="D1357">
        <v>4073.52</v>
      </c>
    </row>
    <row r="1358" spans="2:4" hidden="1" outlineLevel="1">
      <c r="B1358" s="412">
        <v>42145</v>
      </c>
      <c r="C1358">
        <v>7273.69</v>
      </c>
      <c r="D1358">
        <v>4068.63</v>
      </c>
    </row>
    <row r="1359" spans="2:4" hidden="1" outlineLevel="1">
      <c r="B1359" s="412">
        <v>42146</v>
      </c>
      <c r="C1359">
        <v>7288.74</v>
      </c>
      <c r="D1359">
        <v>4067.14</v>
      </c>
    </row>
    <row r="1360" spans="2:4" hidden="1" outlineLevel="1">
      <c r="B1360" s="412">
        <v>42149</v>
      </c>
      <c r="C1360">
        <v>7284.76</v>
      </c>
      <c r="D1360">
        <v>4053.82</v>
      </c>
    </row>
    <row r="1361" spans="2:4" hidden="1" outlineLevel="1">
      <c r="B1361" s="412">
        <v>42150</v>
      </c>
      <c r="C1361">
        <v>7261.78</v>
      </c>
      <c r="D1361">
        <v>4037.81</v>
      </c>
    </row>
    <row r="1362" spans="2:4" hidden="1" outlineLevel="1">
      <c r="B1362" s="412">
        <v>42151</v>
      </c>
      <c r="C1362">
        <v>7253.5</v>
      </c>
      <c r="D1362">
        <v>4030.86</v>
      </c>
    </row>
    <row r="1363" spans="2:4" hidden="1" outlineLevel="1">
      <c r="B1363" s="412">
        <v>42152</v>
      </c>
      <c r="C1363">
        <v>7255.71</v>
      </c>
      <c r="D1363">
        <v>4035.04</v>
      </c>
    </row>
    <row r="1364" spans="2:4" hidden="1" outlineLevel="1">
      <c r="B1364" s="412">
        <v>42153</v>
      </c>
      <c r="C1364">
        <v>7220.29</v>
      </c>
      <c r="D1364">
        <v>4000.66</v>
      </c>
    </row>
    <row r="1365" spans="2:4" hidden="1" outlineLevel="1">
      <c r="B1365" s="412">
        <v>42156</v>
      </c>
      <c r="C1365">
        <v>7195.19</v>
      </c>
      <c r="D1365">
        <v>3986.17</v>
      </c>
    </row>
    <row r="1366" spans="2:4" hidden="1" outlineLevel="1">
      <c r="B1366" s="412">
        <v>42158</v>
      </c>
      <c r="C1366">
        <v>7149.46</v>
      </c>
      <c r="D1366">
        <v>3961.02</v>
      </c>
    </row>
    <row r="1367" spans="2:4" hidden="1" outlineLevel="1">
      <c r="B1367" s="412">
        <v>42159</v>
      </c>
      <c r="C1367">
        <v>7120.91</v>
      </c>
      <c r="D1367">
        <v>3945.54</v>
      </c>
    </row>
    <row r="1368" spans="2:4" hidden="1" outlineLevel="1">
      <c r="B1368" s="412">
        <v>42160</v>
      </c>
      <c r="C1368">
        <v>7122.73</v>
      </c>
      <c r="D1368">
        <v>3963.68</v>
      </c>
    </row>
    <row r="1369" spans="2:4" hidden="1" outlineLevel="1">
      <c r="B1369" s="412">
        <v>42163</v>
      </c>
      <c r="C1369">
        <v>7078.66</v>
      </c>
      <c r="D1369">
        <v>3924.33</v>
      </c>
    </row>
    <row r="1370" spans="2:4" hidden="1" outlineLevel="1">
      <c r="B1370" s="412">
        <v>42164</v>
      </c>
      <c r="C1370">
        <v>7067.11</v>
      </c>
      <c r="D1370">
        <v>3915.85</v>
      </c>
    </row>
    <row r="1371" spans="2:4" hidden="1" outlineLevel="1">
      <c r="B1371" s="412">
        <v>42165</v>
      </c>
      <c r="C1371">
        <v>7063.45</v>
      </c>
      <c r="D1371">
        <v>3914.41</v>
      </c>
    </row>
    <row r="1372" spans="2:4" hidden="1" outlineLevel="1">
      <c r="B1372" s="412">
        <v>42166</v>
      </c>
      <c r="C1372">
        <v>7051.52</v>
      </c>
      <c r="D1372">
        <v>3906.02</v>
      </c>
    </row>
    <row r="1373" spans="2:4" hidden="1" outlineLevel="1">
      <c r="B1373" s="412">
        <v>42167</v>
      </c>
      <c r="C1373">
        <v>7061.28</v>
      </c>
      <c r="D1373">
        <v>3914.01</v>
      </c>
    </row>
    <row r="1374" spans="2:4" hidden="1" outlineLevel="1">
      <c r="B1374" s="412">
        <v>42170</v>
      </c>
      <c r="C1374">
        <v>7078.97</v>
      </c>
      <c r="D1374">
        <v>3926.96</v>
      </c>
    </row>
    <row r="1375" spans="2:4" hidden="1" outlineLevel="1">
      <c r="B1375" s="412">
        <v>42171</v>
      </c>
      <c r="C1375">
        <v>7044.6</v>
      </c>
      <c r="D1375">
        <v>3911.06</v>
      </c>
    </row>
    <row r="1376" spans="2:4" hidden="1" outlineLevel="1">
      <c r="B1376" s="412">
        <v>42172</v>
      </c>
      <c r="C1376">
        <v>7049.71</v>
      </c>
      <c r="D1376">
        <v>3914.76</v>
      </c>
    </row>
    <row r="1377" spans="2:4" hidden="1" outlineLevel="1">
      <c r="B1377" s="412">
        <v>42173</v>
      </c>
      <c r="C1377">
        <v>7064.15</v>
      </c>
      <c r="D1377">
        <v>3924.33</v>
      </c>
    </row>
    <row r="1378" spans="2:4" hidden="1" outlineLevel="1">
      <c r="B1378" s="412">
        <v>42174</v>
      </c>
      <c r="C1378">
        <v>7035.15</v>
      </c>
      <c r="D1378">
        <v>3906.28</v>
      </c>
    </row>
    <row r="1379" spans="2:4" hidden="1" outlineLevel="1">
      <c r="B1379" s="412">
        <v>42177</v>
      </c>
      <c r="C1379">
        <v>7039.65</v>
      </c>
      <c r="D1379">
        <v>3912.69</v>
      </c>
    </row>
    <row r="1380" spans="2:4" hidden="1" outlineLevel="1">
      <c r="B1380" s="412">
        <v>42178</v>
      </c>
      <c r="C1380">
        <v>7053.96</v>
      </c>
      <c r="D1380">
        <v>3938.46</v>
      </c>
    </row>
    <row r="1381" spans="2:4" hidden="1" outlineLevel="1">
      <c r="B1381" s="412">
        <v>42179</v>
      </c>
      <c r="C1381">
        <v>7053.83</v>
      </c>
      <c r="D1381">
        <v>3927.4</v>
      </c>
    </row>
    <row r="1382" spans="2:4" hidden="1" outlineLevel="1">
      <c r="B1382" s="412">
        <v>42180</v>
      </c>
      <c r="C1382">
        <v>7031.33</v>
      </c>
      <c r="D1382">
        <v>3913.06</v>
      </c>
    </row>
    <row r="1383" spans="2:4" hidden="1" outlineLevel="1">
      <c r="B1383" s="412">
        <v>42181</v>
      </c>
      <c r="C1383">
        <v>7016.2</v>
      </c>
      <c r="D1383">
        <v>3900.59</v>
      </c>
    </row>
    <row r="1384" spans="2:4" hidden="1" outlineLevel="1">
      <c r="B1384" s="412">
        <v>42184</v>
      </c>
      <c r="C1384">
        <v>7032.15</v>
      </c>
      <c r="D1384">
        <v>3911.96</v>
      </c>
    </row>
    <row r="1385" spans="2:4" hidden="1" outlineLevel="1">
      <c r="B1385" s="412">
        <v>42185</v>
      </c>
      <c r="C1385">
        <v>7020.8</v>
      </c>
      <c r="D1385">
        <v>3908.03</v>
      </c>
    </row>
    <row r="1386" spans="2:4" hidden="1" outlineLevel="1">
      <c r="B1386" s="412">
        <v>42187</v>
      </c>
      <c r="C1386">
        <v>6982.8</v>
      </c>
      <c r="D1386">
        <v>3893.88</v>
      </c>
    </row>
    <row r="1387" spans="2:4" hidden="1" outlineLevel="1">
      <c r="B1387" s="412">
        <v>42188</v>
      </c>
      <c r="C1387">
        <v>7007.05</v>
      </c>
      <c r="D1387">
        <v>3914.98</v>
      </c>
    </row>
    <row r="1388" spans="2:4" hidden="1" outlineLevel="1">
      <c r="B1388" s="412">
        <v>42191</v>
      </c>
      <c r="C1388">
        <v>6989.41</v>
      </c>
      <c r="D1388">
        <v>3911.49</v>
      </c>
    </row>
    <row r="1389" spans="2:4" hidden="1" outlineLevel="1">
      <c r="B1389" s="412">
        <v>42192</v>
      </c>
      <c r="C1389">
        <v>6967.78</v>
      </c>
      <c r="D1389">
        <v>3891.53</v>
      </c>
    </row>
    <row r="1390" spans="2:4" hidden="1" outlineLevel="1">
      <c r="B1390" s="412">
        <v>42193</v>
      </c>
      <c r="C1390">
        <v>6923.79</v>
      </c>
      <c r="D1390">
        <v>3850.37</v>
      </c>
    </row>
    <row r="1391" spans="2:4" hidden="1" outlineLevel="1">
      <c r="B1391" s="412">
        <v>42194</v>
      </c>
      <c r="C1391">
        <v>6947.05</v>
      </c>
      <c r="D1391">
        <v>3870.71</v>
      </c>
    </row>
    <row r="1392" spans="2:4" hidden="1" outlineLevel="1">
      <c r="B1392" s="412">
        <v>42195</v>
      </c>
      <c r="C1392">
        <v>6984.12</v>
      </c>
      <c r="D1392">
        <v>3905.27</v>
      </c>
    </row>
    <row r="1393" spans="2:4" hidden="1" outlineLevel="1">
      <c r="B1393" s="412">
        <v>42198</v>
      </c>
      <c r="C1393">
        <v>7002.78</v>
      </c>
      <c r="D1393">
        <v>3916.44</v>
      </c>
    </row>
    <row r="1394" spans="2:4" hidden="1" outlineLevel="1">
      <c r="B1394" s="412">
        <v>42199</v>
      </c>
      <c r="C1394">
        <v>7027</v>
      </c>
      <c r="D1394">
        <v>3920.28</v>
      </c>
    </row>
    <row r="1395" spans="2:4" hidden="1" outlineLevel="1">
      <c r="B1395" s="412">
        <v>42200</v>
      </c>
      <c r="C1395">
        <v>7066.19</v>
      </c>
      <c r="D1395">
        <v>3957.66</v>
      </c>
    </row>
    <row r="1396" spans="2:4" hidden="1" outlineLevel="1">
      <c r="B1396" s="412">
        <v>42201</v>
      </c>
      <c r="C1396">
        <v>7124.14</v>
      </c>
      <c r="D1396">
        <v>3991.21</v>
      </c>
    </row>
    <row r="1397" spans="2:4" hidden="1" outlineLevel="1">
      <c r="B1397" s="412">
        <v>42202</v>
      </c>
      <c r="C1397">
        <v>7161.96</v>
      </c>
      <c r="D1397">
        <v>4013.75</v>
      </c>
    </row>
    <row r="1398" spans="2:4" hidden="1" outlineLevel="1">
      <c r="B1398" s="412">
        <v>42205</v>
      </c>
      <c r="C1398">
        <v>7147.86</v>
      </c>
      <c r="D1398">
        <v>4007.52</v>
      </c>
    </row>
    <row r="1399" spans="2:4" hidden="1" outlineLevel="1">
      <c r="B1399" s="412">
        <v>42206</v>
      </c>
      <c r="C1399">
        <v>7145.59</v>
      </c>
      <c r="D1399">
        <v>3994.97</v>
      </c>
    </row>
    <row r="1400" spans="2:4" hidden="1" outlineLevel="1">
      <c r="B1400" s="412">
        <v>42207</v>
      </c>
      <c r="C1400">
        <v>7199.63</v>
      </c>
      <c r="D1400">
        <v>4037.83</v>
      </c>
    </row>
    <row r="1401" spans="2:4" hidden="1" outlineLevel="1">
      <c r="B1401" s="412">
        <v>42208</v>
      </c>
      <c r="C1401">
        <v>7212.62</v>
      </c>
      <c r="D1401">
        <v>4041.21</v>
      </c>
    </row>
    <row r="1402" spans="2:4" hidden="1" outlineLevel="1">
      <c r="B1402" s="412">
        <v>42209</v>
      </c>
      <c r="C1402">
        <v>7269.05</v>
      </c>
      <c r="D1402">
        <v>4071.65</v>
      </c>
    </row>
    <row r="1403" spans="2:4" hidden="1" outlineLevel="1">
      <c r="B1403" s="412">
        <v>42212</v>
      </c>
      <c r="C1403">
        <v>7247.23</v>
      </c>
      <c r="D1403">
        <v>4067.67</v>
      </c>
    </row>
    <row r="1404" spans="2:4" hidden="1" outlineLevel="1">
      <c r="B1404" s="412">
        <v>42213</v>
      </c>
      <c r="C1404">
        <v>7261.07</v>
      </c>
      <c r="D1404">
        <v>4077.89</v>
      </c>
    </row>
    <row r="1405" spans="2:4" hidden="1" outlineLevel="1">
      <c r="B1405" s="412">
        <v>42214</v>
      </c>
      <c r="C1405">
        <v>7313.97</v>
      </c>
      <c r="D1405">
        <v>4105.08</v>
      </c>
    </row>
    <row r="1406" spans="2:4" hidden="1" outlineLevel="1">
      <c r="B1406" s="412">
        <v>42215</v>
      </c>
      <c r="C1406">
        <v>7332.05</v>
      </c>
      <c r="D1406">
        <v>4107.97</v>
      </c>
    </row>
    <row r="1407" spans="2:4" hidden="1" outlineLevel="1">
      <c r="B1407" s="412">
        <v>42219</v>
      </c>
      <c r="C1407">
        <v>7336.59</v>
      </c>
      <c r="D1407">
        <v>4088.69</v>
      </c>
    </row>
    <row r="1408" spans="2:4" hidden="1" outlineLevel="1">
      <c r="B1408" s="412">
        <v>42220</v>
      </c>
      <c r="C1408">
        <v>7310.05</v>
      </c>
      <c r="D1408">
        <v>4072.63</v>
      </c>
    </row>
    <row r="1409" spans="2:7" hidden="1" outlineLevel="1">
      <c r="B1409" s="412">
        <v>42221</v>
      </c>
      <c r="C1409">
        <v>7366.31</v>
      </c>
      <c r="D1409">
        <v>4083.02</v>
      </c>
    </row>
    <row r="1410" spans="2:7" hidden="1" outlineLevel="1">
      <c r="B1410" s="412">
        <v>42222</v>
      </c>
      <c r="C1410">
        <v>7377.24</v>
      </c>
      <c r="D1410">
        <v>4091.86</v>
      </c>
    </row>
    <row r="1411" spans="2:7" hidden="1" outlineLevel="1">
      <c r="B1411" s="412">
        <v>42223</v>
      </c>
      <c r="C1411">
        <v>7370.6</v>
      </c>
      <c r="D1411">
        <v>4097.22</v>
      </c>
    </row>
    <row r="1412" spans="2:7" hidden="1" outlineLevel="1">
      <c r="B1412" s="412"/>
    </row>
    <row r="1413" spans="2:7" collapsed="1">
      <c r="B1413" s="412"/>
    </row>
    <row r="1414" spans="2:7" collapsed="1">
      <c r="B1414" s="412">
        <v>42226</v>
      </c>
      <c r="C1414">
        <v>7377.94</v>
      </c>
      <c r="D1414">
        <v>4104.3599999999997</v>
      </c>
      <c r="E1414">
        <f>'ACL N0000'!G1266</f>
        <v>55</v>
      </c>
      <c r="G1414" s="412" t="str">
        <f>IF(B1414='ACL N0000'!B1266,"OK","ERROR")</f>
        <v>OK</v>
      </c>
    </row>
    <row r="1415" spans="2:7">
      <c r="B1415" s="412">
        <v>42227</v>
      </c>
      <c r="C1415">
        <v>7458.92</v>
      </c>
      <c r="D1415">
        <v>4154.1499999999996</v>
      </c>
      <c r="E1415">
        <f>'ACL N0000'!G1267</f>
        <v>57.45</v>
      </c>
      <c r="G1415" s="412" t="str">
        <f>IF(B1415='ACL N0000'!B1267,"OK","ERROR")</f>
        <v>OK</v>
      </c>
    </row>
    <row r="1416" spans="2:7">
      <c r="B1416" s="412">
        <v>42228</v>
      </c>
      <c r="C1416">
        <v>7471.9</v>
      </c>
      <c r="D1416">
        <v>4152.75</v>
      </c>
      <c r="E1416">
        <f>'ACL N0000'!G1268</f>
        <v>57</v>
      </c>
      <c r="G1416" s="412" t="str">
        <f>IF(B1416='ACL N0000'!B1268,"OK","ERROR")</f>
        <v>OK</v>
      </c>
    </row>
    <row r="1417" spans="2:7">
      <c r="B1417" s="412">
        <v>42229</v>
      </c>
      <c r="C1417">
        <v>7442.76</v>
      </c>
      <c r="D1417">
        <v>4128.24</v>
      </c>
      <c r="E1417">
        <f>'ACL N0000'!G1269</f>
        <v>56.05</v>
      </c>
      <c r="G1417" s="412" t="str">
        <f>IF(B1417='ACL N0000'!B1269,"OK","ERROR")</f>
        <v>OK</v>
      </c>
    </row>
    <row r="1418" spans="2:7">
      <c r="B1418" s="412">
        <v>42230</v>
      </c>
      <c r="C1418">
        <v>7462.34</v>
      </c>
      <c r="D1418">
        <v>4148.92</v>
      </c>
      <c r="E1418">
        <f>'ACL N0000'!G1270</f>
        <v>56.55</v>
      </c>
      <c r="G1418" s="412" t="str">
        <f>IF(B1418='ACL N0000'!B1270,"OK","ERROR")</f>
        <v>OK</v>
      </c>
    </row>
    <row r="1419" spans="2:7">
      <c r="B1419" s="412">
        <v>42233</v>
      </c>
      <c r="C1419">
        <v>7492.04</v>
      </c>
      <c r="D1419">
        <v>4164.4799999999996</v>
      </c>
      <c r="E1419">
        <f>'ACL N0000'!G1271</f>
        <v>60.3</v>
      </c>
      <c r="G1419" s="412" t="str">
        <f>IF(B1419='ACL N0000'!B1271,"OK","ERROR")</f>
        <v>OK</v>
      </c>
    </row>
    <row r="1420" spans="2:7">
      <c r="B1420" s="412">
        <v>42234</v>
      </c>
      <c r="C1420">
        <v>7498.7</v>
      </c>
      <c r="D1420">
        <v>4157.71</v>
      </c>
      <c r="E1420">
        <f>'ACL N0000'!G1272</f>
        <v>61.8</v>
      </c>
      <c r="G1420" s="412" t="str">
        <f>IF(B1420='ACL N0000'!B1272,"OK","ERROR")</f>
        <v>OK</v>
      </c>
    </row>
    <row r="1421" spans="2:7">
      <c r="B1421" s="412">
        <v>42235</v>
      </c>
      <c r="C1421">
        <v>7498.78</v>
      </c>
      <c r="D1421">
        <v>4164.3100000000004</v>
      </c>
      <c r="E1421">
        <f>'ACL N0000'!G1273</f>
        <v>60.05</v>
      </c>
      <c r="G1421" s="412" t="str">
        <f>IF(B1421='ACL N0000'!B1273,"OK","ERROR")</f>
        <v>OK</v>
      </c>
    </row>
    <row r="1422" spans="2:7">
      <c r="B1422" s="412">
        <v>42236</v>
      </c>
      <c r="C1422">
        <v>7449.82</v>
      </c>
      <c r="D1422">
        <v>4137.59</v>
      </c>
      <c r="E1422">
        <f>'ACL N0000'!G1274</f>
        <v>59.4</v>
      </c>
      <c r="G1422" s="412" t="str">
        <f>IF(B1422='ACL N0000'!B1274,"OK","ERROR")</f>
        <v>OK</v>
      </c>
    </row>
    <row r="1423" spans="2:7">
      <c r="B1423" s="412">
        <v>42237</v>
      </c>
      <c r="C1423">
        <v>7471.17</v>
      </c>
      <c r="D1423">
        <v>4140.68</v>
      </c>
      <c r="E1423">
        <f>'ACL N0000'!G1275</f>
        <v>60</v>
      </c>
      <c r="G1423" s="412" t="str">
        <f>IF(B1423='ACL N0000'!B1275,"OK","ERROR")</f>
        <v>OK</v>
      </c>
    </row>
    <row r="1424" spans="2:7">
      <c r="B1424" s="412">
        <v>42240</v>
      </c>
      <c r="C1424">
        <v>7331.09</v>
      </c>
      <c r="D1424">
        <v>4053.67</v>
      </c>
      <c r="E1424">
        <f>'ACL N0000'!G1276</f>
        <v>57.6</v>
      </c>
      <c r="G1424" s="412" t="str">
        <f>IF(B1424='ACL N0000'!B1276,"OK","ERROR")</f>
        <v>OK</v>
      </c>
    </row>
    <row r="1425" spans="2:7">
      <c r="B1425" s="412">
        <v>42241</v>
      </c>
      <c r="C1425">
        <v>7231.58</v>
      </c>
      <c r="D1425">
        <v>3982.96</v>
      </c>
      <c r="E1425">
        <f>'ACL N0000'!G1277</f>
        <v>55.05</v>
      </c>
      <c r="G1425" s="412" t="str">
        <f>IF(B1425='ACL N0000'!B1277,"OK","ERROR")</f>
        <v>OK</v>
      </c>
    </row>
    <row r="1426" spans="2:7">
      <c r="B1426" s="412">
        <v>42242</v>
      </c>
      <c r="C1426">
        <v>7240.1</v>
      </c>
      <c r="D1426">
        <v>3968.57</v>
      </c>
      <c r="E1426">
        <f>'ACL N0000'!G1278</f>
        <v>55.75</v>
      </c>
      <c r="G1426" s="412" t="str">
        <f>IF(B1426='ACL N0000'!B1278,"OK","ERROR")</f>
        <v>OK</v>
      </c>
    </row>
    <row r="1427" spans="2:7">
      <c r="B1427" s="412">
        <v>42243</v>
      </c>
      <c r="C1427">
        <v>7273.14</v>
      </c>
      <c r="D1427">
        <v>3991.16</v>
      </c>
      <c r="E1427">
        <f>'ACL N0000'!G1279</f>
        <v>57</v>
      </c>
      <c r="G1427" s="412" t="str">
        <f>IF(B1427='ACL N0000'!B1279,"OK","ERROR")</f>
        <v>OK</v>
      </c>
    </row>
    <row r="1428" spans="2:7">
      <c r="B1428" s="412">
        <v>42244</v>
      </c>
      <c r="C1428">
        <v>7350.52</v>
      </c>
      <c r="D1428">
        <v>4049.15</v>
      </c>
      <c r="E1428">
        <f>'ACL N0000'!G1280</f>
        <v>58.1</v>
      </c>
      <c r="G1428" s="412" t="str">
        <f>IF(B1428='ACL N0000'!B1280,"OK","ERROR")</f>
        <v>OK</v>
      </c>
    </row>
    <row r="1429" spans="2:7">
      <c r="B1429" s="412">
        <v>42247</v>
      </c>
      <c r="C1429">
        <v>7306.94</v>
      </c>
      <c r="D1429">
        <v>4026.26</v>
      </c>
      <c r="E1429">
        <f>'ACL N0000'!G1281</f>
        <v>57</v>
      </c>
      <c r="G1429" s="412" t="str">
        <f>IF(B1429='ACL N0000'!B1281,"OK","ERROR")</f>
        <v>OK</v>
      </c>
    </row>
    <row r="1430" spans="2:7">
      <c r="B1430" s="412">
        <v>42248</v>
      </c>
      <c r="C1430">
        <v>7298.75</v>
      </c>
      <c r="D1430">
        <v>4007.32</v>
      </c>
      <c r="E1430">
        <f>'ACL N0000'!G1282</f>
        <v>57.4</v>
      </c>
      <c r="G1430" s="412" t="str">
        <f>IF(B1430='ACL N0000'!B1282,"OK","ERROR")</f>
        <v>OK</v>
      </c>
    </row>
    <row r="1431" spans="2:7">
      <c r="B1431" s="412">
        <v>42249</v>
      </c>
      <c r="C1431">
        <v>7240.39</v>
      </c>
      <c r="D1431">
        <v>3979.9</v>
      </c>
      <c r="E1431">
        <f>'ACL N0000'!G1283</f>
        <v>56.25</v>
      </c>
      <c r="G1431" s="412" t="str">
        <f>IF(B1431='ACL N0000'!B1283,"OK","ERROR")</f>
        <v>OK</v>
      </c>
    </row>
    <row r="1432" spans="2:7">
      <c r="B1432" s="412">
        <v>42250</v>
      </c>
      <c r="C1432">
        <v>7245.5</v>
      </c>
      <c r="D1432">
        <v>3978.84</v>
      </c>
      <c r="E1432">
        <f>'ACL N0000'!G1284</f>
        <v>57</v>
      </c>
      <c r="G1432" s="412" t="str">
        <f>IF(B1432='ACL N0000'!B1284,"OK","ERROR")</f>
        <v>OK</v>
      </c>
    </row>
    <row r="1433" spans="2:7">
      <c r="B1433" s="412">
        <v>42251</v>
      </c>
      <c r="C1433">
        <v>7215.11</v>
      </c>
      <c r="D1433">
        <v>3957.83</v>
      </c>
      <c r="E1433">
        <f>'ACL N0000'!G1285</f>
        <v>56.1</v>
      </c>
      <c r="G1433" s="412" t="str">
        <f>IF(B1433='ACL N0000'!B1285,"OK","ERROR")</f>
        <v>OK</v>
      </c>
    </row>
    <row r="1434" spans="2:7">
      <c r="B1434" s="412">
        <v>42254</v>
      </c>
      <c r="C1434">
        <v>7149.7</v>
      </c>
      <c r="D1434">
        <v>3931</v>
      </c>
      <c r="E1434">
        <f>'ACL N0000'!G1286</f>
        <v>53.75</v>
      </c>
      <c r="G1434" s="412" t="str">
        <f>IF(B1434='ACL N0000'!B1286,"OK","ERROR")</f>
        <v>OK</v>
      </c>
    </row>
    <row r="1435" spans="2:7">
      <c r="B1435" s="412">
        <v>42255</v>
      </c>
      <c r="C1435">
        <v>7124.46</v>
      </c>
      <c r="D1435">
        <v>3914.14</v>
      </c>
      <c r="E1435">
        <f>'ACL N0000'!G1287</f>
        <v>53.6</v>
      </c>
      <c r="G1435" s="412" t="str">
        <f>IF(B1435='ACL N0000'!B1287,"OK","ERROR")</f>
        <v>OK</v>
      </c>
    </row>
    <row r="1436" spans="2:7">
      <c r="B1436" s="412">
        <v>42256</v>
      </c>
      <c r="C1436">
        <v>7183.25</v>
      </c>
      <c r="D1436">
        <v>3937.08</v>
      </c>
      <c r="E1436">
        <f>'ACL N0000'!G1288</f>
        <v>55.45</v>
      </c>
      <c r="G1436" s="412" t="str">
        <f>IF(B1436='ACL N0000'!B1288,"OK","ERROR")</f>
        <v>OK</v>
      </c>
    </row>
    <row r="1437" spans="2:7">
      <c r="B1437" s="412">
        <v>42257</v>
      </c>
      <c r="C1437">
        <v>7159.94</v>
      </c>
      <c r="D1437">
        <v>3924.67</v>
      </c>
      <c r="E1437">
        <f>'ACL N0000'!G1289</f>
        <v>54</v>
      </c>
      <c r="G1437" s="412" t="str">
        <f>IF(B1437='ACL N0000'!B1289,"OK","ERROR")</f>
        <v>OK</v>
      </c>
    </row>
    <row r="1438" spans="2:7">
      <c r="B1438" s="412">
        <v>42258</v>
      </c>
      <c r="C1438">
        <v>7153.49</v>
      </c>
      <c r="D1438">
        <v>3914.27</v>
      </c>
      <c r="E1438">
        <f>'ACL N0000'!G1290</f>
        <v>54</v>
      </c>
      <c r="G1438" s="412" t="str">
        <f>IF(B1438='ACL N0000'!B1290,"OK","ERROR")</f>
        <v>OK</v>
      </c>
    </row>
    <row r="1439" spans="2:7">
      <c r="B1439" s="412">
        <v>42261</v>
      </c>
      <c r="C1439">
        <v>7162.44</v>
      </c>
      <c r="D1439">
        <v>3919.61</v>
      </c>
      <c r="E1439">
        <f>'ACL N0000'!G1291</f>
        <v>54</v>
      </c>
      <c r="G1439" s="412" t="str">
        <f>IF(B1439='ACL N0000'!B1291,"OK","ERROR")</f>
        <v>OK</v>
      </c>
    </row>
    <row r="1440" spans="2:7">
      <c r="B1440" s="412">
        <v>42262</v>
      </c>
      <c r="C1440">
        <v>7152.43</v>
      </c>
      <c r="D1440">
        <v>3915.13</v>
      </c>
      <c r="E1440">
        <f>'ACL N0000'!G1292</f>
        <v>54.5</v>
      </c>
      <c r="G1440" s="412" t="str">
        <f>IF(B1440='ACL N0000'!B1292,"OK","ERROR")</f>
        <v>OK</v>
      </c>
    </row>
    <row r="1441" spans="2:7">
      <c r="B1441" s="412">
        <v>42263</v>
      </c>
      <c r="C1441">
        <v>7137.4</v>
      </c>
      <c r="D1441">
        <v>3899.63</v>
      </c>
      <c r="E1441">
        <f>'ACL N0000'!G1293</f>
        <v>53.85</v>
      </c>
      <c r="G1441" s="412" t="str">
        <f>IF(B1441='ACL N0000'!B1293,"OK","ERROR")</f>
        <v>OK</v>
      </c>
    </row>
    <row r="1442" spans="2:7">
      <c r="B1442" s="412">
        <v>42264</v>
      </c>
      <c r="C1442">
        <v>7113.51</v>
      </c>
      <c r="D1442">
        <v>3885.08</v>
      </c>
      <c r="E1442">
        <f>'ACL N0000'!G1294</f>
        <v>54.05</v>
      </c>
      <c r="G1442" s="412" t="str">
        <f>IF(B1442='ACL N0000'!B1294,"OK","ERROR")</f>
        <v>OK</v>
      </c>
    </row>
    <row r="1443" spans="2:7">
      <c r="B1443" s="412"/>
      <c r="G1443" s="412"/>
    </row>
    <row r="1444" spans="2:7">
      <c r="B1444" s="412">
        <v>42265</v>
      </c>
      <c r="C1444">
        <v>7107.87</v>
      </c>
      <c r="D1444">
        <v>3885.71</v>
      </c>
      <c r="E1444">
        <f>'ACL N0000'!G1296</f>
        <v>54.4</v>
      </c>
      <c r="G1444" s="412" t="str">
        <f>IF(B1444='ACL N0000'!B1296,"OK","ERROR")</f>
        <v>OK</v>
      </c>
    </row>
    <row r="1445" spans="2:7">
      <c r="B1445" s="412">
        <v>42268</v>
      </c>
      <c r="C1445">
        <v>7104.37</v>
      </c>
      <c r="D1445">
        <v>3881.04</v>
      </c>
      <c r="E1445">
        <f>'ACL N0000'!G1297</f>
        <v>54.95</v>
      </c>
      <c r="G1445" s="412" t="str">
        <f>IF(B1445='ACL N0000'!B1297,"OK","ERROR")</f>
        <v>OK</v>
      </c>
    </row>
    <row r="1446" spans="2:7">
      <c r="B1446" s="412">
        <v>42269</v>
      </c>
      <c r="C1446">
        <v>7118.38</v>
      </c>
      <c r="D1446">
        <v>3895.7</v>
      </c>
      <c r="E1446">
        <f>'ACL N0000'!G1298</f>
        <v>54.55</v>
      </c>
      <c r="G1446" s="412" t="str">
        <f>IF(B1446='ACL N0000'!B1298,"OK","ERROR")</f>
        <v>OK</v>
      </c>
    </row>
    <row r="1447" spans="2:7">
      <c r="B1447" s="412">
        <v>42270</v>
      </c>
      <c r="C1447">
        <v>7114.83</v>
      </c>
      <c r="D1447">
        <v>3891.82</v>
      </c>
      <c r="E1447">
        <f>'ACL N0000'!G1299</f>
        <v>54.45</v>
      </c>
      <c r="G1447" s="412" t="str">
        <f>IF(B1447='ACL N0000'!B1299,"OK","ERROR")</f>
        <v>OK</v>
      </c>
    </row>
    <row r="1448" spans="2:7">
      <c r="B1448" s="412">
        <v>42272</v>
      </c>
      <c r="C1448">
        <v>7110.8</v>
      </c>
      <c r="D1448">
        <v>3887.14</v>
      </c>
      <c r="E1448">
        <f>'ACL N0000'!G1300</f>
        <v>54.2</v>
      </c>
      <c r="G1448" s="412" t="str">
        <f>IF(B1448='ACL N0000'!B1300,"OK","ERROR")</f>
        <v>OK</v>
      </c>
    </row>
    <row r="1449" spans="2:7">
      <c r="B1449" s="412">
        <v>42275</v>
      </c>
      <c r="C1449">
        <v>7078.64</v>
      </c>
      <c r="D1449">
        <v>3869.55</v>
      </c>
      <c r="E1449">
        <f>'ACL N0000'!G1301</f>
        <v>54</v>
      </c>
      <c r="G1449" s="412" t="str">
        <f>IF(B1449='ACL N0000'!B1301,"OK","ERROR")</f>
        <v>OK</v>
      </c>
    </row>
    <row r="1450" spans="2:7">
      <c r="B1450" s="412">
        <v>42276</v>
      </c>
      <c r="C1450">
        <v>7085.38</v>
      </c>
      <c r="D1450">
        <v>3858.61</v>
      </c>
      <c r="E1450">
        <f>'ACL N0000'!G1302</f>
        <v>54.5</v>
      </c>
      <c r="G1450" s="412" t="str">
        <f>IF(B1450='ACL N0000'!B1302,"OK","ERROR")</f>
        <v>OK</v>
      </c>
    </row>
    <row r="1451" spans="2:7">
      <c r="B1451" s="412">
        <v>42277</v>
      </c>
      <c r="C1451">
        <v>7050.87</v>
      </c>
      <c r="D1451">
        <v>3826.15</v>
      </c>
      <c r="E1451">
        <f>'ACL N0000'!G1303</f>
        <v>54.2</v>
      </c>
      <c r="G1451" s="412" t="str">
        <f>IF(B1451='ACL N0000'!B1303,"OK","ERROR")</f>
        <v>OK</v>
      </c>
    </row>
    <row r="1452" spans="2:7">
      <c r="B1452" s="412">
        <v>42278</v>
      </c>
      <c r="C1452">
        <v>7080.48</v>
      </c>
      <c r="D1452">
        <v>3836.33</v>
      </c>
      <c r="E1452">
        <f>'ACL N0000'!G1304</f>
        <v>54.45</v>
      </c>
      <c r="G1452" s="412" t="str">
        <f>IF(B1452='ACL N0000'!B1304,"OK","ERROR")</f>
        <v>OK</v>
      </c>
    </row>
    <row r="1453" spans="2:7">
      <c r="B1453" s="412">
        <v>42279</v>
      </c>
      <c r="C1453">
        <v>7105.54</v>
      </c>
      <c r="D1453">
        <v>3840.75</v>
      </c>
      <c r="E1453">
        <f>'ACL N0000'!G1305</f>
        <v>57.05</v>
      </c>
      <c r="G1453" s="412" t="str">
        <f>IF(B1453='ACL N0000'!B1305,"OK","ERROR")</f>
        <v>OK</v>
      </c>
    </row>
    <row r="1454" spans="2:7">
      <c r="B1454" s="412">
        <v>42282</v>
      </c>
      <c r="C1454">
        <v>7089.06</v>
      </c>
      <c r="D1454">
        <v>3830.23</v>
      </c>
      <c r="E1454">
        <f>'ACL N0000'!G1306</f>
        <v>59.9</v>
      </c>
      <c r="G1454" s="412" t="str">
        <f>IF(B1454='ACL N0000'!B1306,"OK","ERROR")</f>
        <v>OK</v>
      </c>
    </row>
    <row r="1455" spans="2:7">
      <c r="B1455" s="412">
        <v>42283</v>
      </c>
      <c r="C1455">
        <v>7085.93</v>
      </c>
      <c r="D1455">
        <v>3827.31</v>
      </c>
      <c r="E1455">
        <f>'ACL N0000'!G1307</f>
        <v>61.55</v>
      </c>
      <c r="G1455" s="412" t="str">
        <f>IF(B1455='ACL N0000'!B1307,"OK","ERROR")</f>
        <v>OK</v>
      </c>
    </row>
    <row r="1456" spans="2:7">
      <c r="B1456" s="412">
        <v>42284</v>
      </c>
      <c r="C1456">
        <v>7085.45</v>
      </c>
      <c r="D1456">
        <v>3821.69</v>
      </c>
      <c r="E1456">
        <f>'ACL N0000'!G1308</f>
        <v>60.55</v>
      </c>
      <c r="G1456" s="412" t="str">
        <f>IF(B1456='ACL N0000'!B1308,"OK","ERROR")</f>
        <v>OK</v>
      </c>
    </row>
    <row r="1457" spans="2:7">
      <c r="B1457" s="412">
        <v>42285</v>
      </c>
      <c r="C1457">
        <v>7085.65</v>
      </c>
      <c r="D1457">
        <v>3818.6</v>
      </c>
      <c r="E1457">
        <f>'ACL N0000'!G1309</f>
        <v>60.8</v>
      </c>
      <c r="G1457" s="412" t="str">
        <f>IF(B1457='ACL N0000'!B1309,"OK","ERROR")</f>
        <v>OK</v>
      </c>
    </row>
    <row r="1458" spans="2:7">
      <c r="B1458" s="412">
        <v>42286</v>
      </c>
      <c r="C1458">
        <v>7096.06</v>
      </c>
      <c r="D1458">
        <v>3819.8</v>
      </c>
      <c r="E1458">
        <f>'ACL N0000'!G1310</f>
        <v>63.4</v>
      </c>
      <c r="G1458" s="412" t="str">
        <f>IF(B1458='ACL N0000'!B1310,"OK","ERROR")</f>
        <v>OK</v>
      </c>
    </row>
    <row r="1459" spans="2:7">
      <c r="B1459" s="412">
        <v>42289</v>
      </c>
      <c r="C1459">
        <v>7100</v>
      </c>
      <c r="D1459">
        <v>3816.22</v>
      </c>
      <c r="E1459">
        <f>'ACL N0000'!G1311</f>
        <v>63.35</v>
      </c>
      <c r="G1459" s="412" t="str">
        <f>IF(B1459='ACL N0000'!B1311,"OK","ERROR")</f>
        <v>OK</v>
      </c>
    </row>
    <row r="1460" spans="2:7">
      <c r="B1460" s="412">
        <v>42290</v>
      </c>
      <c r="C1460">
        <v>7078.45</v>
      </c>
      <c r="D1460">
        <v>3811.21</v>
      </c>
      <c r="E1460">
        <f>'ACL N0000'!G1312</f>
        <v>62.1</v>
      </c>
      <c r="G1460" s="412" t="str">
        <f>IF(B1460='ACL N0000'!B1312,"OK","ERROR")</f>
        <v>OK</v>
      </c>
    </row>
    <row r="1461" spans="2:7">
      <c r="B1461" s="412">
        <v>42291</v>
      </c>
      <c r="C1461">
        <v>7040.32</v>
      </c>
      <c r="D1461">
        <v>3781.17</v>
      </c>
      <c r="E1461">
        <f>'ACL N0000'!G1313</f>
        <v>61.05</v>
      </c>
      <c r="G1461" s="412" t="str">
        <f>IF(B1461='ACL N0000'!B1313,"OK","ERROR")</f>
        <v>OK</v>
      </c>
    </row>
    <row r="1462" spans="2:7">
      <c r="B1462" s="412">
        <v>42292</v>
      </c>
      <c r="C1462">
        <v>7030.45</v>
      </c>
      <c r="D1462">
        <v>3783.13</v>
      </c>
      <c r="E1462">
        <f>'ACL N0000'!G1314</f>
        <v>59.8</v>
      </c>
      <c r="G1462" s="412" t="str">
        <f>IF(B1462='ACL N0000'!B1314,"OK","ERROR")</f>
        <v>OK</v>
      </c>
    </row>
    <row r="1463" spans="2:7">
      <c r="B1463" s="412">
        <v>42293</v>
      </c>
      <c r="C1463">
        <v>7020.74</v>
      </c>
      <c r="D1463">
        <v>3773.71</v>
      </c>
      <c r="E1463">
        <f>'ACL N0000'!G1315</f>
        <v>59.75</v>
      </c>
      <c r="G1463" s="412" t="str">
        <f>IF(B1463='ACL N0000'!B1315,"OK","ERROR")</f>
        <v>OK</v>
      </c>
    </row>
    <row r="1464" spans="2:7">
      <c r="B1464" s="412">
        <v>42296</v>
      </c>
      <c r="C1464">
        <v>7017.35</v>
      </c>
      <c r="D1464">
        <v>3781.3</v>
      </c>
      <c r="E1464">
        <f>'ACL N0000'!G1316</f>
        <v>59.8</v>
      </c>
      <c r="G1464" s="412" t="str">
        <f>IF(B1464='ACL N0000'!B1316,"OK","ERROR")</f>
        <v>OK</v>
      </c>
    </row>
    <row r="1465" spans="2:7">
      <c r="B1465" s="412">
        <v>42297</v>
      </c>
      <c r="C1465">
        <v>7041.26</v>
      </c>
      <c r="D1465">
        <v>3796.86</v>
      </c>
      <c r="E1465">
        <f>'ACL N0000'!G1317</f>
        <v>60.25</v>
      </c>
      <c r="G1465" s="412" t="str">
        <f>IF(B1465='ACL N0000'!B1317,"OK","ERROR")</f>
        <v>OK</v>
      </c>
    </row>
    <row r="1466" spans="2:7">
      <c r="B1466" s="412">
        <v>42298</v>
      </c>
      <c r="C1466">
        <v>7055.67</v>
      </c>
      <c r="D1466">
        <v>3808.83</v>
      </c>
      <c r="E1466">
        <f>'ACL N0000'!G1318</f>
        <v>61</v>
      </c>
      <c r="G1466" s="412" t="str">
        <f>IF(B1466='ACL N0000'!B1318,"OK","ERROR")</f>
        <v>OK</v>
      </c>
    </row>
    <row r="1467" spans="2:7">
      <c r="B1467" s="412">
        <v>42299</v>
      </c>
      <c r="C1467">
        <v>7068.85</v>
      </c>
      <c r="D1467">
        <v>3819.07</v>
      </c>
      <c r="E1467">
        <f>'ACL N0000'!G1319</f>
        <v>59.9</v>
      </c>
      <c r="G1467" s="412" t="str">
        <f>IF(B1467='ACL N0000'!B1319,"OK","ERROR")</f>
        <v>OK</v>
      </c>
    </row>
    <row r="1468" spans="2:7">
      <c r="B1468" s="412">
        <v>42300</v>
      </c>
      <c r="C1468">
        <v>7081.49</v>
      </c>
      <c r="D1468">
        <v>3821.83</v>
      </c>
      <c r="E1468">
        <f>'ACL N0000'!G1320</f>
        <v>60.3</v>
      </c>
      <c r="G1468" s="412" t="str">
        <f>IF(B1468='ACL N0000'!B1320,"OK","ERROR")</f>
        <v>OK</v>
      </c>
    </row>
    <row r="1469" spans="2:7">
      <c r="B1469" s="412">
        <v>42303</v>
      </c>
      <c r="C1469">
        <v>7083.48</v>
      </c>
      <c r="D1469">
        <v>3827.83</v>
      </c>
      <c r="E1469">
        <f>'ACL N0000'!G1321</f>
        <v>60.3</v>
      </c>
      <c r="G1469" s="412" t="str">
        <f>IF(B1469='ACL N0000'!B1321,"OK","ERROR")</f>
        <v>OK</v>
      </c>
    </row>
    <row r="1470" spans="2:7">
      <c r="B1470" s="412">
        <v>42305</v>
      </c>
      <c r="C1470">
        <v>7094.09</v>
      </c>
      <c r="D1470">
        <v>3840</v>
      </c>
      <c r="E1470">
        <f>'ACL N0000'!G1322</f>
        <v>60</v>
      </c>
      <c r="G1470" s="412" t="str">
        <f>IF(B1470='ACL N0000'!B1322,"OK","ERROR")</f>
        <v>OK</v>
      </c>
    </row>
    <row r="1471" spans="2:7">
      <c r="B1471" s="412">
        <v>42306</v>
      </c>
      <c r="C1471">
        <v>7070.13</v>
      </c>
      <c r="D1471">
        <v>3827.89</v>
      </c>
      <c r="E1471">
        <f>'ACL N0000'!G1323</f>
        <v>59.8</v>
      </c>
      <c r="G1471" s="412" t="str">
        <f>IF(B1471='ACL N0000'!B1323,"OK","ERROR")</f>
        <v>OK</v>
      </c>
    </row>
    <row r="1472" spans="2:7">
      <c r="B1472" s="412">
        <v>42307</v>
      </c>
      <c r="C1472">
        <v>7042.06</v>
      </c>
      <c r="D1472">
        <v>3803</v>
      </c>
      <c r="E1472">
        <f>'ACL N0000'!G1324</f>
        <v>59.5</v>
      </c>
      <c r="G1472" s="412" t="str">
        <f>IF(B1472='ACL N0000'!B1324,"OK","ERROR")</f>
        <v>OK</v>
      </c>
    </row>
    <row r="1473" spans="2:7">
      <c r="B1473" s="412">
        <v>42310</v>
      </c>
      <c r="C1473">
        <v>7029.07</v>
      </c>
      <c r="D1473">
        <v>3795.5</v>
      </c>
      <c r="E1473">
        <f>'ACL N0000'!G1325</f>
        <v>59.5</v>
      </c>
      <c r="G1473" s="412" t="str">
        <f>IF(B1473='ACL N0000'!B1325,"OK","ERROR")</f>
        <v>OK</v>
      </c>
    </row>
    <row r="1474" spans="2:7">
      <c r="B1474" s="412">
        <v>42311</v>
      </c>
      <c r="C1474">
        <v>7000.41</v>
      </c>
      <c r="D1474">
        <v>3786.74</v>
      </c>
      <c r="E1474">
        <f>'ACL N0000'!G1326</f>
        <v>59.35</v>
      </c>
      <c r="G1474" s="412" t="str">
        <f>IF(B1474='ACL N0000'!B1326,"OK","ERROR")</f>
        <v>OK</v>
      </c>
    </row>
    <row r="1475" spans="2:7">
      <c r="B1475" s="412">
        <v>42312</v>
      </c>
      <c r="C1475">
        <v>7003.57</v>
      </c>
      <c r="D1475">
        <v>3784.61</v>
      </c>
      <c r="E1475">
        <f>'ACL N0000'!G1327</f>
        <v>57.5</v>
      </c>
      <c r="G1475" s="412" t="str">
        <f>IF(B1475='ACL N0000'!B1327,"OK","ERROR")</f>
        <v>OK</v>
      </c>
    </row>
    <row r="1476" spans="2:7">
      <c r="B1476" s="412">
        <v>42313</v>
      </c>
      <c r="C1476">
        <v>7017.39</v>
      </c>
      <c r="D1476">
        <v>3794.11</v>
      </c>
      <c r="E1476">
        <f>'ACL N0000'!G1328</f>
        <v>58.45</v>
      </c>
      <c r="G1476" s="412" t="str">
        <f>IF(B1476='ACL N0000'!B1328,"OK","ERROR")</f>
        <v>OK</v>
      </c>
    </row>
    <row r="1477" spans="2:7">
      <c r="B1477" s="412">
        <v>42314</v>
      </c>
      <c r="C1477">
        <v>7059.48</v>
      </c>
      <c r="D1477">
        <v>3824.62</v>
      </c>
      <c r="E1477">
        <f>'ACL N0000'!G1329</f>
        <v>60</v>
      </c>
      <c r="G1477" s="412" t="str">
        <f>IF(B1477='ACL N0000'!B1329,"OK","ERROR")</f>
        <v>OK</v>
      </c>
    </row>
    <row r="1478" spans="2:7">
      <c r="B1478" s="412">
        <v>42317</v>
      </c>
      <c r="C1478">
        <v>7050.21</v>
      </c>
      <c r="D1478">
        <v>3821.97</v>
      </c>
      <c r="E1478">
        <f>'ACL N0000'!G1330</f>
        <v>60</v>
      </c>
      <c r="G1478" s="412" t="str">
        <f>IF(B1478='ACL N0000'!B1330,"OK","ERROR")</f>
        <v>OK</v>
      </c>
    </row>
    <row r="1479" spans="2:7">
      <c r="B1479" s="412">
        <v>42319</v>
      </c>
      <c r="C1479">
        <v>7019.23</v>
      </c>
      <c r="D1479">
        <v>3790.61</v>
      </c>
      <c r="E1479">
        <f>'ACL N0000'!G1331</f>
        <v>59.4</v>
      </c>
      <c r="G1479" s="412" t="str">
        <f>IF(B1479='ACL N0000'!B1331,"OK","ERROR")</f>
        <v>OK</v>
      </c>
    </row>
    <row r="1480" spans="2:7">
      <c r="B1480" s="412">
        <v>42320</v>
      </c>
      <c r="C1480">
        <v>7006.35</v>
      </c>
      <c r="D1480">
        <v>3783.34</v>
      </c>
      <c r="E1480">
        <f>'ACL N0000'!G1332</f>
        <v>59.6</v>
      </c>
      <c r="G1480" s="412" t="str">
        <f>IF(B1480='ACL N0000'!B1332,"OK","ERROR")</f>
        <v>OK</v>
      </c>
    </row>
    <row r="1481" spans="2:7">
      <c r="B1481" s="412">
        <v>42321</v>
      </c>
      <c r="C1481">
        <v>7001.81</v>
      </c>
      <c r="D1481">
        <v>3787</v>
      </c>
      <c r="E1481">
        <f>'ACL N0000'!G1333</f>
        <v>59.9</v>
      </c>
      <c r="G1481" s="412" t="str">
        <f>IF(B1481='ACL N0000'!B1333,"OK","ERROR")</f>
        <v>OK</v>
      </c>
    </row>
    <row r="1482" spans="2:7">
      <c r="B1482" s="412">
        <v>42324</v>
      </c>
      <c r="C1482">
        <v>6965.98</v>
      </c>
      <c r="D1482">
        <v>3759.26</v>
      </c>
      <c r="E1482">
        <f>'ACL N0000'!G1334</f>
        <v>58.8</v>
      </c>
      <c r="G1482" s="412" t="str">
        <f>IF(B1482='ACL N0000'!B1334,"OK","ERROR")</f>
        <v>OK</v>
      </c>
    </row>
    <row r="1483" spans="2:7">
      <c r="B1483" s="412">
        <v>42325</v>
      </c>
      <c r="C1483">
        <v>6977.95</v>
      </c>
      <c r="D1483">
        <v>3763.3</v>
      </c>
      <c r="E1483">
        <f>'ACL N0000'!G1335</f>
        <v>58.45</v>
      </c>
      <c r="G1483" s="412" t="str">
        <f>IF(B1483='ACL N0000'!B1335,"OK","ERROR")</f>
        <v>OK</v>
      </c>
    </row>
    <row r="1484" spans="2:7">
      <c r="B1484" s="412">
        <v>42326</v>
      </c>
      <c r="C1484">
        <v>6981.97</v>
      </c>
      <c r="D1484">
        <v>3764.66</v>
      </c>
      <c r="E1484">
        <f>'ACL N0000'!G1336</f>
        <v>58.5</v>
      </c>
      <c r="G1484" s="412" t="str">
        <f>IF(B1484='ACL N0000'!B1336,"OK","ERROR")</f>
        <v>OK</v>
      </c>
    </row>
    <row r="1485" spans="2:7">
      <c r="B1485" s="412">
        <v>42327</v>
      </c>
      <c r="C1485">
        <v>7020.18</v>
      </c>
      <c r="D1485">
        <v>3781.25</v>
      </c>
      <c r="E1485">
        <f>'ACL N0000'!G1337</f>
        <v>59.45</v>
      </c>
      <c r="G1485" s="412" t="str">
        <f>IF(B1485='ACL N0000'!B1337,"OK","ERROR")</f>
        <v>OK</v>
      </c>
    </row>
    <row r="1486" spans="2:7">
      <c r="B1486" s="412">
        <v>42328</v>
      </c>
      <c r="C1486">
        <v>7017.44</v>
      </c>
      <c r="D1486">
        <v>3774.11</v>
      </c>
      <c r="E1486">
        <f>'ACL N0000'!G1338</f>
        <v>60</v>
      </c>
      <c r="G1486" s="412" t="str">
        <f>IF(B1486='ACL N0000'!B1338,"OK","ERROR")</f>
        <v>OK</v>
      </c>
    </row>
    <row r="1487" spans="2:7">
      <c r="B1487" s="412">
        <v>42331</v>
      </c>
      <c r="C1487">
        <v>7055.84</v>
      </c>
      <c r="D1487">
        <v>3782.72</v>
      </c>
      <c r="E1487">
        <f>'ACL N0000'!G1339</f>
        <v>60</v>
      </c>
      <c r="G1487" s="412" t="str">
        <f>IF(B1487='ACL N0000'!B1339,"OK","ERROR")</f>
        <v>OK</v>
      </c>
    </row>
    <row r="1488" spans="2:7">
      <c r="B1488" s="412">
        <v>42332</v>
      </c>
      <c r="C1488">
        <v>7009.99</v>
      </c>
      <c r="D1488">
        <v>3735.61</v>
      </c>
      <c r="E1488">
        <f>'ACL N0000'!G1340</f>
        <v>59.5</v>
      </c>
      <c r="G1488" s="412" t="str">
        <f>IF(B1488='ACL N0000'!B1340,"OK","ERROR")</f>
        <v>OK</v>
      </c>
    </row>
    <row r="1489" spans="2:7">
      <c r="B1489" s="412">
        <v>42334</v>
      </c>
      <c r="C1489">
        <v>6963.37</v>
      </c>
      <c r="D1489">
        <v>3705</v>
      </c>
      <c r="E1489">
        <f>'ACL N0000'!G1341</f>
        <v>58.4</v>
      </c>
      <c r="G1489" s="412" t="str">
        <f>IF(B1489='ACL N0000'!B1341,"OK","ERROR")</f>
        <v>OK</v>
      </c>
    </row>
    <row r="1490" spans="2:7">
      <c r="B1490" s="412">
        <v>42335</v>
      </c>
      <c r="C1490">
        <v>6961.41</v>
      </c>
      <c r="D1490">
        <v>3704.04</v>
      </c>
      <c r="E1490">
        <f>'ACL N0000'!G1342</f>
        <v>58.65</v>
      </c>
      <c r="G1490" s="412" t="str">
        <f>IF(B1490='ACL N0000'!B1342,"OK","ERROR")</f>
        <v>OK</v>
      </c>
    </row>
    <row r="1491" spans="2:7">
      <c r="B1491" s="412">
        <v>42338</v>
      </c>
      <c r="C1491">
        <v>6909.15</v>
      </c>
      <c r="D1491">
        <v>3657.69</v>
      </c>
      <c r="E1491">
        <f>'ACL N0000'!G1343</f>
        <v>58.5</v>
      </c>
      <c r="G1491" s="412" t="str">
        <f>IF(B1491='ACL N0000'!B1343,"OK","ERROR")</f>
        <v>OK</v>
      </c>
    </row>
    <row r="1492" spans="2:7">
      <c r="B1492" s="412">
        <v>42339</v>
      </c>
      <c r="C1492">
        <v>6895.19</v>
      </c>
      <c r="D1492">
        <v>3651.34</v>
      </c>
      <c r="E1492">
        <f>'ACL N0000'!G1344</f>
        <v>59.55</v>
      </c>
      <c r="G1492" s="412" t="str">
        <f>IF(B1492='ACL N0000'!B1344,"OK","ERROR")</f>
        <v>OK</v>
      </c>
    </row>
    <row r="1493" spans="2:7">
      <c r="B1493" s="412">
        <v>42340</v>
      </c>
      <c r="C1493">
        <v>6862.79</v>
      </c>
      <c r="D1493">
        <v>3637.75</v>
      </c>
      <c r="E1493">
        <f>'ACL N0000'!G1345</f>
        <v>58.65</v>
      </c>
      <c r="G1493" s="412" t="str">
        <f>IF(B1493='ACL N0000'!B1345,"OK","ERROR")</f>
        <v>OK</v>
      </c>
    </row>
    <row r="1494" spans="2:7">
      <c r="B1494" s="412">
        <v>42341</v>
      </c>
      <c r="C1494">
        <v>6880.66</v>
      </c>
      <c r="D1494">
        <v>3646.1</v>
      </c>
      <c r="E1494">
        <f>'ACL N0000'!G1346</f>
        <v>59</v>
      </c>
      <c r="G1494" s="412" t="str">
        <f>IF(B1494='ACL N0000'!B1346,"OK","ERROR")</f>
        <v>OK</v>
      </c>
    </row>
    <row r="1495" spans="2:7">
      <c r="B1495" s="412">
        <v>42342</v>
      </c>
      <c r="C1495">
        <v>6869.56</v>
      </c>
      <c r="D1495">
        <v>3638.56</v>
      </c>
      <c r="E1495">
        <f>'ACL N0000'!G1347</f>
        <v>58.35</v>
      </c>
      <c r="G1495" s="412" t="str">
        <f>IF(B1495='ACL N0000'!B1347,"OK","ERROR")</f>
        <v>OK</v>
      </c>
    </row>
    <row r="1496" spans="2:7">
      <c r="B1496" s="412">
        <v>42345</v>
      </c>
      <c r="C1496">
        <v>6869.56</v>
      </c>
      <c r="D1496">
        <v>3638.56</v>
      </c>
      <c r="E1496">
        <f>'ACL N0000'!G1348</f>
        <v>58.15</v>
      </c>
      <c r="G1496" s="412" t="str">
        <f>IF(B1496='ACL N0000'!B1348,"OK","ERROR")</f>
        <v>OK</v>
      </c>
    </row>
    <row r="1497" spans="2:7">
      <c r="B1497" s="412">
        <v>42346</v>
      </c>
      <c r="C1497">
        <v>6849.09</v>
      </c>
      <c r="D1497">
        <v>3624.39</v>
      </c>
      <c r="E1497">
        <f>'ACL N0000'!G1349</f>
        <v>58.45</v>
      </c>
      <c r="G1497" s="412" t="str">
        <f>IF(B1497='ACL N0000'!B1349,"OK","ERROR")</f>
        <v>OK</v>
      </c>
    </row>
    <row r="1498" spans="2:7">
      <c r="B1498" s="412">
        <v>42347</v>
      </c>
      <c r="C1498">
        <v>6841.55</v>
      </c>
      <c r="D1498">
        <v>3616.01</v>
      </c>
      <c r="E1498">
        <f>'ACL N0000'!G1350</f>
        <v>57.8</v>
      </c>
      <c r="G1498" s="412" t="str">
        <f>IF(B1498='ACL N0000'!B1350,"OK","ERROR")</f>
        <v>OK</v>
      </c>
    </row>
    <row r="1499" spans="2:7">
      <c r="B1499" s="412">
        <v>42348</v>
      </c>
      <c r="C1499">
        <v>6823.91</v>
      </c>
      <c r="D1499">
        <v>3612.57</v>
      </c>
      <c r="E1499">
        <f>'ACL N0000'!G1351</f>
        <v>57.75</v>
      </c>
      <c r="G1499" s="412" t="str">
        <f>IF(B1499='ACL N0000'!B1351,"OK","ERROR")</f>
        <v>OK</v>
      </c>
    </row>
    <row r="1500" spans="2:7">
      <c r="B1500" s="412">
        <v>42349</v>
      </c>
      <c r="C1500">
        <v>6832.35</v>
      </c>
      <c r="D1500">
        <v>3607.31</v>
      </c>
      <c r="E1500">
        <f>'ACL N0000'!G1352</f>
        <v>58.45</v>
      </c>
      <c r="G1500" s="412" t="str">
        <f>IF(B1500='ACL N0000'!B1352,"OK","ERROR")</f>
        <v>OK</v>
      </c>
    </row>
    <row r="1501" spans="2:7">
      <c r="B1501" s="412">
        <v>42352</v>
      </c>
      <c r="C1501">
        <v>6803.08</v>
      </c>
      <c r="D1501">
        <v>3585.63</v>
      </c>
      <c r="E1501">
        <f>'ACL N0000'!G1353</f>
        <v>58.35</v>
      </c>
      <c r="G1501" s="412" t="str">
        <f>IF(B1501='ACL N0000'!B1353,"OK","ERROR")</f>
        <v>OK</v>
      </c>
    </row>
    <row r="1502" spans="2:7">
      <c r="B1502" s="412">
        <v>42353</v>
      </c>
      <c r="C1502">
        <v>6820.77</v>
      </c>
      <c r="D1502">
        <v>3598.7</v>
      </c>
      <c r="E1502">
        <f>'ACL N0000'!G1354</f>
        <v>58.15</v>
      </c>
      <c r="G1502" s="412" t="str">
        <f>IF(B1502='ACL N0000'!B1354,"OK","ERROR")</f>
        <v>OK</v>
      </c>
    </row>
    <row r="1503" spans="2:7">
      <c r="B1503" s="412">
        <v>42354</v>
      </c>
      <c r="C1503">
        <v>6833.51</v>
      </c>
      <c r="D1503">
        <v>3597.07</v>
      </c>
      <c r="E1503">
        <f>'ACL N0000'!G1355</f>
        <v>58.25</v>
      </c>
      <c r="G1503" s="412" t="str">
        <f>IF(B1503='ACL N0000'!B1355,"OK","ERROR")</f>
        <v>OK</v>
      </c>
    </row>
    <row r="1504" spans="2:7">
      <c r="B1504" s="412">
        <v>42355</v>
      </c>
      <c r="C1504">
        <v>6859.99</v>
      </c>
      <c r="D1504">
        <v>3610.47</v>
      </c>
      <c r="E1504">
        <f>'ACL N0000'!G1356</f>
        <v>59.7</v>
      </c>
      <c r="G1504" s="412" t="str">
        <f>IF(B1504='ACL N0000'!B1356,"OK","ERROR")</f>
        <v>OK</v>
      </c>
    </row>
    <row r="1505" spans="2:7">
      <c r="B1505" s="412">
        <v>42356</v>
      </c>
      <c r="C1505">
        <v>6884.69</v>
      </c>
      <c r="D1505">
        <v>3623.91</v>
      </c>
      <c r="E1505">
        <f>'ACL N0000'!G1357</f>
        <v>59.9</v>
      </c>
      <c r="G1505" s="412" t="str">
        <f>IF(B1505='ACL N0000'!B1357,"OK","ERROR")</f>
        <v>OK</v>
      </c>
    </row>
    <row r="1506" spans="2:7">
      <c r="B1506" s="412">
        <v>42359</v>
      </c>
      <c r="C1506">
        <v>6881.75</v>
      </c>
      <c r="D1506">
        <v>3628.3</v>
      </c>
      <c r="E1506">
        <f>'ACL N0000'!G1358</f>
        <v>59.65</v>
      </c>
      <c r="G1506" s="412" t="str">
        <f>IF(B1506='ACL N0000'!B1358,"OK","ERROR")</f>
        <v>OK</v>
      </c>
    </row>
    <row r="1507" spans="2:7">
      <c r="B1507" s="412">
        <v>42360</v>
      </c>
      <c r="C1507">
        <v>6854.57</v>
      </c>
      <c r="D1507">
        <v>3605.25</v>
      </c>
      <c r="E1507">
        <f>'ACL N0000'!G1359</f>
        <v>59.65</v>
      </c>
      <c r="G1507" s="412" t="str">
        <f>IF(B1507='ACL N0000'!B1359,"OK","ERROR")</f>
        <v>OK</v>
      </c>
    </row>
    <row r="1508" spans="2:7">
      <c r="B1508" s="412">
        <v>42361</v>
      </c>
      <c r="C1508">
        <v>6858.64</v>
      </c>
      <c r="D1508">
        <v>3603.9</v>
      </c>
      <c r="E1508">
        <f>'ACL N0000'!G1360</f>
        <v>59.7</v>
      </c>
      <c r="G1508" s="412" t="str">
        <f>IF(B1508='ACL N0000'!B1360,"OK","ERROR")</f>
        <v>OK</v>
      </c>
    </row>
    <row r="1509" spans="2:7">
      <c r="B1509" s="412">
        <v>42366</v>
      </c>
      <c r="C1509">
        <v>6828.51</v>
      </c>
      <c r="D1509">
        <v>3588.64</v>
      </c>
      <c r="E1509">
        <f>'ACL N0000'!G1361</f>
        <v>59.3</v>
      </c>
      <c r="G1509" s="412" t="str">
        <f>IF(B1509='ACL N0000'!B1361,"OK","ERROR")</f>
        <v>OK</v>
      </c>
    </row>
    <row r="1510" spans="2:7">
      <c r="B1510" s="412">
        <v>42367</v>
      </c>
      <c r="C1510">
        <v>6847.74</v>
      </c>
      <c r="D1510">
        <v>3592.12</v>
      </c>
      <c r="E1510">
        <f>'ACL N0000'!G1362</f>
        <v>59.8</v>
      </c>
      <c r="G1510" s="412" t="str">
        <f>IF(B1510='ACL N0000'!B1362,"OK","ERROR")</f>
        <v>OK</v>
      </c>
    </row>
    <row r="1511" spans="2:7">
      <c r="B1511" s="412">
        <v>42368</v>
      </c>
      <c r="C1511">
        <v>6870.63</v>
      </c>
      <c r="D1511">
        <v>3605.07</v>
      </c>
      <c r="E1511">
        <f>'ACL N0000'!G1363</f>
        <v>60.1</v>
      </c>
      <c r="G1511" s="412" t="str">
        <f>IF(B1511='ACL N0000'!B1363,"OK","ERROR")</f>
        <v>OK</v>
      </c>
    </row>
    <row r="1512" spans="2:7">
      <c r="B1512" s="412">
        <v>42369</v>
      </c>
      <c r="C1512">
        <v>6894.5</v>
      </c>
      <c r="D1512">
        <v>3625.69</v>
      </c>
      <c r="E1512">
        <f>'ACL N0000'!G1364</f>
        <v>60.45</v>
      </c>
      <c r="G1512" s="412" t="str">
        <f>IF(B1512='ACL N0000'!B1364,"OK","ERROR")</f>
        <v>OK</v>
      </c>
    </row>
    <row r="1513" spans="2:7">
      <c r="B1513" s="412">
        <v>42373</v>
      </c>
      <c r="C1513">
        <v>6867.62</v>
      </c>
      <c r="D1513">
        <v>3598.88</v>
      </c>
      <c r="E1513">
        <f>'ACL N0000'!G1365</f>
        <v>60.25</v>
      </c>
      <c r="G1513" s="412" t="str">
        <f>IF(B1513='ACL N0000'!B1365,"OK","ERROR")</f>
        <v>OK</v>
      </c>
    </row>
    <row r="1514" spans="2:7">
      <c r="B1514" s="412">
        <v>42374</v>
      </c>
      <c r="C1514">
        <v>6845.3</v>
      </c>
      <c r="D1514">
        <v>3586.25</v>
      </c>
      <c r="E1514">
        <f>'ACL N0000'!G1366</f>
        <v>59.6</v>
      </c>
      <c r="G1514" s="412" t="str">
        <f>IF(B1514='ACL N0000'!B1366,"OK","ERROR")</f>
        <v>OK</v>
      </c>
    </row>
    <row r="1515" spans="2:7">
      <c r="B1515" s="412">
        <v>42375</v>
      </c>
      <c r="C1515">
        <v>6817.65</v>
      </c>
      <c r="D1515">
        <v>3573.18</v>
      </c>
      <c r="E1515">
        <f>'ACL N0000'!G1367</f>
        <v>59.55</v>
      </c>
      <c r="G1515" s="412" t="str">
        <f>IF(B1515='ACL N0000'!B1367,"OK","ERROR")</f>
        <v>OK</v>
      </c>
    </row>
    <row r="1516" spans="2:7">
      <c r="B1516" s="412">
        <v>42376</v>
      </c>
      <c r="C1516">
        <v>6775.27</v>
      </c>
      <c r="D1516">
        <v>3546.45</v>
      </c>
      <c r="E1516">
        <f>'ACL N0000'!G1368</f>
        <v>59.25</v>
      </c>
      <c r="G1516" s="412" t="str">
        <f>IF(B1516='ACL N0000'!B1368,"OK","ERROR")</f>
        <v>OK</v>
      </c>
    </row>
    <row r="1517" spans="2:7">
      <c r="B1517" s="412">
        <v>42377</v>
      </c>
      <c r="C1517">
        <v>6726.28</v>
      </c>
      <c r="D1517">
        <v>3514.41</v>
      </c>
      <c r="E1517">
        <f>'ACL N0000'!G1369</f>
        <v>58.2</v>
      </c>
      <c r="G1517" s="412" t="str">
        <f>IF(B1517='ACL N0000'!B1369,"OK","ERROR")</f>
        <v>OK</v>
      </c>
    </row>
    <row r="1518" spans="2:7">
      <c r="B1518" s="412">
        <v>42380</v>
      </c>
      <c r="C1518">
        <v>6650.32</v>
      </c>
      <c r="D1518">
        <v>3464.04</v>
      </c>
      <c r="E1518">
        <f>'ACL N0000'!G1370</f>
        <v>57</v>
      </c>
      <c r="G1518" s="412" t="str">
        <f>IF(B1518='ACL N0000'!B1370,"OK","ERROR")</f>
        <v>OK</v>
      </c>
    </row>
    <row r="1519" spans="2:7">
      <c r="B1519" s="412">
        <v>42381</v>
      </c>
      <c r="C1519">
        <v>6534.35</v>
      </c>
      <c r="D1519">
        <v>3393.04</v>
      </c>
      <c r="E1519">
        <f>'ACL N0000'!G1371</f>
        <v>55.95</v>
      </c>
      <c r="G1519" s="412" t="str">
        <f>IF(B1519='ACL N0000'!B1371,"OK","ERROR")</f>
        <v>OK</v>
      </c>
    </row>
    <row r="1520" spans="2:7">
      <c r="B1520" s="412">
        <v>42382</v>
      </c>
      <c r="C1520">
        <v>6554.37</v>
      </c>
      <c r="D1520">
        <v>3405.57</v>
      </c>
      <c r="E1520">
        <f>'ACL N0000'!G1372</f>
        <v>56.2</v>
      </c>
      <c r="G1520" s="412" t="str">
        <f>IF(B1520='ACL N0000'!B1372,"OK","ERROR")</f>
        <v>OK</v>
      </c>
    </row>
    <row r="1521" spans="2:7">
      <c r="B1521" s="412">
        <v>42383</v>
      </c>
      <c r="C1521">
        <v>6446.2</v>
      </c>
      <c r="D1521">
        <v>3340.13</v>
      </c>
      <c r="E1521">
        <f>'ACL N0000'!G1373</f>
        <v>55.5</v>
      </c>
      <c r="G1521" s="412" t="str">
        <f>IF(B1521='ACL N0000'!B1373,"OK","ERROR")</f>
        <v>OK</v>
      </c>
    </row>
    <row r="1522" spans="2:7">
      <c r="B1522" s="412">
        <v>42387</v>
      </c>
      <c r="C1522">
        <v>6324.61</v>
      </c>
      <c r="D1522">
        <v>3284.36</v>
      </c>
      <c r="E1522">
        <f>'ACL N0000'!G1374</f>
        <v>51.85</v>
      </c>
      <c r="G1522" s="412" t="str">
        <f>IF(B1522='ACL N0000'!B1374,"OK","ERROR")</f>
        <v>OK</v>
      </c>
    </row>
    <row r="1523" spans="2:7">
      <c r="B1523" s="412">
        <v>42388</v>
      </c>
      <c r="C1523">
        <v>6283.24</v>
      </c>
      <c r="D1523">
        <v>3261.3</v>
      </c>
      <c r="E1523">
        <f>'ACL N0000'!G1375</f>
        <v>52.15</v>
      </c>
      <c r="G1523" s="412" t="str">
        <f>IF(B1523='ACL N0000'!B1375,"OK","ERROR")</f>
        <v>OK</v>
      </c>
    </row>
    <row r="1524" spans="2:7">
      <c r="B1524" s="412">
        <v>42389</v>
      </c>
      <c r="C1524">
        <v>6261.18</v>
      </c>
      <c r="D1524">
        <v>3241.08</v>
      </c>
      <c r="E1524">
        <f>'ACL N0000'!G1376</f>
        <v>52.7</v>
      </c>
      <c r="G1524" s="412" t="str">
        <f>IF(B1524='ACL N0000'!B1376,"OK","ERROR")</f>
        <v>OK</v>
      </c>
    </row>
    <row r="1525" spans="2:7">
      <c r="B1525" s="412">
        <v>42390</v>
      </c>
      <c r="C1525">
        <v>6349.71</v>
      </c>
      <c r="D1525">
        <v>3293.49</v>
      </c>
      <c r="E1525">
        <f>'ACL N0000'!G1377</f>
        <v>54.7</v>
      </c>
      <c r="G1525" s="412" t="str">
        <f>IF(B1525='ACL N0000'!B1377,"OK","ERROR")</f>
        <v>OK</v>
      </c>
    </row>
    <row r="1526" spans="2:7">
      <c r="B1526" s="412">
        <v>42391</v>
      </c>
      <c r="C1526">
        <v>6382.24</v>
      </c>
      <c r="D1526">
        <v>3315.36</v>
      </c>
      <c r="E1526">
        <f>'ACL N0000'!G1378</f>
        <v>54.95</v>
      </c>
      <c r="G1526" s="412" t="str">
        <f>IF(B1526='ACL N0000'!B1378,"OK","ERROR")</f>
        <v>OK</v>
      </c>
    </row>
    <row r="1527" spans="2:7">
      <c r="B1527" s="412">
        <v>42394</v>
      </c>
      <c r="C1527">
        <v>6354.83</v>
      </c>
      <c r="D1527">
        <v>3298.66</v>
      </c>
      <c r="E1527">
        <f>'ACL N0000'!G1379</f>
        <v>55.65</v>
      </c>
      <c r="G1527" s="412" t="str">
        <f>IF(B1527='ACL N0000'!B1379,"OK","ERROR")</f>
        <v>OK</v>
      </c>
    </row>
    <row r="1528" spans="2:7">
      <c r="B1528" s="412">
        <v>42395</v>
      </c>
      <c r="C1528">
        <v>6322.87</v>
      </c>
      <c r="D1528">
        <v>3278.15</v>
      </c>
      <c r="E1528">
        <f>'ACL N0000'!G1380</f>
        <v>54.75</v>
      </c>
      <c r="G1528" s="412" t="str">
        <f>IF(B1528='ACL N0000'!B1380,"OK","ERROR")</f>
        <v>OK</v>
      </c>
    </row>
    <row r="1529" spans="2:7">
      <c r="B1529" s="412">
        <v>42396</v>
      </c>
      <c r="C1529">
        <v>6316.46</v>
      </c>
      <c r="D1529">
        <v>3275.42</v>
      </c>
      <c r="E1529">
        <f>'ACL N0000'!G1381</f>
        <v>55.7</v>
      </c>
      <c r="G1529" s="412" t="str">
        <f>IF(B1529='ACL N0000'!B1381,"OK","ERROR")</f>
        <v>OK</v>
      </c>
    </row>
    <row r="1530" spans="2:7">
      <c r="B1530" s="412">
        <v>42397</v>
      </c>
      <c r="C1530">
        <v>6319.89</v>
      </c>
      <c r="D1530">
        <v>3279.77</v>
      </c>
      <c r="E1530">
        <f>'ACL N0000'!G1382</f>
        <v>55.35</v>
      </c>
      <c r="G1530" s="412" t="str">
        <f>IF(B1530='ACL N0000'!B1382,"OK","ERROR")</f>
        <v>OK</v>
      </c>
    </row>
    <row r="1531" spans="2:7">
      <c r="B1531" s="412">
        <v>42398</v>
      </c>
      <c r="C1531">
        <v>6340.05</v>
      </c>
      <c r="D1531">
        <v>3302.01</v>
      </c>
      <c r="E1531">
        <f>'ACL N0000'!G1383</f>
        <v>56</v>
      </c>
      <c r="G1531" s="412" t="str">
        <f>IF(B1531='ACL N0000'!B1383,"OK","ERROR")</f>
        <v>OK</v>
      </c>
    </row>
    <row r="1532" spans="2:7">
      <c r="B1532" s="412">
        <v>42401</v>
      </c>
      <c r="C1532">
        <v>6363.18</v>
      </c>
      <c r="D1532">
        <v>3322.49</v>
      </c>
      <c r="E1532">
        <f>'ACL N0000'!G1384</f>
        <v>57.3</v>
      </c>
      <c r="G1532" s="412" t="str">
        <f>IF(B1532='ACL N0000'!B1384,"OK","ERROR")</f>
        <v>OK</v>
      </c>
    </row>
    <row r="1533" spans="2:7">
      <c r="B1533" s="412">
        <v>42402</v>
      </c>
      <c r="C1533">
        <v>6425.96</v>
      </c>
      <c r="D1533">
        <v>3357.42</v>
      </c>
      <c r="E1533">
        <f>'ACL N0000'!G1385</f>
        <v>57.9</v>
      </c>
      <c r="G1533" s="412" t="str">
        <f>IF(B1533='ACL N0000'!B1385,"OK","ERROR")</f>
        <v>OK</v>
      </c>
    </row>
    <row r="1534" spans="2:7">
      <c r="B1534" s="412">
        <v>42403</v>
      </c>
      <c r="C1534">
        <v>6402.8</v>
      </c>
      <c r="D1534">
        <v>3336.04</v>
      </c>
      <c r="E1534">
        <f>'ACL N0000'!G1386</f>
        <v>57.65</v>
      </c>
      <c r="G1534" s="412" t="str">
        <f>IF(B1534='ACL N0000'!B1386,"OK","ERROR")</f>
        <v>OK</v>
      </c>
    </row>
    <row r="1535" spans="2:7">
      <c r="B1535" s="412">
        <v>42405</v>
      </c>
      <c r="C1535">
        <v>6404.64</v>
      </c>
      <c r="D1535">
        <v>3338.97</v>
      </c>
      <c r="E1535">
        <f>'ACL N0000'!G1387</f>
        <v>58.4</v>
      </c>
      <c r="G1535" s="412" t="str">
        <f>IF(B1535='ACL N0000'!B1387,"OK","ERROR")</f>
        <v>OK</v>
      </c>
    </row>
    <row r="1536" spans="2:7">
      <c r="B1536" s="412">
        <v>42408</v>
      </c>
      <c r="C1536">
        <v>6401.66</v>
      </c>
      <c r="D1536">
        <v>3347.32</v>
      </c>
      <c r="E1536">
        <f>'ACL N0000'!G1388</f>
        <v>57.85</v>
      </c>
      <c r="G1536" s="412" t="str">
        <f>IF(B1536='ACL N0000'!B1388,"OK","ERROR")</f>
        <v>OK</v>
      </c>
    </row>
    <row r="1537" spans="2:7">
      <c r="B1537" s="412">
        <v>42409</v>
      </c>
      <c r="C1537">
        <v>6372.71</v>
      </c>
      <c r="D1537">
        <v>3333.63</v>
      </c>
      <c r="E1537">
        <f>'ACL N0000'!G1389</f>
        <v>57.45</v>
      </c>
      <c r="G1537" s="412" t="str">
        <f>IF(B1537='ACL N0000'!B1389,"OK","ERROR")</f>
        <v>OK</v>
      </c>
    </row>
    <row r="1538" spans="2:7">
      <c r="B1538" s="412">
        <v>42410</v>
      </c>
      <c r="C1538">
        <v>6364.4</v>
      </c>
      <c r="D1538">
        <v>3321.59</v>
      </c>
      <c r="E1538">
        <f>'ACL N0000'!G1390</f>
        <v>57.65</v>
      </c>
      <c r="G1538" s="412" t="str">
        <f>IF(B1538='ACL N0000'!B1390,"OK","ERROR")</f>
        <v>OK</v>
      </c>
    </row>
    <row r="1539" spans="2:7">
      <c r="B1539" s="412">
        <v>42411</v>
      </c>
      <c r="C1539">
        <v>6314.82</v>
      </c>
      <c r="D1539">
        <v>3287.02</v>
      </c>
      <c r="E1539">
        <f>'ACL N0000'!G1391</f>
        <v>57</v>
      </c>
      <c r="G1539" s="412" t="str">
        <f>IF(B1539='ACL N0000'!B1391,"OK","ERROR")</f>
        <v>OK</v>
      </c>
    </row>
    <row r="1540" spans="2:7">
      <c r="B1540" s="412">
        <v>42412</v>
      </c>
      <c r="C1540">
        <v>6283</v>
      </c>
      <c r="D1540">
        <v>3264.94</v>
      </c>
      <c r="E1540">
        <f>'ACL N0000'!G1392</f>
        <v>55.7</v>
      </c>
      <c r="G1540" s="412" t="str">
        <f>IF(B1540='ACL N0000'!B1392,"OK","ERROR")</f>
        <v>OK</v>
      </c>
    </row>
    <row r="1541" spans="2:7">
      <c r="B1541" s="412">
        <v>42415</v>
      </c>
      <c r="C1541">
        <v>6266.17</v>
      </c>
      <c r="D1541">
        <v>3256.68</v>
      </c>
      <c r="E1541">
        <f>'ACL N0000'!G1393</f>
        <v>54.55</v>
      </c>
      <c r="G1541" s="412" t="str">
        <f>IF(B1541='ACL N0000'!B1393,"OK","ERROR")</f>
        <v>OK</v>
      </c>
    </row>
    <row r="1542" spans="2:7">
      <c r="B1542" s="412">
        <v>42416</v>
      </c>
      <c r="C1542">
        <v>6254.16</v>
      </c>
      <c r="D1542">
        <v>3256.31</v>
      </c>
      <c r="E1542">
        <f>'ACL N0000'!G1394</f>
        <v>53.55</v>
      </c>
      <c r="G1542" s="412" t="str">
        <f>IF(B1542='ACL N0000'!B1394,"OK","ERROR")</f>
        <v>OK</v>
      </c>
    </row>
    <row r="1543" spans="2:7">
      <c r="B1543" s="412">
        <v>42417</v>
      </c>
      <c r="C1543">
        <v>6220.82</v>
      </c>
      <c r="D1543">
        <v>3236.43</v>
      </c>
      <c r="E1543">
        <f>'ACL N0000'!G1395</f>
        <v>52.45</v>
      </c>
      <c r="G1543" s="412" t="str">
        <f>IF(B1543='ACL N0000'!B1395,"OK","ERROR")</f>
        <v>OK</v>
      </c>
    </row>
    <row r="1544" spans="2:7">
      <c r="B1544" s="412">
        <v>42418</v>
      </c>
      <c r="C1544">
        <v>6208.89</v>
      </c>
      <c r="D1544">
        <v>3240.79</v>
      </c>
      <c r="E1544">
        <f>'ACL N0000'!G1396</f>
        <v>51.5</v>
      </c>
      <c r="G1544" s="412" t="str">
        <f>IF(B1544='ACL N0000'!B1396,"OK","ERROR")</f>
        <v>OK</v>
      </c>
    </row>
    <row r="1545" spans="2:7">
      <c r="B1545" s="412">
        <v>42419</v>
      </c>
      <c r="C1545">
        <v>6250.78</v>
      </c>
      <c r="D1545">
        <v>3265.14</v>
      </c>
      <c r="E1545">
        <f>'ACL N0000'!G1397</f>
        <v>51.55</v>
      </c>
      <c r="G1545" s="412" t="str">
        <f>IF(B1545='ACL N0000'!B1397,"OK","ERROR")</f>
        <v>OK</v>
      </c>
    </row>
    <row r="1546" spans="2:7">
      <c r="B1546" s="412">
        <v>42423</v>
      </c>
      <c r="C1546">
        <v>6228.99</v>
      </c>
      <c r="D1546">
        <v>3261.73</v>
      </c>
      <c r="E1546">
        <f>'ACL N0000'!G1398</f>
        <v>51.45</v>
      </c>
      <c r="G1546" s="412" t="str">
        <f>IF(B1546='ACL N0000'!B1398,"OK","ERROR")</f>
        <v>OK</v>
      </c>
    </row>
    <row r="1547" spans="2:7">
      <c r="B1547" s="412">
        <v>42424</v>
      </c>
      <c r="C1547">
        <v>6217.64</v>
      </c>
      <c r="D1547">
        <v>3259.97</v>
      </c>
      <c r="E1547">
        <f>'ACL N0000'!G1399</f>
        <v>51.2</v>
      </c>
      <c r="G1547" s="412" t="str">
        <f>IF(B1547='ACL N0000'!B1399,"OK","ERROR")</f>
        <v>OK</v>
      </c>
    </row>
    <row r="1548" spans="2:7">
      <c r="B1548" s="412">
        <v>42425</v>
      </c>
      <c r="C1548">
        <v>6202.64</v>
      </c>
      <c r="D1548">
        <v>3252.33</v>
      </c>
      <c r="E1548">
        <f>'ACL N0000'!G1400</f>
        <v>51.5</v>
      </c>
      <c r="G1548" s="412" t="str">
        <f>IF(B1548='ACL N0000'!B1400,"OK","ERROR")</f>
        <v>OK</v>
      </c>
    </row>
    <row r="1549" spans="2:7">
      <c r="B1549" s="412">
        <v>42426</v>
      </c>
      <c r="C1549">
        <v>6203.98</v>
      </c>
      <c r="D1549">
        <v>3247.69</v>
      </c>
      <c r="E1549">
        <f>'ACL N0000'!G1401</f>
        <v>51.25</v>
      </c>
      <c r="G1549" s="412" t="str">
        <f>IF(B1549='ACL N0000'!B1401,"OK","ERROR")</f>
        <v>OK</v>
      </c>
    </row>
    <row r="1550" spans="2:7">
      <c r="B1550" s="412">
        <v>42429</v>
      </c>
      <c r="C1550">
        <v>6191.81</v>
      </c>
      <c r="D1550">
        <v>3249.46</v>
      </c>
      <c r="E1550">
        <f>'ACL N0000'!G1402</f>
        <v>51</v>
      </c>
      <c r="G1550" s="412" t="str">
        <f>IF(B1550='ACL N0000'!B1402,"OK","ERROR")</f>
        <v>OK</v>
      </c>
    </row>
    <row r="1551" spans="2:7">
      <c r="B1551" s="412">
        <v>42430</v>
      </c>
      <c r="C1551">
        <v>6113.4</v>
      </c>
      <c r="D1551">
        <v>3229.23</v>
      </c>
      <c r="E1551">
        <f>'ACL N0000'!G1403</f>
        <v>50</v>
      </c>
      <c r="G1551" s="412" t="str">
        <f>IF(B1551='ACL N0000'!B1403,"OK","ERROR")</f>
        <v>OK</v>
      </c>
    </row>
    <row r="1552" spans="2:7">
      <c r="B1552" s="412">
        <v>42431</v>
      </c>
      <c r="C1552">
        <v>6078.41</v>
      </c>
      <c r="D1552">
        <v>3210.6</v>
      </c>
      <c r="E1552">
        <f>'ACL N0000'!G1404</f>
        <v>50</v>
      </c>
      <c r="G1552" s="412" t="str">
        <f>IF(B1552='ACL N0000'!B1404,"OK","ERROR")</f>
        <v>OK</v>
      </c>
    </row>
    <row r="1553" spans="2:7">
      <c r="B1553" s="412">
        <v>42432</v>
      </c>
      <c r="C1553">
        <v>6060.91</v>
      </c>
      <c r="D1553">
        <v>3206.1</v>
      </c>
      <c r="E1553">
        <f>'ACL N0000'!G1405</f>
        <v>50.3</v>
      </c>
      <c r="G1553" s="412" t="str">
        <f>IF(B1553='ACL N0000'!B1405,"OK","ERROR")</f>
        <v>OK</v>
      </c>
    </row>
    <row r="1554" spans="2:7">
      <c r="B1554" s="412">
        <v>42433</v>
      </c>
      <c r="C1554">
        <v>6057.22</v>
      </c>
      <c r="D1554">
        <v>3204.5</v>
      </c>
      <c r="E1554">
        <f>'ACL N0000'!G1406</f>
        <v>50.8</v>
      </c>
      <c r="G1554" s="412" t="str">
        <f>IF(B1554='ACL N0000'!B1406,"OK","ERROR")</f>
        <v>OK</v>
      </c>
    </row>
    <row r="1555" spans="2:7">
      <c r="B1555" s="412">
        <v>42437</v>
      </c>
      <c r="C1555">
        <v>5934.72</v>
      </c>
      <c r="D1555">
        <v>3144.85</v>
      </c>
      <c r="E1555">
        <f>'ACL N0000'!G1407</f>
        <v>48.35</v>
      </c>
      <c r="G1555" s="412" t="str">
        <f>IF(B1555='ACL N0000'!B1407,"OK","ERROR")</f>
        <v>OK</v>
      </c>
    </row>
    <row r="1556" spans="2:7">
      <c r="B1556" s="412">
        <v>42438</v>
      </c>
      <c r="C1556">
        <v>5862.35</v>
      </c>
      <c r="D1556">
        <v>3092.92</v>
      </c>
      <c r="E1556">
        <f>'ACL N0000'!G1408</f>
        <v>46.9</v>
      </c>
      <c r="G1556" s="412" t="str">
        <f>IF(B1556='ACL N0000'!B1408,"OK","ERROR")</f>
        <v>OK</v>
      </c>
    </row>
    <row r="1557" spans="2:7">
      <c r="B1557" s="412">
        <v>42439</v>
      </c>
      <c r="C1557">
        <v>5948.23</v>
      </c>
      <c r="D1557">
        <v>3133.56</v>
      </c>
      <c r="E1557">
        <f>'ACL N0000'!G1409</f>
        <v>49.1</v>
      </c>
      <c r="G1557" s="412" t="str">
        <f>IF(B1557='ACL N0000'!B1409,"OK","ERROR")</f>
        <v>OK</v>
      </c>
    </row>
    <row r="1558" spans="2:7">
      <c r="B1558" s="412">
        <v>42440</v>
      </c>
      <c r="C1558">
        <v>6019.95</v>
      </c>
      <c r="D1558">
        <v>3180.92</v>
      </c>
      <c r="E1558">
        <f>'ACL N0000'!G1410</f>
        <v>50.35</v>
      </c>
      <c r="G1558" s="412" t="str">
        <f>IF(B1558='ACL N0000'!B1410,"OK","ERROR")</f>
        <v>OK</v>
      </c>
    </row>
    <row r="1559" spans="2:7">
      <c r="B1559" s="412">
        <v>42443</v>
      </c>
      <c r="C1559">
        <v>5979.43</v>
      </c>
      <c r="D1559">
        <v>3158.23</v>
      </c>
      <c r="E1559">
        <f>'ACL N0000'!G1411</f>
        <v>49.85</v>
      </c>
      <c r="G1559" s="412" t="str">
        <f>IF(B1559='ACL N0000'!B1411,"OK","ERROR")</f>
        <v>OK</v>
      </c>
    </row>
    <row r="1560" spans="2:7">
      <c r="B1560" s="412">
        <v>42444</v>
      </c>
      <c r="C1560">
        <v>5970.4</v>
      </c>
      <c r="D1560">
        <v>3142.95</v>
      </c>
      <c r="E1560">
        <f>'ACL N0000'!G1412</f>
        <v>49.8</v>
      </c>
      <c r="G1560" s="412" t="str">
        <f>IF(B1560='ACL N0000'!B1412,"OK","ERROR")</f>
        <v>OK</v>
      </c>
    </row>
    <row r="1561" spans="2:7">
      <c r="B1561" s="412">
        <v>42445</v>
      </c>
      <c r="C1561">
        <v>6021.37</v>
      </c>
      <c r="D1561">
        <v>3159.92</v>
      </c>
      <c r="E1561">
        <f>'ACL N0000'!G1413</f>
        <v>51.15</v>
      </c>
      <c r="G1561" s="412" t="str">
        <f>IF(B1561='ACL N0000'!B1413,"OK","ERROR")</f>
        <v>OK</v>
      </c>
    </row>
    <row r="1562" spans="2:7">
      <c r="B1562" s="412">
        <v>42446</v>
      </c>
      <c r="C1562">
        <v>6068.17</v>
      </c>
      <c r="D1562">
        <v>3174.05</v>
      </c>
      <c r="E1562">
        <f>'ACL N0000'!G1414</f>
        <v>52.5</v>
      </c>
      <c r="G1562" s="412" t="str">
        <f>IF(B1562='ACL N0000'!B1414,"OK","ERROR")</f>
        <v>OK</v>
      </c>
    </row>
    <row r="1563" spans="2:7">
      <c r="B1563" s="412">
        <v>42447</v>
      </c>
      <c r="C1563">
        <v>6057.79</v>
      </c>
      <c r="D1563">
        <v>3167.46</v>
      </c>
      <c r="E1563">
        <f>'ACL N0000'!G1415</f>
        <v>52.5</v>
      </c>
      <c r="G1563" s="412" t="str">
        <f>IF(B1563='ACL N0000'!B1415,"OK","ERROR")</f>
        <v>OK</v>
      </c>
    </row>
    <row r="1564" spans="2:7">
      <c r="B1564" s="412">
        <v>42450</v>
      </c>
      <c r="C1564">
        <v>6088.57</v>
      </c>
      <c r="D1564">
        <v>3180.83</v>
      </c>
      <c r="E1564">
        <f>'ACL N0000'!G1416</f>
        <v>51.7</v>
      </c>
      <c r="G1564" s="412" t="str">
        <f>IF(B1564='ACL N0000'!B1416,"OK","ERROR")</f>
        <v>OK</v>
      </c>
    </row>
    <row r="1565" spans="2:7">
      <c r="B1565" s="412">
        <v>42452</v>
      </c>
      <c r="C1565">
        <v>6073.5</v>
      </c>
      <c r="D1565">
        <v>3188.27</v>
      </c>
      <c r="E1565">
        <f>'ACL N0000'!G1417</f>
        <v>51.7</v>
      </c>
      <c r="G1565" s="412" t="str">
        <f>IF(B1565='ACL N0000'!B1417,"OK","ERROR")</f>
        <v>OK</v>
      </c>
    </row>
    <row r="1566" spans="2:7">
      <c r="B1566" s="412">
        <v>42453</v>
      </c>
      <c r="C1566">
        <v>6092.45</v>
      </c>
      <c r="D1566">
        <v>3197.3</v>
      </c>
      <c r="E1566">
        <f>'ACL N0000'!G1418</f>
        <v>51.7</v>
      </c>
      <c r="G1566" s="412" t="str">
        <f>IF(B1566='ACL N0000'!B1418,"OK","ERROR")</f>
        <v>OK</v>
      </c>
    </row>
    <row r="1567" spans="2:7">
      <c r="B1567" s="412">
        <v>42457</v>
      </c>
      <c r="C1567">
        <v>6062.05</v>
      </c>
      <c r="D1567">
        <v>3194.84</v>
      </c>
      <c r="E1567">
        <f>'ACL N0000'!G1419</f>
        <v>51.7</v>
      </c>
      <c r="G1567" s="412" t="str">
        <f>IF(B1567='ACL N0000'!B1419,"OK","ERROR")</f>
        <v>OK</v>
      </c>
    </row>
    <row r="1568" spans="2:7">
      <c r="B1568" s="412">
        <v>42458</v>
      </c>
      <c r="C1568">
        <v>6031.85</v>
      </c>
      <c r="D1568">
        <v>3181.64</v>
      </c>
      <c r="E1568">
        <f>'ACL N0000'!G1420</f>
        <v>49.05</v>
      </c>
      <c r="G1568" s="412" t="str">
        <f>IF(B1568='ACL N0000'!B1420,"OK","ERROR")</f>
        <v>OK</v>
      </c>
    </row>
    <row r="1569" spans="2:7">
      <c r="B1569" s="412">
        <v>42459</v>
      </c>
      <c r="C1569">
        <v>6040.99</v>
      </c>
      <c r="D1569">
        <v>3188.26</v>
      </c>
      <c r="E1569">
        <f>'ACL N0000'!G1421</f>
        <v>50.5</v>
      </c>
      <c r="G1569" s="412" t="str">
        <f>IF(B1569='ACL N0000'!B1421,"OK","ERROR")</f>
        <v>OK</v>
      </c>
    </row>
    <row r="1570" spans="2:7">
      <c r="B1570" s="412">
        <v>42460</v>
      </c>
      <c r="C1570">
        <v>6071.88</v>
      </c>
      <c r="D1570">
        <v>3204.44</v>
      </c>
      <c r="E1570">
        <f>'ACL N0000'!G1422</f>
        <v>50.45</v>
      </c>
      <c r="G1570" s="412" t="str">
        <f>IF(B1570='ACL N0000'!B1422,"OK","ERROR")</f>
        <v>OK</v>
      </c>
    </row>
    <row r="1571" spans="2:7">
      <c r="B1571" s="412">
        <v>42461</v>
      </c>
      <c r="C1571">
        <v>6083.01</v>
      </c>
      <c r="D1571">
        <v>3212.01</v>
      </c>
      <c r="E1571">
        <f>'ACL N0000'!G1423</f>
        <v>50.05</v>
      </c>
      <c r="G1571" s="412" t="str">
        <f>IF(B1571='ACL N0000'!B1423,"OK","ERROR")</f>
        <v>OK</v>
      </c>
    </row>
    <row r="1572" spans="2:7">
      <c r="B1572" s="412">
        <v>42464</v>
      </c>
      <c r="C1572">
        <v>6079.15</v>
      </c>
      <c r="D1572">
        <v>3214.78</v>
      </c>
      <c r="E1572">
        <f>'ACL N0000'!G1424</f>
        <v>50.25</v>
      </c>
      <c r="G1572" s="412" t="str">
        <f>IF(B1572='ACL N0000'!B1424,"OK","ERROR")</f>
        <v>OK</v>
      </c>
    </row>
    <row r="1573" spans="2:7">
      <c r="B1573" s="412">
        <v>42465</v>
      </c>
      <c r="C1573">
        <v>6159.02</v>
      </c>
      <c r="D1573">
        <v>3253.45</v>
      </c>
      <c r="E1573">
        <f>'ACL N0000'!G1425</f>
        <v>51.5</v>
      </c>
      <c r="G1573" s="412" t="str">
        <f>IF(B1573='ACL N0000'!B1425,"OK","ERROR")</f>
        <v>OK</v>
      </c>
    </row>
    <row r="1574" spans="2:7">
      <c r="B1574" s="412">
        <v>42466</v>
      </c>
      <c r="C1574">
        <v>6165.11</v>
      </c>
      <c r="D1574">
        <v>3254.7</v>
      </c>
      <c r="E1574">
        <f>'ACL N0000'!G1426</f>
        <v>51.65</v>
      </c>
      <c r="G1574" s="412" t="str">
        <f>IF(B1574='ACL N0000'!B1426,"OK","ERROR")</f>
        <v>OK</v>
      </c>
    </row>
    <row r="1575" spans="2:7">
      <c r="B1575" s="412">
        <v>42467</v>
      </c>
      <c r="C1575">
        <v>6230.19</v>
      </c>
      <c r="D1575">
        <v>3283.31</v>
      </c>
      <c r="E1575">
        <f>'ACL N0000'!G1427</f>
        <v>52.45</v>
      </c>
      <c r="G1575" s="412" t="str">
        <f>IF(B1575='ACL N0000'!B1427,"OK","ERROR")</f>
        <v>OK</v>
      </c>
    </row>
    <row r="1576" spans="2:7">
      <c r="B1576" s="412">
        <v>42468</v>
      </c>
      <c r="C1576">
        <v>6275.62</v>
      </c>
      <c r="D1576">
        <v>3311.94</v>
      </c>
      <c r="E1576">
        <f>'ACL N0000'!G1428</f>
        <v>53.6</v>
      </c>
      <c r="G1576" s="412" t="str">
        <f>IF(B1576='ACL N0000'!B1428,"OK","ERROR")</f>
        <v>OK</v>
      </c>
    </row>
    <row r="1577" spans="2:7">
      <c r="B1577" s="412">
        <v>42471</v>
      </c>
      <c r="C1577">
        <v>6275.62</v>
      </c>
      <c r="D1577">
        <v>3325.71</v>
      </c>
      <c r="E1577">
        <f>'ACL N0000'!G1429</f>
        <v>53.45</v>
      </c>
      <c r="G1577" s="412" t="str">
        <f>IF(B1577='ACL N0000'!B1429,"OK","ERROR")</f>
        <v>OK</v>
      </c>
    </row>
    <row r="1578" spans="2:7">
      <c r="B1578" s="412">
        <v>42472</v>
      </c>
      <c r="C1578">
        <v>6353.2</v>
      </c>
      <c r="D1578">
        <v>3361.55</v>
      </c>
      <c r="E1578">
        <f>'ACL N0000'!G1430</f>
        <v>53.5</v>
      </c>
      <c r="G1578" s="412" t="str">
        <f>IF(B1578='ACL N0000'!B1430,"OK","ERROR")</f>
        <v>OK</v>
      </c>
    </row>
    <row r="1579" spans="2:7">
      <c r="B1579" s="412">
        <v>42475</v>
      </c>
      <c r="C1579">
        <v>6401.32</v>
      </c>
      <c r="D1579">
        <v>3365.66</v>
      </c>
      <c r="E1579">
        <f>'ACL N0000'!G1431</f>
        <v>53.4</v>
      </c>
      <c r="G1579" s="412" t="str">
        <f>IF(B1579='ACL N0000'!B1431,"OK","ERROR")</f>
        <v>OK</v>
      </c>
    </row>
    <row r="1580" spans="2:7">
      <c r="B1580" s="412">
        <v>42478</v>
      </c>
      <c r="C1580">
        <v>6382.31</v>
      </c>
      <c r="D1580">
        <v>3363.83</v>
      </c>
      <c r="E1580">
        <f>'ACL N0000'!G1432</f>
        <v>53.7</v>
      </c>
      <c r="G1580" s="412" t="str">
        <f>IF(B1580='ACL N0000'!B1432,"OK","ERROR")</f>
        <v>OK</v>
      </c>
    </row>
    <row r="1581" spans="2:7">
      <c r="B1581" s="412">
        <v>42479</v>
      </c>
      <c r="C1581">
        <v>6387.85</v>
      </c>
      <c r="D1581">
        <v>3368.83</v>
      </c>
      <c r="E1581">
        <f>'ACL N0000'!G1433</f>
        <v>53.5</v>
      </c>
      <c r="G1581" s="412" t="str">
        <f>IF(B1581='ACL N0000'!B1433,"OK","ERROR")</f>
        <v>OK</v>
      </c>
    </row>
    <row r="1582" spans="2:7">
      <c r="B1582" s="412">
        <v>42480</v>
      </c>
      <c r="C1582">
        <v>6423.13</v>
      </c>
      <c r="D1582">
        <v>3395.71</v>
      </c>
      <c r="E1582">
        <f>'ACL N0000'!G1434</f>
        <v>54.25</v>
      </c>
      <c r="G1582" s="412" t="str">
        <f>IF(B1582='ACL N0000'!B1434,"OK","ERROR")</f>
        <v>OK</v>
      </c>
    </row>
    <row r="1583" spans="2:7">
      <c r="B1583" s="412">
        <v>42482</v>
      </c>
      <c r="C1583">
        <v>6422.65</v>
      </c>
      <c r="D1583">
        <v>3395.84</v>
      </c>
      <c r="E1583">
        <f>'ACL N0000'!G1435</f>
        <v>56.2</v>
      </c>
      <c r="G1583" s="412" t="str">
        <f>IF(B1583='ACL N0000'!B1435,"OK","ERROR")</f>
        <v>OK</v>
      </c>
    </row>
    <row r="1584" spans="2:7">
      <c r="B1584" s="412">
        <v>42485</v>
      </c>
      <c r="C1584">
        <v>6379.53</v>
      </c>
      <c r="D1584">
        <v>3369.52</v>
      </c>
      <c r="E1584">
        <f>'ACL N0000'!G1436</f>
        <v>56</v>
      </c>
      <c r="G1584" s="412" t="str">
        <f>IF(B1584='ACL N0000'!B1436,"OK","ERROR")</f>
        <v>OK</v>
      </c>
    </row>
    <row r="1585" spans="2:7">
      <c r="B1585" s="412">
        <v>42486</v>
      </c>
      <c r="C1585">
        <v>6405.29</v>
      </c>
      <c r="D1585">
        <v>3397.66</v>
      </c>
      <c r="E1585">
        <f>'ACL N0000'!G1437</f>
        <v>56.45</v>
      </c>
      <c r="G1585" s="412" t="str">
        <f>IF(B1585='ACL N0000'!B1437,"OK","ERROR")</f>
        <v>OK</v>
      </c>
    </row>
    <row r="1586" spans="2:7">
      <c r="B1586" s="412">
        <v>42487</v>
      </c>
      <c r="C1586">
        <v>6434.24</v>
      </c>
      <c r="D1586">
        <v>3404.98</v>
      </c>
      <c r="E1586">
        <f>'ACL N0000'!G1438</f>
        <v>56.45</v>
      </c>
      <c r="G1586" s="412" t="str">
        <f>IF(B1586='ACL N0000'!B1438,"OK","ERROR")</f>
        <v>OK</v>
      </c>
    </row>
    <row r="1587" spans="2:7">
      <c r="B1587" s="412">
        <v>42488</v>
      </c>
      <c r="C1587">
        <v>6442.53</v>
      </c>
      <c r="D1587">
        <v>3397.83</v>
      </c>
      <c r="E1587">
        <f>'ACL N0000'!G1439</f>
        <v>56.6</v>
      </c>
      <c r="G1587" s="412" t="str">
        <f>IF(B1587='ACL N0000'!B1439,"OK","ERROR")</f>
        <v>OK</v>
      </c>
    </row>
    <row r="1588" spans="2:7">
      <c r="B1588" s="412">
        <v>42489</v>
      </c>
      <c r="C1588">
        <v>6516.26</v>
      </c>
      <c r="D1588">
        <v>3435.55</v>
      </c>
      <c r="E1588">
        <f>'ACL N0000'!G1440</f>
        <v>56.5</v>
      </c>
      <c r="G1588" s="412" t="str">
        <f>IF(B1588='ACL N0000'!B1440,"OK","ERROR")</f>
        <v>OK</v>
      </c>
    </row>
    <row r="1589" spans="2:7">
      <c r="B1589" s="412">
        <v>42493</v>
      </c>
      <c r="C1589">
        <v>6583.1</v>
      </c>
      <c r="D1589">
        <v>3493.46</v>
      </c>
      <c r="E1589">
        <f>'ACL N0000'!G1441</f>
        <v>56.5</v>
      </c>
      <c r="G1589" s="412" t="str">
        <f>IF(B1589='ACL N0000'!B1441,"OK","ERROR")</f>
        <v>OK</v>
      </c>
    </row>
    <row r="1590" spans="2:7">
      <c r="B1590" s="412">
        <v>42494</v>
      </c>
      <c r="C1590">
        <v>6568.85</v>
      </c>
      <c r="D1590">
        <v>3474.03</v>
      </c>
      <c r="E1590">
        <f>'ACL N0000'!G1442</f>
        <v>56.5</v>
      </c>
      <c r="G1590" s="412" t="str">
        <f>IF(B1590='ACL N0000'!B1442,"OK","ERROR")</f>
        <v>OK</v>
      </c>
    </row>
    <row r="1591" spans="2:7">
      <c r="B1591" s="412">
        <v>42495</v>
      </c>
      <c r="C1591">
        <v>6578.34</v>
      </c>
      <c r="D1591">
        <v>3475.03</v>
      </c>
      <c r="E1591">
        <f>'ACL N0000'!G1443</f>
        <v>56.25</v>
      </c>
      <c r="G1591" s="412" t="str">
        <f>IF(B1591='ACL N0000'!B1443,"OK","ERROR")</f>
        <v>OK</v>
      </c>
    </row>
    <row r="1592" spans="2:7">
      <c r="B1592" s="412">
        <v>42496</v>
      </c>
      <c r="C1592">
        <v>6592.45</v>
      </c>
      <c r="D1592">
        <v>3471.37</v>
      </c>
      <c r="E1592">
        <f>'ACL N0000'!G1444</f>
        <v>56.5</v>
      </c>
      <c r="G1592" s="412" t="str">
        <f>IF(B1592='ACL N0000'!B1444,"OK","ERROR")</f>
        <v>OK</v>
      </c>
    </row>
    <row r="1593" spans="2:7">
      <c r="B1593" s="412">
        <v>42499</v>
      </c>
      <c r="C1593">
        <v>6594.8</v>
      </c>
      <c r="D1593">
        <v>3474.61</v>
      </c>
      <c r="E1593">
        <f>'ACL N0000'!G1445</f>
        <v>55.6</v>
      </c>
      <c r="G1593" s="412" t="str">
        <f>IF(B1593='ACL N0000'!B1445,"OK","ERROR")</f>
        <v>OK</v>
      </c>
    </row>
    <row r="1594" spans="2:7">
      <c r="B1594" s="412">
        <v>42500</v>
      </c>
      <c r="C1594">
        <v>6637.74</v>
      </c>
      <c r="D1594">
        <v>3507.46</v>
      </c>
      <c r="E1594">
        <f>'ACL N0000'!G1446</f>
        <v>56.9</v>
      </c>
      <c r="G1594" s="412" t="str">
        <f>IF(B1594='ACL N0000'!B1446,"OK","ERROR")</f>
        <v>OK</v>
      </c>
    </row>
    <row r="1595" spans="2:7">
      <c r="B1595" s="412">
        <v>42501</v>
      </c>
      <c r="C1595">
        <v>6661.45</v>
      </c>
      <c r="D1595">
        <v>3502.97</v>
      </c>
      <c r="E1595">
        <f>'ACL N0000'!G1447</f>
        <v>58.5</v>
      </c>
      <c r="G1595" s="412" t="str">
        <f>IF(B1595='ACL N0000'!B1447,"OK","ERROR")</f>
        <v>OK</v>
      </c>
    </row>
    <row r="1596" spans="2:7">
      <c r="B1596" s="412">
        <v>42502</v>
      </c>
      <c r="C1596">
        <v>6656.12</v>
      </c>
      <c r="D1596">
        <v>3506.6</v>
      </c>
      <c r="E1596">
        <f>'ACL N0000'!G1448</f>
        <v>61.95</v>
      </c>
      <c r="G1596" s="412" t="str">
        <f>IF(B1596='ACL N0000'!B1448,"OK","ERROR")</f>
        <v>OK</v>
      </c>
    </row>
    <row r="1597" spans="2:7">
      <c r="B1597" s="412">
        <v>42503</v>
      </c>
      <c r="C1597">
        <v>6679.84</v>
      </c>
      <c r="D1597">
        <v>3509.85</v>
      </c>
      <c r="E1597">
        <f>'ACL N0000'!G1449</f>
        <v>62.2</v>
      </c>
      <c r="G1597" s="412" t="str">
        <f>IF(B1597='ACL N0000'!B1449,"OK","ERROR")</f>
        <v>OK</v>
      </c>
    </row>
    <row r="1598" spans="2:7">
      <c r="B1598" s="412">
        <v>42506</v>
      </c>
      <c r="C1598">
        <v>6708.4</v>
      </c>
      <c r="D1598">
        <v>3510.06</v>
      </c>
      <c r="E1598">
        <f>'ACL N0000'!G1450</f>
        <v>61.95</v>
      </c>
      <c r="G1598" s="412" t="str">
        <f>IF(B1598='ACL N0000'!B1450,"OK","ERROR")</f>
        <v>OK</v>
      </c>
    </row>
    <row r="1599" spans="2:7">
      <c r="B1599" s="412">
        <v>42507</v>
      </c>
      <c r="C1599">
        <v>6670.79</v>
      </c>
      <c r="D1599">
        <v>3482.58</v>
      </c>
      <c r="E1599">
        <f>'ACL N0000'!G1451</f>
        <v>61.45</v>
      </c>
      <c r="G1599" s="412" t="str">
        <f>IF(B1599='ACL N0000'!B1451,"OK","ERROR")</f>
        <v>OK</v>
      </c>
    </row>
    <row r="1600" spans="2:7">
      <c r="B1600" s="412">
        <v>42508</v>
      </c>
      <c r="C1600">
        <v>6680.15</v>
      </c>
      <c r="D1600">
        <v>3483.56</v>
      </c>
      <c r="E1600">
        <f>'ACL N0000'!G1452</f>
        <v>61.5</v>
      </c>
      <c r="G1600" s="412" t="str">
        <f>IF(B1600='ACL N0000'!B1452,"OK","ERROR")</f>
        <v>OK</v>
      </c>
    </row>
    <row r="1601" spans="2:7">
      <c r="B1601" s="412">
        <v>42509</v>
      </c>
      <c r="C1601">
        <v>6648.13</v>
      </c>
      <c r="D1601">
        <v>3460.69</v>
      </c>
      <c r="E1601">
        <f>'ACL N0000'!G1453</f>
        <v>62.1</v>
      </c>
      <c r="G1601" s="412" t="str">
        <f>IF(B1601='ACL N0000'!B1453,"OK","ERROR")</f>
        <v>OK</v>
      </c>
    </row>
    <row r="1602" spans="2:7">
      <c r="B1602" s="412">
        <v>42510</v>
      </c>
      <c r="C1602">
        <v>6633.27</v>
      </c>
      <c r="D1602">
        <v>3454.64</v>
      </c>
      <c r="E1602">
        <f>'ACL N0000'!G1454</f>
        <v>61.8</v>
      </c>
      <c r="G1602" s="412" t="str">
        <f>IF(B1602='ACL N0000'!B1454,"OK","ERROR")</f>
        <v>OK</v>
      </c>
    </row>
    <row r="1603" spans="2:7">
      <c r="B1603" s="412">
        <v>42514</v>
      </c>
      <c r="C1603">
        <v>6570.58</v>
      </c>
      <c r="D1603">
        <v>3443.34</v>
      </c>
      <c r="E1603">
        <f>'ACL N0000'!G1455</f>
        <v>61.2</v>
      </c>
      <c r="G1603" s="412" t="str">
        <f>IF(B1603='ACL N0000'!B1455,"OK","ERROR")</f>
        <v>OK</v>
      </c>
    </row>
    <row r="1604" spans="2:7">
      <c r="B1604" s="412">
        <v>42515</v>
      </c>
      <c r="C1604">
        <v>6583.49</v>
      </c>
      <c r="D1604">
        <v>3446.48</v>
      </c>
      <c r="E1604">
        <f>'ACL N0000'!G1456</f>
        <v>61.15</v>
      </c>
      <c r="G1604" s="412" t="str">
        <f>IF(B1604='ACL N0000'!B1456,"OK","ERROR")</f>
        <v>OK</v>
      </c>
    </row>
    <row r="1605" spans="2:7">
      <c r="B1605" s="412">
        <v>42516</v>
      </c>
      <c r="C1605">
        <v>6568.76</v>
      </c>
      <c r="D1605">
        <v>3440.11</v>
      </c>
      <c r="E1605">
        <f>'ACL N0000'!G1457</f>
        <v>60.8</v>
      </c>
      <c r="G1605" s="412" t="str">
        <f>IF(B1605='ACL N0000'!B1457,"OK","ERROR")</f>
        <v>OK</v>
      </c>
    </row>
    <row r="1606" spans="2:7">
      <c r="B1606" s="412">
        <v>42517</v>
      </c>
      <c r="C1606">
        <v>6571.21</v>
      </c>
      <c r="D1606">
        <v>3441.26</v>
      </c>
      <c r="E1606">
        <f>'ACL N0000'!G1458</f>
        <v>60.9</v>
      </c>
      <c r="G1606" s="412" t="str">
        <f>IF(B1606='ACL N0000'!B1458,"OK","ERROR")</f>
        <v>OK</v>
      </c>
    </row>
    <row r="1607" spans="2:7">
      <c r="B1607" s="412">
        <v>42520</v>
      </c>
      <c r="C1607">
        <v>6552.85</v>
      </c>
      <c r="D1607">
        <v>3436.45</v>
      </c>
      <c r="E1607">
        <f>'ACL N0000'!G1459</f>
        <v>59.6</v>
      </c>
      <c r="G1607" s="412" t="str">
        <f>IF(B1607='ACL N0000'!B1459,"OK","ERROR")</f>
        <v>OK</v>
      </c>
    </row>
    <row r="1608" spans="2:7">
      <c r="B1608" s="412">
        <v>42521</v>
      </c>
      <c r="C1608">
        <v>6550.51</v>
      </c>
      <c r="D1608">
        <v>3425.57</v>
      </c>
      <c r="E1608">
        <f>'ACL N0000'!G1460</f>
        <v>58.85</v>
      </c>
      <c r="G1608" s="412" t="str">
        <f>IF(B1608='ACL N0000'!B1460,"OK","ERROR")</f>
        <v>OK</v>
      </c>
    </row>
    <row r="1609" spans="2:7">
      <c r="B1609" s="412">
        <v>42522</v>
      </c>
      <c r="C1609">
        <v>6542.75</v>
      </c>
      <c r="D1609">
        <v>3421.42</v>
      </c>
      <c r="E1609">
        <f>'ACL N0000'!G1461</f>
        <v>59.4</v>
      </c>
      <c r="G1609" s="412" t="str">
        <f>IF(B1609='ACL N0000'!B1461,"OK","ERROR")</f>
        <v>OK</v>
      </c>
    </row>
    <row r="1610" spans="2:7">
      <c r="B1610" s="412">
        <v>42523</v>
      </c>
      <c r="C1610">
        <v>6523.84</v>
      </c>
      <c r="D1610">
        <v>3416.68</v>
      </c>
      <c r="E1610">
        <f>'ACL N0000'!G1462</f>
        <v>59.45</v>
      </c>
      <c r="G1610" s="412" t="str">
        <f>IF(B1610='ACL N0000'!B1462,"OK","ERROR")</f>
        <v>OK</v>
      </c>
    </row>
    <row r="1611" spans="2:7">
      <c r="B1611" s="412">
        <v>42524</v>
      </c>
      <c r="C1611">
        <v>6519.23</v>
      </c>
      <c r="D1611">
        <v>3416.47</v>
      </c>
      <c r="E1611">
        <f>'ACL N0000'!G1463</f>
        <v>58.75</v>
      </c>
      <c r="G1611" s="412" t="str">
        <f>IF(B1611='ACL N0000'!B1463,"OK","ERROR")</f>
        <v>OK</v>
      </c>
    </row>
    <row r="1612" spans="2:7">
      <c r="B1612" s="412">
        <v>42527</v>
      </c>
      <c r="C1612">
        <v>6518.98</v>
      </c>
      <c r="D1612">
        <v>3414.48</v>
      </c>
      <c r="E1612">
        <f>'ACL N0000'!G1464</f>
        <v>60</v>
      </c>
      <c r="G1612" s="412" t="str">
        <f>IF(B1612='ACL N0000'!B1464,"OK","ERROR")</f>
        <v>OK</v>
      </c>
    </row>
    <row r="1613" spans="2:7">
      <c r="B1613" s="412">
        <v>42528</v>
      </c>
      <c r="C1613">
        <v>6524</v>
      </c>
      <c r="D1613">
        <v>3424.49</v>
      </c>
      <c r="E1613">
        <f>'ACL N0000'!G1465</f>
        <v>59.5</v>
      </c>
      <c r="G1613" s="412" t="str">
        <f>IF(B1613='ACL N0000'!B1465,"OK","ERROR")</f>
        <v>OK</v>
      </c>
    </row>
    <row r="1614" spans="2:7">
      <c r="B1614" s="412">
        <v>42529</v>
      </c>
      <c r="C1614">
        <v>6526.12</v>
      </c>
      <c r="D1614">
        <v>3423.12</v>
      </c>
      <c r="E1614">
        <f>'ACL N0000'!G1466</f>
        <v>59.5</v>
      </c>
      <c r="G1614" s="412" t="str">
        <f>IF(B1614='ACL N0000'!B1466,"OK","ERROR")</f>
        <v>OK</v>
      </c>
    </row>
    <row r="1615" spans="2:7">
      <c r="B1615" s="412">
        <v>42530</v>
      </c>
      <c r="C1615">
        <v>6528.03</v>
      </c>
      <c r="D1615">
        <v>3426.44</v>
      </c>
      <c r="E1615">
        <f>'ACL N0000'!G1467</f>
        <v>59</v>
      </c>
      <c r="G1615" s="412" t="str">
        <f>IF(B1615='ACL N0000'!B1467,"OK","ERROR")</f>
        <v>OK</v>
      </c>
    </row>
    <row r="1616" spans="2:7">
      <c r="B1616" s="412">
        <v>42531</v>
      </c>
      <c r="C1616">
        <v>6530.5</v>
      </c>
      <c r="D1616">
        <v>3423.82</v>
      </c>
      <c r="E1616">
        <f>'ACL N0000'!G1468</f>
        <v>59.5</v>
      </c>
      <c r="G1616" s="412" t="str">
        <f>IF(B1616='ACL N0000'!B1468,"OK","ERROR")</f>
        <v>OK</v>
      </c>
    </row>
    <row r="1617" spans="2:7">
      <c r="B1617" s="412">
        <v>42534</v>
      </c>
      <c r="C1617">
        <v>6538.25</v>
      </c>
      <c r="D1617">
        <v>3441.48</v>
      </c>
      <c r="E1617">
        <f>'ACL N0000'!G1469</f>
        <v>59.15</v>
      </c>
      <c r="G1617" s="412" t="str">
        <f>IF(B1617='ACL N0000'!B1469,"OK","ERROR")</f>
        <v>OK</v>
      </c>
    </row>
    <row r="1618" spans="2:7">
      <c r="B1618" s="412">
        <v>42535</v>
      </c>
      <c r="C1618">
        <v>6518.08</v>
      </c>
      <c r="D1618">
        <v>3436.06</v>
      </c>
      <c r="E1618">
        <f>'ACL N0000'!G1470</f>
        <v>58.8</v>
      </c>
      <c r="G1618" s="412" t="str">
        <f>IF(B1618='ACL N0000'!B1470,"OK","ERROR")</f>
        <v>OK</v>
      </c>
    </row>
    <row r="1619" spans="2:7">
      <c r="B1619" s="412">
        <v>42536</v>
      </c>
      <c r="C1619">
        <v>6500.64</v>
      </c>
      <c r="D1619">
        <v>3426.68</v>
      </c>
      <c r="E1619">
        <f>'ACL N0000'!G1471</f>
        <v>58.65</v>
      </c>
      <c r="G1619" s="412" t="str">
        <f>IF(B1619='ACL N0000'!B1471,"OK","ERROR")</f>
        <v>OK</v>
      </c>
    </row>
    <row r="1620" spans="2:7">
      <c r="B1620" s="412">
        <v>42537</v>
      </c>
      <c r="C1620">
        <v>6435.77</v>
      </c>
      <c r="D1620">
        <v>3385.06</v>
      </c>
      <c r="E1620">
        <f>'ACL N0000'!G1472</f>
        <v>57.8</v>
      </c>
      <c r="G1620" s="412" t="str">
        <f>IF(B1620='ACL N0000'!B1472,"OK","ERROR")</f>
        <v>OK</v>
      </c>
    </row>
    <row r="1621" spans="2:7">
      <c r="B1621" s="412">
        <v>42538</v>
      </c>
      <c r="C1621">
        <v>6465.99</v>
      </c>
      <c r="D1621">
        <v>3402.21</v>
      </c>
      <c r="E1621">
        <f>'ACL N0000'!G1473</f>
        <v>57.9</v>
      </c>
      <c r="G1621" s="412" t="str">
        <f>IF(B1621='ACL N0000'!B1473,"OK","ERROR")</f>
        <v>OK</v>
      </c>
    </row>
    <row r="1622" spans="2:7">
      <c r="B1622" s="412">
        <v>42541</v>
      </c>
      <c r="C1622">
        <v>6461.12</v>
      </c>
      <c r="D1622">
        <v>3404.34</v>
      </c>
      <c r="E1622">
        <f>'ACL N0000'!G1474</f>
        <v>58.1</v>
      </c>
      <c r="G1622" s="412" t="str">
        <f>IF(B1622='ACL N0000'!B1474,"OK","ERROR")</f>
        <v>OK</v>
      </c>
    </row>
    <row r="1623" spans="2:7">
      <c r="B1623" s="412">
        <v>42542</v>
      </c>
      <c r="C1623">
        <v>6446.88</v>
      </c>
      <c r="D1623">
        <v>3398.2</v>
      </c>
      <c r="E1623">
        <f>'ACL N0000'!G1475</f>
        <v>58</v>
      </c>
      <c r="G1623" s="412" t="str">
        <f>IF(B1623='ACL N0000'!B1475,"OK","ERROR")</f>
        <v>OK</v>
      </c>
    </row>
    <row r="1624" spans="2:7">
      <c r="B1624" s="412">
        <v>42543</v>
      </c>
      <c r="C1624">
        <v>6420.8</v>
      </c>
      <c r="D1624">
        <v>3379.95</v>
      </c>
      <c r="E1624">
        <f>'ACL N0000'!G1476</f>
        <v>58.3</v>
      </c>
      <c r="G1624" s="412" t="str">
        <f>IF(B1624='ACL N0000'!B1476,"OK","ERROR")</f>
        <v>OK</v>
      </c>
    </row>
    <row r="1625" spans="2:7">
      <c r="B1625" s="412">
        <v>42544</v>
      </c>
      <c r="C1625">
        <v>6398.06</v>
      </c>
      <c r="D1625">
        <v>3361.71</v>
      </c>
      <c r="E1625">
        <f>'ACL N0000'!G1477</f>
        <v>57.95</v>
      </c>
      <c r="G1625" s="412" t="str">
        <f>IF(B1625='ACL N0000'!B1477,"OK","ERROR")</f>
        <v>OK</v>
      </c>
    </row>
    <row r="1626" spans="2:7">
      <c r="B1626" s="412">
        <v>42545</v>
      </c>
      <c r="C1626">
        <v>6370.11</v>
      </c>
      <c r="D1626">
        <v>3341.65</v>
      </c>
      <c r="E1626">
        <f>'ACL N0000'!G1478</f>
        <v>57.75</v>
      </c>
      <c r="G1626" s="412" t="str">
        <f>IF(B1626='ACL N0000'!B1478,"OK","ERROR")</f>
        <v>OK</v>
      </c>
    </row>
    <row r="1627" spans="2:7">
      <c r="B1627" s="412">
        <v>42548</v>
      </c>
      <c r="C1627">
        <v>6318.21</v>
      </c>
      <c r="D1627">
        <v>3320.77</v>
      </c>
      <c r="E1627">
        <f>'ACL N0000'!G1479</f>
        <v>57</v>
      </c>
      <c r="G1627" s="412" t="str">
        <f>IF(B1627='ACL N0000'!B1479,"OK","ERROR")</f>
        <v>OK</v>
      </c>
    </row>
    <row r="1628" spans="2:7">
      <c r="B1628" s="413">
        <v>42549</v>
      </c>
      <c r="C1628">
        <v>6307.4</v>
      </c>
      <c r="D1628">
        <v>3318.71</v>
      </c>
      <c r="E1628">
        <f>'ACL N0000'!G1480</f>
        <v>57.5</v>
      </c>
      <c r="G1628" s="412" t="str">
        <f>IF(B1628='ACL N0000'!B1480,"OK","ERROR")</f>
        <v>OK</v>
      </c>
    </row>
    <row r="1629" spans="2:7">
      <c r="B1629" s="413">
        <v>42550</v>
      </c>
      <c r="C1629">
        <v>6290.89</v>
      </c>
      <c r="D1629">
        <v>3310.55</v>
      </c>
      <c r="E1629">
        <f>'ACL N0000'!G1481</f>
        <v>57.5</v>
      </c>
      <c r="G1629" s="412"/>
    </row>
    <row r="1630" spans="2:7">
      <c r="B1630" s="413">
        <v>42551</v>
      </c>
      <c r="C1630">
        <v>6283.27</v>
      </c>
      <c r="D1630">
        <v>3300.2</v>
      </c>
      <c r="E1630">
        <f>E1629</f>
        <v>57.5</v>
      </c>
      <c r="G1630" s="412"/>
    </row>
    <row r="1631" spans="2:7">
      <c r="B1631" s="413">
        <v>42552</v>
      </c>
      <c r="C1631">
        <v>6287.09</v>
      </c>
      <c r="D1631">
        <v>3302.51</v>
      </c>
      <c r="E1631">
        <f>E1630</f>
        <v>57.5</v>
      </c>
      <c r="G1631" s="412"/>
    </row>
    <row r="1632" spans="2:7">
      <c r="B1632" s="413">
        <v>42555</v>
      </c>
      <c r="C1632">
        <v>6254.77</v>
      </c>
      <c r="D1632">
        <v>3290.33</v>
      </c>
      <c r="E1632">
        <f>'ACL N0000'!G1481</f>
        <v>57.5</v>
      </c>
      <c r="G1632" s="412" t="str">
        <f>IF(B1632='ACL N0000'!B1481,"OK","ERROR")</f>
        <v>OK</v>
      </c>
    </row>
    <row r="1633" spans="2:7">
      <c r="B1633" s="412">
        <v>42556</v>
      </c>
      <c r="C1633">
        <v>6280.39</v>
      </c>
      <c r="D1633">
        <v>3309.34</v>
      </c>
      <c r="E1633">
        <f>'ACL N0000'!G1482</f>
        <v>56</v>
      </c>
      <c r="G1633" s="412" t="str">
        <f>IF(B1633='ACL N0000'!B1482,"OK","ERROR")</f>
        <v>OK</v>
      </c>
    </row>
    <row r="1634" spans="2:7">
      <c r="B1634" s="412">
        <v>42558</v>
      </c>
      <c r="C1634">
        <v>6310.69</v>
      </c>
      <c r="D1634">
        <v>3326.23</v>
      </c>
      <c r="E1634">
        <f>'ACL N0000'!G1483</f>
        <v>58.4</v>
      </c>
      <c r="G1634" s="412" t="str">
        <f>IF(B1634='ACL N0000'!B1483,"OK","ERROR")</f>
        <v>OK</v>
      </c>
    </row>
    <row r="1635" spans="2:7">
      <c r="B1635" s="412">
        <v>42559</v>
      </c>
      <c r="C1635">
        <v>6366.31</v>
      </c>
      <c r="D1635">
        <v>3363.27</v>
      </c>
      <c r="E1635">
        <f>'ACL N0000'!G1484</f>
        <v>58.3</v>
      </c>
      <c r="G1635" s="412" t="str">
        <f>IF(B1635='ACL N0000'!B1484,"OK","ERROR")</f>
        <v>OK</v>
      </c>
    </row>
    <row r="1636" spans="2:7">
      <c r="B1636" s="412">
        <v>42562</v>
      </c>
      <c r="C1636">
        <v>6372.24</v>
      </c>
      <c r="D1636">
        <v>3374.31</v>
      </c>
      <c r="E1636">
        <f>'ACL N0000'!G1485</f>
        <v>59.5</v>
      </c>
      <c r="G1636" s="412" t="str">
        <f>IF(B1636='ACL N0000'!B1485,"OK","ERROR")</f>
        <v>OK</v>
      </c>
    </row>
    <row r="1637" spans="2:7">
      <c r="B1637" s="412">
        <v>42563</v>
      </c>
      <c r="C1637">
        <v>6401.31</v>
      </c>
      <c r="D1637">
        <v>3390.96</v>
      </c>
      <c r="E1637">
        <f>'ACL N0000'!G1486</f>
        <v>58.3</v>
      </c>
      <c r="G1637" s="412" t="str">
        <f>IF(B1637='ACL N0000'!B1486,"OK","ERROR")</f>
        <v>OK</v>
      </c>
    </row>
    <row r="1638" spans="2:7">
      <c r="B1638" s="412">
        <v>42564</v>
      </c>
      <c r="C1638">
        <v>6402.78</v>
      </c>
      <c r="D1638">
        <v>3408</v>
      </c>
      <c r="E1638">
        <f>'ACL N0000'!G1487</f>
        <v>58.2</v>
      </c>
      <c r="G1638" s="412" t="str">
        <f>IF(B1638='ACL N0000'!B1487,"OK","ERROR")</f>
        <v>OK</v>
      </c>
    </row>
    <row r="1639" spans="2:7">
      <c r="B1639" s="412">
        <v>42565</v>
      </c>
      <c r="C1639">
        <v>6401.9</v>
      </c>
      <c r="D1639">
        <v>3404.52</v>
      </c>
      <c r="E1639">
        <f>'ACL N0000'!G1488</f>
        <v>58.1</v>
      </c>
      <c r="G1639" s="412" t="str">
        <f>IF(B1639='ACL N0000'!B1488,"OK","ERROR")</f>
        <v>OK</v>
      </c>
    </row>
    <row r="1640" spans="2:7">
      <c r="B1640" s="412">
        <v>42566</v>
      </c>
      <c r="C1640">
        <v>6422.69</v>
      </c>
      <c r="D1640">
        <v>3416.3</v>
      </c>
      <c r="E1640">
        <f>'ACL N0000'!G1489</f>
        <v>58</v>
      </c>
      <c r="G1640" s="412" t="str">
        <f>IF(B1640='ACL N0000'!B1489,"OK","ERROR")</f>
        <v>OK</v>
      </c>
    </row>
    <row r="1641" spans="2:7">
      <c r="B1641" s="412">
        <v>42569</v>
      </c>
      <c r="C1641">
        <v>6415.81</v>
      </c>
      <c r="D1641">
        <v>3411.76</v>
      </c>
      <c r="E1641">
        <f>'ACL N0000'!G1490</f>
        <v>58</v>
      </c>
      <c r="G1641" s="412" t="str">
        <f>IF(B1641='ACL N0000'!B1490,"OK","ERROR")</f>
        <v>OK</v>
      </c>
    </row>
    <row r="1642" spans="2:7">
      <c r="B1642" s="412">
        <v>42571</v>
      </c>
      <c r="C1642">
        <v>6414.49</v>
      </c>
      <c r="D1642">
        <v>3422.19</v>
      </c>
      <c r="E1642">
        <f>'ACL N0000'!G1491</f>
        <v>58</v>
      </c>
      <c r="G1642" s="412" t="str">
        <f>IF(B1642='ACL N0000'!B1491,"OK","ERROR")</f>
        <v>OK</v>
      </c>
    </row>
    <row r="1643" spans="2:7">
      <c r="B1643" s="412">
        <v>42572</v>
      </c>
      <c r="C1643">
        <v>6417.46</v>
      </c>
      <c r="D1643">
        <v>3427.15</v>
      </c>
      <c r="E1643">
        <f>'ACL N0000'!G1492</f>
        <v>58</v>
      </c>
      <c r="G1643" s="412" t="str">
        <f>IF(B1643='ACL N0000'!B1492,"OK","ERROR")</f>
        <v>OK</v>
      </c>
    </row>
    <row r="1644" spans="2:7">
      <c r="B1644" s="412">
        <v>42573</v>
      </c>
      <c r="C1644">
        <v>6428.77</v>
      </c>
      <c r="D1644">
        <v>3428.58</v>
      </c>
      <c r="E1644">
        <f>'ACL N0000'!G1493</f>
        <v>58.6</v>
      </c>
      <c r="G1644" s="412" t="str">
        <f>IF(B1644='ACL N0000'!B1493,"OK","ERROR")</f>
        <v>OK</v>
      </c>
    </row>
    <row r="1645" spans="2:7">
      <c r="B1645" s="412">
        <v>42576</v>
      </c>
      <c r="C1645">
        <v>6397.09</v>
      </c>
      <c r="D1645">
        <v>3411.96</v>
      </c>
      <c r="E1645">
        <f>'ACL N0000'!G1494</f>
        <v>58.5</v>
      </c>
      <c r="G1645" s="412" t="str">
        <f>IF(B1645='ACL N0000'!B1494,"OK","ERROR")</f>
        <v>OK</v>
      </c>
    </row>
    <row r="1646" spans="2:7">
      <c r="B1646" s="412">
        <v>42577</v>
      </c>
      <c r="C1646">
        <v>6387.85</v>
      </c>
      <c r="D1646">
        <v>3406.75</v>
      </c>
      <c r="E1646">
        <f>'ACL N0000'!G1495</f>
        <v>58.9</v>
      </c>
      <c r="G1646" s="412" t="str">
        <f>IF(B1646='ACL N0000'!B1495,"OK","ERROR")</f>
        <v>OK</v>
      </c>
    </row>
    <row r="1647" spans="2:7">
      <c r="B1647" s="412">
        <v>42578</v>
      </c>
      <c r="C1647">
        <v>6382.42</v>
      </c>
      <c r="D1647">
        <v>3401.79</v>
      </c>
      <c r="E1647">
        <f>'ACL N0000'!G1496</f>
        <v>58.4</v>
      </c>
      <c r="G1647" s="412" t="str">
        <f>IF(B1647='ACL N0000'!B1496,"OK","ERROR")</f>
        <v>OK</v>
      </c>
    </row>
    <row r="1648" spans="2:7">
      <c r="B1648" s="412">
        <v>42579</v>
      </c>
      <c r="C1648">
        <v>6392.15</v>
      </c>
      <c r="D1648">
        <v>3414.66</v>
      </c>
      <c r="E1648">
        <f>'ACL N0000'!G1497</f>
        <v>59</v>
      </c>
      <c r="G1648" s="412" t="str">
        <f>IF(B1648='ACL N0000'!B1497,"OK","ERROR")</f>
        <v>OK</v>
      </c>
    </row>
    <row r="1649" spans="2:7">
      <c r="B1649" s="412">
        <v>42580</v>
      </c>
      <c r="C1649">
        <v>6393.87</v>
      </c>
      <c r="D1649">
        <v>3414.39</v>
      </c>
      <c r="E1649">
        <f>'ACL N0000'!G1498</f>
        <v>59.4</v>
      </c>
      <c r="G1649" s="412" t="str">
        <f>IF(B1649='ACL N0000'!B1498,"OK","ERROR")</f>
        <v>OK</v>
      </c>
    </row>
    <row r="1650" spans="2:7">
      <c r="B1650" s="412">
        <v>42583</v>
      </c>
      <c r="C1650">
        <v>6410.42</v>
      </c>
      <c r="D1650">
        <v>3439.4</v>
      </c>
      <c r="E1650">
        <f>'ACL N0000'!G1499</f>
        <v>59.3</v>
      </c>
      <c r="G1650" s="412" t="str">
        <f>IF(B1650='ACL N0000'!B1499,"OK","ERROR")</f>
        <v>OK</v>
      </c>
    </row>
    <row r="1651" spans="2:7">
      <c r="B1651" s="412">
        <v>42584</v>
      </c>
      <c r="C1651">
        <v>6503.3</v>
      </c>
      <c r="D1651">
        <v>3529.67</v>
      </c>
      <c r="E1651">
        <f>'ACL N0000'!G1500</f>
        <v>59.8</v>
      </c>
      <c r="G1651" s="412" t="str">
        <f>IF(B1651='ACL N0000'!B1500,"OK","ERROR")</f>
        <v>OK</v>
      </c>
    </row>
    <row r="1652" spans="2:7">
      <c r="B1652" s="412">
        <v>42585</v>
      </c>
      <c r="C1652">
        <v>6511.58</v>
      </c>
      <c r="D1652">
        <v>3534.12</v>
      </c>
      <c r="E1652">
        <f>'ACL N0000'!G1501</f>
        <v>59.8</v>
      </c>
      <c r="G1652" s="412" t="str">
        <f>IF(B1652='ACL N0000'!B1501,"OK","ERROR")</f>
        <v>OK</v>
      </c>
    </row>
    <row r="1653" spans="2:7">
      <c r="B1653" s="412">
        <v>42586</v>
      </c>
      <c r="C1653">
        <v>6478.25</v>
      </c>
      <c r="D1653">
        <v>3511.02</v>
      </c>
      <c r="E1653">
        <f>'ACL N0000'!G1502</f>
        <v>59.4</v>
      </c>
      <c r="G1653" s="412" t="str">
        <f>IF(B1653='ACL N0000'!B1502,"OK","ERROR")</f>
        <v>OK</v>
      </c>
    </row>
    <row r="1654" spans="2:7">
      <c r="B1654" s="412">
        <v>42587</v>
      </c>
      <c r="C1654">
        <v>6517.13</v>
      </c>
      <c r="D1654">
        <v>3531.36</v>
      </c>
      <c r="E1654">
        <f>'ACL N0000'!G1503</f>
        <v>58.9</v>
      </c>
      <c r="G1654" s="412" t="str">
        <f>IF(B1654='ACL N0000'!B1503,"OK","ERROR")</f>
        <v>OK</v>
      </c>
    </row>
    <row r="1655" spans="2:7">
      <c r="B1655" s="412">
        <v>42590</v>
      </c>
      <c r="C1655">
        <v>6506.93</v>
      </c>
      <c r="D1655">
        <v>3531.39</v>
      </c>
      <c r="E1655">
        <f>'ACL N0000'!G1504</f>
        <v>58.3</v>
      </c>
      <c r="G1655" s="412" t="str">
        <f>IF(B1655='ACL N0000'!B1504,"OK","ERROR")</f>
        <v>OK</v>
      </c>
    </row>
    <row r="1656" spans="2:7">
      <c r="B1656" s="412">
        <v>42591</v>
      </c>
      <c r="C1656" s="258">
        <v>6510.11</v>
      </c>
      <c r="D1656">
        <v>3546.52</v>
      </c>
      <c r="E1656">
        <f>'ACL N0000'!G1505</f>
        <v>59</v>
      </c>
      <c r="G1656" s="412" t="str">
        <f>IF(B1656='ACL N0000'!B1505,"OK","ERROR")</f>
        <v>OK</v>
      </c>
    </row>
    <row r="1657" spans="2:7">
      <c r="B1657" s="412">
        <v>42592</v>
      </c>
      <c r="C1657" s="258">
        <v>6543.75</v>
      </c>
      <c r="E1657">
        <f>'ACL N0000'!G1506</f>
        <v>58.9</v>
      </c>
      <c r="G1657" s="412" t="str">
        <f>IF(B1657='ACL N0000'!B1506,"OK","ERROR")</f>
        <v>OK</v>
      </c>
    </row>
    <row r="1658" spans="2:7">
      <c r="B1658" s="412">
        <v>42593</v>
      </c>
      <c r="C1658" s="258">
        <v>6514.77</v>
      </c>
      <c r="E1658">
        <f>'ACL N0000'!G1507</f>
        <v>58.6</v>
      </c>
      <c r="G1658" s="412" t="str">
        <f>IF(B1658='ACL N0000'!B1507,"OK","ERROR")</f>
        <v>OK</v>
      </c>
    </row>
    <row r="1659" spans="2:7">
      <c r="B1659" s="412">
        <v>42594</v>
      </c>
      <c r="C1659" s="258">
        <v>6522.14</v>
      </c>
      <c r="E1659">
        <f>'ACL N0000'!G1508</f>
        <v>58.6</v>
      </c>
      <c r="G1659" s="412" t="str">
        <f>IF(B1659='ACL N0000'!B1508,"OK","ERROR")</f>
        <v>OK</v>
      </c>
    </row>
    <row r="1660" spans="2:7">
      <c r="B1660" s="412">
        <v>42597</v>
      </c>
      <c r="C1660" s="258">
        <v>6582.6</v>
      </c>
      <c r="E1660">
        <f>'ACL N0000'!G1509</f>
        <v>58.9</v>
      </c>
      <c r="G1660" s="412" t="str">
        <f>IF(B1660='ACL N0000'!B1509,"OK","ERROR")</f>
        <v>OK</v>
      </c>
    </row>
    <row r="1661" spans="2:7">
      <c r="B1661" s="412">
        <v>42598</v>
      </c>
      <c r="C1661" s="258">
        <v>6577.95</v>
      </c>
      <c r="E1661">
        <f>'ACL N0000'!G1510</f>
        <v>58.9</v>
      </c>
      <c r="G1661" s="412" t="str">
        <f>IF(B1661='ACL N0000'!B1510,"OK","ERROR")</f>
        <v>OK</v>
      </c>
    </row>
    <row r="1662" spans="2:7">
      <c r="B1662" s="412">
        <v>42600</v>
      </c>
      <c r="C1662" s="258">
        <v>6593.25</v>
      </c>
      <c r="E1662">
        <f>'ACL N0000'!G1511</f>
        <v>58.9</v>
      </c>
      <c r="G1662" s="412" t="str">
        <f>IF(B1662='ACL N0000'!B1511,"OK","ERROR")</f>
        <v>OK</v>
      </c>
    </row>
    <row r="1663" spans="2:7">
      <c r="B1663" s="412">
        <v>42601</v>
      </c>
      <c r="C1663" s="258">
        <v>6602.24</v>
      </c>
      <c r="E1663">
        <f>'ACL N0000'!G1512</f>
        <v>58.4</v>
      </c>
      <c r="G1663" s="412" t="str">
        <f>IF(B1663='ACL N0000'!B1512,"OK","ERROR")</f>
        <v>OK</v>
      </c>
    </row>
    <row r="1664" spans="2:7">
      <c r="B1664" s="412">
        <v>42604</v>
      </c>
      <c r="C1664" s="258">
        <v>6594.59</v>
      </c>
      <c r="E1664">
        <f>'ACL N0000'!G1513</f>
        <v>59.2</v>
      </c>
      <c r="G1664" s="412" t="str">
        <f>IF(B1664='ACL N0000'!B1513,"OK","ERROR")</f>
        <v>OK</v>
      </c>
    </row>
    <row r="1665" spans="2:7">
      <c r="B1665" s="412">
        <v>42605</v>
      </c>
      <c r="C1665" s="258">
        <v>6603.76</v>
      </c>
      <c r="E1665">
        <f>'ACL N0000'!G1514</f>
        <v>63.2</v>
      </c>
      <c r="G1665" s="412" t="str">
        <f>IF(B1665='ACL N0000'!B1514,"OK","ERROR")</f>
        <v>OK</v>
      </c>
    </row>
    <row r="1666" spans="2:7">
      <c r="B1666" s="412">
        <v>42606</v>
      </c>
      <c r="C1666" s="258">
        <v>6588.3</v>
      </c>
      <c r="E1666">
        <f>'ACL N0000'!G1515</f>
        <v>62.9</v>
      </c>
      <c r="G1666" s="412" t="str">
        <f>IF(B1666='ACL N0000'!B1515,"OK","ERROR")</f>
        <v>OK</v>
      </c>
    </row>
    <row r="1667" spans="2:7">
      <c r="B1667" s="412">
        <v>42607</v>
      </c>
      <c r="C1667" s="258">
        <v>6589.71</v>
      </c>
      <c r="E1667">
        <f>'ACL N0000'!G1516</f>
        <v>62</v>
      </c>
      <c r="G1667" s="412" t="str">
        <f>IF(B1667='ACL N0000'!B1516,"OK","ERROR")</f>
        <v>OK</v>
      </c>
    </row>
    <row r="1668" spans="2:7">
      <c r="B1668" s="412">
        <v>42608</v>
      </c>
      <c r="C1668" s="258">
        <v>6550.91</v>
      </c>
      <c r="E1668">
        <f>'ACL N0000'!G1517</f>
        <v>62</v>
      </c>
      <c r="G1668" s="412" t="str">
        <f>IF(B1668='ACL N0000'!B1517,"OK","ERROR")</f>
        <v>OK</v>
      </c>
    </row>
    <row r="1669" spans="2:7">
      <c r="B1669" s="412">
        <v>42611</v>
      </c>
      <c r="C1669" s="258">
        <v>6540.19</v>
      </c>
      <c r="E1669">
        <f>'ACL N0000'!G1518</f>
        <v>62.2</v>
      </c>
      <c r="G1669" s="412" t="str">
        <f>IF(B1669='ACL N0000'!B1518,"OK","ERROR")</f>
        <v>OK</v>
      </c>
    </row>
    <row r="1670" spans="2:7">
      <c r="B1670" s="412">
        <v>42612</v>
      </c>
      <c r="C1670" s="258">
        <v>6541.8</v>
      </c>
      <c r="E1670">
        <f>'ACL N0000'!G1519</f>
        <v>62.2</v>
      </c>
      <c r="G1670" s="412" t="str">
        <f>IF(B1670='ACL N0000'!B1519,"OK","ERROR")</f>
        <v>OK</v>
      </c>
    </row>
    <row r="1671" spans="2:7">
      <c r="B1671" s="412">
        <v>42613</v>
      </c>
      <c r="C1671" s="258">
        <v>6528.21</v>
      </c>
      <c r="E1671">
        <f>'ACL N0000'!G1520</f>
        <v>63.5</v>
      </c>
      <c r="G1671" s="412" t="str">
        <f>IF(B1671='ACL N0000'!B1520,"OK","ERROR")</f>
        <v>OK</v>
      </c>
    </row>
    <row r="1672" spans="2:7">
      <c r="B1672" s="412">
        <v>42614</v>
      </c>
      <c r="C1672" s="258">
        <v>6540.29</v>
      </c>
      <c r="E1672">
        <f>'ACL N0000'!G1521</f>
        <v>63.8</v>
      </c>
      <c r="G1672" s="412" t="str">
        <f>IF(B1672='ACL N0000'!B1521,"OK","ERROR")</f>
        <v>OK</v>
      </c>
    </row>
    <row r="1673" spans="2:7">
      <c r="B1673" s="412">
        <v>42615</v>
      </c>
      <c r="C1673" s="258">
        <v>6539.09</v>
      </c>
      <c r="E1673">
        <f>'ACL N0000'!G1522</f>
        <v>63.3</v>
      </c>
      <c r="G1673" s="412" t="str">
        <f>IF(B1673='ACL N0000'!B1522,"OK","ERROR")</f>
        <v>OK</v>
      </c>
    </row>
    <row r="1674" spans="2:7">
      <c r="B1674" s="412">
        <v>42618</v>
      </c>
      <c r="C1674" s="258">
        <v>6523.47</v>
      </c>
      <c r="E1674">
        <f>'ACL N0000'!G1523</f>
        <v>63.7</v>
      </c>
      <c r="G1674" s="412" t="str">
        <f>IF(B1674='ACL N0000'!B1523,"OK","ERROR")</f>
        <v>OK</v>
      </c>
    </row>
    <row r="1675" spans="2:7">
      <c r="B1675" s="412">
        <v>42619</v>
      </c>
      <c r="C1675" s="258">
        <v>6524.46</v>
      </c>
      <c r="E1675">
        <f>'ACL N0000'!G1524</f>
        <v>63.7</v>
      </c>
      <c r="G1675" s="412" t="str">
        <f>IF(B1675='ACL N0000'!B1524,"OK","ERROR")</f>
        <v>OK</v>
      </c>
    </row>
    <row r="1676" spans="2:7">
      <c r="B1676" s="412">
        <v>42620</v>
      </c>
      <c r="C1676" s="258">
        <v>6507.98</v>
      </c>
      <c r="E1676">
        <f>'ACL N0000'!G1525</f>
        <v>63</v>
      </c>
      <c r="G1676" s="412" t="str">
        <f>IF(B1676='ACL N0000'!B1525,"OK","ERROR")</f>
        <v>OK</v>
      </c>
    </row>
    <row r="1677" spans="2:7">
      <c r="B1677" s="412">
        <v>42621</v>
      </c>
      <c r="C1677" s="258">
        <v>6501.89</v>
      </c>
      <c r="E1677">
        <f>'ACL N0000'!G1526</f>
        <v>63.2</v>
      </c>
      <c r="G1677" s="412" t="str">
        <f>IF(B1677='ACL N0000'!B1526,"OK","ERROR")</f>
        <v>OK</v>
      </c>
    </row>
    <row r="1678" spans="2:7">
      <c r="B1678" s="412">
        <v>42622</v>
      </c>
      <c r="C1678" s="258">
        <v>6494.86</v>
      </c>
      <c r="E1678">
        <f>'ACL N0000'!G1527</f>
        <v>62.6</v>
      </c>
      <c r="G1678" s="412" t="str">
        <f>IF(B1678='ACL N0000'!B1527,"OK","ERROR")</f>
        <v>OK</v>
      </c>
    </row>
    <row r="1679" spans="2:7">
      <c r="B1679" s="412">
        <v>42626</v>
      </c>
      <c r="C1679" s="258">
        <v>6508.09</v>
      </c>
      <c r="E1679">
        <f>'ACL N0000'!G1528</f>
        <v>62.6</v>
      </c>
      <c r="G1679" s="412" t="str">
        <f>IF(B1679='ACL N0000'!B1528,"OK","ERROR")</f>
        <v>OK</v>
      </c>
    </row>
    <row r="1680" spans="2:7">
      <c r="B1680" s="412">
        <v>42627</v>
      </c>
      <c r="C1680" s="258">
        <v>6492.74</v>
      </c>
      <c r="E1680">
        <f>'ACL N0000'!G1529</f>
        <v>62.9</v>
      </c>
      <c r="G1680" s="412" t="str">
        <f>IF(B1680='ACL N0000'!B1529,"OK","ERROR")</f>
        <v>OK</v>
      </c>
    </row>
    <row r="1681" spans="2:13">
      <c r="B1681" s="412">
        <v>42628</v>
      </c>
      <c r="C1681" s="258">
        <v>6472.47</v>
      </c>
      <c r="E1681">
        <f>'ACL N0000'!G1530</f>
        <v>62.7</v>
      </c>
      <c r="G1681" s="412" t="str">
        <f>IF(B1681='ACL N0000'!B1530,"OK","ERROR")</f>
        <v>OK</v>
      </c>
    </row>
    <row r="1682" spans="2:13">
      <c r="B1682" s="412">
        <v>42632</v>
      </c>
      <c r="C1682" s="258">
        <v>6450.44</v>
      </c>
      <c r="E1682">
        <f>'ACL N0000'!G1531</f>
        <v>62.5</v>
      </c>
      <c r="G1682" s="412" t="str">
        <f>IF(B1682='ACL N0000'!B1531,"OK","ERROR")</f>
        <v>OK</v>
      </c>
    </row>
    <row r="1683" spans="2:13">
      <c r="B1683" s="412">
        <v>42633</v>
      </c>
      <c r="C1683" s="258">
        <v>6429.94</v>
      </c>
      <c r="D1683" s="258">
        <v>3552.03</v>
      </c>
      <c r="E1683">
        <f>'ACL N0000'!G1532</f>
        <v>62.5</v>
      </c>
      <c r="G1683" s="412" t="str">
        <f>IF(B1683='ACL N0000'!B1532,"OK","ERROR")</f>
        <v>OK</v>
      </c>
      <c r="K1683" s="412"/>
      <c r="L1683" s="258"/>
      <c r="M1683" s="258"/>
    </row>
    <row r="1684" spans="2:13">
      <c r="B1684" s="412">
        <v>42634</v>
      </c>
      <c r="C1684" s="258">
        <v>6451.61</v>
      </c>
      <c r="D1684" s="258">
        <v>3565.88</v>
      </c>
      <c r="E1684">
        <f>'ACL N0000'!G1533</f>
        <v>64</v>
      </c>
      <c r="G1684" s="412" t="str">
        <f>IF(B1684='ACL N0000'!B1533,"OK","ERROR")</f>
        <v>OK</v>
      </c>
      <c r="K1684" s="412"/>
      <c r="L1684" s="258"/>
      <c r="M1684" s="258"/>
    </row>
    <row r="1685" spans="2:13">
      <c r="B1685" s="412">
        <v>42635</v>
      </c>
      <c r="C1685" s="258">
        <v>6464.94</v>
      </c>
      <c r="D1685" s="258">
        <v>3579.21</v>
      </c>
      <c r="E1685">
        <f>'ACL N0000'!G1534</f>
        <v>63.5</v>
      </c>
      <c r="G1685" s="412" t="str">
        <f>IF(B1685='ACL N0000'!B1534,"OK","ERROR")</f>
        <v>OK</v>
      </c>
      <c r="K1685" s="412"/>
      <c r="L1685" s="258"/>
      <c r="M1685" s="258"/>
    </row>
    <row r="1686" spans="2:13">
      <c r="B1686" s="412">
        <v>42636</v>
      </c>
      <c r="C1686" s="258">
        <v>6479.21</v>
      </c>
      <c r="D1686" s="258">
        <v>3587.35</v>
      </c>
      <c r="E1686">
        <f>'ACL N0000'!G1535</f>
        <v>63.5</v>
      </c>
      <c r="G1686" s="412" t="str">
        <f>IF(B1686='ACL N0000'!B1535,"OK","ERROR")</f>
        <v>OK</v>
      </c>
      <c r="K1686" s="412"/>
      <c r="L1686" s="258"/>
      <c r="M1686" s="258"/>
    </row>
    <row r="1687" spans="2:13">
      <c r="B1687" s="412">
        <v>42639</v>
      </c>
      <c r="C1687" s="258">
        <v>6478.94</v>
      </c>
      <c r="D1687" s="258">
        <v>3589.17</v>
      </c>
      <c r="E1687">
        <f>'ACL N0000'!G1536</f>
        <v>63</v>
      </c>
      <c r="G1687" s="412" t="str">
        <f>IF(B1687='ACL N0000'!B1536,"OK","ERROR")</f>
        <v>OK</v>
      </c>
      <c r="K1687" s="412"/>
      <c r="L1687" s="258"/>
      <c r="M1687" s="258"/>
    </row>
    <row r="1688" spans="2:13">
      <c r="B1688" s="412">
        <v>42640</v>
      </c>
      <c r="C1688" s="258">
        <v>6483.29</v>
      </c>
      <c r="D1688" s="258">
        <v>3588.7</v>
      </c>
      <c r="E1688">
        <f>'ACL N0000'!G1537</f>
        <v>63</v>
      </c>
      <c r="G1688" s="412" t="str">
        <f>IF(B1688='ACL N0000'!B1537,"OK","ERROR")</f>
        <v>OK</v>
      </c>
      <c r="K1688" s="412"/>
      <c r="L1688" s="258"/>
      <c r="M1688" s="258"/>
    </row>
    <row r="1689" spans="2:13">
      <c r="B1689" s="412">
        <v>42641</v>
      </c>
      <c r="C1689" s="258">
        <v>6512.32</v>
      </c>
      <c r="D1689" s="258">
        <v>3614.51</v>
      </c>
      <c r="E1689">
        <f>'ACL N0000'!G1538</f>
        <v>63.5</v>
      </c>
      <c r="G1689" s="412" t="str">
        <f>IF(B1689='ACL N0000'!B1538,"OK","ERROR")</f>
        <v>OK</v>
      </c>
      <c r="K1689" s="412"/>
      <c r="L1689" s="258"/>
      <c r="M1689" s="258"/>
    </row>
    <row r="1690" spans="2:13">
      <c r="B1690" s="412">
        <v>42642</v>
      </c>
      <c r="C1690" s="258">
        <v>6528.3</v>
      </c>
      <c r="D1690" s="258">
        <v>3622.93</v>
      </c>
      <c r="E1690">
        <f>'ACL N0000'!G1539</f>
        <v>64.5</v>
      </c>
      <c r="G1690" s="412" t="str">
        <f>IF(B1690='ACL N0000'!B1539,"OK","ERROR")</f>
        <v>OK</v>
      </c>
      <c r="K1690" s="412"/>
      <c r="L1690" s="258"/>
      <c r="M1690" s="258"/>
    </row>
    <row r="1691" spans="2:13">
      <c r="B1691" s="412">
        <v>42643</v>
      </c>
      <c r="C1691" s="258">
        <v>6534.77</v>
      </c>
      <c r="D1691" s="258">
        <v>3617.32</v>
      </c>
      <c r="E1691">
        <f>'ACL N0000'!G1540</f>
        <v>64.7</v>
      </c>
      <c r="G1691" s="412" t="str">
        <f>IF(B1691='ACL N0000'!B1540,"OK","ERROR")</f>
        <v>OK</v>
      </c>
      <c r="K1691" s="412"/>
      <c r="L1691" s="258"/>
      <c r="M1691" s="258"/>
    </row>
    <row r="1692" spans="2:13">
      <c r="B1692" s="412">
        <v>42646</v>
      </c>
      <c r="C1692" s="258">
        <v>6574.39</v>
      </c>
      <c r="D1692" s="258">
        <v>3652.6</v>
      </c>
      <c r="E1692">
        <f>'ACL N0000'!G1541</f>
        <v>65</v>
      </c>
      <c r="G1692" s="412" t="str">
        <f>IF(B1692='ACL N0000'!B1541,"OK","ERROR")</f>
        <v>OK</v>
      </c>
      <c r="K1692" s="412"/>
      <c r="L1692" s="258"/>
      <c r="M1692" s="258"/>
    </row>
    <row r="1693" spans="2:13">
      <c r="B1693" s="412">
        <v>42647</v>
      </c>
      <c r="C1693" s="258">
        <v>6591.41</v>
      </c>
      <c r="D1693" s="258">
        <v>3641.94</v>
      </c>
      <c r="E1693">
        <f>'ACL N0000'!G1542</f>
        <v>65</v>
      </c>
      <c r="G1693" s="412" t="str">
        <f>IF(B1693='ACL N0000'!B1542,"OK","ERROR")</f>
        <v>OK</v>
      </c>
      <c r="K1693" s="412"/>
      <c r="L1693" s="258"/>
      <c r="M1693" s="258"/>
    </row>
    <row r="1694" spans="2:13">
      <c r="B1694" s="412">
        <v>42648</v>
      </c>
      <c r="C1694" s="258">
        <v>6579.78</v>
      </c>
      <c r="D1694" s="258">
        <v>3643.58</v>
      </c>
      <c r="E1694">
        <f>'ACL N0000'!G1543</f>
        <v>65</v>
      </c>
      <c r="G1694" s="412" t="str">
        <f>IF(B1694='ACL N0000'!B1543,"OK","ERROR")</f>
        <v>OK</v>
      </c>
      <c r="K1694" s="412"/>
      <c r="L1694" s="258"/>
      <c r="M1694" s="258"/>
    </row>
    <row r="1695" spans="2:13">
      <c r="B1695" s="412">
        <v>42649</v>
      </c>
      <c r="C1695" s="258">
        <v>6566.96</v>
      </c>
      <c r="D1695" s="258">
        <v>3646.13</v>
      </c>
      <c r="E1695">
        <f>'ACL N0000'!G1544</f>
        <v>64.400000000000006</v>
      </c>
      <c r="G1695" s="412" t="str">
        <f>IF(B1695='ACL N0000'!B1544,"OK","ERROR")</f>
        <v>OK</v>
      </c>
      <c r="K1695" s="412"/>
      <c r="L1695" s="258"/>
      <c r="M1695" s="258"/>
    </row>
    <row r="1696" spans="2:13">
      <c r="B1696" s="412">
        <v>42650</v>
      </c>
      <c r="C1696" s="258">
        <v>6582.34</v>
      </c>
      <c r="D1696" s="258">
        <v>3664.48</v>
      </c>
      <c r="E1696">
        <f>'ACL N0000'!G1545</f>
        <v>64.3</v>
      </c>
      <c r="G1696" s="412" t="str">
        <f>IF(B1696='ACL N0000'!B1545,"OK","ERROR")</f>
        <v>OK</v>
      </c>
      <c r="K1696" s="412"/>
      <c r="L1696" s="258"/>
      <c r="M1696" s="258"/>
    </row>
    <row r="1697" spans="2:13">
      <c r="B1697" s="412">
        <v>42653</v>
      </c>
      <c r="C1697" s="258">
        <v>6562.5</v>
      </c>
      <c r="D1697" s="258">
        <v>3661.23</v>
      </c>
      <c r="E1697">
        <f>'ACL N0000'!G1546</f>
        <v>63.6</v>
      </c>
      <c r="G1697" s="412" t="str">
        <f>IF(B1697='ACL N0000'!B1546,"OK","ERROR")</f>
        <v>OK</v>
      </c>
      <c r="K1697" s="412"/>
      <c r="L1697" s="258"/>
      <c r="M1697" s="258"/>
    </row>
    <row r="1698" spans="2:13">
      <c r="B1698" s="412">
        <v>42654</v>
      </c>
      <c r="C1698" s="258">
        <v>6538.28</v>
      </c>
      <c r="D1698" s="258">
        <v>3650.09</v>
      </c>
      <c r="E1698">
        <f>'ACL N0000'!G1547</f>
        <v>64</v>
      </c>
      <c r="G1698" s="412" t="str">
        <f>IF(B1698='ACL N0000'!B1547,"OK","ERROR")</f>
        <v>OK</v>
      </c>
      <c r="K1698" s="412"/>
      <c r="L1698" s="258"/>
      <c r="M1698" s="258"/>
    </row>
    <row r="1699" spans="2:13">
      <c r="B1699" s="412">
        <v>42655</v>
      </c>
      <c r="C1699" s="258">
        <v>6510.18</v>
      </c>
      <c r="D1699" s="258">
        <v>3638.08</v>
      </c>
      <c r="E1699">
        <f>'ACL N0000'!G1548</f>
        <v>62.9</v>
      </c>
      <c r="G1699" s="412" t="str">
        <f>IF(B1699='ACL N0000'!B1548,"OK","ERROR")</f>
        <v>OK</v>
      </c>
      <c r="K1699" s="412"/>
      <c r="L1699" s="258"/>
      <c r="M1699" s="258"/>
    </row>
    <row r="1700" spans="2:13">
      <c r="B1700" s="412">
        <v>42656</v>
      </c>
      <c r="C1700" s="258">
        <v>6487.13</v>
      </c>
      <c r="D1700" s="258">
        <v>3615.48</v>
      </c>
      <c r="E1700">
        <f>'ACL N0000'!G1549</f>
        <v>62.7</v>
      </c>
      <c r="G1700" s="412" t="str">
        <f>IF(B1700='ACL N0000'!B1549,"OK","ERROR")</f>
        <v>OK</v>
      </c>
      <c r="K1700" s="412"/>
      <c r="L1700" s="258"/>
      <c r="M1700" s="258"/>
    </row>
    <row r="1701" spans="2:13">
      <c r="B1701" s="412">
        <v>42657</v>
      </c>
      <c r="C1701" s="258">
        <v>6482.54</v>
      </c>
      <c r="D1701" s="258">
        <v>3615.12</v>
      </c>
      <c r="E1701">
        <f>'ACL N0000'!G1550</f>
        <v>62.8</v>
      </c>
      <c r="G1701" s="412" t="str">
        <f>IF(B1701='ACL N0000'!B1550,"OK","ERROR")</f>
        <v>OK</v>
      </c>
      <c r="K1701" s="412"/>
      <c r="L1701" s="258"/>
      <c r="M1701" s="258"/>
    </row>
    <row r="1702" spans="2:13">
      <c r="B1702" s="412">
        <v>42660</v>
      </c>
      <c r="C1702" s="258">
        <v>6452.69</v>
      </c>
      <c r="D1702" s="258">
        <v>3598.44</v>
      </c>
      <c r="E1702">
        <f>'ACL N0000'!G1551</f>
        <v>63</v>
      </c>
      <c r="G1702" s="412" t="str">
        <f>IF(B1702='ACL N0000'!B1551,"OK","ERROR")</f>
        <v>OK</v>
      </c>
      <c r="K1702" s="412"/>
      <c r="L1702" s="258"/>
      <c r="M1702" s="258"/>
    </row>
    <row r="1703" spans="2:13">
      <c r="B1703" s="412">
        <v>42661</v>
      </c>
      <c r="C1703" s="258">
        <v>6442.87</v>
      </c>
      <c r="D1703" s="258">
        <v>3591.74</v>
      </c>
      <c r="E1703">
        <f>'ACL N0000'!G1552</f>
        <v>64</v>
      </c>
      <c r="G1703" s="412" t="str">
        <f>IF(B1703='ACL N0000'!B1552,"OK","ERROR")</f>
        <v>OK</v>
      </c>
      <c r="K1703" s="412"/>
      <c r="L1703" s="258"/>
      <c r="M1703" s="258"/>
    </row>
    <row r="1704" spans="2:13">
      <c r="B1704" s="412">
        <v>42662</v>
      </c>
      <c r="C1704" s="258">
        <v>6444.39</v>
      </c>
      <c r="D1704" s="258">
        <v>3597.05</v>
      </c>
      <c r="E1704">
        <f>'ACL N0000'!G1553</f>
        <v>64</v>
      </c>
      <c r="G1704" s="412" t="str">
        <f>IF(B1704='ACL N0000'!B1553,"OK","ERROR")</f>
        <v>OK</v>
      </c>
      <c r="K1704" s="412"/>
      <c r="L1704" s="258"/>
      <c r="M1704" s="258"/>
    </row>
    <row r="1705" spans="2:13">
      <c r="B1705" s="412">
        <v>42663</v>
      </c>
      <c r="C1705" s="258">
        <v>6442.36</v>
      </c>
      <c r="D1705" s="258">
        <v>3593.17</v>
      </c>
      <c r="E1705">
        <f>'ACL N0000'!G1554</f>
        <v>64</v>
      </c>
      <c r="G1705" s="412" t="str">
        <f>IF(B1705='ACL N0000'!B1554,"OK","ERROR")</f>
        <v>OK</v>
      </c>
      <c r="K1705" s="412"/>
      <c r="L1705" s="258"/>
      <c r="M1705" s="258"/>
    </row>
    <row r="1706" spans="2:13">
      <c r="B1706" s="412">
        <v>42664</v>
      </c>
      <c r="C1706" s="258">
        <v>6447.53</v>
      </c>
      <c r="D1706" s="258">
        <v>3594.59</v>
      </c>
      <c r="E1706">
        <f>'ACL N0000'!G1555</f>
        <v>63.8</v>
      </c>
      <c r="G1706" s="412" t="str">
        <f>IF(B1706='ACL N0000'!B1555,"OK","ERROR")</f>
        <v>OK</v>
      </c>
      <c r="K1706" s="412"/>
      <c r="L1706" s="258"/>
      <c r="M1706" s="258"/>
    </row>
    <row r="1707" spans="2:13">
      <c r="B1707" s="412">
        <v>42667</v>
      </c>
      <c r="C1707" s="258">
        <v>6418.34</v>
      </c>
      <c r="D1707" s="258">
        <v>3586.96</v>
      </c>
      <c r="E1707">
        <f>'ACL N0000'!G1556</f>
        <v>63.8</v>
      </c>
      <c r="G1707" s="412" t="str">
        <f>IF(B1707='ACL N0000'!B1556,"OK","ERROR")</f>
        <v>OK</v>
      </c>
      <c r="K1707" s="412"/>
      <c r="L1707" s="258"/>
      <c r="M1707" s="258"/>
    </row>
    <row r="1708" spans="2:13">
      <c r="B1708" s="412">
        <v>42668</v>
      </c>
      <c r="C1708" s="258">
        <v>6436.97</v>
      </c>
      <c r="D1708" s="258">
        <v>3587.47</v>
      </c>
      <c r="E1708">
        <f>'ACL N0000'!G1557</f>
        <v>63.7</v>
      </c>
      <c r="G1708" s="412" t="str">
        <f>IF(B1708='ACL N0000'!B1557,"OK","ERROR")</f>
        <v>OK</v>
      </c>
      <c r="K1708" s="412"/>
      <c r="L1708" s="258"/>
      <c r="M1708" s="258"/>
    </row>
    <row r="1709" spans="2:13">
      <c r="B1709" s="412">
        <v>42669</v>
      </c>
      <c r="C1709" s="258">
        <v>6434.89</v>
      </c>
      <c r="D1709" s="258">
        <v>3585.82</v>
      </c>
      <c r="E1709">
        <f>'ACL N0000'!G1558</f>
        <v>63.4</v>
      </c>
      <c r="G1709" s="412" t="str">
        <f>IF(B1709='ACL N0000'!B1558,"OK","ERROR")</f>
        <v>OK</v>
      </c>
      <c r="K1709" s="412"/>
      <c r="L1709" s="258"/>
      <c r="M1709" s="258"/>
    </row>
    <row r="1710" spans="2:13">
      <c r="B1710" s="412">
        <v>42670</v>
      </c>
      <c r="C1710" s="258">
        <v>6438.5</v>
      </c>
      <c r="D1710" s="258">
        <v>3584.06</v>
      </c>
      <c r="E1710">
        <f>'ACL N0000'!G1559</f>
        <v>63</v>
      </c>
      <c r="G1710" s="412" t="str">
        <f>IF(B1710='ACL N0000'!B1559,"OK","ERROR")</f>
        <v>OK</v>
      </c>
      <c r="K1710" s="412"/>
      <c r="L1710" s="258"/>
      <c r="M1710" s="258"/>
    </row>
    <row r="1711" spans="2:13">
      <c r="B1711" s="412">
        <v>42671</v>
      </c>
      <c r="C1711" s="258">
        <v>6424.85</v>
      </c>
      <c r="D1711" s="258">
        <v>3572.36</v>
      </c>
      <c r="E1711">
        <f>'ACL N0000'!G1560</f>
        <v>63.3</v>
      </c>
      <c r="G1711" s="412" t="str">
        <f>IF(B1711='ACL N0000'!B1560,"OK","ERROR")</f>
        <v>OK</v>
      </c>
      <c r="K1711" s="412"/>
      <c r="L1711" s="258"/>
      <c r="M1711" s="258"/>
    </row>
    <row r="1712" spans="2:13">
      <c r="B1712" s="412">
        <v>42674</v>
      </c>
      <c r="C1712" s="258">
        <v>6409.23</v>
      </c>
      <c r="D1712" s="258">
        <v>3559.92</v>
      </c>
      <c r="E1712">
        <f>'ACL N0000'!G1561</f>
        <v>63</v>
      </c>
      <c r="G1712" s="412" t="str">
        <f>IF(B1712='ACL N0000'!B1561,"OK","ERROR")</f>
        <v>OK</v>
      </c>
      <c r="K1712" s="412"/>
      <c r="L1712" s="258"/>
      <c r="M1712" s="258"/>
    </row>
    <row r="1713" spans="2:13">
      <c r="B1713" s="412">
        <v>42675</v>
      </c>
      <c r="C1713" s="258">
        <v>6400.17</v>
      </c>
      <c r="D1713" s="258">
        <v>3570.87</v>
      </c>
      <c r="E1713">
        <f>'ACL N0000'!G1562</f>
        <v>62.9</v>
      </c>
      <c r="G1713" s="412" t="str">
        <f>IF(B1713='ACL N0000'!B1562,"OK","ERROR")</f>
        <v>OK</v>
      </c>
      <c r="K1713" s="412"/>
      <c r="L1713" s="258"/>
      <c r="M1713" s="258"/>
    </row>
    <row r="1714" spans="2:13">
      <c r="B1714" s="412">
        <v>42676</v>
      </c>
      <c r="C1714" s="258">
        <v>6429.04</v>
      </c>
      <c r="D1714" s="258">
        <v>3598.73</v>
      </c>
      <c r="E1714">
        <f>'ACL N0000'!G1563</f>
        <v>62.2</v>
      </c>
      <c r="G1714" s="412" t="str">
        <f>IF(B1714='ACL N0000'!B1563,"OK","ERROR")</f>
        <v>OK</v>
      </c>
      <c r="K1714" s="412"/>
      <c r="L1714" s="258"/>
      <c r="M1714" s="258"/>
    </row>
    <row r="1715" spans="2:13">
      <c r="B1715" s="412">
        <v>42677</v>
      </c>
      <c r="C1715" s="258">
        <v>6442.09</v>
      </c>
      <c r="D1715" s="258">
        <v>3610.4</v>
      </c>
      <c r="E1715">
        <f>'ACL N0000'!G1564</f>
        <v>63.1</v>
      </c>
      <c r="G1715" s="412" t="str">
        <f>IF(B1715='ACL N0000'!B1564,"OK","ERROR")</f>
        <v>OK</v>
      </c>
      <c r="K1715" s="412"/>
      <c r="L1715" s="258"/>
      <c r="M1715" s="258"/>
    </row>
    <row r="1716" spans="2:13">
      <c r="B1716" s="412">
        <v>42678</v>
      </c>
      <c r="C1716" s="258">
        <v>6435.17</v>
      </c>
      <c r="D1716" s="258">
        <v>3608.55</v>
      </c>
      <c r="E1716">
        <f>'ACL N0000'!G1565</f>
        <v>63.1</v>
      </c>
      <c r="G1716" s="412" t="str">
        <f>IF(B1716='ACL N0000'!B1565,"OK","ERROR")</f>
        <v>OK</v>
      </c>
      <c r="K1716" s="412"/>
      <c r="L1716" s="258"/>
      <c r="M1716" s="258"/>
    </row>
    <row r="1717" spans="2:13">
      <c r="B1717" s="412">
        <v>42681</v>
      </c>
      <c r="C1717" s="258">
        <v>6444.97</v>
      </c>
      <c r="D1717" s="258">
        <v>3619.9</v>
      </c>
      <c r="E1717">
        <f>'ACL N0000'!G1566</f>
        <v>62.6</v>
      </c>
      <c r="G1717" s="412" t="str">
        <f>IF(B1717='ACL N0000'!B1566,"OK","ERROR")</f>
        <v>OK</v>
      </c>
      <c r="K1717" s="412"/>
      <c r="L1717" s="258"/>
      <c r="M1717" s="258"/>
    </row>
    <row r="1718" spans="2:13">
      <c r="B1718" s="412">
        <v>42682</v>
      </c>
      <c r="C1718" s="258">
        <v>6439.06</v>
      </c>
      <c r="D1718" s="258">
        <v>3614.58</v>
      </c>
      <c r="E1718">
        <f>'ACL N0000'!G1567</f>
        <v>62.6</v>
      </c>
      <c r="G1718" s="412" t="str">
        <f>IF(B1718='ACL N0000'!B1567,"OK","ERROR")</f>
        <v>OK</v>
      </c>
      <c r="K1718" s="412"/>
      <c r="L1718" s="258"/>
      <c r="M1718" s="258"/>
    </row>
    <row r="1719" spans="2:13">
      <c r="B1719" s="412">
        <v>42683</v>
      </c>
      <c r="C1719" s="258">
        <v>6417.55</v>
      </c>
      <c r="D1719" s="258">
        <v>3588.45</v>
      </c>
      <c r="E1719">
        <f>'ACL N0000'!G1568</f>
        <v>62</v>
      </c>
      <c r="G1719" s="412" t="str">
        <f>IF(B1719='ACL N0000'!B1568,"OK","ERROR")</f>
        <v>OK</v>
      </c>
      <c r="K1719" s="412"/>
      <c r="L1719" s="258"/>
      <c r="M1719" s="258"/>
    </row>
    <row r="1720" spans="2:13">
      <c r="B1720" s="412">
        <v>42684</v>
      </c>
      <c r="C1720" s="258">
        <v>6420.78</v>
      </c>
      <c r="D1720" s="258">
        <v>3593.65</v>
      </c>
      <c r="E1720">
        <f>'ACL N0000'!G1569</f>
        <v>62</v>
      </c>
      <c r="G1720" s="412" t="str">
        <f>IF(B1720='ACL N0000'!B1569,"OK","ERROR")</f>
        <v>OK</v>
      </c>
      <c r="K1720" s="412"/>
      <c r="L1720" s="258"/>
      <c r="M1720" s="258"/>
    </row>
    <row r="1721" spans="2:13">
      <c r="B1721" s="412">
        <v>42685</v>
      </c>
      <c r="C1721" s="258">
        <v>6415.59</v>
      </c>
      <c r="D1721" s="258">
        <v>3589.97</v>
      </c>
      <c r="E1721">
        <f>'ACL N0000'!G1570</f>
        <v>62</v>
      </c>
      <c r="G1721" s="412" t="str">
        <f>IF(B1721='ACL N0000'!B1570,"OK","ERROR")</f>
        <v>OK</v>
      </c>
      <c r="K1721" s="412"/>
      <c r="L1721" s="258"/>
      <c r="M1721" s="258"/>
    </row>
    <row r="1722" spans="2:13">
      <c r="B1722" s="412">
        <v>42689</v>
      </c>
      <c r="C1722" s="258">
        <v>6406.16</v>
      </c>
      <c r="D1722" s="258">
        <v>3583.79</v>
      </c>
      <c r="E1722">
        <f>'ACL N0000'!G1571</f>
        <v>61.5</v>
      </c>
      <c r="G1722" s="412" t="str">
        <f>IF(B1722='ACL N0000'!B1571,"OK","ERROR")</f>
        <v>OK</v>
      </c>
      <c r="K1722" s="412"/>
      <c r="L1722" s="258"/>
      <c r="M1722" s="258"/>
    </row>
    <row r="1723" spans="2:13">
      <c r="B1723" s="412">
        <v>42690</v>
      </c>
      <c r="C1723" s="258">
        <v>6349.03</v>
      </c>
      <c r="D1723" s="258">
        <v>3531.92</v>
      </c>
      <c r="E1723">
        <f>'ACL N0000'!G1572</f>
        <v>62</v>
      </c>
      <c r="G1723" s="412" t="str">
        <f>IF(B1723='ACL N0000'!B1572,"OK","ERROR")</f>
        <v>OK</v>
      </c>
      <c r="K1723" s="412"/>
      <c r="L1723" s="258"/>
      <c r="M1723" s="258"/>
    </row>
    <row r="1724" spans="2:13">
      <c r="B1724" s="412">
        <v>42691</v>
      </c>
      <c r="C1724" s="258">
        <v>6344.28</v>
      </c>
      <c r="D1724" s="258">
        <v>3527.1</v>
      </c>
      <c r="E1724">
        <f>'ACL N0000'!G1573</f>
        <v>61.2</v>
      </c>
      <c r="G1724" s="412" t="str">
        <f>IF(B1724='ACL N0000'!B1573,"OK","ERROR")</f>
        <v>OK</v>
      </c>
      <c r="K1724" s="412"/>
      <c r="L1724" s="258"/>
      <c r="M1724" s="258"/>
    </row>
    <row r="1725" spans="2:13">
      <c r="B1725" s="412">
        <v>42692</v>
      </c>
      <c r="C1725" s="258">
        <v>6326.11</v>
      </c>
      <c r="D1725" s="258">
        <v>3514.98</v>
      </c>
      <c r="E1725">
        <f>'ACL N0000'!G1574</f>
        <v>61.6</v>
      </c>
      <c r="G1725" s="412" t="str">
        <f>IF(B1725='ACL N0000'!B1574,"OK","ERROR")</f>
        <v>OK</v>
      </c>
      <c r="K1725" s="412"/>
      <c r="L1725" s="258"/>
      <c r="M1725" s="258"/>
    </row>
    <row r="1726" spans="2:13">
      <c r="B1726" s="412">
        <v>42695</v>
      </c>
      <c r="C1726" s="258">
        <v>6275.26</v>
      </c>
      <c r="D1726" s="258">
        <v>3486.3</v>
      </c>
      <c r="E1726">
        <f>'ACL N0000'!G1575</f>
        <v>61</v>
      </c>
      <c r="G1726" s="412" t="str">
        <f>IF(B1726='ACL N0000'!B1575,"OK","ERROR")</f>
        <v>OK</v>
      </c>
      <c r="K1726" s="412"/>
      <c r="L1726" s="258"/>
      <c r="M1726" s="258"/>
    </row>
    <row r="1727" spans="2:13">
      <c r="B1727" s="412">
        <v>42696</v>
      </c>
      <c r="C1727" s="258">
        <v>6255.98</v>
      </c>
      <c r="D1727" s="258">
        <v>3473.65</v>
      </c>
      <c r="E1727">
        <f>'ACL N0000'!G1576</f>
        <v>59.3</v>
      </c>
      <c r="G1727" s="412" t="str">
        <f>IF(B1727='ACL N0000'!B1576,"OK","ERROR")</f>
        <v>OK</v>
      </c>
      <c r="K1727" s="412"/>
      <c r="L1727" s="258"/>
      <c r="M1727" s="258"/>
    </row>
    <row r="1728" spans="2:13">
      <c r="B1728" s="412">
        <v>42697</v>
      </c>
      <c r="C1728" s="648">
        <v>6242.68</v>
      </c>
      <c r="D1728" s="258">
        <v>3468.05</v>
      </c>
      <c r="E1728">
        <f>'ACL N0000'!G1577</f>
        <v>59.6</v>
      </c>
      <c r="G1728" s="412" t="str">
        <f>IF(B1728='ACL N0000'!B1577,"OK","ERROR")</f>
        <v>OK</v>
      </c>
      <c r="K1728" s="412"/>
      <c r="L1728" s="258"/>
      <c r="M1728" s="258"/>
    </row>
    <row r="1729" spans="2:13">
      <c r="B1729" s="412">
        <v>42698</v>
      </c>
      <c r="C1729" s="648">
        <v>6253.28</v>
      </c>
      <c r="D1729" s="258">
        <v>3478.53</v>
      </c>
      <c r="E1729">
        <f>'ACL N0000'!G1578</f>
        <v>60</v>
      </c>
      <c r="G1729" s="412" t="str">
        <f>IF(B1729='ACL N0000'!B1578,"OK","ERROR")</f>
        <v>OK</v>
      </c>
      <c r="K1729" s="412"/>
      <c r="L1729" s="258"/>
      <c r="M1729" s="258"/>
    </row>
    <row r="1730" spans="2:13">
      <c r="B1730" s="412">
        <v>42699</v>
      </c>
      <c r="C1730" s="648">
        <v>6252.12</v>
      </c>
      <c r="D1730" s="258">
        <v>3476.54</v>
      </c>
      <c r="E1730">
        <f>'ACL N0000'!G1579</f>
        <v>60</v>
      </c>
      <c r="G1730" s="412" t="str">
        <f>IF(B1730='ACL N0000'!B1579,"OK","ERROR")</f>
        <v>OK</v>
      </c>
      <c r="K1730" s="412"/>
      <c r="L1730" s="258"/>
      <c r="M1730" s="258"/>
    </row>
    <row r="1731" spans="2:13">
      <c r="B1731" s="412">
        <v>42702</v>
      </c>
      <c r="C1731" s="648">
        <v>6238.87</v>
      </c>
      <c r="D1731" s="258">
        <v>3459.86</v>
      </c>
      <c r="E1731">
        <f>'ACL N0000'!G1580</f>
        <v>60</v>
      </c>
      <c r="G1731" s="412" t="str">
        <f>IF(B1731='ACL N0000'!B1580,"OK","ERROR")</f>
        <v>OK</v>
      </c>
      <c r="K1731" s="412"/>
      <c r="L1731" s="258"/>
      <c r="M1731" s="258"/>
    </row>
    <row r="1732" spans="2:13">
      <c r="B1732" s="412">
        <v>42703</v>
      </c>
      <c r="C1732" s="648">
        <v>6231.87</v>
      </c>
      <c r="D1732" s="258">
        <v>3456.9</v>
      </c>
      <c r="E1732">
        <f>'ACL N0000'!G1581</f>
        <v>60</v>
      </c>
      <c r="G1732" s="412" t="str">
        <f>IF(B1732='ACL N0000'!B1581,"OK","ERROR")</f>
        <v>OK</v>
      </c>
      <c r="K1732" s="412"/>
      <c r="L1732" s="258"/>
      <c r="M1732" s="258"/>
    </row>
    <row r="1733" spans="2:13">
      <c r="B1733" s="412">
        <v>42704</v>
      </c>
      <c r="C1733" s="648">
        <v>6241.1</v>
      </c>
      <c r="D1733" s="258">
        <v>3467.1</v>
      </c>
      <c r="E1733">
        <f>'ACL N0000'!G1582</f>
        <v>59.6</v>
      </c>
      <c r="G1733" s="412" t="str">
        <f>IF(B1733='ACL N0000'!B1582,"OK","ERROR")</f>
        <v>OK</v>
      </c>
      <c r="K1733" s="412"/>
      <c r="L1733" s="258"/>
      <c r="M1733" s="258"/>
    </row>
    <row r="1734" spans="2:13">
      <c r="B1734" s="412">
        <v>42705</v>
      </c>
      <c r="C1734" s="648">
        <v>6309.04</v>
      </c>
      <c r="D1734" s="258">
        <v>3508.44</v>
      </c>
      <c r="E1734">
        <f>'ACL N0000'!G1583</f>
        <v>61.9</v>
      </c>
      <c r="G1734" s="412" t="str">
        <f>IF(B1734='ACL N0000'!B1583,"OK","ERROR")</f>
        <v>OK</v>
      </c>
      <c r="K1734" s="412"/>
      <c r="L1734" s="258"/>
      <c r="M1734" s="258"/>
    </row>
    <row r="1735" spans="2:13">
      <c r="B1735" s="412">
        <v>42706</v>
      </c>
      <c r="C1735" s="648">
        <v>6325.57</v>
      </c>
      <c r="D1735" s="258">
        <v>3521.76</v>
      </c>
      <c r="E1735">
        <f>'ACL N0000'!G1584</f>
        <v>60.3</v>
      </c>
      <c r="G1735" s="412" t="str">
        <f>IF(B1735='ACL N0000'!B1584,"OK","ERROR")</f>
        <v>OK</v>
      </c>
      <c r="K1735" s="412"/>
      <c r="L1735" s="258"/>
      <c r="M1735" s="258"/>
    </row>
    <row r="1736" spans="2:13">
      <c r="B1736" s="412">
        <v>42709</v>
      </c>
      <c r="C1736" s="648">
        <v>6368.12</v>
      </c>
      <c r="D1736" s="258">
        <v>3555.85</v>
      </c>
      <c r="E1736">
        <f>'ACL N0000'!G1585</f>
        <v>61.5</v>
      </c>
      <c r="G1736" s="412" t="str">
        <f>IF(B1736='ACL N0000'!B1585,"OK","ERROR")</f>
        <v>OK</v>
      </c>
      <c r="K1736" s="412"/>
      <c r="L1736" s="258"/>
      <c r="M1736" s="258"/>
    </row>
    <row r="1737" spans="2:13">
      <c r="B1737" s="412">
        <v>42710</v>
      </c>
      <c r="C1737" s="648">
        <v>6350.4</v>
      </c>
      <c r="D1737" s="258">
        <v>3540.05</v>
      </c>
      <c r="E1737">
        <f>'ACL N0000'!G1586</f>
        <v>60.9</v>
      </c>
      <c r="G1737" s="412" t="str">
        <f>IF(B1737='ACL N0000'!B1586,"OK","ERROR")</f>
        <v>OK</v>
      </c>
      <c r="K1737" s="412"/>
      <c r="L1737" s="258"/>
      <c r="M1737" s="258"/>
    </row>
    <row r="1738" spans="2:13">
      <c r="B1738" s="412">
        <v>42711</v>
      </c>
      <c r="C1738" s="258">
        <v>6327.3</v>
      </c>
      <c r="D1738" s="258">
        <v>3533.84</v>
      </c>
      <c r="E1738">
        <f>'ACL N0000'!G1587</f>
        <v>60</v>
      </c>
      <c r="G1738" s="412" t="str">
        <f>IF(B1738='ACL N0000'!B1587,"OK","ERROR")</f>
        <v>OK</v>
      </c>
      <c r="K1738" s="412"/>
      <c r="L1738" s="258"/>
      <c r="M1738" s="258"/>
    </row>
    <row r="1739" spans="2:13">
      <c r="B1739" s="412">
        <v>42712</v>
      </c>
      <c r="C1739" s="258">
        <v>6337.82</v>
      </c>
      <c r="D1739" s="258">
        <v>3555.91</v>
      </c>
      <c r="E1739">
        <f>'ACL N0000'!G1588</f>
        <v>60</v>
      </c>
      <c r="G1739" s="412" t="str">
        <f>IF(B1739='ACL N0000'!B1588,"OK","ERROR")</f>
        <v>OK</v>
      </c>
      <c r="K1739" s="412"/>
      <c r="L1739" s="258"/>
      <c r="M1739" s="258"/>
    </row>
    <row r="1740" spans="2:13">
      <c r="B1740" s="412">
        <v>42713</v>
      </c>
      <c r="C1740" s="258">
        <v>6324.1</v>
      </c>
      <c r="D1740" s="258">
        <v>3555.02</v>
      </c>
      <c r="E1740">
        <f>'ACL N0000'!G1589</f>
        <v>59.9</v>
      </c>
      <c r="G1740" s="412" t="str">
        <f>IF(B1740='ACL N0000'!B1589,"OK","ERROR")</f>
        <v>OK</v>
      </c>
      <c r="K1740" s="412"/>
      <c r="L1740" s="258"/>
      <c r="M1740" s="258"/>
    </row>
    <row r="1741" spans="2:13">
      <c r="B1741" s="412">
        <v>42718</v>
      </c>
      <c r="C1741" s="258">
        <v>6299.01</v>
      </c>
      <c r="D1741" s="258">
        <v>3540.62</v>
      </c>
      <c r="E1741">
        <f>'ACL N0000'!G1590</f>
        <v>59.6</v>
      </c>
      <c r="G1741" s="412" t="str">
        <f>IF(B1741='ACL N0000'!B1590,"OK","ERROR")</f>
        <v>OK</v>
      </c>
      <c r="K1741" s="412"/>
      <c r="L1741" s="258"/>
      <c r="M1741" s="258"/>
    </row>
    <row r="1742" spans="2:13">
      <c r="B1742" s="412">
        <v>42719</v>
      </c>
      <c r="C1742" s="258">
        <v>6285.53</v>
      </c>
      <c r="D1742" s="258">
        <v>3529.61</v>
      </c>
      <c r="E1742">
        <f>'ACL N0000'!G1591</f>
        <v>60</v>
      </c>
      <c r="G1742" s="412" t="str">
        <f>IF(B1742='ACL N0000'!B1591,"OK","ERROR")</f>
        <v>OK</v>
      </c>
      <c r="K1742" s="412"/>
      <c r="L1742" s="258"/>
      <c r="M1742" s="258"/>
    </row>
    <row r="1743" spans="2:13">
      <c r="B1743" s="412">
        <v>42720</v>
      </c>
      <c r="C1743" s="648">
        <v>6268.61</v>
      </c>
      <c r="D1743" s="258">
        <v>3521.67</v>
      </c>
      <c r="E1743">
        <f>'ACL N0000'!G1592</f>
        <v>59.4</v>
      </c>
      <c r="G1743" s="412" t="str">
        <f>IF(B1743='ACL N0000'!B1592,"OK","ERROR")</f>
        <v>OK</v>
      </c>
      <c r="K1743" s="412"/>
      <c r="L1743" s="258"/>
      <c r="M1743" s="258"/>
    </row>
    <row r="1744" spans="2:13">
      <c r="B1744" s="412">
        <v>42723</v>
      </c>
      <c r="C1744" s="258">
        <v>6250.57</v>
      </c>
      <c r="D1744" s="258">
        <v>3512.29</v>
      </c>
      <c r="E1744">
        <f>'ACL N0000'!G1593</f>
        <v>59.9</v>
      </c>
      <c r="G1744" s="412" t="str">
        <f>IF(B1744='ACL N0000'!B1593,"OK","ERROR")</f>
        <v>OK</v>
      </c>
      <c r="K1744" s="412"/>
      <c r="L1744" s="258"/>
      <c r="M1744" s="258"/>
    </row>
    <row r="1745" spans="2:13">
      <c r="B1745" s="412">
        <v>42724</v>
      </c>
      <c r="C1745" s="258">
        <v>6234.75</v>
      </c>
      <c r="D1745" s="258">
        <v>3496.06</v>
      </c>
      <c r="E1745">
        <f>'ACL N0000'!G1594</f>
        <v>59.8</v>
      </c>
      <c r="G1745" s="412" t="str">
        <f>IF(B1745='ACL N0000'!B1594,"OK","ERROR")</f>
        <v>OK</v>
      </c>
      <c r="K1745" s="412"/>
      <c r="L1745" s="258"/>
      <c r="M1745" s="258"/>
    </row>
    <row r="1746" spans="2:13">
      <c r="B1746" s="412">
        <v>42725</v>
      </c>
      <c r="C1746" s="648">
        <v>6227.34</v>
      </c>
      <c r="D1746" s="258">
        <v>3490.35</v>
      </c>
      <c r="E1746">
        <f>'ACL N0000'!G1595</f>
        <v>60</v>
      </c>
      <c r="G1746" s="412" t="str">
        <f>IF(B1746='ACL N0000'!B1595,"OK","ERROR")</f>
        <v>OK</v>
      </c>
      <c r="K1746" s="412"/>
      <c r="L1746" s="258"/>
      <c r="M1746" s="258"/>
    </row>
    <row r="1747" spans="2:13">
      <c r="B1747" s="412">
        <v>42726</v>
      </c>
      <c r="C1747" s="648">
        <v>6209.65</v>
      </c>
      <c r="D1747" s="258">
        <v>3478.15</v>
      </c>
      <c r="E1747">
        <f>'ACL N0000'!G1596</f>
        <v>60</v>
      </c>
      <c r="G1747" s="412" t="str">
        <f>IF(B1747='ACL N0000'!B1596,"OK","ERROR")</f>
        <v>OK</v>
      </c>
      <c r="K1747" s="412"/>
      <c r="L1747" s="258"/>
      <c r="M1747" s="258"/>
    </row>
    <row r="1748" spans="2:13">
      <c r="B1748" s="412">
        <v>42727</v>
      </c>
      <c r="C1748" s="258">
        <v>6216.56</v>
      </c>
      <c r="D1748" s="258">
        <v>3482.21</v>
      </c>
      <c r="E1748">
        <f>'ACL N0000'!G1597</f>
        <v>59.8</v>
      </c>
      <c r="G1748" s="412" t="str">
        <f>IF(B1748='ACL N0000'!B1597,"OK","ERROR")</f>
        <v>OK</v>
      </c>
      <c r="K1748" s="412"/>
      <c r="L1748" s="258"/>
      <c r="M1748" s="258"/>
    </row>
    <row r="1749" spans="2:13">
      <c r="B1749" s="412">
        <v>42731</v>
      </c>
      <c r="C1749" s="258">
        <v>6202.83</v>
      </c>
      <c r="D1749" s="258">
        <v>3477.02</v>
      </c>
      <c r="E1749">
        <f>'ACL N0000'!G1598</f>
        <v>59.8</v>
      </c>
      <c r="G1749" s="412" t="str">
        <f>IF(B1749='ACL N0000'!B1598,"OK","ERROR")</f>
        <v>OK</v>
      </c>
      <c r="K1749" s="412"/>
      <c r="L1749" s="258"/>
      <c r="M1749" s="258"/>
    </row>
    <row r="1750" spans="2:13">
      <c r="B1750" s="412">
        <v>42732</v>
      </c>
      <c r="C1750" s="258">
        <v>6228.51</v>
      </c>
      <c r="D1750" s="258">
        <v>3505.78</v>
      </c>
      <c r="E1750">
        <f>'ACL N0000'!G1599</f>
        <v>60.7</v>
      </c>
      <c r="G1750" s="412" t="str">
        <f>IF(B1750='ACL N0000'!B1599,"OK","ERROR")</f>
        <v>OK</v>
      </c>
      <c r="K1750" s="412"/>
      <c r="L1750" s="258"/>
      <c r="M1750" s="258"/>
    </row>
    <row r="1751" spans="2:13">
      <c r="B1751" s="412">
        <v>42733</v>
      </c>
      <c r="C1751" s="258">
        <v>6245.71</v>
      </c>
      <c r="D1751" s="258">
        <v>3503.13</v>
      </c>
      <c r="E1751">
        <f>'ACL N0000'!G1600</f>
        <v>61.5</v>
      </c>
      <c r="G1751" s="412" t="str">
        <f>IF(B1751='ACL N0000'!B1600,"OK","ERROR")</f>
        <v>OK</v>
      </c>
      <c r="K1751" s="412"/>
      <c r="L1751" s="649"/>
      <c r="M1751" s="258"/>
    </row>
    <row r="1752" spans="2:13">
      <c r="B1752" s="412">
        <v>42734</v>
      </c>
      <c r="C1752" s="258">
        <v>6228.26</v>
      </c>
      <c r="D1752" s="258">
        <v>3496.44</v>
      </c>
      <c r="E1752">
        <f>'ACL N0000'!G1601</f>
        <v>60.5</v>
      </c>
      <c r="G1752" s="412" t="str">
        <f>IF(B1752='ACL N0000'!B1601,"OK","ERROR")</f>
        <v>OK</v>
      </c>
      <c r="K1752" s="412"/>
      <c r="L1752" s="258"/>
      <c r="M1752" s="258"/>
    </row>
    <row r="1753" spans="2:13">
      <c r="B1753" s="412">
        <v>42737</v>
      </c>
      <c r="C1753" s="258">
        <v>6192.87</v>
      </c>
      <c r="D1753" s="258">
        <v>3472.5</v>
      </c>
      <c r="E1753">
        <f>'ACL N0000'!G1602</f>
        <v>60.5</v>
      </c>
      <c r="G1753" s="412" t="str">
        <f>IF(B1753='ACL N0000'!B1602,"OK","ERROR")</f>
        <v>OK</v>
      </c>
      <c r="K1753" s="412"/>
      <c r="L1753" s="258"/>
      <c r="M1753" s="258"/>
    </row>
    <row r="1754" spans="2:13">
      <c r="B1754" s="412">
        <v>42738</v>
      </c>
      <c r="C1754" s="258">
        <v>6159.12</v>
      </c>
      <c r="D1754" s="258">
        <v>3438.4</v>
      </c>
      <c r="E1754">
        <f>'ACL N0000'!G1603</f>
        <v>60</v>
      </c>
      <c r="G1754" s="412" t="str">
        <f>IF(B1754='ACL N0000'!B1603,"OK","ERROR")</f>
        <v>OK</v>
      </c>
      <c r="K1754" s="412"/>
      <c r="L1754" s="258"/>
      <c r="M1754" s="258"/>
    </row>
    <row r="1755" spans="2:13">
      <c r="B1755" s="412">
        <v>42739</v>
      </c>
      <c r="C1755" s="258">
        <v>6153.13</v>
      </c>
      <c r="D1755" s="258">
        <v>3447.75</v>
      </c>
      <c r="E1755">
        <f>'ACL N0000'!G1604</f>
        <v>60</v>
      </c>
      <c r="G1755" s="412" t="str">
        <f>IF(B1755='ACL N0000'!B1604,"OK","ERROR")</f>
        <v>OK</v>
      </c>
      <c r="K1755" s="412"/>
      <c r="L1755" s="258"/>
      <c r="M1755" s="258"/>
    </row>
    <row r="1756" spans="2:13">
      <c r="B1756" s="412">
        <v>42740</v>
      </c>
      <c r="C1756" s="258">
        <v>6147.52</v>
      </c>
      <c r="D1756" s="258">
        <v>3446.98</v>
      </c>
      <c r="E1756">
        <f>'ACL N0000'!G1605</f>
        <v>60</v>
      </c>
      <c r="G1756" s="412" t="str">
        <f>IF(B1756='ACL N0000'!B1605,"OK","ERROR")</f>
        <v>OK</v>
      </c>
      <c r="K1756" s="412"/>
      <c r="L1756" s="258"/>
      <c r="M1756" s="258"/>
    </row>
    <row r="1757" spans="2:13">
      <c r="B1757" s="412">
        <v>42741</v>
      </c>
      <c r="C1757" s="258">
        <v>6153.02</v>
      </c>
      <c r="D1757" s="258">
        <v>3462.25</v>
      </c>
      <c r="E1757">
        <f>'ACL N0000'!G1606</f>
        <v>59.9</v>
      </c>
      <c r="G1757" s="412" t="str">
        <f>IF(B1757='ACL N0000'!B1606,"OK","ERROR")</f>
        <v>OK</v>
      </c>
      <c r="K1757" s="412"/>
      <c r="L1757" s="258"/>
      <c r="M1757" s="258"/>
    </row>
    <row r="1758" spans="2:13">
      <c r="B1758" s="412">
        <v>42744</v>
      </c>
      <c r="C1758" s="258">
        <v>6155.52</v>
      </c>
      <c r="D1758" s="258">
        <v>3471.28</v>
      </c>
      <c r="E1758">
        <f>'ACL N0000'!G1607</f>
        <v>60</v>
      </c>
      <c r="G1758" s="412" t="str">
        <f>IF(B1758='ACL N0000'!B1607,"OK","ERROR")</f>
        <v>OK</v>
      </c>
      <c r="K1758" s="412"/>
      <c r="L1758" s="258"/>
      <c r="M1758" s="258"/>
    </row>
    <row r="1759" spans="2:13">
      <c r="B1759" s="412">
        <v>42745</v>
      </c>
      <c r="C1759" s="258">
        <v>6152.59</v>
      </c>
      <c r="D1759" s="258">
        <v>3462.31</v>
      </c>
      <c r="E1759">
        <f>'ACL N0000'!G1608</f>
        <v>60.2</v>
      </c>
      <c r="G1759" s="412" t="str">
        <f>IF(B1759='ACL N0000'!B1608,"OK","ERROR")</f>
        <v>OK</v>
      </c>
      <c r="K1759" s="412"/>
      <c r="L1759" s="258"/>
      <c r="M1759" s="258"/>
    </row>
    <row r="1760" spans="2:13">
      <c r="B1760" s="412">
        <v>42746</v>
      </c>
      <c r="C1760" s="258">
        <v>6184.54</v>
      </c>
      <c r="D1760" s="258">
        <v>3503.07</v>
      </c>
      <c r="E1760">
        <f>'ACL N0000'!G1609</f>
        <v>60.3</v>
      </c>
      <c r="G1760" s="412" t="str">
        <f>IF(B1760='ACL N0000'!B1609,"OK","ERROR")</f>
        <v>OK</v>
      </c>
      <c r="K1760" s="412"/>
      <c r="L1760" s="258"/>
      <c r="M1760" s="258"/>
    </row>
    <row r="1761" spans="2:13">
      <c r="B1761" s="412">
        <v>42748</v>
      </c>
      <c r="C1761" s="258">
        <v>6217.72</v>
      </c>
      <c r="D1761" s="258">
        <v>3524.4</v>
      </c>
      <c r="E1761">
        <f>'ACL N0000'!G1610</f>
        <v>60.6</v>
      </c>
      <c r="G1761" s="412" t="str">
        <f>IF(B1761='ACL N0000'!B1610,"OK","ERROR")</f>
        <v>OK</v>
      </c>
      <c r="K1761" s="412"/>
      <c r="L1761" s="258"/>
      <c r="M1761" s="258"/>
    </row>
    <row r="1762" spans="2:13">
      <c r="B1762" s="412">
        <v>42751</v>
      </c>
      <c r="C1762" s="258">
        <v>6201.65</v>
      </c>
      <c r="D1762" s="258">
        <v>3508.79</v>
      </c>
      <c r="E1762">
        <f>'ACL N0000'!G1611</f>
        <v>61</v>
      </c>
      <c r="G1762" s="412" t="str">
        <f>IF(B1762='ACL N0000'!B1611,"OK","ERROR")</f>
        <v>OK</v>
      </c>
      <c r="K1762" s="412"/>
      <c r="L1762" s="258"/>
      <c r="M1762" s="258"/>
    </row>
    <row r="1763" spans="2:13">
      <c r="B1763" s="412">
        <v>42752</v>
      </c>
      <c r="C1763" s="258">
        <v>6186.52</v>
      </c>
      <c r="D1763" s="258">
        <v>3491.34</v>
      </c>
      <c r="E1763">
        <f>'ACL N0000'!G1612</f>
        <v>60</v>
      </c>
      <c r="G1763" s="412" t="str">
        <f>IF(B1763='ACL N0000'!B1612,"OK","ERROR")</f>
        <v>OK</v>
      </c>
      <c r="K1763" s="412"/>
      <c r="L1763" s="258"/>
      <c r="M1763" s="258"/>
    </row>
    <row r="1764" spans="2:13">
      <c r="B1764" s="412">
        <v>42753</v>
      </c>
      <c r="C1764" s="258">
        <v>6185.01</v>
      </c>
      <c r="D1764" s="258">
        <v>3497.27</v>
      </c>
      <c r="E1764">
        <f>'ACL N0000'!G1613</f>
        <v>60</v>
      </c>
      <c r="G1764" s="412" t="str">
        <f>IF(B1764='ACL N0000'!B1613,"OK","ERROR")</f>
        <v>OK</v>
      </c>
      <c r="K1764" s="412"/>
      <c r="L1764" s="258"/>
      <c r="M1764" s="258"/>
    </row>
    <row r="1765" spans="2:13">
      <c r="B1765" s="412">
        <v>42754</v>
      </c>
      <c r="C1765" s="258">
        <v>6164.9</v>
      </c>
      <c r="D1765" s="258">
        <v>3492.61</v>
      </c>
      <c r="E1765">
        <f>'ACL N0000'!G1614</f>
        <v>60</v>
      </c>
      <c r="G1765" s="412" t="str">
        <f>IF(B1765='ACL N0000'!B1614,"OK","ERROR")</f>
        <v>OK</v>
      </c>
      <c r="K1765" s="412"/>
      <c r="L1765" s="258"/>
      <c r="M1765" s="258"/>
    </row>
    <row r="1766" spans="2:13">
      <c r="B1766" s="412">
        <v>42755</v>
      </c>
      <c r="C1766" s="258">
        <v>6169.57</v>
      </c>
      <c r="D1766" s="258">
        <v>3508.4</v>
      </c>
      <c r="E1766">
        <f>'ACL N0000'!G1615</f>
        <v>60</v>
      </c>
      <c r="G1766" s="412" t="str">
        <f>IF(B1766='ACL N0000'!B1615,"OK","ERROR")</f>
        <v>OK</v>
      </c>
      <c r="K1766" s="412"/>
      <c r="L1766" s="258"/>
      <c r="M1766" s="258"/>
    </row>
    <row r="1767" spans="2:13">
      <c r="B1767" s="412">
        <v>42758</v>
      </c>
      <c r="C1767" s="258">
        <v>6162.05</v>
      </c>
      <c r="D1767" s="258">
        <v>3500.44</v>
      </c>
      <c r="E1767">
        <f>'ACL N0000'!G1616</f>
        <v>60</v>
      </c>
      <c r="G1767" s="412" t="str">
        <f>IF(B1767='ACL N0000'!B1616,"OK","ERROR")</f>
        <v>OK</v>
      </c>
      <c r="K1767" s="412"/>
      <c r="L1767" s="258"/>
      <c r="M1767" s="258"/>
    </row>
    <row r="1768" spans="2:13">
      <c r="B1768" s="412">
        <v>42759</v>
      </c>
      <c r="C1768" s="258">
        <v>6134.41</v>
      </c>
      <c r="D1768" s="258">
        <v>3479.48</v>
      </c>
      <c r="E1768">
        <f>'ACL N0000'!G1617</f>
        <v>59.5</v>
      </c>
      <c r="G1768" s="412" t="str">
        <f>IF(B1768='ACL N0000'!B1617,"OK","ERROR")</f>
        <v>OK</v>
      </c>
      <c r="K1768" s="412"/>
      <c r="L1768" s="258"/>
      <c r="M1768" s="258"/>
    </row>
    <row r="1769" spans="2:13">
      <c r="B1769" s="412">
        <v>42760</v>
      </c>
      <c r="C1769" s="258">
        <v>6127.08</v>
      </c>
      <c r="D1769" s="258">
        <v>3474.41</v>
      </c>
      <c r="E1769">
        <f>'ACL N0000'!G1618</f>
        <v>59.2</v>
      </c>
      <c r="G1769" s="412" t="str">
        <f>IF(B1769='ACL N0000'!B1618,"OK","ERROR")</f>
        <v>OK</v>
      </c>
      <c r="K1769" s="412"/>
      <c r="L1769" s="258"/>
      <c r="M1769" s="258"/>
    </row>
    <row r="1770" spans="2:13">
      <c r="B1770" s="412">
        <v>42761</v>
      </c>
      <c r="C1770" s="258">
        <v>6130.05</v>
      </c>
      <c r="D1770" s="258">
        <v>3479.39</v>
      </c>
      <c r="E1770">
        <f>'ACL N0000'!G1619</f>
        <v>60</v>
      </c>
      <c r="G1770" s="412" t="str">
        <f>IF(B1770='ACL N0000'!B1619,"OK","ERROR")</f>
        <v>OK</v>
      </c>
      <c r="K1770" s="412"/>
      <c r="L1770" s="258"/>
      <c r="M1770" s="258"/>
    </row>
    <row r="1771" spans="2:13">
      <c r="B1771" s="412">
        <v>42762</v>
      </c>
      <c r="C1771" s="258">
        <v>6137.7</v>
      </c>
      <c r="D1771" s="258">
        <v>3483.67</v>
      </c>
      <c r="E1771">
        <f>'ACL N0000'!G1620</f>
        <v>59</v>
      </c>
      <c r="G1771" s="412" t="str">
        <f>IF(B1771='ACL N0000'!B1620,"OK","ERROR")</f>
        <v>OK</v>
      </c>
      <c r="K1771" s="412"/>
      <c r="L1771" s="258"/>
      <c r="M1771" s="258"/>
    </row>
    <row r="1772" spans="2:13">
      <c r="B1772" s="412">
        <v>42765</v>
      </c>
      <c r="C1772" s="258">
        <v>6140.54</v>
      </c>
      <c r="D1772" s="258">
        <v>3492.92</v>
      </c>
      <c r="E1772">
        <f>'ACL N0000'!G1621</f>
        <v>59</v>
      </c>
      <c r="G1772" s="412" t="str">
        <f>IF(B1772='ACL N0000'!B1621,"OK","ERROR")</f>
        <v>OK</v>
      </c>
      <c r="K1772" s="412"/>
      <c r="L1772" s="258"/>
      <c r="M1772" s="258"/>
    </row>
    <row r="1773" spans="2:13">
      <c r="B1773" s="412">
        <v>42766</v>
      </c>
      <c r="C1773" s="258">
        <v>6132.68</v>
      </c>
      <c r="D1773" s="258">
        <v>3489.61</v>
      </c>
      <c r="E1773">
        <f>'ACL N0000'!G1622</f>
        <v>59</v>
      </c>
      <c r="G1773" s="412" t="str">
        <f>IF(B1773='ACL N0000'!B1622,"OK","ERROR")</f>
        <v>OK</v>
      </c>
      <c r="K1773" s="412"/>
      <c r="L1773" s="258"/>
      <c r="M1773" s="258"/>
    </row>
    <row r="1774" spans="2:13">
      <c r="B1774" s="412">
        <v>42767</v>
      </c>
      <c r="C1774" s="258">
        <v>6130.07</v>
      </c>
      <c r="D1774" s="258">
        <v>3490.91</v>
      </c>
      <c r="E1774">
        <f>'ACL N0000'!G1623</f>
        <v>59</v>
      </c>
      <c r="G1774" s="412" t="str">
        <f>IF(B1774='ACL N0000'!B1623,"OK","ERROR")</f>
        <v>OK</v>
      </c>
      <c r="K1774" s="412"/>
      <c r="L1774" s="258"/>
      <c r="M1774" s="258"/>
    </row>
    <row r="1775" spans="2:13">
      <c r="B1775" s="412">
        <v>42768</v>
      </c>
      <c r="C1775" s="258">
        <v>6139.56</v>
      </c>
      <c r="D1775" s="258">
        <v>3504.35</v>
      </c>
      <c r="E1775">
        <f>'ACL N0000'!G1624</f>
        <v>58</v>
      </c>
      <c r="G1775" s="412" t="str">
        <f>IF(B1775='ACL N0000'!B1624,"OK","ERROR")</f>
        <v>OK</v>
      </c>
      <c r="K1775" s="412"/>
      <c r="L1775" s="258"/>
      <c r="M1775" s="258"/>
    </row>
    <row r="1776" spans="2:13">
      <c r="B1776" s="412">
        <v>42769</v>
      </c>
      <c r="C1776" s="258">
        <v>6119.99</v>
      </c>
      <c r="D1776" s="258">
        <v>3506.13</v>
      </c>
      <c r="E1776">
        <f>'ACL N0000'!G1625</f>
        <v>58.8</v>
      </c>
      <c r="G1776" s="412" t="str">
        <f>IF(B1776='ACL N0000'!B1625,"OK","ERROR")</f>
        <v>OK</v>
      </c>
      <c r="K1776" s="412"/>
      <c r="L1776" s="258"/>
      <c r="M1776" s="258"/>
    </row>
    <row r="1777" spans="2:13">
      <c r="B1777" s="412">
        <v>42772</v>
      </c>
      <c r="C1777" s="258">
        <v>6068.31</v>
      </c>
      <c r="D1777" s="258">
        <v>3466.32</v>
      </c>
      <c r="E1777">
        <f>'ACL N0000'!G1626</f>
        <v>57</v>
      </c>
      <c r="G1777" s="412" t="str">
        <f>IF(B1777='ACL N0000'!B1626,"OK","ERROR")</f>
        <v>OK</v>
      </c>
      <c r="K1777" s="412"/>
      <c r="L1777" s="258"/>
      <c r="M1777" s="258"/>
    </row>
    <row r="1778" spans="2:13">
      <c r="B1778" s="412">
        <v>42773</v>
      </c>
      <c r="C1778" s="258">
        <v>6093.04</v>
      </c>
      <c r="D1778" s="258">
        <v>3478.08</v>
      </c>
      <c r="E1778">
        <f>'ACL N0000'!G1627</f>
        <v>57.7</v>
      </c>
      <c r="G1778" s="412" t="str">
        <f>IF(B1778='ACL N0000'!B1627,"OK","ERROR")</f>
        <v>OK</v>
      </c>
      <c r="K1778" s="412"/>
      <c r="L1778" s="258"/>
      <c r="M1778" s="258"/>
    </row>
    <row r="1779" spans="2:13">
      <c r="B1779" s="412">
        <v>42774</v>
      </c>
      <c r="C1779" s="258">
        <v>6096.39</v>
      </c>
      <c r="D1779" s="258">
        <v>3485.2</v>
      </c>
      <c r="E1779">
        <f>'ACL N0000'!G1628</f>
        <v>57.7</v>
      </c>
      <c r="G1779" s="412" t="str">
        <f>IF(B1779='ACL N0000'!B1628,"OK","ERROR")</f>
        <v>OK</v>
      </c>
      <c r="K1779" s="412"/>
      <c r="L1779" s="258"/>
      <c r="M1779" s="258"/>
    </row>
    <row r="1780" spans="2:13">
      <c r="B1780" s="412">
        <v>42775</v>
      </c>
      <c r="C1780" s="258">
        <v>6094.15</v>
      </c>
      <c r="D1780" s="258">
        <v>3488.5</v>
      </c>
      <c r="E1780">
        <f>'ACL N0000'!G1629</f>
        <v>57.3</v>
      </c>
      <c r="G1780" s="412" t="str">
        <f>IF(B1780='ACL N0000'!B1629,"OK","ERROR")</f>
        <v>OK</v>
      </c>
      <c r="K1780" s="412"/>
      <c r="L1780" s="258"/>
      <c r="M1780" s="258"/>
    </row>
    <row r="1781" spans="2:13">
      <c r="B1781" s="412">
        <v>42779</v>
      </c>
      <c r="C1781" s="258">
        <v>6138.73</v>
      </c>
      <c r="D1781" s="258">
        <v>3521.24</v>
      </c>
      <c r="E1781">
        <f>'ACL N0000'!G1630</f>
        <v>59.5</v>
      </c>
      <c r="G1781" s="412" t="str">
        <f>IF(B1781='ACL N0000'!B1630,"OK","ERROR")</f>
        <v>OK</v>
      </c>
      <c r="K1781" s="412"/>
      <c r="L1781" s="258"/>
      <c r="M1781" s="258"/>
    </row>
    <row r="1782" spans="2:13">
      <c r="B1782" s="412">
        <v>42780</v>
      </c>
      <c r="C1782" s="648">
        <v>6148.94</v>
      </c>
      <c r="D1782" s="258">
        <v>3532.93</v>
      </c>
      <c r="E1782">
        <f>'ACL N0000'!G1631</f>
        <v>60</v>
      </c>
      <c r="G1782" s="412" t="str">
        <f>IF(B1782='ACL N0000'!B1631,"OK","ERROR")</f>
        <v>OK</v>
      </c>
      <c r="K1782" s="412"/>
      <c r="L1782" s="258"/>
      <c r="M1782" s="258"/>
    </row>
    <row r="1783" spans="2:13">
      <c r="B1783" s="412">
        <v>42781</v>
      </c>
      <c r="C1783" s="648">
        <v>6175.5</v>
      </c>
      <c r="D1783" s="258">
        <v>3545.91</v>
      </c>
      <c r="E1783">
        <f>'ACL N0000'!G1632</f>
        <v>60</v>
      </c>
      <c r="G1783" s="412" t="str">
        <f>IF(B1783='ACL N0000'!B1632,"OK","ERROR")</f>
        <v>OK</v>
      </c>
      <c r="K1783" s="412"/>
      <c r="L1783" s="258"/>
      <c r="M1783" s="258"/>
    </row>
    <row r="1784" spans="2:13">
      <c r="B1784" s="412">
        <v>42782</v>
      </c>
      <c r="C1784" s="648">
        <v>6173.72</v>
      </c>
      <c r="D1784" s="258">
        <v>3547.86</v>
      </c>
      <c r="E1784">
        <f>'ACL N0000'!G1633</f>
        <v>60</v>
      </c>
      <c r="G1784" s="412" t="str">
        <f>IF(B1784='ACL N0000'!B1633,"OK","ERROR")</f>
        <v>OK</v>
      </c>
      <c r="K1784" s="412"/>
      <c r="L1784" s="258"/>
      <c r="M1784" s="258"/>
    </row>
    <row r="1785" spans="2:13">
      <c r="B1785" s="412">
        <v>42783</v>
      </c>
      <c r="C1785" s="648">
        <v>6159.87</v>
      </c>
      <c r="D1785" s="258">
        <v>3543.63</v>
      </c>
      <c r="E1785">
        <f>'ACL N0000'!G1634</f>
        <v>60</v>
      </c>
      <c r="G1785" s="412" t="str">
        <f>IF(B1785='ACL N0000'!B1634,"OK","ERROR")</f>
        <v>OK</v>
      </c>
      <c r="K1785" s="412"/>
      <c r="L1785" s="258"/>
      <c r="M1785" s="258"/>
    </row>
    <row r="1786" spans="2:13">
      <c r="B1786" s="412">
        <v>42786</v>
      </c>
      <c r="C1786" s="648">
        <v>6139.51</v>
      </c>
      <c r="D1786" s="258">
        <v>3538.07</v>
      </c>
      <c r="E1786">
        <f>'ACL N0000'!G1635</f>
        <v>59</v>
      </c>
      <c r="G1786" s="412" t="str">
        <f>IF(B1786='ACL N0000'!B1635,"OK","ERROR")</f>
        <v>OK</v>
      </c>
      <c r="K1786" s="412"/>
      <c r="L1786" s="258"/>
      <c r="M1786" s="258"/>
    </row>
    <row r="1787" spans="2:13">
      <c r="B1787" s="412">
        <v>42787</v>
      </c>
      <c r="C1787" s="648">
        <v>6127.49</v>
      </c>
      <c r="D1787" s="258">
        <v>3544.72</v>
      </c>
      <c r="E1787">
        <f>'ACL N0000'!G1636</f>
        <v>58</v>
      </c>
      <c r="G1787" s="412" t="str">
        <f>IF(B1787='ACL N0000'!B1636,"OK","ERROR")</f>
        <v>OK</v>
      </c>
      <c r="K1787" s="412"/>
      <c r="L1787" s="258"/>
      <c r="M1787" s="258"/>
    </row>
    <row r="1788" spans="2:13">
      <c r="B1788" s="412">
        <v>42788</v>
      </c>
      <c r="C1788" s="648">
        <v>6129.69</v>
      </c>
      <c r="D1788" s="258">
        <v>3538.85</v>
      </c>
      <c r="E1788">
        <f>'ACL N0000'!G1637</f>
        <v>59</v>
      </c>
      <c r="G1788" s="412" t="str">
        <f>IF(B1788='ACL N0000'!B1637,"OK","ERROR")</f>
        <v>OK</v>
      </c>
      <c r="K1788" s="412"/>
      <c r="L1788" s="258"/>
      <c r="M1788" s="258"/>
    </row>
    <row r="1789" spans="2:13">
      <c r="B1789" s="412">
        <v>42789</v>
      </c>
      <c r="C1789" s="648">
        <v>6138.14</v>
      </c>
      <c r="D1789" s="258">
        <v>3553.11</v>
      </c>
      <c r="E1789">
        <f>'ACL N0000'!G1638</f>
        <v>58.2</v>
      </c>
      <c r="G1789" s="412" t="str">
        <f>IF(B1789='ACL N0000'!B1638,"OK","ERROR")</f>
        <v>OK</v>
      </c>
      <c r="K1789" s="412"/>
      <c r="L1789" s="258"/>
      <c r="M1789" s="258"/>
    </row>
    <row r="1790" spans="2:13">
      <c r="B1790" s="412">
        <v>42793</v>
      </c>
      <c r="C1790" s="648">
        <v>6122.04</v>
      </c>
      <c r="D1790" s="258">
        <v>3534.85</v>
      </c>
      <c r="E1790">
        <f>'ACL N0000'!G1639</f>
        <v>58.2</v>
      </c>
      <c r="G1790" s="412" t="str">
        <f>IF(B1790='ACL N0000'!B1639,"OK","ERROR")</f>
        <v>OK</v>
      </c>
      <c r="K1790" s="412"/>
      <c r="L1790" s="258"/>
      <c r="M1790" s="258"/>
    </row>
    <row r="1791" spans="2:13">
      <c r="B1791" s="412">
        <v>42794</v>
      </c>
      <c r="C1791" s="648">
        <v>6134.28</v>
      </c>
      <c r="D1791" s="258">
        <v>3543.82</v>
      </c>
      <c r="E1791">
        <f>'ACL N0000'!G1640</f>
        <v>57.8</v>
      </c>
      <c r="G1791" s="412" t="str">
        <f>IF(B1791='ACL N0000'!B1640,"OK","ERROR")</f>
        <v>OK</v>
      </c>
      <c r="K1791" s="412"/>
      <c r="L1791" s="258"/>
      <c r="M1791" s="258"/>
    </row>
    <row r="1792" spans="2:13">
      <c r="B1792" s="412">
        <v>42795</v>
      </c>
      <c r="C1792" s="648">
        <v>6121.43</v>
      </c>
      <c r="D1792" s="258">
        <v>3538.55</v>
      </c>
      <c r="E1792">
        <f>'ACL N0000'!G1641</f>
        <v>57.7</v>
      </c>
      <c r="G1792" s="412" t="str">
        <f>IF(B1792='ACL N0000'!B1641,"OK","ERROR")</f>
        <v>OK</v>
      </c>
      <c r="K1792" s="412"/>
      <c r="L1792" s="258"/>
      <c r="M1792" s="258"/>
    </row>
    <row r="1793" spans="2:13">
      <c r="B1793" s="412">
        <v>42796</v>
      </c>
      <c r="C1793" s="648">
        <v>6127.11</v>
      </c>
      <c r="D1793" s="258">
        <v>3533.14</v>
      </c>
      <c r="E1793">
        <f>'ACL N0000'!G1642</f>
        <v>57.6</v>
      </c>
      <c r="G1793" s="412" t="str">
        <f>IF(B1793='ACL N0000'!B1642,"OK","ERROR")</f>
        <v>OK</v>
      </c>
      <c r="K1793" s="412"/>
      <c r="L1793" s="258"/>
      <c r="M1793" s="258"/>
    </row>
    <row r="1794" spans="2:13">
      <c r="B1794" s="412">
        <v>42797</v>
      </c>
      <c r="C1794" s="648">
        <v>6101.51</v>
      </c>
      <c r="D1794" s="258">
        <v>3524.77</v>
      </c>
      <c r="E1794">
        <f>'ACL N0000'!G1643</f>
        <v>57.2</v>
      </c>
      <c r="G1794" s="412" t="str">
        <f>IF(B1794='ACL N0000'!B1643,"OK","ERROR")</f>
        <v>OK</v>
      </c>
      <c r="K1794" s="412"/>
      <c r="L1794" s="258"/>
      <c r="M1794" s="258"/>
    </row>
    <row r="1795" spans="2:13">
      <c r="B1795" s="412">
        <v>42800</v>
      </c>
      <c r="C1795" s="648">
        <v>6117.19</v>
      </c>
      <c r="D1795" s="258">
        <v>3534.37</v>
      </c>
      <c r="E1795">
        <f>'ACL N0000'!G1644</f>
        <v>56.3</v>
      </c>
      <c r="G1795" s="412" t="str">
        <f>IF(B1795='ACL N0000'!B1644,"OK","ERROR")</f>
        <v>OK</v>
      </c>
      <c r="K1795" s="412"/>
      <c r="L1795" s="258"/>
      <c r="M1795" s="258"/>
    </row>
    <row r="1796" spans="2:13">
      <c r="B1796" s="412">
        <v>42801</v>
      </c>
      <c r="C1796" s="648">
        <v>6108.11</v>
      </c>
      <c r="D1796" s="258">
        <v>3529.16</v>
      </c>
      <c r="E1796">
        <f>'ACL N0000'!G1645</f>
        <v>56.5</v>
      </c>
      <c r="G1796" s="412" t="str">
        <f>IF(B1796='ACL N0000'!B1645,"OK","ERROR")</f>
        <v>OK</v>
      </c>
      <c r="K1796" s="412"/>
      <c r="L1796" s="258"/>
      <c r="M1796" s="258"/>
    </row>
    <row r="1797" spans="2:13">
      <c r="B1797" s="412">
        <v>42802</v>
      </c>
      <c r="C1797" s="648">
        <v>6095.07</v>
      </c>
      <c r="D1797" s="258">
        <v>3507.77</v>
      </c>
      <c r="E1797">
        <f>'ACL N0000'!G1646</f>
        <v>55.3</v>
      </c>
      <c r="G1797" s="412" t="str">
        <f>IF(B1797='ACL N0000'!B1646,"OK","ERROR")</f>
        <v>OK</v>
      </c>
      <c r="K1797" s="412"/>
      <c r="L1797" s="258"/>
      <c r="M1797" s="258"/>
    </row>
    <row r="1798" spans="2:13">
      <c r="B1798" s="412">
        <v>42803</v>
      </c>
      <c r="C1798" s="648">
        <v>6088.8</v>
      </c>
      <c r="D1798" s="258">
        <v>3501.92</v>
      </c>
      <c r="E1798">
        <f>'ACL N0000'!G1647</f>
        <v>55</v>
      </c>
      <c r="G1798" s="412" t="str">
        <f>IF(B1798='ACL N0000'!B1647,"OK","ERROR")</f>
        <v>OK</v>
      </c>
      <c r="K1798" s="412"/>
      <c r="L1798" s="258"/>
      <c r="M1798" s="258"/>
    </row>
    <row r="1799" spans="2:13">
      <c r="B1799" s="412">
        <v>42804</v>
      </c>
      <c r="C1799" s="648">
        <v>6084.99</v>
      </c>
      <c r="D1799" s="258">
        <v>3496.58</v>
      </c>
      <c r="E1799">
        <f>'ACL N0000'!G1648</f>
        <v>55</v>
      </c>
      <c r="G1799" s="412" t="str">
        <f>IF(B1799='ACL N0000'!B1648,"OK","ERROR")</f>
        <v>OK</v>
      </c>
      <c r="K1799" s="412"/>
      <c r="L1799" s="258"/>
      <c r="M1799" s="258"/>
    </row>
    <row r="1800" spans="2:13">
      <c r="B1800" s="412">
        <v>42807</v>
      </c>
      <c r="C1800" s="648">
        <v>6070.8</v>
      </c>
      <c r="D1800" s="258">
        <v>3482.08</v>
      </c>
      <c r="E1800">
        <f>'ACL N0000'!G1649</f>
        <v>55</v>
      </c>
      <c r="G1800" s="412" t="str">
        <f>IF(B1800='ACL N0000'!B1649,"OK","ERROR")</f>
        <v>OK</v>
      </c>
      <c r="K1800" s="412"/>
      <c r="L1800" s="258"/>
      <c r="M1800" s="258"/>
    </row>
    <row r="1801" spans="2:13">
      <c r="B1801" s="412">
        <v>42808</v>
      </c>
      <c r="C1801" s="648">
        <v>6046.79</v>
      </c>
      <c r="D1801" s="258">
        <v>3459.89</v>
      </c>
      <c r="E1801">
        <f>'ACL N0000'!G1650</f>
        <v>54.1</v>
      </c>
      <c r="G1801" s="412" t="str">
        <f>IF(B1801='ACL N0000'!B1650,"OK","ERROR")</f>
        <v>OK</v>
      </c>
      <c r="K1801" s="412"/>
      <c r="L1801" s="258"/>
      <c r="M1801" s="258"/>
    </row>
    <row r="1802" spans="2:13">
      <c r="B1802" s="412">
        <v>42809</v>
      </c>
      <c r="C1802" s="648">
        <v>6032.16</v>
      </c>
      <c r="D1802" s="258">
        <v>3450.07</v>
      </c>
      <c r="E1802">
        <f>'ACL N0000'!G1651</f>
        <v>54.5</v>
      </c>
      <c r="G1802" s="412" t="str">
        <f>IF(B1802='ACL N0000'!B1651,"OK","ERROR")</f>
        <v>OK</v>
      </c>
      <c r="K1802" s="412"/>
      <c r="L1802" s="258"/>
      <c r="M1802" s="258"/>
    </row>
    <row r="1803" spans="2:13">
      <c r="B1803" s="412">
        <v>42810</v>
      </c>
      <c r="C1803" s="648">
        <v>6028.57</v>
      </c>
      <c r="D1803" s="258">
        <v>3447.19</v>
      </c>
      <c r="E1803">
        <f>'ACL N0000'!G1652</f>
        <v>54.5</v>
      </c>
      <c r="G1803" s="412" t="str">
        <f>IF(B1803='ACL N0000'!B1652,"OK","ERROR")</f>
        <v>OK</v>
      </c>
      <c r="K1803" s="412"/>
      <c r="L1803" s="258"/>
      <c r="M1803" s="258"/>
    </row>
    <row r="1804" spans="2:13">
      <c r="B1804" s="412">
        <v>42811</v>
      </c>
      <c r="C1804" s="648">
        <v>6047.84</v>
      </c>
      <c r="D1804" s="258">
        <v>3451.69</v>
      </c>
      <c r="E1804">
        <f>'ACL N0000'!G1653</f>
        <v>54</v>
      </c>
      <c r="G1804" s="412" t="str">
        <f>IF(B1804='ACL N0000'!B1653,"OK","ERROR")</f>
        <v>OK</v>
      </c>
      <c r="K1804" s="412"/>
      <c r="L1804" s="258"/>
      <c r="M1804" s="258"/>
    </row>
    <row r="1805" spans="2:13">
      <c r="B1805" s="412">
        <v>42814</v>
      </c>
      <c r="C1805" s="648">
        <v>6041.17</v>
      </c>
      <c r="D1805" s="258">
        <v>3448.52</v>
      </c>
      <c r="E1805">
        <f>'ACL N0000'!G1654</f>
        <v>53.2</v>
      </c>
      <c r="G1805" s="412" t="str">
        <f>IF(B1805='ACL N0000'!B1654,"OK","ERROR")</f>
        <v>OK</v>
      </c>
      <c r="K1805" s="412"/>
      <c r="L1805" s="258"/>
      <c r="M1805" s="258"/>
    </row>
    <row r="1806" spans="2:13">
      <c r="B1806" s="412">
        <v>42815</v>
      </c>
      <c r="C1806" s="648">
        <v>6041.59</v>
      </c>
      <c r="D1806" s="258">
        <v>3447.59</v>
      </c>
      <c r="E1806">
        <f>'ACL N0000'!G1655</f>
        <v>54.8</v>
      </c>
      <c r="G1806" s="412" t="str">
        <f>IF(B1806='ACL N0000'!B1655,"OK","ERROR")</f>
        <v>OK</v>
      </c>
      <c r="K1806" s="412"/>
      <c r="L1806" s="258"/>
      <c r="M1806" s="258"/>
    </row>
    <row r="1807" spans="2:13">
      <c r="B1807" s="412">
        <v>42816</v>
      </c>
      <c r="C1807" s="648">
        <v>5996.65</v>
      </c>
      <c r="D1807" s="258">
        <v>3423.69</v>
      </c>
      <c r="E1807">
        <f>'ACL N0000'!G1656</f>
        <v>54.3</v>
      </c>
      <c r="G1807" s="412" t="str">
        <f>IF(B1807='ACL N0000'!B1656,"OK","ERROR")</f>
        <v>OK</v>
      </c>
      <c r="K1807" s="412"/>
      <c r="L1807" s="258"/>
      <c r="M1807" s="258"/>
    </row>
    <row r="1808" spans="2:13">
      <c r="B1808" s="412">
        <v>42817</v>
      </c>
      <c r="C1808" s="648">
        <v>5979.85</v>
      </c>
      <c r="D1808" s="258">
        <v>3411.96</v>
      </c>
      <c r="E1808">
        <f>'ACL N0000'!G1657</f>
        <v>54.1</v>
      </c>
      <c r="G1808" s="412" t="str">
        <f>IF(B1808='ACL N0000'!B1657,"OK","ERROR")</f>
        <v>OK</v>
      </c>
      <c r="K1808" s="412"/>
      <c r="L1808" s="258"/>
      <c r="M1808" s="258"/>
    </row>
    <row r="1809" spans="2:13">
      <c r="B1809" s="412">
        <v>42818</v>
      </c>
      <c r="C1809" s="648">
        <v>5996.28</v>
      </c>
      <c r="D1809" s="258">
        <v>3416.68</v>
      </c>
      <c r="E1809">
        <f>'ACL N0000'!G1658</f>
        <v>54.5</v>
      </c>
      <c r="G1809" s="412" t="str">
        <f>IF(B1809='ACL N0000'!B1658,"OK","ERROR")</f>
        <v>OK</v>
      </c>
      <c r="K1809" s="412"/>
      <c r="L1809" s="258"/>
      <c r="M1809" s="258"/>
    </row>
    <row r="1810" spans="2:13">
      <c r="B1810" s="412">
        <v>42821</v>
      </c>
      <c r="C1810" s="648">
        <v>5974.94</v>
      </c>
      <c r="D1810" s="258">
        <v>3398.17</v>
      </c>
      <c r="E1810">
        <f>'ACL N0000'!G1659</f>
        <v>54.5</v>
      </c>
      <c r="G1810" s="412" t="str">
        <f>IF(B1810='ACL N0000'!B1659,"OK","ERROR")</f>
        <v>OK</v>
      </c>
      <c r="K1810" s="412"/>
      <c r="L1810" s="258"/>
      <c r="M1810" s="258"/>
    </row>
    <row r="1811" spans="2:13">
      <c r="B1811" s="412">
        <v>42822</v>
      </c>
      <c r="C1811" s="648">
        <v>5985.08</v>
      </c>
      <c r="D1811" s="258">
        <v>3399.03</v>
      </c>
      <c r="E1811">
        <f>'ACL N0000'!G1660</f>
        <v>54</v>
      </c>
      <c r="G1811" s="412" t="str">
        <f>IF(B1811='ACL N0000'!B1660,"OK","ERROR")</f>
        <v>OK</v>
      </c>
      <c r="K1811" s="412"/>
      <c r="L1811" s="258"/>
      <c r="M1811" s="258"/>
    </row>
    <row r="1812" spans="2:13">
      <c r="B1812" s="412">
        <v>42823</v>
      </c>
      <c r="C1812" s="648">
        <v>6021.54</v>
      </c>
      <c r="D1812" s="258">
        <v>3419.53</v>
      </c>
      <c r="E1812">
        <f>'ACL N0000'!G1661</f>
        <v>54.5</v>
      </c>
      <c r="G1812" s="412" t="str">
        <f>IF(B1812='ACL N0000'!B1661,"OK","ERROR")</f>
        <v>OK</v>
      </c>
      <c r="K1812" s="412"/>
      <c r="L1812" s="258"/>
      <c r="M1812" s="258"/>
    </row>
    <row r="1813" spans="2:13">
      <c r="B1813" s="412">
        <v>42824</v>
      </c>
      <c r="C1813" s="648">
        <v>6040.18</v>
      </c>
      <c r="D1813" s="258">
        <v>3423.72</v>
      </c>
      <c r="E1813">
        <f>'ACL N0000'!G1662</f>
        <v>54.5</v>
      </c>
      <c r="G1813" s="412" t="str">
        <f>IF(B1813='ACL N0000'!B1662,"OK","ERROR")</f>
        <v>OK</v>
      </c>
      <c r="K1813" s="412"/>
      <c r="L1813" s="258"/>
      <c r="M1813" s="258"/>
    </row>
    <row r="1814" spans="2:13">
      <c r="B1814" s="412">
        <v>42825</v>
      </c>
      <c r="C1814" s="648">
        <v>6061.94</v>
      </c>
      <c r="D1814" s="258">
        <v>3438.88</v>
      </c>
      <c r="E1814">
        <f>'ACL N0000'!G1663</f>
        <v>54.5</v>
      </c>
      <c r="G1814" s="412" t="str">
        <f>IF(B1814='ACL N0000'!B1663,"OK","ERROR")</f>
        <v>OK</v>
      </c>
      <c r="K1814" s="412"/>
      <c r="L1814" s="258"/>
      <c r="M1814" s="258"/>
    </row>
    <row r="1815" spans="2:13">
      <c r="B1815" s="412">
        <v>42828</v>
      </c>
      <c r="C1815" s="648">
        <v>6080.01</v>
      </c>
      <c r="D1815" s="258">
        <v>3443.12</v>
      </c>
      <c r="E1815">
        <f>'ACL N0000'!G1664</f>
        <v>54.5</v>
      </c>
      <c r="G1815" s="412" t="str">
        <f>IF(B1815='ACL N0000'!B1664,"OK","ERROR")</f>
        <v>OK</v>
      </c>
      <c r="K1815" s="412"/>
      <c r="L1815" s="258"/>
      <c r="M1815" s="258"/>
    </row>
    <row r="1816" spans="2:13">
      <c r="B1816" s="412">
        <v>42829</v>
      </c>
      <c r="C1816" s="648">
        <v>6146.69</v>
      </c>
      <c r="D1816" s="258">
        <v>3495.48</v>
      </c>
      <c r="E1816">
        <f>'ACL N0000'!G1665</f>
        <v>54.7</v>
      </c>
      <c r="G1816" s="412" t="str">
        <f>IF(B1816='ACL N0000'!B1665,"OK","ERROR")</f>
        <v>OK</v>
      </c>
      <c r="K1816" s="412"/>
      <c r="L1816" s="258"/>
      <c r="M1816" s="258"/>
    </row>
    <row r="1817" spans="2:13">
      <c r="B1817" s="412">
        <v>42830</v>
      </c>
      <c r="C1817" s="648">
        <v>6198.32</v>
      </c>
      <c r="D1817" s="258">
        <v>3520.46</v>
      </c>
      <c r="E1817">
        <f>'ACL N0000'!G1666</f>
        <v>55.1</v>
      </c>
      <c r="G1817" s="412" t="str">
        <f>IF(B1817='ACL N0000'!B1666,"OK","ERROR")</f>
        <v>OK</v>
      </c>
      <c r="K1817" s="412"/>
      <c r="L1817" s="258"/>
      <c r="M1817" s="258"/>
    </row>
    <row r="1818" spans="2:13">
      <c r="B1818" s="412">
        <v>42831</v>
      </c>
      <c r="C1818" s="648">
        <v>6250.04</v>
      </c>
      <c r="D1818" s="258">
        <v>3549.98</v>
      </c>
      <c r="E1818">
        <f>'ACL N0000'!G1667</f>
        <v>57</v>
      </c>
      <c r="G1818" s="412" t="str">
        <f>IF(B1818='ACL N0000'!B1667,"OK","ERROR")</f>
        <v>OK</v>
      </c>
      <c r="K1818" s="412"/>
      <c r="L1818" s="258"/>
      <c r="M1818" s="258"/>
    </row>
    <row r="1819" spans="2:13">
      <c r="B1819" s="412">
        <v>42832</v>
      </c>
      <c r="C1819" s="648">
        <v>6292.94</v>
      </c>
      <c r="D1819" s="258">
        <v>3581.63</v>
      </c>
      <c r="E1819">
        <f>'ACL N0000'!G1668</f>
        <v>56.5</v>
      </c>
      <c r="G1819" s="412" t="str">
        <f>IF(B1819='ACL N0000'!B1668,"OK","ERROR")</f>
        <v>OK</v>
      </c>
      <c r="K1819" s="412"/>
      <c r="L1819" s="258"/>
      <c r="M1819" s="258"/>
    </row>
    <row r="1820" spans="2:13">
      <c r="B1820" s="412">
        <v>42836</v>
      </c>
      <c r="C1820" s="648">
        <v>6305.54</v>
      </c>
      <c r="D1820" s="258">
        <v>3588.89</v>
      </c>
      <c r="E1820">
        <f>'ACL N0000'!G1669</f>
        <v>56.2</v>
      </c>
      <c r="G1820" s="412" t="str">
        <f>IF(B1820='ACL N0000'!B1669,"OK","ERROR")</f>
        <v>OK</v>
      </c>
      <c r="K1820" s="412"/>
      <c r="L1820" s="258"/>
      <c r="M1820" s="258"/>
    </row>
    <row r="1821" spans="2:13">
      <c r="B1821" s="412">
        <v>42837</v>
      </c>
      <c r="C1821" s="648">
        <v>6402.99</v>
      </c>
      <c r="D1821" s="258">
        <v>3647.82</v>
      </c>
      <c r="E1821">
        <f>'ACL N0000'!G1670</f>
        <v>59.3</v>
      </c>
      <c r="G1821" s="412" t="str">
        <f>IF(B1821='ACL N0000'!B1670,"OK","ERROR")</f>
        <v>OK</v>
      </c>
      <c r="K1821" s="412"/>
      <c r="L1821" s="258"/>
      <c r="M1821" s="258"/>
    </row>
    <row r="1822" spans="2:13">
      <c r="B1822" s="412">
        <v>42842</v>
      </c>
      <c r="C1822" s="648">
        <v>6351.26</v>
      </c>
      <c r="D1822" s="258">
        <v>3612.96</v>
      </c>
      <c r="E1822">
        <f>'ACL N0000'!G1671</f>
        <v>58.2</v>
      </c>
      <c r="G1822" s="412" t="str">
        <f>IF(B1822='ACL N0000'!B1671,"OK","ERROR")</f>
        <v>OK</v>
      </c>
      <c r="K1822" s="412"/>
      <c r="L1822" s="258"/>
      <c r="M1822" s="258"/>
    </row>
    <row r="1823" spans="2:13">
      <c r="B1823" s="412">
        <v>42843</v>
      </c>
      <c r="C1823" s="648">
        <v>6382.37</v>
      </c>
      <c r="D1823" s="258">
        <v>3622.78</v>
      </c>
      <c r="E1823">
        <f>'ACL N0000'!G1672</f>
        <v>58.2</v>
      </c>
      <c r="G1823" s="412" t="str">
        <f>IF(B1823='ACL N0000'!B1672,"OK","ERROR")</f>
        <v>OK</v>
      </c>
      <c r="K1823" s="412"/>
      <c r="L1823" s="258"/>
      <c r="M1823" s="258"/>
    </row>
    <row r="1824" spans="2:13">
      <c r="B1824" s="412">
        <v>42844</v>
      </c>
      <c r="C1824" s="648">
        <v>6446.8</v>
      </c>
      <c r="D1824" s="258">
        <v>3671.56</v>
      </c>
      <c r="E1824">
        <f>'ACL N0000'!G1673</f>
        <v>58.3</v>
      </c>
      <c r="G1824" s="412" t="str">
        <f>IF(B1824='ACL N0000'!B1673,"OK","ERROR")</f>
        <v>OK</v>
      </c>
      <c r="K1824" s="412"/>
      <c r="L1824" s="258"/>
      <c r="M1824" s="258"/>
    </row>
    <row r="1825" spans="2:13">
      <c r="B1825" s="412">
        <v>42845</v>
      </c>
      <c r="C1825" s="648">
        <v>6505.28</v>
      </c>
      <c r="D1825" s="258">
        <v>3704.24</v>
      </c>
      <c r="E1825">
        <f>'ACL N0000'!G1674</f>
        <v>60</v>
      </c>
      <c r="G1825" s="412" t="str">
        <f>IF(B1825='ACL N0000'!B1674,"OK","ERROR")</f>
        <v>OK</v>
      </c>
      <c r="K1825" s="412"/>
      <c r="L1825" s="258"/>
      <c r="M1825" s="258"/>
    </row>
    <row r="1826" spans="2:13">
      <c r="B1826" s="412">
        <v>42846</v>
      </c>
      <c r="C1826" s="648">
        <v>6535.54</v>
      </c>
      <c r="D1826" s="258">
        <v>3735.83</v>
      </c>
      <c r="E1826">
        <f>'ACL N0000'!G1675</f>
        <v>61</v>
      </c>
      <c r="G1826" s="412" t="str">
        <f>IF(B1826='ACL N0000'!B1675,"OK","ERROR")</f>
        <v>OK</v>
      </c>
      <c r="K1826" s="412"/>
      <c r="L1826" s="258"/>
      <c r="M1826" s="258"/>
    </row>
    <row r="1827" spans="2:13">
      <c r="B1827" s="412">
        <v>42849</v>
      </c>
      <c r="C1827" s="648">
        <v>6505.95</v>
      </c>
      <c r="D1827" s="258">
        <v>3717.64</v>
      </c>
      <c r="E1827">
        <f>'ACL N0000'!G1676</f>
        <v>60</v>
      </c>
      <c r="G1827" s="412" t="str">
        <f>IF(B1827='ACL N0000'!B1676,"OK","ERROR")</f>
        <v>OK</v>
      </c>
      <c r="K1827" s="412"/>
      <c r="L1827" s="258"/>
      <c r="M1827" s="258"/>
    </row>
    <row r="1828" spans="2:13">
      <c r="B1828" s="412">
        <v>42850</v>
      </c>
      <c r="C1828" s="648">
        <v>6492.77</v>
      </c>
      <c r="D1828" s="258">
        <v>3702.96</v>
      </c>
      <c r="E1828">
        <f>'ACL N0000'!G1677</f>
        <v>58.5</v>
      </c>
      <c r="G1828" s="412" t="str">
        <f>IF(B1828='ACL N0000'!B1677,"OK","ERROR")</f>
        <v>OK</v>
      </c>
      <c r="K1828" s="412"/>
      <c r="L1828" s="258"/>
      <c r="M1828" s="258"/>
    </row>
    <row r="1829" spans="2:13">
      <c r="B1829" s="412">
        <v>42851</v>
      </c>
      <c r="C1829" s="648">
        <v>6516.26</v>
      </c>
      <c r="D1829" s="258">
        <v>3720.55</v>
      </c>
      <c r="E1829">
        <f>'ACL N0000'!G1678</f>
        <v>60</v>
      </c>
      <c r="G1829" s="412" t="str">
        <f>IF(B1829='ACL N0000'!B1678,"OK","ERROR")</f>
        <v>OK</v>
      </c>
      <c r="K1829" s="412"/>
      <c r="L1829" s="258"/>
      <c r="M1829" s="258"/>
    </row>
    <row r="1830" spans="2:13">
      <c r="B1830" s="412">
        <v>42852</v>
      </c>
      <c r="C1830" s="648">
        <v>6571.65</v>
      </c>
      <c r="D1830" s="258">
        <v>3761.58</v>
      </c>
      <c r="E1830">
        <f>'ACL N0000'!G1679</f>
        <v>60</v>
      </c>
      <c r="G1830" s="412" t="str">
        <f>IF(B1830='ACL N0000'!B1679,"OK","ERROR")</f>
        <v>OK</v>
      </c>
      <c r="K1830" s="412"/>
      <c r="L1830" s="258"/>
      <c r="M1830" s="258"/>
    </row>
    <row r="1831" spans="2:13">
      <c r="B1831" s="412">
        <v>42853</v>
      </c>
      <c r="C1831" s="648">
        <v>6610.46</v>
      </c>
      <c r="D1831" s="258">
        <v>3786.39</v>
      </c>
      <c r="E1831">
        <f>'ACL N0000'!G1680</f>
        <v>59.5</v>
      </c>
      <c r="G1831" s="412" t="str">
        <f>IF(B1831='ACL N0000'!B1680,"OK","ERROR")</f>
        <v>OK</v>
      </c>
      <c r="K1831" s="412"/>
      <c r="L1831" s="258"/>
      <c r="M1831" s="258"/>
    </row>
    <row r="1832" spans="2:13">
      <c r="B1832" s="412">
        <v>42857</v>
      </c>
      <c r="C1832" s="648">
        <v>6608.16</v>
      </c>
      <c r="D1832" s="258">
        <v>3778.64</v>
      </c>
      <c r="E1832">
        <f>'ACL N0000'!G1681</f>
        <v>60.5</v>
      </c>
      <c r="G1832" s="412" t="str">
        <f>IF(B1832='ACL N0000'!B1681,"OK","ERROR")</f>
        <v>OK</v>
      </c>
      <c r="K1832" s="412"/>
      <c r="L1832" s="258"/>
      <c r="M1832" s="258"/>
    </row>
    <row r="1833" spans="2:13">
      <c r="B1833" s="412">
        <v>42858</v>
      </c>
      <c r="C1833" s="648">
        <v>6563.85</v>
      </c>
      <c r="D1833" s="258">
        <v>3757.65</v>
      </c>
      <c r="E1833">
        <f>'ACL N0000'!G1682</f>
        <v>61</v>
      </c>
      <c r="G1833" s="412" t="str">
        <f>IF(B1833='ACL N0000'!B1682,"OK","ERROR")</f>
        <v>OK</v>
      </c>
      <c r="K1833" s="412"/>
      <c r="L1833" s="258"/>
      <c r="M1833" s="258"/>
    </row>
    <row r="1834" spans="2:13">
      <c r="B1834" s="412">
        <v>42859</v>
      </c>
      <c r="C1834" s="648">
        <v>6602.44</v>
      </c>
      <c r="D1834" s="258">
        <v>3785.15</v>
      </c>
      <c r="E1834">
        <f>'ACL N0000'!G1683</f>
        <v>61.1</v>
      </c>
      <c r="G1834" s="412" t="str">
        <f>IF(B1834='ACL N0000'!B1683,"OK","ERROR")</f>
        <v>OK</v>
      </c>
      <c r="K1834" s="412"/>
      <c r="L1834" s="258"/>
      <c r="M1834" s="258"/>
    </row>
    <row r="1835" spans="2:13">
      <c r="B1835" s="412">
        <v>42860</v>
      </c>
      <c r="C1835" s="648">
        <v>6640.57</v>
      </c>
      <c r="D1835" s="258">
        <v>3801.69</v>
      </c>
      <c r="E1835">
        <f>'ACL N0000'!G1684</f>
        <v>64.400000000000006</v>
      </c>
      <c r="G1835" s="412" t="str">
        <f>IF(B1835='ACL N0000'!B1684,"OK","ERROR")</f>
        <v>OK</v>
      </c>
      <c r="K1835" s="412"/>
      <c r="L1835" s="258"/>
      <c r="M1835" s="258"/>
    </row>
    <row r="1836" spans="2:13">
      <c r="B1836" s="412">
        <v>42863</v>
      </c>
      <c r="C1836" s="648">
        <v>6667.46</v>
      </c>
      <c r="D1836" s="258">
        <v>3827.34</v>
      </c>
      <c r="E1836">
        <f>'ACL N0000'!G1685</f>
        <v>63.7</v>
      </c>
      <c r="G1836" s="412" t="str">
        <f>IF(B1836='ACL N0000'!B1685,"OK","ERROR")</f>
        <v>OK</v>
      </c>
      <c r="K1836" s="412"/>
      <c r="L1836" s="258"/>
      <c r="M1836" s="258"/>
    </row>
    <row r="1837" spans="2:13">
      <c r="B1837" s="412">
        <v>42864</v>
      </c>
      <c r="C1837" s="648">
        <v>6666.83</v>
      </c>
      <c r="D1837" s="258">
        <v>3836.5</v>
      </c>
      <c r="E1837">
        <f>'ACL N0000'!G1686</f>
        <v>63</v>
      </c>
      <c r="G1837" s="412" t="str">
        <f>IF(B1837='ACL N0000'!B1686,"OK","ERROR")</f>
        <v>OK</v>
      </c>
      <c r="K1837" s="412"/>
      <c r="L1837" s="258"/>
      <c r="M1837" s="258"/>
    </row>
    <row r="1838" spans="2:13">
      <c r="B1838" s="412">
        <v>42867</v>
      </c>
      <c r="C1838" s="648">
        <v>6671.98</v>
      </c>
      <c r="D1838" s="258">
        <v>3850.22</v>
      </c>
      <c r="E1838">
        <f>'ACL N0000'!G1687</f>
        <v>63</v>
      </c>
      <c r="G1838" s="412" t="str">
        <f>IF(B1838='ACL N0000'!B1687,"OK","ERROR")</f>
        <v>OK</v>
      </c>
      <c r="K1838" s="412"/>
      <c r="L1838" s="258"/>
      <c r="M1838" s="258"/>
    </row>
    <row r="1839" spans="2:13">
      <c r="B1839" s="412">
        <v>42870</v>
      </c>
      <c r="C1839" s="648">
        <v>6659.87</v>
      </c>
      <c r="D1839" s="258">
        <v>3836.44</v>
      </c>
      <c r="E1839">
        <f>'ACL N0000'!G1688</f>
        <v>62.4</v>
      </c>
      <c r="G1839" s="412" t="str">
        <f>IF(B1839='ACL N0000'!B1688,"OK","ERROR")</f>
        <v>OK</v>
      </c>
      <c r="K1839" s="412"/>
      <c r="L1839" s="258"/>
      <c r="M1839" s="258"/>
    </row>
    <row r="1840" spans="2:13">
      <c r="B1840" s="412">
        <v>42871</v>
      </c>
      <c r="C1840" s="648">
        <v>6692.33</v>
      </c>
      <c r="D1840" s="258">
        <v>3841.92</v>
      </c>
      <c r="E1840">
        <f>'ACL N0000'!G1689</f>
        <v>61.5</v>
      </c>
      <c r="G1840" s="412" t="str">
        <f>IF(B1840='ACL N0000'!B1689,"OK","ERROR")</f>
        <v>OK</v>
      </c>
      <c r="K1840" s="412"/>
      <c r="L1840" s="258"/>
      <c r="M1840" s="258"/>
    </row>
    <row r="1841" spans="2:13">
      <c r="B1841" s="412">
        <v>42872</v>
      </c>
      <c r="C1841" s="648">
        <v>6718.34</v>
      </c>
      <c r="D1841" s="258">
        <v>3863.81</v>
      </c>
      <c r="E1841">
        <f>'ACL N0000'!G1690</f>
        <v>62</v>
      </c>
      <c r="G1841" s="412" t="str">
        <f>IF(B1841='ACL N0000'!B1690,"OK","ERROR")</f>
        <v>OK</v>
      </c>
      <c r="K1841" s="412"/>
      <c r="L1841" s="258"/>
      <c r="M1841" s="258"/>
    </row>
    <row r="1842" spans="2:13">
      <c r="B1842" s="412">
        <v>42873</v>
      </c>
      <c r="C1842" s="648">
        <v>6697.9</v>
      </c>
      <c r="D1842" s="258">
        <v>3841.08</v>
      </c>
      <c r="E1842">
        <f>'ACL N0000'!G1691</f>
        <v>63</v>
      </c>
      <c r="G1842" s="412" t="str">
        <f>IF(B1842='ACL N0000'!B1691,"OK","ERROR")</f>
        <v>OK</v>
      </c>
      <c r="K1842" s="412"/>
      <c r="L1842" s="258"/>
      <c r="M1842" s="258"/>
    </row>
    <row r="1843" spans="2:13">
      <c r="B1843" s="412">
        <v>42874</v>
      </c>
      <c r="C1843" s="648">
        <v>6729.66</v>
      </c>
      <c r="D1843" s="258">
        <v>3844.68</v>
      </c>
      <c r="E1843">
        <f>'ACL N0000'!G1692</f>
        <v>62.7</v>
      </c>
      <c r="G1843" s="412" t="str">
        <f>IF(B1843='ACL N0000'!B1692,"OK","ERROR")</f>
        <v>OK</v>
      </c>
      <c r="K1843" s="412"/>
      <c r="L1843" s="258"/>
      <c r="M1843" s="258"/>
    </row>
    <row r="1844" spans="2:13">
      <c r="B1844" s="412">
        <v>42877</v>
      </c>
      <c r="C1844" s="648">
        <v>6726.9</v>
      </c>
      <c r="D1844" s="258">
        <v>3828.89</v>
      </c>
      <c r="E1844">
        <f>'ACL N0000'!G1693</f>
        <v>62.8</v>
      </c>
      <c r="G1844" s="412" t="str">
        <f>IF(B1844='ACL N0000'!B1693,"OK","ERROR")</f>
        <v>OK</v>
      </c>
      <c r="K1844" s="412"/>
      <c r="L1844" s="258"/>
      <c r="M1844" s="258"/>
    </row>
    <row r="1845" spans="2:13">
      <c r="B1845" s="412">
        <v>42878</v>
      </c>
      <c r="C1845" s="648">
        <v>6689.96</v>
      </c>
      <c r="D1845" s="258">
        <v>3821.66</v>
      </c>
      <c r="E1845">
        <f>'ACL N0000'!G1694</f>
        <v>62.7</v>
      </c>
      <c r="G1845" s="412" t="str">
        <f>IF(B1845='ACL N0000'!B1694,"OK","ERROR")</f>
        <v>OK</v>
      </c>
      <c r="K1845" s="412"/>
      <c r="L1845" s="258"/>
      <c r="M1845" s="258"/>
    </row>
    <row r="1846" spans="2:13">
      <c r="B1846" s="412">
        <v>42879</v>
      </c>
      <c r="C1846" s="648">
        <v>6711.67</v>
      </c>
      <c r="D1846" s="258">
        <v>3846.1</v>
      </c>
      <c r="E1846">
        <f>'ACL N0000'!G1695</f>
        <v>63</v>
      </c>
      <c r="G1846" s="412" t="str">
        <f>IF(B1846='ACL N0000'!B1695,"OK","ERROR")</f>
        <v>OK</v>
      </c>
      <c r="K1846" s="412"/>
      <c r="L1846" s="258"/>
      <c r="M1846" s="258"/>
    </row>
    <row r="1847" spans="2:13">
      <c r="B1847" s="412">
        <v>42880</v>
      </c>
      <c r="C1847" s="648">
        <v>6714.95</v>
      </c>
      <c r="D1847" s="258">
        <v>3846.81</v>
      </c>
      <c r="E1847">
        <f>'ACL N0000'!G1696</f>
        <v>63</v>
      </c>
      <c r="G1847" s="412" t="str">
        <f>IF(B1847='ACL N0000'!B1696,"OK","ERROR")</f>
        <v>OK</v>
      </c>
      <c r="K1847" s="412"/>
      <c r="L1847" s="258"/>
      <c r="M1847" s="258"/>
    </row>
    <row r="1848" spans="2:13">
      <c r="B1848" s="412">
        <v>42881</v>
      </c>
      <c r="C1848" s="648">
        <v>6697.86</v>
      </c>
      <c r="D1848" s="258">
        <v>3828.59</v>
      </c>
      <c r="E1848">
        <f>'ACL N0000'!G1697</f>
        <v>62.5</v>
      </c>
      <c r="G1848" s="412" t="str">
        <f>IF(B1848='ACL N0000'!B1697,"OK","ERROR")</f>
        <v>OK</v>
      </c>
      <c r="K1848" s="412"/>
      <c r="L1848" s="258"/>
      <c r="M1848" s="258"/>
    </row>
    <row r="1849" spans="2:13">
      <c r="B1849" s="412">
        <v>42884</v>
      </c>
      <c r="C1849" s="648">
        <v>6679.46</v>
      </c>
      <c r="D1849" s="258">
        <v>3820.66</v>
      </c>
      <c r="E1849">
        <f>'ACL N0000'!G1698</f>
        <v>62.5</v>
      </c>
      <c r="G1849" s="412" t="str">
        <f>IF(B1849='ACL N0000'!B1698,"OK","ERROR")</f>
        <v>OK</v>
      </c>
      <c r="K1849" s="412"/>
      <c r="L1849" s="258"/>
      <c r="M1849" s="258"/>
    </row>
    <row r="1850" spans="2:13">
      <c r="B1850" s="412">
        <v>42885</v>
      </c>
      <c r="C1850" s="648">
        <v>6655.25</v>
      </c>
      <c r="D1850" s="258">
        <v>3803.27</v>
      </c>
      <c r="E1850">
        <f>'ACL N0000'!G1699</f>
        <v>62.2</v>
      </c>
      <c r="G1850" s="412" t="str">
        <f>IF(B1850='ACL N0000'!B1699,"OK","ERROR")</f>
        <v>OK</v>
      </c>
      <c r="K1850" s="412"/>
      <c r="L1850" s="258"/>
      <c r="M1850" s="258"/>
    </row>
    <row r="1851" spans="2:13">
      <c r="B1851" s="412">
        <v>42886</v>
      </c>
      <c r="C1851" s="648">
        <v>6674.32</v>
      </c>
      <c r="D1851" s="258">
        <v>3818.9</v>
      </c>
      <c r="E1851">
        <f>'ACL N0000'!G1700</f>
        <v>58.1</v>
      </c>
      <c r="G1851" s="412" t="str">
        <f>IF(B1851='ACL N0000'!B1700,"OK","ERROR")</f>
        <v>OK</v>
      </c>
      <c r="K1851" s="412"/>
      <c r="L1851" s="258"/>
      <c r="M1851" s="258"/>
    </row>
    <row r="1852" spans="2:13">
      <c r="B1852" s="412">
        <v>42887</v>
      </c>
      <c r="C1852" s="648">
        <v>6693.68</v>
      </c>
      <c r="D1852" s="258">
        <v>3833.34</v>
      </c>
      <c r="E1852">
        <f>'ACL N0000'!G1701</f>
        <v>58.9</v>
      </c>
      <c r="G1852" s="412" t="str">
        <f>IF(B1852='ACL N0000'!B1701,"OK","ERROR")</f>
        <v>OK</v>
      </c>
      <c r="K1852" s="412"/>
      <c r="L1852" s="258"/>
      <c r="M1852" s="258"/>
    </row>
    <row r="1853" spans="2:13">
      <c r="B1853" s="412">
        <v>42888</v>
      </c>
      <c r="C1853" s="648">
        <v>6689.07</v>
      </c>
      <c r="D1853" s="258">
        <v>3842.45</v>
      </c>
      <c r="E1853">
        <f>'ACL N0000'!G1702</f>
        <v>58.6</v>
      </c>
      <c r="G1853" s="412" t="str">
        <f>IF(B1853='ACL N0000'!B1702,"OK","ERROR")</f>
        <v>OK</v>
      </c>
      <c r="K1853" s="412"/>
      <c r="L1853" s="258"/>
      <c r="M1853" s="258"/>
    </row>
    <row r="1854" spans="2:13">
      <c r="B1854" s="412">
        <v>42891</v>
      </c>
      <c r="C1854" s="648">
        <v>6676.32</v>
      </c>
      <c r="D1854" s="258">
        <v>3839.33</v>
      </c>
      <c r="E1854">
        <f>'ACL N0000'!G1703</f>
        <v>58.1</v>
      </c>
      <c r="G1854" s="412" t="str">
        <f>IF(B1854='ACL N0000'!B1703,"OK","ERROR")</f>
        <v>OK</v>
      </c>
      <c r="K1854" s="412"/>
      <c r="L1854" s="258"/>
      <c r="M1854" s="258"/>
    </row>
    <row r="1855" spans="2:13">
      <c r="B1855" s="412">
        <v>42892</v>
      </c>
      <c r="C1855" s="648">
        <v>6669.53</v>
      </c>
      <c r="D1855" s="258">
        <v>3836.93</v>
      </c>
      <c r="E1855">
        <f>'ACL N0000'!G1704</f>
        <v>58</v>
      </c>
      <c r="G1855" s="412" t="str">
        <f>IF(B1855='ACL N0000'!B1704,"OK","ERROR")</f>
        <v>OK</v>
      </c>
      <c r="K1855" s="412"/>
      <c r="L1855" s="258"/>
      <c r="M1855" s="258"/>
    </row>
    <row r="1856" spans="2:13">
      <c r="B1856" s="412">
        <v>42893</v>
      </c>
      <c r="C1856" s="648">
        <v>6664</v>
      </c>
      <c r="D1856" s="258">
        <v>3833.67</v>
      </c>
      <c r="E1856">
        <f>'ACL N0000'!G1705</f>
        <v>59.4</v>
      </c>
      <c r="G1856" s="412" t="str">
        <f>IF(B1856='ACL N0000'!B1705,"OK","ERROR")</f>
        <v>OK</v>
      </c>
      <c r="K1856" s="412"/>
      <c r="L1856" s="258"/>
      <c r="M1856" s="258"/>
    </row>
    <row r="1857" spans="2:13">
      <c r="B1857" s="412">
        <v>42895</v>
      </c>
      <c r="C1857" s="648">
        <v>6668.96</v>
      </c>
      <c r="D1857" s="258">
        <v>3840.77</v>
      </c>
      <c r="E1857">
        <f>'ACL N0000'!G1706</f>
        <v>58.5</v>
      </c>
      <c r="G1857" s="412" t="str">
        <f>IF(B1857='ACL N0000'!B1706,"OK","ERROR")</f>
        <v>OK</v>
      </c>
      <c r="K1857" s="412"/>
      <c r="L1857" s="258"/>
      <c r="M1857" s="258"/>
    </row>
    <row r="1858" spans="2:13">
      <c r="B1858" s="412">
        <v>42898</v>
      </c>
      <c r="C1858" s="648">
        <v>6663.15</v>
      </c>
      <c r="D1858" s="258">
        <v>3840.28</v>
      </c>
      <c r="E1858">
        <f>'ACL N0000'!G1707</f>
        <v>58</v>
      </c>
      <c r="G1858" s="412" t="str">
        <f>IF(B1858='ACL N0000'!B1707,"OK","ERROR")</f>
        <v>OK</v>
      </c>
      <c r="K1858" s="412"/>
      <c r="L1858" s="258"/>
      <c r="M1858" s="258"/>
    </row>
    <row r="1859" spans="2:13">
      <c r="B1859" s="412">
        <v>42899</v>
      </c>
      <c r="C1859" s="648">
        <v>6648.4</v>
      </c>
      <c r="D1859" s="258">
        <v>3844.35</v>
      </c>
      <c r="E1859">
        <f>'ACL N0000'!G1708</f>
        <v>58</v>
      </c>
      <c r="G1859" s="412" t="str">
        <f>IF(B1859='ACL N0000'!B1708,"OK","ERROR")</f>
        <v>OK</v>
      </c>
      <c r="K1859" s="412"/>
      <c r="L1859" s="258"/>
      <c r="M1859" s="258"/>
    </row>
    <row r="1860" spans="2:13">
      <c r="B1860" s="412">
        <v>42900</v>
      </c>
      <c r="C1860" s="648">
        <v>6669.73</v>
      </c>
      <c r="D1860" s="258">
        <v>3872.66</v>
      </c>
      <c r="E1860">
        <f>'ACL N0000'!G1709</f>
        <v>57.6</v>
      </c>
      <c r="G1860" s="412" t="str">
        <f>IF(B1860='ACL N0000'!B1709,"OK","ERROR")</f>
        <v>OK</v>
      </c>
      <c r="K1860" s="412"/>
      <c r="L1860" s="258"/>
      <c r="M1860" s="258"/>
    </row>
    <row r="1861" spans="2:13">
      <c r="B1861" s="412">
        <v>42901</v>
      </c>
      <c r="C1861" s="648">
        <v>6694.64</v>
      </c>
      <c r="D1861" s="258">
        <v>3900.3</v>
      </c>
      <c r="E1861">
        <f>'ACL N0000'!G1710</f>
        <v>58</v>
      </c>
      <c r="G1861" s="412" t="str">
        <f>IF(B1861='ACL N0000'!B1710,"OK","ERROR")</f>
        <v>OK</v>
      </c>
      <c r="K1861" s="412"/>
      <c r="L1861" s="258"/>
      <c r="M1861" s="258"/>
    </row>
    <row r="1862" spans="2:13">
      <c r="B1862" s="412">
        <v>42902</v>
      </c>
      <c r="C1862" s="648">
        <v>6718.83</v>
      </c>
      <c r="D1862" s="258">
        <v>3916.44</v>
      </c>
      <c r="E1862">
        <f>'ACL N0000'!G1711</f>
        <v>57</v>
      </c>
      <c r="G1862" s="412" t="str">
        <f>IF(B1862='ACL N0000'!B1711,"OK","ERROR")</f>
        <v>OK</v>
      </c>
      <c r="K1862" s="412"/>
      <c r="L1862" s="258"/>
      <c r="M1862" s="258"/>
    </row>
    <row r="1863" spans="2:13">
      <c r="B1863" s="412">
        <v>42905</v>
      </c>
      <c r="C1863" s="648">
        <v>6684.02</v>
      </c>
      <c r="D1863" s="258">
        <v>3885.28</v>
      </c>
      <c r="E1863">
        <f>'ACL N0000'!G1712</f>
        <v>57</v>
      </c>
      <c r="G1863" s="412" t="str">
        <f>IF(B1863='ACL N0000'!B1712,"OK","ERROR")</f>
        <v>OK</v>
      </c>
      <c r="K1863" s="412"/>
      <c r="L1863" s="258"/>
      <c r="M1863" s="258"/>
    </row>
    <row r="1864" spans="2:13">
      <c r="B1864" s="412">
        <v>42906</v>
      </c>
      <c r="C1864" s="258">
        <v>6705.45</v>
      </c>
      <c r="D1864" s="258">
        <v>3900.59</v>
      </c>
      <c r="E1864">
        <f>'ACL N0000'!G1713</f>
        <v>57</v>
      </c>
      <c r="G1864" s="412" t="str">
        <f>IF(B1864='ACL N0000'!B1713,"OK","ERROR")</f>
        <v>OK</v>
      </c>
      <c r="K1864" s="412"/>
      <c r="L1864" s="258"/>
      <c r="M1864" s="258"/>
    </row>
    <row r="1865" spans="2:13">
      <c r="B1865" s="412">
        <v>42907</v>
      </c>
      <c r="C1865" s="648">
        <v>6731.25</v>
      </c>
      <c r="D1865" s="258">
        <v>3923.02</v>
      </c>
      <c r="E1865">
        <f>'ACL N0000'!G1714</f>
        <v>57</v>
      </c>
      <c r="G1865" s="412" t="str">
        <f>IF(B1865='ACL N0000'!B1714,"OK","ERROR")</f>
        <v>OK</v>
      </c>
      <c r="K1865" s="412"/>
      <c r="L1865" s="258"/>
      <c r="M1865" s="258"/>
    </row>
    <row r="1866" spans="2:13">
      <c r="B1866" s="412">
        <v>42908</v>
      </c>
      <c r="C1866" s="648">
        <v>6714.73</v>
      </c>
      <c r="D1866" s="258">
        <v>3913.62</v>
      </c>
      <c r="E1866">
        <f>'ACL N0000'!G1715</f>
        <v>56.9</v>
      </c>
      <c r="G1866" s="412" t="str">
        <f>IF(B1866='ACL N0000'!B1715,"OK","ERROR")</f>
        <v>OK</v>
      </c>
      <c r="K1866" s="412"/>
      <c r="L1866" s="258"/>
      <c r="M1866" s="258"/>
    </row>
    <row r="1867" spans="2:13">
      <c r="B1867" s="412">
        <v>42909</v>
      </c>
      <c r="C1867" s="648">
        <v>6715.33</v>
      </c>
      <c r="D1867" s="258">
        <v>3915.3</v>
      </c>
      <c r="E1867">
        <f>'ACL N0000'!G1716</f>
        <v>56.8</v>
      </c>
      <c r="G1867" s="412" t="str">
        <f>IF(B1867='ACL N0000'!B1716,"OK","ERROR")</f>
        <v>OK</v>
      </c>
      <c r="K1867" s="412"/>
      <c r="L1867" s="258"/>
      <c r="M1867" s="258"/>
    </row>
    <row r="1868" spans="2:13">
      <c r="B1868" s="412">
        <v>42913</v>
      </c>
      <c r="C1868" s="258">
        <v>6703.18</v>
      </c>
      <c r="D1868" s="258">
        <v>3909.99</v>
      </c>
      <c r="E1868">
        <f>'ACL N0000'!G1717</f>
        <v>57</v>
      </c>
      <c r="G1868" s="412" t="str">
        <f>IF(B1868='ACL N0000'!B1717,"OK","ERROR")</f>
        <v>OK</v>
      </c>
      <c r="K1868" s="412"/>
      <c r="L1868" s="258"/>
      <c r="M1868" s="258"/>
    </row>
    <row r="1869" spans="2:13">
      <c r="B1869" s="412">
        <v>42914</v>
      </c>
      <c r="C1869" s="648">
        <v>6697.08</v>
      </c>
      <c r="D1869" s="258">
        <v>3898.48</v>
      </c>
      <c r="E1869">
        <f>'ACL N0000'!G1718</f>
        <v>57</v>
      </c>
      <c r="G1869" s="412" t="str">
        <f>IF(B1869='ACL N0000'!B1718,"OK","ERROR")</f>
        <v>OK</v>
      </c>
      <c r="K1869" s="412"/>
      <c r="L1869" s="258"/>
      <c r="M1869" s="258"/>
    </row>
    <row r="1870" spans="2:13">
      <c r="B1870" s="412">
        <v>42915</v>
      </c>
      <c r="C1870" s="258">
        <v>6702.53</v>
      </c>
      <c r="D1870" s="258">
        <v>3903.23</v>
      </c>
      <c r="E1870">
        <f>'ACL N0000'!G1719</f>
        <v>57</v>
      </c>
      <c r="G1870" s="412" t="str">
        <f>IF(B1870='ACL N0000'!B1719,"OK","ERROR")</f>
        <v>OK</v>
      </c>
      <c r="K1870" s="412"/>
      <c r="L1870" s="258"/>
      <c r="M1870" s="258"/>
    </row>
    <row r="1871" spans="2:13">
      <c r="B1871" s="412">
        <v>42916</v>
      </c>
      <c r="C1871" s="258">
        <v>6747.07</v>
      </c>
      <c r="D1871" s="258">
        <v>3933.51</v>
      </c>
      <c r="E1871">
        <f>'ACL N0000'!G1720</f>
        <v>56.5</v>
      </c>
      <c r="G1871" s="412" t="str">
        <f>IF(B1871='ACL N0000'!B1720,"OK","ERROR")</f>
        <v>OK</v>
      </c>
      <c r="K1871" s="412"/>
      <c r="L1871" s="258"/>
      <c r="M1871" s="258"/>
    </row>
    <row r="1872" spans="2:13">
      <c r="B1872" s="412">
        <v>42919</v>
      </c>
      <c r="C1872" s="648">
        <v>6733.06</v>
      </c>
      <c r="D1872" s="258">
        <v>3929.48</v>
      </c>
      <c r="E1872">
        <f>'ACL N0000'!G1721</f>
        <v>56.3</v>
      </c>
      <c r="G1872" s="412" t="str">
        <f>IF(B1872='ACL N0000'!B1721,"OK","ERROR")</f>
        <v>OK</v>
      </c>
      <c r="K1872" s="412"/>
      <c r="L1872" s="258"/>
      <c r="M1872" s="258"/>
    </row>
    <row r="1873" spans="2:13">
      <c r="B1873" s="412">
        <v>42920</v>
      </c>
      <c r="C1873" s="648">
        <v>6734.13</v>
      </c>
      <c r="D1873" s="258">
        <v>3920.59</v>
      </c>
      <c r="E1873">
        <f>'ACL N0000'!G1722</f>
        <v>56.7</v>
      </c>
      <c r="G1873" s="412" t="str">
        <f>IF(B1873='ACL N0000'!B1722,"OK","ERROR")</f>
        <v>OK</v>
      </c>
      <c r="K1873" s="412"/>
      <c r="L1873" s="258"/>
      <c r="M1873" s="258"/>
    </row>
    <row r="1874" spans="2:13">
      <c r="B1874" s="412">
        <v>42921</v>
      </c>
      <c r="C1874" s="648">
        <v>6709.76</v>
      </c>
      <c r="D1874" s="258">
        <v>3907.12</v>
      </c>
      <c r="E1874">
        <f>'ACL N0000'!G1723</f>
        <v>57</v>
      </c>
      <c r="G1874" s="412" t="str">
        <f>IF(B1874='ACL N0000'!B1723,"OK","ERROR")</f>
        <v>OK</v>
      </c>
      <c r="K1874" s="412"/>
      <c r="L1874" s="258"/>
      <c r="M1874" s="258"/>
    </row>
    <row r="1875" spans="2:13">
      <c r="B1875" s="412">
        <v>42922</v>
      </c>
      <c r="C1875" s="648">
        <v>6714.34</v>
      </c>
      <c r="D1875" s="258">
        <v>3905.45</v>
      </c>
      <c r="E1875">
        <f>'ACL N0000'!G1724</f>
        <v>56.8</v>
      </c>
      <c r="G1875" s="412" t="str">
        <f>IF(B1875='ACL N0000'!B1724,"OK","ERROR")</f>
        <v>OK</v>
      </c>
      <c r="K1875" s="412"/>
      <c r="L1875" s="258"/>
      <c r="M1875" s="258"/>
    </row>
    <row r="1876" spans="2:13">
      <c r="B1876" s="412">
        <v>42923</v>
      </c>
      <c r="C1876" s="258">
        <v>6737.5</v>
      </c>
      <c r="D1876" s="258">
        <v>3908.94</v>
      </c>
      <c r="E1876">
        <f>'ACL N0000'!G1726</f>
        <v>57</v>
      </c>
      <c r="G1876" s="412" t="str">
        <f>IF(B1876='ACL N0000'!B1726,"OK","ERROR")</f>
        <v>OK</v>
      </c>
      <c r="K1876" s="412"/>
      <c r="L1876" s="258"/>
      <c r="M1876" s="258"/>
    </row>
    <row r="1877" spans="2:13">
      <c r="B1877" s="412">
        <v>42926</v>
      </c>
      <c r="C1877" s="648">
        <v>6758.24</v>
      </c>
      <c r="D1877" s="258">
        <v>3904.32</v>
      </c>
      <c r="E1877">
        <f>'ACL N0000'!G1727</f>
        <v>57</v>
      </c>
      <c r="G1877" s="412" t="str">
        <f>IF(B1877='ACL N0000'!B1727,"OK","ERROR")</f>
        <v>OK</v>
      </c>
      <c r="K1877" s="412"/>
      <c r="L1877" s="258"/>
      <c r="M1877" s="258"/>
    </row>
    <row r="1878" spans="2:13">
      <c r="B1878" s="412">
        <v>42927</v>
      </c>
      <c r="C1878" s="258">
        <v>6748.15</v>
      </c>
      <c r="D1878" s="258">
        <v>3904.45</v>
      </c>
      <c r="E1878">
        <f>'ACL N0000'!G1728</f>
        <v>57.5</v>
      </c>
      <c r="G1878" s="412" t="str">
        <f>IF(B1878='ACL N0000'!B1728,"OK","ERROR")</f>
        <v>OK</v>
      </c>
      <c r="K1878" s="412"/>
      <c r="L1878" s="258"/>
      <c r="M1878" s="258"/>
    </row>
    <row r="1879" spans="2:13">
      <c r="B1879" s="412">
        <v>42928</v>
      </c>
      <c r="C1879" s="648">
        <v>6746.1</v>
      </c>
      <c r="D1879" s="258">
        <v>3902.68</v>
      </c>
      <c r="E1879">
        <f>'ACL N0000'!G1729</f>
        <v>58.3</v>
      </c>
      <c r="G1879" s="412" t="str">
        <f>IF(B1879='ACL N0000'!B1729,"OK","ERROR")</f>
        <v>OK</v>
      </c>
      <c r="K1879" s="412"/>
      <c r="L1879" s="258"/>
      <c r="M1879" s="258"/>
    </row>
    <row r="1880" spans="2:13">
      <c r="B1880" s="412">
        <v>42929</v>
      </c>
      <c r="C1880" s="648">
        <v>6738.42</v>
      </c>
      <c r="D1880" s="258">
        <v>3899.58</v>
      </c>
      <c r="E1880">
        <f>'ACL N0000'!G1730</f>
        <v>58</v>
      </c>
      <c r="G1880" s="412" t="str">
        <f>IF(B1880='ACL N0000'!B1730,"OK","ERROR")</f>
        <v>OK</v>
      </c>
      <c r="K1880" s="412"/>
      <c r="L1880" s="258"/>
      <c r="M1880" s="258"/>
    </row>
    <row r="1881" spans="2:13">
      <c r="B1881" s="412">
        <v>42930</v>
      </c>
      <c r="C1881" s="258">
        <v>6766.14</v>
      </c>
      <c r="D1881" s="258">
        <v>3909.54</v>
      </c>
      <c r="E1881">
        <f>'ACL N0000'!G1731</f>
        <v>58</v>
      </c>
      <c r="G1881" s="412" t="str">
        <f>IF(B1881='ACL N0000'!B1731,"OK","ERROR")</f>
        <v>OK</v>
      </c>
      <c r="K1881" s="412"/>
      <c r="L1881" s="258"/>
      <c r="M1881" s="258"/>
    </row>
    <row r="1882" spans="2:13">
      <c r="B1882" s="412">
        <v>42933</v>
      </c>
      <c r="C1882" s="648">
        <v>6741.07</v>
      </c>
      <c r="D1882" s="258">
        <v>3882.14</v>
      </c>
      <c r="E1882">
        <f>'ACL N0000'!G1732</f>
        <v>58</v>
      </c>
      <c r="G1882" s="412" t="str">
        <f>IF(B1882='ACL N0000'!B1732,"OK","ERROR")</f>
        <v>OK</v>
      </c>
      <c r="K1882" s="412"/>
      <c r="L1882" s="258"/>
      <c r="M1882" s="258"/>
    </row>
    <row r="1883" spans="2:13">
      <c r="B1883" s="412">
        <v>42934</v>
      </c>
      <c r="C1883" s="648">
        <v>6735.04</v>
      </c>
      <c r="D1883" s="258">
        <v>3874.86</v>
      </c>
      <c r="E1883">
        <f>'ACL N0000'!G1733</f>
        <v>58.5</v>
      </c>
      <c r="G1883" s="412" t="str">
        <f>IF(B1883='ACL N0000'!B1733,"OK","ERROR")</f>
        <v>OK</v>
      </c>
      <c r="K1883" s="412"/>
      <c r="L1883" s="258"/>
      <c r="M1883" s="258"/>
    </row>
    <row r="1884" spans="2:13">
      <c r="B1884" s="412">
        <v>42935</v>
      </c>
      <c r="C1884" s="648">
        <v>6695.23</v>
      </c>
      <c r="D1884" s="258">
        <v>3838.08</v>
      </c>
      <c r="E1884">
        <f>'ACL N0000'!G1734</f>
        <v>57.2</v>
      </c>
      <c r="G1884" s="412" t="str">
        <f>IF(B1884='ACL N0000'!B1734,"OK","ERROR")</f>
        <v>OK</v>
      </c>
      <c r="K1884" s="412"/>
      <c r="L1884" s="258"/>
      <c r="M1884" s="258"/>
    </row>
    <row r="1885" spans="2:13">
      <c r="B1885" s="412">
        <v>42936</v>
      </c>
      <c r="C1885" s="648">
        <v>6684.47</v>
      </c>
      <c r="D1885" s="258">
        <v>3837.26</v>
      </c>
      <c r="E1885">
        <f>'ACL N0000'!G1735</f>
        <v>57.6</v>
      </c>
      <c r="G1885" s="412" t="str">
        <f>IF(B1885='ACL N0000'!B1735,"OK","ERROR")</f>
        <v>OK</v>
      </c>
      <c r="K1885" s="412"/>
      <c r="L1885" s="258"/>
      <c r="M1885" s="258"/>
    </row>
    <row r="1886" spans="2:13">
      <c r="B1886" s="412">
        <v>42937</v>
      </c>
      <c r="C1886" s="648">
        <v>6669.51</v>
      </c>
      <c r="D1886" s="258">
        <v>3819.23</v>
      </c>
      <c r="E1886">
        <f>'ACL N0000'!G1736</f>
        <v>57.6</v>
      </c>
      <c r="G1886" s="412" t="str">
        <f>IF(B1886='ACL N0000'!B1736,"OK","ERROR")</f>
        <v>OK</v>
      </c>
      <c r="K1886" s="412"/>
      <c r="L1886" s="258"/>
      <c r="M1886" s="258"/>
    </row>
    <row r="1887" spans="2:13">
      <c r="B1887" s="412">
        <v>42940</v>
      </c>
      <c r="C1887" s="648">
        <v>6664.12</v>
      </c>
      <c r="D1887" s="258">
        <v>3813.39</v>
      </c>
      <c r="E1887">
        <f>'ACL N0000'!G1737</f>
        <v>56.6</v>
      </c>
      <c r="G1887" s="412" t="str">
        <f>IF(B1887='ACL N0000'!B1737,"OK","ERROR")</f>
        <v>OK</v>
      </c>
      <c r="K1887" s="412"/>
      <c r="L1887" s="258"/>
      <c r="M1887" s="258"/>
    </row>
    <row r="1888" spans="2:13">
      <c r="B1888" s="412">
        <v>42941</v>
      </c>
      <c r="C1888" s="648">
        <v>6662.34</v>
      </c>
      <c r="D1888" s="258">
        <v>3821.89</v>
      </c>
      <c r="E1888">
        <f>'ACL N0000'!G1738</f>
        <v>56.9</v>
      </c>
      <c r="G1888" s="412" t="str">
        <f>IF(B1888='ACL N0000'!B1738,"OK","ERROR")</f>
        <v>OK</v>
      </c>
      <c r="K1888" s="412"/>
      <c r="L1888" s="258"/>
      <c r="M1888" s="258"/>
    </row>
    <row r="1889" spans="2:13">
      <c r="B1889" s="412">
        <v>42942</v>
      </c>
      <c r="C1889" s="648">
        <v>6669.05</v>
      </c>
      <c r="D1889" s="258">
        <v>3830.56</v>
      </c>
      <c r="E1889">
        <f>'ACL N0000'!G1739</f>
        <v>57</v>
      </c>
      <c r="G1889" s="412" t="str">
        <f>IF(B1889='ACL N0000'!B1739,"OK","ERROR")</f>
        <v>OK</v>
      </c>
      <c r="K1889" s="412"/>
      <c r="L1889" s="258"/>
      <c r="M1889" s="258"/>
    </row>
    <row r="1890" spans="2:13">
      <c r="B1890" s="412">
        <v>42943</v>
      </c>
      <c r="C1890" s="648">
        <v>6668.86</v>
      </c>
      <c r="D1890" s="258">
        <v>3830.84</v>
      </c>
      <c r="E1890">
        <f>'ACL N0000'!G1740</f>
        <v>57.1</v>
      </c>
      <c r="G1890" s="412" t="str">
        <f>IF(B1890='ACL N0000'!B1740,"OK","ERROR")</f>
        <v>OK</v>
      </c>
      <c r="K1890" s="412"/>
      <c r="L1890" s="258"/>
      <c r="M1890" s="258"/>
    </row>
    <row r="1891" spans="2:13">
      <c r="B1891" s="412">
        <v>42944</v>
      </c>
      <c r="C1891" s="648">
        <v>6666.05</v>
      </c>
      <c r="D1891" s="258">
        <v>3822.92</v>
      </c>
      <c r="E1891">
        <f>'ACL N0000'!G1741</f>
        <v>57</v>
      </c>
      <c r="G1891" s="412" t="str">
        <f>IF(B1891='ACL N0000'!B1741,"OK","ERROR")</f>
        <v>OK</v>
      </c>
      <c r="K1891" s="412"/>
      <c r="L1891" s="258"/>
      <c r="M1891" s="258"/>
    </row>
    <row r="1892" spans="2:13">
      <c r="B1892" s="412">
        <v>42947</v>
      </c>
      <c r="C1892" s="648">
        <v>6637.39</v>
      </c>
      <c r="D1892" s="258">
        <v>3811.01</v>
      </c>
      <c r="E1892">
        <f>'ACL N0000'!G1742</f>
        <v>57.2</v>
      </c>
      <c r="G1892" s="412" t="str">
        <f>IF(B1892='ACL N0000'!B1742,"OK","ERROR")</f>
        <v>OK</v>
      </c>
      <c r="K1892" s="412"/>
      <c r="L1892" s="258"/>
      <c r="M1892" s="258"/>
    </row>
    <row r="1893" spans="2:13">
      <c r="B1893" s="412">
        <v>42948</v>
      </c>
      <c r="C1893" s="648">
        <v>6604.71</v>
      </c>
      <c r="D1893" s="258">
        <v>3789.09</v>
      </c>
      <c r="E1893">
        <f>'ACL N0000'!G1743</f>
        <v>57</v>
      </c>
      <c r="G1893" s="412" t="str">
        <f>IF(B1893='ACL N0000'!B1743,"OK","ERROR")</f>
        <v>OK</v>
      </c>
      <c r="K1893" s="412"/>
      <c r="L1893" s="258"/>
      <c r="M1893" s="258"/>
    </row>
    <row r="1894" spans="2:13">
      <c r="B1894" s="412">
        <v>42949</v>
      </c>
      <c r="C1894" s="648">
        <v>6585.53</v>
      </c>
      <c r="D1894" s="258">
        <v>3789.83</v>
      </c>
      <c r="E1894">
        <f>'ACL N0000'!G1744</f>
        <v>56.6</v>
      </c>
      <c r="G1894" s="412" t="str">
        <f>IF(B1894='ACL N0000'!B1744,"OK","ERROR")</f>
        <v>OK</v>
      </c>
      <c r="K1894" s="412"/>
      <c r="L1894" s="258"/>
      <c r="M1894" s="258"/>
    </row>
    <row r="1895" spans="2:13">
      <c r="B1895" s="412">
        <v>42950</v>
      </c>
      <c r="C1895" s="648">
        <v>6571.48</v>
      </c>
      <c r="D1895" s="258">
        <v>3781.9</v>
      </c>
      <c r="E1895">
        <f>'ACL N0000'!G1745</f>
        <v>56.6</v>
      </c>
      <c r="G1895" s="412" t="str">
        <f>IF(B1895='ACL N0000'!B1745,"OK","ERROR")</f>
        <v>OK</v>
      </c>
      <c r="K1895" s="412"/>
      <c r="L1895" s="258"/>
      <c r="M1895" s="258"/>
    </row>
    <row r="1896" spans="2:13">
      <c r="B1896" s="412">
        <v>42951</v>
      </c>
      <c r="C1896" s="648">
        <v>6567.43</v>
      </c>
      <c r="D1896" s="258">
        <v>3784.51</v>
      </c>
      <c r="E1896">
        <f>'ACL N0000'!G1746</f>
        <v>56.4</v>
      </c>
      <c r="G1896" s="412" t="str">
        <f>IF(B1896='ACL N0000'!B1746,"OK","ERROR")</f>
        <v>OK</v>
      </c>
      <c r="K1896" s="412"/>
      <c r="L1896" s="258"/>
      <c r="M1896" s="258"/>
    </row>
    <row r="1897" spans="2:13">
      <c r="B1897" s="412">
        <v>42955</v>
      </c>
      <c r="C1897" s="648">
        <v>6524.13</v>
      </c>
      <c r="D1897" s="258">
        <v>3754.08</v>
      </c>
      <c r="E1897">
        <f>'ACL N0000'!G1747</f>
        <v>56.4</v>
      </c>
      <c r="G1897" s="412" t="str">
        <f>IF(B1897='ACL N0000'!B1747,"OK","ERROR")</f>
        <v>OK</v>
      </c>
      <c r="K1897" s="412"/>
      <c r="L1897" s="258"/>
      <c r="M1897" s="258"/>
    </row>
    <row r="1898" spans="2:13">
      <c r="B1898" s="412">
        <v>42956</v>
      </c>
      <c r="C1898" s="258">
        <v>6506.03</v>
      </c>
      <c r="D1898" s="258">
        <v>3734.21</v>
      </c>
      <c r="E1898">
        <f>'ACL N0000'!G1748</f>
        <v>56.1</v>
      </c>
      <c r="G1898" s="412" t="str">
        <f>IF(B1898='ACL N0000'!B1748,"OK","ERROR")</f>
        <v>OK</v>
      </c>
      <c r="K1898" s="412"/>
      <c r="L1898" s="258"/>
      <c r="M1898" s="258"/>
    </row>
    <row r="1899" spans="2:13">
      <c r="B1899" s="412">
        <v>42957</v>
      </c>
      <c r="C1899" s="258">
        <v>6516.32</v>
      </c>
      <c r="D1899" s="258">
        <v>3737.94</v>
      </c>
      <c r="E1899">
        <f>'ACL N0000'!G1749</f>
        <v>56.1</v>
      </c>
      <c r="G1899" s="412" t="str">
        <f>IF(B1899='ACL N0000'!B1749,"OK","ERROR")</f>
        <v>OK</v>
      </c>
      <c r="K1899" s="412"/>
      <c r="L1899" s="258"/>
      <c r="M1899" s="258"/>
    </row>
    <row r="1900" spans="2:13">
      <c r="B1900" s="412">
        <v>42958</v>
      </c>
      <c r="C1900" s="258">
        <v>6492.69</v>
      </c>
      <c r="D1900" s="258">
        <v>3724.21</v>
      </c>
      <c r="E1900">
        <f>'ACL N0000'!G1750</f>
        <v>54</v>
      </c>
      <c r="G1900" s="412" t="str">
        <f>IF(B1900='ACL N0000'!B1750,"OK","ERROR")</f>
        <v>OK</v>
      </c>
      <c r="K1900" s="412"/>
      <c r="L1900" s="258"/>
      <c r="M1900" s="258"/>
    </row>
    <row r="1901" spans="2:13">
      <c r="B1901" s="412">
        <v>42961</v>
      </c>
      <c r="C1901" s="648">
        <v>6485.76</v>
      </c>
      <c r="D1901" s="258">
        <v>3734.93</v>
      </c>
      <c r="E1901">
        <f>'ACL N0000'!G1751</f>
        <v>54.1</v>
      </c>
      <c r="G1901" s="412" t="str">
        <f>IF(B1901='ACL N0000'!B1751,"OK","ERROR")</f>
        <v>OK</v>
      </c>
      <c r="K1901" s="412"/>
      <c r="L1901" s="258"/>
      <c r="M1901" s="258"/>
    </row>
    <row r="1902" spans="2:13">
      <c r="B1902" s="412">
        <v>42962</v>
      </c>
      <c r="C1902" s="648">
        <v>6440.91</v>
      </c>
      <c r="D1902" s="258">
        <v>3696.28</v>
      </c>
      <c r="E1902">
        <f>'ACL N0000'!G1752</f>
        <v>52.1</v>
      </c>
      <c r="G1902" s="412" t="str">
        <f>IF(B1902='ACL N0000'!B1752,"OK","ERROR")</f>
        <v>OK</v>
      </c>
      <c r="K1902" s="412"/>
      <c r="L1902" s="258"/>
      <c r="M1902" s="258"/>
    </row>
    <row r="1903" spans="2:13">
      <c r="B1903" s="412">
        <v>42963</v>
      </c>
      <c r="C1903" s="648">
        <v>6417.41</v>
      </c>
      <c r="D1903" s="258">
        <v>3697.87</v>
      </c>
      <c r="E1903">
        <f>'ACL N0000'!G1753</f>
        <v>50</v>
      </c>
      <c r="G1903" s="412" t="str">
        <f>IF(B1903='ACL N0000'!B1753,"OK","ERROR")</f>
        <v>OK</v>
      </c>
      <c r="K1903" s="412"/>
      <c r="L1903" s="258"/>
      <c r="M1903" s="258"/>
    </row>
    <row r="1904" spans="2:13">
      <c r="B1904" s="412">
        <v>42964</v>
      </c>
      <c r="C1904" s="648">
        <v>6408.12</v>
      </c>
      <c r="D1904" s="258">
        <v>3690.81</v>
      </c>
      <c r="E1904">
        <f>'ACL N0000'!G1754</f>
        <v>49.5</v>
      </c>
      <c r="G1904" s="412" t="str">
        <f>IF(B1904='ACL N0000'!B1754,"OK","ERROR")</f>
        <v>OK</v>
      </c>
      <c r="K1904" s="412"/>
      <c r="L1904" s="258"/>
      <c r="M1904" s="258"/>
    </row>
    <row r="1905" spans="2:13">
      <c r="B1905" s="412">
        <v>42965</v>
      </c>
      <c r="C1905" s="648">
        <v>6436.28</v>
      </c>
      <c r="D1905" s="258">
        <v>3706.02</v>
      </c>
      <c r="E1905">
        <f>'ACL N0000'!G1755</f>
        <v>49.6</v>
      </c>
      <c r="G1905" s="412" t="str">
        <f>IF(B1905='ACL N0000'!B1755,"OK","ERROR")</f>
        <v>OK</v>
      </c>
      <c r="K1905" s="412"/>
      <c r="L1905" s="258"/>
      <c r="M1905" s="258"/>
    </row>
    <row r="1906" spans="2:13">
      <c r="B1906" s="412">
        <v>42968</v>
      </c>
      <c r="C1906" s="648">
        <v>6420.53</v>
      </c>
      <c r="D1906" s="258">
        <v>3698.99</v>
      </c>
      <c r="E1906">
        <f>'ACL N0000'!G1756</f>
        <v>49</v>
      </c>
      <c r="G1906" s="412" t="str">
        <f>IF(B1906='ACL N0000'!B1756,"OK","ERROR")</f>
        <v>OK</v>
      </c>
      <c r="K1906" s="412"/>
      <c r="L1906" s="258"/>
      <c r="M1906" s="258"/>
    </row>
    <row r="1907" spans="2:13">
      <c r="B1907" s="412">
        <v>42969</v>
      </c>
      <c r="C1907" s="648">
        <v>6395.32</v>
      </c>
      <c r="D1907" s="258">
        <v>3678.07</v>
      </c>
      <c r="E1907">
        <f>'ACL N0000'!G1757</f>
        <v>49</v>
      </c>
      <c r="G1907" s="412" t="str">
        <f>IF(B1907='ACL N0000'!B1757,"OK","ERROR")</f>
        <v>OK</v>
      </c>
      <c r="K1907" s="412"/>
      <c r="L1907" s="258"/>
      <c r="M1907" s="258"/>
    </row>
    <row r="1908" spans="2:13">
      <c r="B1908" s="412">
        <v>42970</v>
      </c>
      <c r="C1908" s="648">
        <v>6383.27</v>
      </c>
      <c r="D1908" s="258">
        <v>3663.65</v>
      </c>
      <c r="E1908">
        <f>'ACL N0000'!G1758</f>
        <v>49.8</v>
      </c>
      <c r="G1908" s="412" t="str">
        <f>IF(B1908='ACL N0000'!B1758,"OK","ERROR")</f>
        <v>OK</v>
      </c>
      <c r="K1908" s="412"/>
      <c r="L1908" s="258"/>
      <c r="M1908" s="258"/>
    </row>
    <row r="1909" spans="2:13">
      <c r="B1909" s="412">
        <v>42971</v>
      </c>
      <c r="C1909" s="648">
        <v>6382.54</v>
      </c>
      <c r="D1909" s="258">
        <v>3658.15</v>
      </c>
      <c r="E1909">
        <f>'ACL N0000'!G1759</f>
        <v>50</v>
      </c>
      <c r="G1909" s="412" t="str">
        <f>IF(B1909='ACL N0000'!B1759,"OK","ERROR")</f>
        <v>OK</v>
      </c>
      <c r="K1909" s="412"/>
      <c r="L1909" s="258"/>
      <c r="M1909" s="258"/>
    </row>
    <row r="1910" spans="2:13">
      <c r="B1910" s="412">
        <v>42972</v>
      </c>
      <c r="C1910" s="648">
        <v>6409.37</v>
      </c>
      <c r="D1910" s="258">
        <v>3690.57</v>
      </c>
      <c r="E1910">
        <f>'ACL N0000'!G1761</f>
        <v>50.1</v>
      </c>
      <c r="G1910" s="412" t="str">
        <f>IF(B1910='ACL N0000'!B1761,"OK","ERROR")</f>
        <v>OK</v>
      </c>
      <c r="K1910" s="412"/>
      <c r="L1910" s="258"/>
      <c r="M1910" s="258"/>
    </row>
    <row r="1911" spans="2:13">
      <c r="B1911" s="412">
        <v>42975</v>
      </c>
      <c r="C1911" s="648">
        <v>6412.37</v>
      </c>
      <c r="D1911" s="258">
        <v>3694.17</v>
      </c>
      <c r="E1911">
        <f>'ACL N0000'!G1762</f>
        <v>50</v>
      </c>
      <c r="G1911" s="412" t="str">
        <f>IF(B1911='ACL N0000'!B1762,"OK","ERROR")</f>
        <v>OK</v>
      </c>
      <c r="K1911" s="412"/>
      <c r="L1911" s="258"/>
      <c r="M1911" s="258"/>
    </row>
    <row r="1912" spans="2:13">
      <c r="B1912" s="412">
        <v>42976</v>
      </c>
      <c r="C1912" s="648">
        <v>6398.79</v>
      </c>
      <c r="D1912" s="258">
        <v>3686.1</v>
      </c>
      <c r="E1912">
        <f>'ACL N0000'!G1763</f>
        <v>49.1</v>
      </c>
      <c r="G1912" s="412" t="str">
        <f>IF(B1912='ACL N0000'!B1763,"OK","ERROR")</f>
        <v>OK</v>
      </c>
      <c r="K1912" s="412"/>
      <c r="L1912" s="258"/>
      <c r="M1912" s="258"/>
    </row>
    <row r="1913" spans="2:13">
      <c r="B1913" s="412">
        <v>42977</v>
      </c>
      <c r="C1913" s="648">
        <v>6390.26</v>
      </c>
      <c r="D1913" s="258">
        <v>3683.96</v>
      </c>
      <c r="E1913">
        <f>'ACL N0000'!G1764</f>
        <v>50</v>
      </c>
      <c r="G1913" s="412" t="str">
        <f>IF(B1913='ACL N0000'!B1764,"OK","ERROR")</f>
        <v>OK</v>
      </c>
      <c r="K1913" s="412"/>
      <c r="L1913" s="258"/>
      <c r="M1913" s="258"/>
    </row>
    <row r="1914" spans="2:13">
      <c r="B1914" s="412">
        <v>42978</v>
      </c>
      <c r="C1914" s="648">
        <v>6390.74</v>
      </c>
      <c r="D1914" s="258">
        <v>3685.96</v>
      </c>
      <c r="E1914">
        <f>'ACL N0000'!G1765</f>
        <v>50</v>
      </c>
      <c r="G1914" s="412" t="str">
        <f>IF(B1914='ACL N0000'!B1765,"OK","ERROR")</f>
        <v>OK</v>
      </c>
      <c r="K1914" s="412"/>
      <c r="L1914" s="258"/>
      <c r="M1914" s="258"/>
    </row>
    <row r="1915" spans="2:13">
      <c r="B1915" s="412">
        <v>42982</v>
      </c>
      <c r="C1915" s="648">
        <v>6385.56</v>
      </c>
      <c r="D1915" s="258">
        <v>3683.5</v>
      </c>
      <c r="E1915">
        <f>'ACL N0000'!G1766</f>
        <v>49</v>
      </c>
      <c r="G1915" s="412" t="str">
        <f>IF(B1915='ACL N0000'!B1766,"OK","ERROR")</f>
        <v>OK</v>
      </c>
      <c r="K1915" s="412"/>
      <c r="L1915" s="258"/>
      <c r="M1915" s="258"/>
    </row>
    <row r="1916" spans="2:13">
      <c r="B1916" s="412">
        <v>42984</v>
      </c>
      <c r="C1916" s="648">
        <v>6361.03</v>
      </c>
      <c r="D1916" s="258">
        <v>3676.23</v>
      </c>
      <c r="E1916">
        <f>'ACL N0000'!G1767</f>
        <v>48.1</v>
      </c>
      <c r="G1916" s="412" t="str">
        <f>IF(B1916='ACL N0000'!B1767,"OK","ERROR")</f>
        <v>OK</v>
      </c>
      <c r="K1916" s="412"/>
      <c r="L1916" s="258"/>
      <c r="M1916" s="258"/>
    </row>
    <row r="1917" spans="2:13">
      <c r="B1917" s="412">
        <v>42985</v>
      </c>
      <c r="C1917" s="648">
        <v>6362.18</v>
      </c>
      <c r="D1917" s="258">
        <v>3670.78</v>
      </c>
      <c r="E1917">
        <f>'ACL N0000'!G1768</f>
        <v>48</v>
      </c>
      <c r="G1917" s="412" t="str">
        <f>IF(B1917='ACL N0000'!B1768,"OK","ERROR")</f>
        <v>OK</v>
      </c>
      <c r="K1917" s="412"/>
      <c r="L1917" s="258"/>
      <c r="M1917" s="258"/>
    </row>
    <row r="1918" spans="2:13">
      <c r="B1918" s="412">
        <v>42986</v>
      </c>
      <c r="C1918" s="648">
        <v>6375.86</v>
      </c>
      <c r="D1918" s="258">
        <v>3674.58</v>
      </c>
      <c r="E1918">
        <f>'ACL N0000'!G1769</f>
        <v>47.9</v>
      </c>
      <c r="G1918" s="412" t="str">
        <f>IF(B1918='ACL N0000'!B1769,"OK","ERROR")</f>
        <v>OK</v>
      </c>
      <c r="K1918" s="412"/>
      <c r="L1918" s="258"/>
      <c r="M1918" s="258"/>
    </row>
    <row r="1919" spans="2:13">
      <c r="B1919" s="412">
        <v>42989</v>
      </c>
      <c r="C1919" s="648">
        <v>6372.24</v>
      </c>
      <c r="D1919" s="258">
        <v>3672.5</v>
      </c>
      <c r="E1919">
        <f>'ACL N0000'!G1770</f>
        <v>47.5</v>
      </c>
      <c r="G1919" s="412" t="str">
        <f>IF(B1919='ACL N0000'!B1770,"OK","ERROR")</f>
        <v>OK</v>
      </c>
      <c r="K1919" s="412"/>
      <c r="L1919" s="258"/>
      <c r="M1919" s="258"/>
    </row>
    <row r="1920" spans="2:13">
      <c r="B1920" s="412">
        <v>42990</v>
      </c>
      <c r="C1920" s="648">
        <v>6377.38</v>
      </c>
      <c r="D1920" s="258">
        <v>3660.15</v>
      </c>
      <c r="E1920">
        <f>'ACL N0000'!G1771</f>
        <v>46.1</v>
      </c>
      <c r="G1920" s="412" t="str">
        <f>IF(B1920='ACL N0000'!B1771,"OK","ERROR")</f>
        <v>OK</v>
      </c>
      <c r="K1920" s="412"/>
      <c r="L1920" s="258"/>
      <c r="M1920" s="258"/>
    </row>
    <row r="1921" spans="2:13">
      <c r="B1921" s="412">
        <v>42991</v>
      </c>
      <c r="C1921" s="648">
        <v>6372.7</v>
      </c>
      <c r="D1921" s="258">
        <v>3655.16</v>
      </c>
      <c r="E1921">
        <f>'ACL N0000'!G1772</f>
        <v>46.1</v>
      </c>
      <c r="G1921" s="412" t="str">
        <f>IF(B1921='ACL N0000'!B1772,"OK","ERROR")</f>
        <v>OK</v>
      </c>
      <c r="K1921" s="412"/>
      <c r="L1921" s="258"/>
      <c r="M1921" s="258"/>
    </row>
    <row r="1922" spans="2:13">
      <c r="B1922" s="412">
        <v>42992</v>
      </c>
      <c r="C1922" s="648">
        <v>6381.46</v>
      </c>
      <c r="D1922" s="258">
        <v>3663.81</v>
      </c>
      <c r="E1922">
        <f>'ACL N0000'!G1773</f>
        <v>46.7</v>
      </c>
      <c r="G1922" s="412" t="str">
        <f>IF(B1922='ACL N0000'!B1773,"OK","ERROR")</f>
        <v>OK</v>
      </c>
      <c r="K1922" s="412"/>
      <c r="L1922" s="258"/>
      <c r="M1922" s="258"/>
    </row>
    <row r="1923" spans="2:13">
      <c r="B1923" s="412">
        <v>42993</v>
      </c>
      <c r="C1923" s="648">
        <v>6402.03</v>
      </c>
      <c r="D1923" s="258">
        <v>3682.34</v>
      </c>
      <c r="E1923">
        <f>'ACL N0000'!G1774</f>
        <v>46.2</v>
      </c>
      <c r="G1923" s="412" t="str">
        <f>IF(B1923='ACL N0000'!B1774,"OK","ERROR")</f>
        <v>OK</v>
      </c>
      <c r="K1923" s="412"/>
      <c r="L1923" s="258"/>
      <c r="M1923" s="258"/>
    </row>
    <row r="1924" spans="2:13">
      <c r="B1924" s="412">
        <v>42996</v>
      </c>
      <c r="C1924" s="648">
        <v>6409.65</v>
      </c>
      <c r="D1924" s="258">
        <v>3683.69</v>
      </c>
      <c r="E1924">
        <f>'ACL N0000'!G1775</f>
        <v>47</v>
      </c>
      <c r="G1924" s="412" t="str">
        <f>IF(B1924='ACL N0000'!B1775,"OK","ERROR")</f>
        <v>OK</v>
      </c>
      <c r="K1924" s="412"/>
      <c r="L1924" s="258"/>
      <c r="M1924" s="258"/>
    </row>
    <row r="1925" spans="2:13">
      <c r="B1925" s="412">
        <v>42997</v>
      </c>
      <c r="C1925" s="648">
        <v>6428.07</v>
      </c>
      <c r="D1925" s="258">
        <v>3692.52</v>
      </c>
      <c r="E1925">
        <f>'ACL N0000'!G1776</f>
        <v>46.9</v>
      </c>
      <c r="G1925" s="412" t="str">
        <f>IF(B1925='ACL N0000'!B1776,"OK","ERROR")</f>
        <v>OK</v>
      </c>
      <c r="K1925" s="412"/>
      <c r="L1925" s="258"/>
      <c r="M1925" s="258"/>
    </row>
    <row r="1926" spans="2:13">
      <c r="B1926" s="412">
        <v>42998</v>
      </c>
      <c r="C1926" s="648">
        <v>6452.91</v>
      </c>
      <c r="D1926" s="258">
        <v>3716.25</v>
      </c>
      <c r="E1926">
        <f>'ACL N0000'!G1777</f>
        <v>47</v>
      </c>
      <c r="G1926" s="412" t="str">
        <f>IF(B1926='ACL N0000'!B1777,"OK","ERROR")</f>
        <v>OK</v>
      </c>
      <c r="K1926" s="412"/>
      <c r="L1926" s="258"/>
      <c r="M1926" s="258"/>
    </row>
    <row r="1927" spans="2:13">
      <c r="B1927" s="412">
        <v>42999</v>
      </c>
      <c r="C1927" s="648">
        <v>6451.55</v>
      </c>
      <c r="D1927" s="258">
        <v>3713.22</v>
      </c>
      <c r="E1927">
        <f>'ACL N0000'!G1778</f>
        <v>46.2</v>
      </c>
      <c r="G1927" s="412" t="str">
        <f>IF(B1927='ACL N0000'!B1778,"OK","ERROR")</f>
        <v>OK</v>
      </c>
      <c r="K1927" s="412"/>
      <c r="L1927" s="258"/>
      <c r="M1927" s="258"/>
    </row>
    <row r="1928" spans="2:13">
      <c r="B1928" s="412">
        <v>43000</v>
      </c>
      <c r="C1928" s="648">
        <v>6427.26</v>
      </c>
      <c r="D1928" s="258">
        <v>3692.15</v>
      </c>
      <c r="E1928">
        <f>'ACL N0000'!G1779</f>
        <v>46</v>
      </c>
      <c r="G1928" s="412" t="str">
        <f>IF(B1928='ACL N0000'!B1779,"OK","ERROR")</f>
        <v>OK</v>
      </c>
      <c r="K1928" s="412"/>
      <c r="L1928" s="258"/>
      <c r="M1928" s="258"/>
    </row>
    <row r="1929" spans="2:13">
      <c r="B1929" s="412">
        <v>43003</v>
      </c>
      <c r="C1929" s="648">
        <v>6412.07</v>
      </c>
      <c r="D1929" s="258">
        <v>3679.7</v>
      </c>
      <c r="E1929">
        <f>'ACL N0000'!G1780</f>
        <v>45.5</v>
      </c>
      <c r="G1929" s="412" t="str">
        <f>IF(B1929='ACL N0000'!B1780,"OK","ERROR")</f>
        <v>OK</v>
      </c>
      <c r="K1929" s="412"/>
      <c r="L1929" s="258"/>
      <c r="M1929" s="258"/>
    </row>
    <row r="1930" spans="2:13">
      <c r="B1930" s="412">
        <v>43004</v>
      </c>
      <c r="C1930" s="648">
        <v>6419.61</v>
      </c>
      <c r="D1930" s="258">
        <v>3685.41</v>
      </c>
      <c r="E1930">
        <f>'ACL N0000'!G1781</f>
        <v>45.3</v>
      </c>
      <c r="G1930" s="412" t="str">
        <f>IF(B1930='ACL N0000'!B1781,"OK","ERROR")</f>
        <v>OK</v>
      </c>
      <c r="K1930" s="412"/>
      <c r="L1930" s="258"/>
      <c r="M1930" s="258"/>
    </row>
    <row r="1931" spans="2:13">
      <c r="B1931" s="412">
        <v>43005</v>
      </c>
      <c r="C1931" s="648">
        <v>6419.47</v>
      </c>
      <c r="D1931" s="258">
        <v>3672.39</v>
      </c>
      <c r="E1931">
        <f>'ACL N0000'!G1782</f>
        <v>45.1</v>
      </c>
      <c r="G1931" s="412" t="str">
        <f>IF(B1931='ACL N0000'!B1782,"OK","ERROR")</f>
        <v>OK</v>
      </c>
      <c r="K1931" s="412"/>
      <c r="L1931" s="258"/>
      <c r="M1931" s="258"/>
    </row>
    <row r="1932" spans="2:13">
      <c r="B1932" s="412">
        <v>43006</v>
      </c>
      <c r="C1932" s="648">
        <v>6433.54</v>
      </c>
      <c r="D1932" s="258">
        <v>3682.89</v>
      </c>
      <c r="E1932">
        <f>'ACL N0000'!G1783</f>
        <v>45</v>
      </c>
      <c r="G1932" s="412" t="str">
        <f>IF(B1932='ACL N0000'!B1783,"OK","ERROR")</f>
        <v>OK</v>
      </c>
      <c r="K1932" s="412"/>
      <c r="L1932" s="258"/>
      <c r="M1932" s="258"/>
    </row>
    <row r="1933" spans="2:13">
      <c r="B1933" s="412">
        <v>43007</v>
      </c>
      <c r="C1933" s="648">
        <v>6438.24</v>
      </c>
      <c r="D1933" s="258">
        <v>3687.97</v>
      </c>
      <c r="E1933">
        <f>'ACL N0000'!G1784</f>
        <v>45.1</v>
      </c>
      <c r="G1933" s="412" t="str">
        <f>IF(B1933='ACL N0000'!B1784,"OK","ERROR")</f>
        <v>OK</v>
      </c>
      <c r="K1933" s="412"/>
      <c r="L1933" s="258"/>
      <c r="M1933" s="258"/>
    </row>
    <row r="1934" spans="2:13">
      <c r="B1934" s="412">
        <v>43010</v>
      </c>
      <c r="C1934" s="648">
        <v>6470.96</v>
      </c>
      <c r="D1934" s="258">
        <v>3709.66</v>
      </c>
      <c r="E1934">
        <f>'ACL N0000'!G1785</f>
        <v>44.5</v>
      </c>
      <c r="G1934" s="412" t="str">
        <f>IF(B1934='ACL N0000'!B1785,"OK","ERROR")</f>
        <v>OK</v>
      </c>
      <c r="K1934" s="412"/>
      <c r="L1934" s="258"/>
      <c r="M1934" s="258"/>
    </row>
    <row r="1935" spans="2:13">
      <c r="B1935" s="412">
        <v>43011</v>
      </c>
      <c r="C1935" s="648">
        <v>6494.22</v>
      </c>
      <c r="D1935" s="258">
        <v>3752.87</v>
      </c>
      <c r="E1935">
        <f>'ACL N0000'!G1786</f>
        <v>42.9</v>
      </c>
      <c r="G1935" s="412" t="str">
        <f>IF(B1935='ACL N0000'!B1786,"OK","ERROR")</f>
        <v>OK</v>
      </c>
      <c r="K1935" s="412"/>
      <c r="L1935" s="258"/>
      <c r="M1935" s="258"/>
    </row>
    <row r="1936" spans="2:13">
      <c r="B1936" s="412">
        <v>43012</v>
      </c>
      <c r="C1936" s="648">
        <v>6507.09</v>
      </c>
      <c r="D1936" s="258">
        <v>3781.64</v>
      </c>
      <c r="E1936">
        <f>'ACL N0000'!G1787</f>
        <v>43</v>
      </c>
      <c r="G1936" s="412" t="str">
        <f>IF(B1936='ACL N0000'!B1787,"OK","ERROR")</f>
        <v>OK</v>
      </c>
      <c r="K1936" s="412"/>
      <c r="L1936" s="258"/>
      <c r="M1936" s="258"/>
    </row>
    <row r="1937" spans="2:13">
      <c r="B1937" s="412">
        <v>43014</v>
      </c>
      <c r="C1937" s="648">
        <v>6529.05</v>
      </c>
      <c r="D1937" s="258">
        <v>3797.43</v>
      </c>
      <c r="E1937">
        <f>'ACL N0000'!G1788</f>
        <v>43</v>
      </c>
      <c r="G1937" s="412" t="str">
        <f>IF(B1937='ACL N0000'!B1788,"OK","ERROR")</f>
        <v>OK</v>
      </c>
      <c r="K1937" s="412"/>
      <c r="L1937" s="258"/>
      <c r="M1937" s="258"/>
    </row>
    <row r="1938" spans="2:13">
      <c r="B1938" s="412">
        <v>43017</v>
      </c>
      <c r="C1938" s="648">
        <v>6515.84</v>
      </c>
      <c r="D1938" s="258">
        <v>3796.64</v>
      </c>
      <c r="E1938">
        <f>'ACL N0000'!G1789</f>
        <v>42.7</v>
      </c>
      <c r="G1938" s="412" t="str">
        <f>IF(B1938='ACL N0000'!B1789,"OK","ERROR")</f>
        <v>OK</v>
      </c>
      <c r="K1938" s="412"/>
      <c r="L1938" s="258"/>
      <c r="M1938" s="258"/>
    </row>
    <row r="1939" spans="2:13">
      <c r="B1939" s="412">
        <v>43018</v>
      </c>
      <c r="C1939" s="648">
        <v>6523.68</v>
      </c>
      <c r="D1939" s="258">
        <v>3833.96</v>
      </c>
      <c r="E1939">
        <f>'ACL N0000'!G1790</f>
        <v>42.5</v>
      </c>
      <c r="G1939" s="412" t="str">
        <f>IF(B1939='ACL N0000'!B1790,"OK","ERROR")</f>
        <v>OK</v>
      </c>
      <c r="K1939" s="412"/>
      <c r="L1939" s="258"/>
      <c r="M1939" s="258"/>
    </row>
    <row r="1940" spans="2:13">
      <c r="B1940" s="412">
        <v>43019</v>
      </c>
      <c r="C1940" s="648">
        <v>6559.61</v>
      </c>
      <c r="D1940" s="258">
        <v>3870.42</v>
      </c>
      <c r="E1940">
        <f>'ACL N0000'!G1791</f>
        <v>42.2</v>
      </c>
      <c r="G1940" s="412" t="str">
        <f>IF(B1940='ACL N0000'!B1791,"OK","ERROR")</f>
        <v>OK</v>
      </c>
      <c r="K1940" s="412"/>
      <c r="L1940" s="258"/>
      <c r="M1940" s="258"/>
    </row>
    <row r="1941" spans="2:13">
      <c r="B1941" s="412">
        <v>43020</v>
      </c>
      <c r="C1941" s="648">
        <v>6621.56</v>
      </c>
      <c r="D1941" s="258">
        <v>3917.64</v>
      </c>
      <c r="E1941">
        <f>'ACL N0000'!G1792</f>
        <v>42.1</v>
      </c>
      <c r="G1941" s="412" t="str">
        <f>IF(B1941='ACL N0000'!B1792,"OK","ERROR")</f>
        <v>OK</v>
      </c>
      <c r="K1941" s="412"/>
      <c r="L1941" s="258"/>
      <c r="M1941" s="258"/>
    </row>
    <row r="1942" spans="2:13">
      <c r="B1942" s="412">
        <v>43021</v>
      </c>
      <c r="C1942" s="648">
        <v>6632.3</v>
      </c>
      <c r="D1942" s="258">
        <v>3915.42</v>
      </c>
      <c r="E1942">
        <f>'ACL N0000'!G1793</f>
        <v>42.1</v>
      </c>
      <c r="G1942" s="412" t="str">
        <f>IF(B1942='ACL N0000'!B1793,"OK","ERROR")</f>
        <v>OK</v>
      </c>
      <c r="K1942" s="412"/>
      <c r="L1942" s="258"/>
      <c r="M1942" s="258"/>
    </row>
    <row r="1943" spans="2:13">
      <c r="B1943" s="412">
        <v>43024</v>
      </c>
      <c r="C1943" s="648">
        <v>6595.94</v>
      </c>
      <c r="D1943" s="258">
        <v>3845.3</v>
      </c>
      <c r="E1943">
        <f>'ACL N0000'!G1794</f>
        <v>42</v>
      </c>
      <c r="G1943" s="412" t="str">
        <f>IF(B1943='ACL N0000'!B1794,"OK","ERROR")</f>
        <v>OK</v>
      </c>
      <c r="K1943" s="412"/>
      <c r="L1943" s="258"/>
      <c r="M1943" s="258"/>
    </row>
    <row r="1944" spans="2:13">
      <c r="B1944" s="412">
        <v>43025</v>
      </c>
      <c r="C1944" s="648">
        <v>6572.05</v>
      </c>
      <c r="D1944" s="258">
        <v>3847.98</v>
      </c>
      <c r="E1944">
        <f>'ACL N0000'!G1795</f>
        <v>42</v>
      </c>
      <c r="G1944" s="412" t="str">
        <f>IF(B1944='ACL N0000'!B1795,"OK","ERROR")</f>
        <v>OK</v>
      </c>
      <c r="K1944" s="412"/>
      <c r="L1944" s="258"/>
      <c r="M1944" s="258"/>
    </row>
    <row r="1945" spans="2:13">
      <c r="B1945" s="412">
        <v>43027</v>
      </c>
      <c r="C1945" s="648">
        <v>6555.46</v>
      </c>
      <c r="D1945" s="258">
        <v>3827.59</v>
      </c>
      <c r="E1945">
        <f>'ACL N0000'!G1796</f>
        <v>42</v>
      </c>
      <c r="G1945" s="412" t="str">
        <f>IF(B1945='ACL N0000'!B1796,"OK","ERROR")</f>
        <v>OK</v>
      </c>
      <c r="K1945" s="412"/>
      <c r="L1945" s="258"/>
      <c r="M1945" s="258"/>
    </row>
    <row r="1946" spans="2:13">
      <c r="B1946" s="412">
        <v>43028</v>
      </c>
      <c r="C1946" s="648">
        <v>6572.7</v>
      </c>
      <c r="D1946" s="258">
        <v>3831.42</v>
      </c>
      <c r="E1946">
        <f>'ACL N0000'!G1797</f>
        <v>42</v>
      </c>
      <c r="G1946" s="412" t="str">
        <f>IF(B1946='ACL N0000'!B1797,"OK","ERROR")</f>
        <v>OK</v>
      </c>
      <c r="K1946" s="412"/>
      <c r="L1946" s="258"/>
      <c r="M1946" s="258"/>
    </row>
    <row r="1947" spans="2:13">
      <c r="B1947" s="412">
        <v>43031</v>
      </c>
      <c r="C1947" s="648">
        <v>6570.56</v>
      </c>
      <c r="D1947" s="258">
        <v>3827.14</v>
      </c>
      <c r="E1947">
        <f>'ACL N0000'!G1798</f>
        <v>43.8</v>
      </c>
      <c r="G1947" s="412" t="str">
        <f>IF(B1947='ACL N0000'!B1798,"OK","ERROR")</f>
        <v>OK</v>
      </c>
      <c r="K1947" s="412"/>
      <c r="L1947" s="258"/>
      <c r="M1947" s="258"/>
    </row>
    <row r="1948" spans="2:13">
      <c r="B1948" s="412">
        <v>43032</v>
      </c>
      <c r="C1948" s="648">
        <v>6590.5</v>
      </c>
      <c r="D1948" s="258">
        <v>3825.11</v>
      </c>
      <c r="E1948">
        <f>'ACL N0000'!G1799</f>
        <v>43.7</v>
      </c>
      <c r="G1948" s="412" t="str">
        <f>IF(B1948='ACL N0000'!B1799,"OK","ERROR")</f>
        <v>OK</v>
      </c>
      <c r="K1948" s="412"/>
      <c r="L1948" s="258"/>
      <c r="M1948" s="258"/>
    </row>
    <row r="1949" spans="2:13">
      <c r="B1949" s="412">
        <v>43033</v>
      </c>
      <c r="C1949" s="648">
        <v>6614.55</v>
      </c>
      <c r="D1949" s="258">
        <v>3861.45</v>
      </c>
      <c r="E1949">
        <f>'ACL N0000'!G1800</f>
        <v>46.7</v>
      </c>
      <c r="G1949" s="412" t="str">
        <f>IF(B1949='ACL N0000'!B1800,"OK","ERROR")</f>
        <v>OK</v>
      </c>
      <c r="K1949" s="412"/>
      <c r="L1949" s="258"/>
      <c r="M1949" s="258"/>
    </row>
    <row r="1950" spans="2:13">
      <c r="B1950" s="412">
        <v>43034</v>
      </c>
      <c r="C1950" s="648">
        <v>6633.2</v>
      </c>
      <c r="D1950" s="258">
        <v>3896.03</v>
      </c>
      <c r="E1950">
        <f>'ACL N0000'!G1801</f>
        <v>46</v>
      </c>
      <c r="G1950" s="412" t="str">
        <f>IF(B1950='ACL N0000'!B1801,"OK","ERROR")</f>
        <v>OK</v>
      </c>
      <c r="K1950" s="412"/>
      <c r="L1950" s="258"/>
      <c r="M1950" s="258"/>
    </row>
    <row r="1951" spans="2:13">
      <c r="B1951" s="412">
        <v>43035</v>
      </c>
      <c r="C1951" s="648">
        <v>6612.91</v>
      </c>
      <c r="D1951" s="258">
        <v>3872.5</v>
      </c>
      <c r="E1951">
        <f>'ACL N0000'!G1802</f>
        <v>44.5</v>
      </c>
      <c r="G1951" s="412" t="str">
        <f>IF(B1951='ACL N0000'!B1802,"OK","ERROR")</f>
        <v>OK</v>
      </c>
      <c r="K1951" s="412"/>
      <c r="L1951" s="258"/>
      <c r="M1951" s="258"/>
    </row>
    <row r="1952" spans="2:13">
      <c r="B1952" s="412">
        <v>43038</v>
      </c>
      <c r="C1952" s="648">
        <v>6607.14</v>
      </c>
      <c r="D1952" s="258">
        <v>3879.12</v>
      </c>
      <c r="E1952">
        <f>'ACL N0000'!G1803</f>
        <v>44</v>
      </c>
      <c r="G1952" s="412" t="str">
        <f>IF(B1952='ACL N0000'!B1803,"OK","ERROR")</f>
        <v>OK</v>
      </c>
      <c r="K1952" s="412"/>
      <c r="L1952" s="258"/>
      <c r="M1952" s="258"/>
    </row>
    <row r="1953" spans="2:13">
      <c r="B1953" s="412">
        <v>43039</v>
      </c>
      <c r="C1953" s="648">
        <v>6617.36</v>
      </c>
      <c r="D1953" s="258">
        <v>3899.63</v>
      </c>
      <c r="E1953">
        <f>'ACL N0000'!G1804</f>
        <v>44.5</v>
      </c>
      <c r="G1953" s="412" t="str">
        <f>IF(B1953='ACL N0000'!B1804,"OK","ERROR")</f>
        <v>OK</v>
      </c>
      <c r="K1953" s="412"/>
      <c r="L1953" s="258"/>
      <c r="M1953" s="258"/>
    </row>
    <row r="1954" spans="2:13">
      <c r="B1954" s="412">
        <v>43040</v>
      </c>
      <c r="C1954" s="648">
        <v>6624.2</v>
      </c>
      <c r="D1954" s="258">
        <v>3902.45</v>
      </c>
      <c r="E1954">
        <f>'ACL N0000'!G1805</f>
        <v>44.4</v>
      </c>
      <c r="G1954" s="412" t="str">
        <f>IF(B1954='ACL N0000'!B1805,"OK","ERROR")</f>
        <v>OK</v>
      </c>
      <c r="K1954" s="412"/>
      <c r="L1954" s="258"/>
      <c r="M1954" s="258"/>
    </row>
    <row r="1955" spans="2:13">
      <c r="B1955" s="412">
        <v>43041</v>
      </c>
      <c r="C1955" s="648">
        <v>6621.47</v>
      </c>
      <c r="D1955" s="258">
        <v>3898.41</v>
      </c>
      <c r="E1955">
        <f>'ACL N0000'!G1806</f>
        <v>44.7</v>
      </c>
      <c r="G1955" s="412" t="str">
        <f>IF(B1955='ACL N0000'!B1806,"OK","ERROR")</f>
        <v>OK</v>
      </c>
      <c r="K1955" s="412"/>
      <c r="L1955" s="258"/>
      <c r="M1955" s="258"/>
    </row>
    <row r="1956" spans="2:13">
      <c r="B1956" s="412">
        <v>43045</v>
      </c>
      <c r="C1956" s="648">
        <v>6602.72</v>
      </c>
      <c r="D1956" s="258">
        <v>3883.18</v>
      </c>
      <c r="E1956">
        <f>'ACL N0000'!G1807</f>
        <v>44.1</v>
      </c>
      <c r="G1956" s="412" t="str">
        <f>IF(B1956='ACL N0000'!B1807,"OK","ERROR")</f>
        <v>OK</v>
      </c>
      <c r="K1956" s="412"/>
      <c r="L1956" s="258"/>
      <c r="M1956" s="258"/>
    </row>
    <row r="1957" spans="2:13">
      <c r="B1957" s="412">
        <v>43046</v>
      </c>
      <c r="C1957" s="648">
        <v>6595.89</v>
      </c>
      <c r="D1957" s="258">
        <v>3878.42</v>
      </c>
      <c r="E1957">
        <f>'ACL N0000'!G1808</f>
        <v>44</v>
      </c>
      <c r="G1957" s="412" t="str">
        <f>IF(B1957='ACL N0000'!B1808,"OK","ERROR")</f>
        <v>OK</v>
      </c>
      <c r="K1957" s="412"/>
      <c r="L1957" s="258"/>
      <c r="M1957" s="258"/>
    </row>
    <row r="1958" spans="2:13">
      <c r="B1958" s="412">
        <v>43047</v>
      </c>
      <c r="C1958" s="648">
        <v>6598.26</v>
      </c>
      <c r="D1958" s="258">
        <v>3869.06</v>
      </c>
      <c r="E1958">
        <f>'ACL N0000'!G1809</f>
        <v>45</v>
      </c>
      <c r="G1958" s="412" t="str">
        <f>IF(B1958='ACL N0000'!B1809,"OK","ERROR")</f>
        <v>OK</v>
      </c>
      <c r="K1958" s="412"/>
      <c r="L1958" s="258"/>
      <c r="M1958" s="258"/>
    </row>
    <row r="1959" spans="2:13">
      <c r="B1959" s="412">
        <v>43048</v>
      </c>
      <c r="C1959" s="648">
        <v>6567.07</v>
      </c>
      <c r="D1959" s="258">
        <v>3849.1</v>
      </c>
      <c r="E1959">
        <f>'ACL N0000'!G1810</f>
        <v>44.1</v>
      </c>
      <c r="G1959" s="412" t="str">
        <f>IF(B1959='ACL N0000'!B1810,"OK","ERROR")</f>
        <v>OK</v>
      </c>
      <c r="K1959" s="412"/>
      <c r="L1959" s="258"/>
      <c r="M1959" s="258"/>
    </row>
    <row r="1960" spans="2:13">
      <c r="B1960" s="412">
        <v>43049</v>
      </c>
      <c r="C1960" s="648">
        <v>6552.59</v>
      </c>
      <c r="D1960" s="258">
        <v>3841.97</v>
      </c>
      <c r="E1960">
        <f>'ACL N0000'!G1811</f>
        <v>45.5</v>
      </c>
      <c r="G1960" s="412" t="str">
        <f>IF(B1960='ACL N0000'!B1811,"OK","ERROR")</f>
        <v>OK</v>
      </c>
      <c r="K1960" s="412"/>
      <c r="L1960" s="258"/>
      <c r="M1960" s="258"/>
    </row>
    <row r="1961" spans="2:13">
      <c r="B1961" s="412">
        <v>43052</v>
      </c>
      <c r="C1961" s="648">
        <v>6511.55</v>
      </c>
      <c r="D1961" s="258">
        <v>3813.98</v>
      </c>
      <c r="E1961">
        <f>'ACL N0000'!G1812</f>
        <v>45</v>
      </c>
      <c r="G1961" s="412" t="str">
        <f>IF(B1961='ACL N0000'!B1812,"OK","ERROR")</f>
        <v>OK</v>
      </c>
      <c r="K1961" s="412"/>
      <c r="L1961" s="258"/>
      <c r="M1961" s="258"/>
    </row>
    <row r="1962" spans="2:13">
      <c r="B1962" s="412">
        <v>43053</v>
      </c>
      <c r="C1962" s="648">
        <v>6457.9</v>
      </c>
      <c r="D1962" s="258">
        <v>3770.19</v>
      </c>
      <c r="E1962">
        <f>'ACL N0000'!G1813</f>
        <v>44.1</v>
      </c>
      <c r="G1962" s="412" t="str">
        <f>IF(B1962='ACL N0000'!B1813,"OK","ERROR")</f>
        <v>OK</v>
      </c>
      <c r="K1962" s="412"/>
      <c r="L1962" s="258"/>
      <c r="M1962" s="258"/>
    </row>
    <row r="1963" spans="2:13">
      <c r="B1963" s="412">
        <v>43054</v>
      </c>
      <c r="C1963" s="648">
        <v>6428.83</v>
      </c>
      <c r="D1963" s="258">
        <v>3737.86</v>
      </c>
      <c r="E1963">
        <f>'ACL N0000'!G1814</f>
        <v>43</v>
      </c>
      <c r="G1963" s="412" t="str">
        <f>IF(B1963='ACL N0000'!B1814,"OK","ERROR")</f>
        <v>OK</v>
      </c>
    </row>
    <row r="1964" spans="2:13">
      <c r="B1964" s="412">
        <v>43055</v>
      </c>
      <c r="C1964" s="648">
        <v>6448.98</v>
      </c>
      <c r="D1964" s="258">
        <v>3762.4</v>
      </c>
      <c r="E1964">
        <f>'ACL N0000'!G1815</f>
        <v>45.5</v>
      </c>
      <c r="G1964" s="412" t="str">
        <f>IF(B1964='ACL N0000'!B1815,"OK","ERROR")</f>
        <v>OK</v>
      </c>
    </row>
    <row r="1965" spans="2:13">
      <c r="B1965" s="412">
        <v>43056</v>
      </c>
      <c r="C1965" s="648">
        <v>6483.55</v>
      </c>
      <c r="D1965" s="258">
        <v>3798</v>
      </c>
      <c r="E1965">
        <f>'ACL N0000'!G1816</f>
        <v>43.8</v>
      </c>
      <c r="G1965" s="412" t="str">
        <f>IF(B1965='ACL N0000'!B1816,"OK","ERROR")</f>
        <v>OK</v>
      </c>
    </row>
    <row r="1966" spans="2:13">
      <c r="B1966" s="412">
        <v>43059</v>
      </c>
      <c r="C1966" s="648">
        <v>6473.87</v>
      </c>
      <c r="D1966" s="258">
        <v>3784.58</v>
      </c>
      <c r="E1966">
        <f>'ACL N0000'!G1817</f>
        <v>44</v>
      </c>
      <c r="G1966" s="412" t="str">
        <f>IF(B1966='ACL N0000'!B1817,"OK","ERROR")</f>
        <v>OK</v>
      </c>
    </row>
    <row r="1967" spans="2:13">
      <c r="B1967" s="412">
        <v>43060</v>
      </c>
      <c r="C1967" s="648">
        <v>6458.73</v>
      </c>
      <c r="D1967" s="258">
        <v>3769.55</v>
      </c>
      <c r="E1967">
        <f>'ACL N0000'!G1818</f>
        <v>44.6</v>
      </c>
      <c r="G1967" s="412" t="str">
        <f>IF(B1967='ACL N0000'!B1818,"OK","ERROR")</f>
        <v>OK</v>
      </c>
    </row>
    <row r="1968" spans="2:13">
      <c r="B1968" s="412">
        <v>43061</v>
      </c>
      <c r="C1968" s="648">
        <v>6464.44</v>
      </c>
      <c r="D1968" s="258">
        <v>3753.19</v>
      </c>
      <c r="E1968">
        <f>'ACL N0000'!G1819</f>
        <v>44.2</v>
      </c>
      <c r="G1968" s="412" t="str">
        <f>IF(B1968='ACL N0000'!B1819,"OK","ERROR")</f>
        <v>OK</v>
      </c>
    </row>
    <row r="1969" spans="2:7">
      <c r="B1969" s="412">
        <v>43062</v>
      </c>
      <c r="C1969" s="648">
        <v>6456.11</v>
      </c>
      <c r="D1969" s="258">
        <v>3752.37</v>
      </c>
      <c r="E1969">
        <f>'ACL N0000'!G1820</f>
        <v>43.9</v>
      </c>
      <c r="G1969" s="412" t="str">
        <f>IF(B1969='ACL N0000'!B1820,"OK","ERROR")</f>
        <v>OK</v>
      </c>
    </row>
    <row r="1970" spans="2:7">
      <c r="B1970" s="412">
        <v>43063</v>
      </c>
      <c r="C1970" s="648">
        <v>6413.68</v>
      </c>
      <c r="D1970" s="258">
        <v>3733.1</v>
      </c>
      <c r="E1970">
        <f>'ACL N0000'!G1821</f>
        <v>43.9</v>
      </c>
      <c r="G1970" s="412" t="str">
        <f>IF(B1970='ACL N0000'!B1821,"OK","ERROR")</f>
        <v>OK</v>
      </c>
    </row>
    <row r="1971" spans="2:7">
      <c r="B1971" s="412">
        <v>43066</v>
      </c>
      <c r="C1971" s="648">
        <v>6417.15</v>
      </c>
      <c r="D1971" s="258">
        <v>3741.78</v>
      </c>
      <c r="E1971">
        <f>'ACL N0000'!G1822</f>
        <v>43</v>
      </c>
      <c r="G1971" s="412" t="str">
        <f>IF(B1971='ACL N0000'!B1822,"OK","ERROR")</f>
        <v>OK</v>
      </c>
    </row>
    <row r="1972" spans="2:7">
      <c r="B1972" s="412">
        <v>43067</v>
      </c>
      <c r="C1972" s="648">
        <v>6405.22</v>
      </c>
      <c r="D1972" s="258">
        <v>3731.42</v>
      </c>
      <c r="E1972">
        <f>'ACL N0000'!G1823</f>
        <v>42.2</v>
      </c>
      <c r="G1972" s="412" t="str">
        <f>IF(B1972='ACL N0000'!B1823,"OK","ERROR")</f>
        <v>OK</v>
      </c>
    </row>
    <row r="1973" spans="2:7">
      <c r="B1973" s="412">
        <v>43068</v>
      </c>
      <c r="C1973" s="648">
        <v>6405.53</v>
      </c>
      <c r="D1973" s="258">
        <v>3723.42</v>
      </c>
      <c r="E1973">
        <f>'ACL N0000'!G1824</f>
        <v>42.5</v>
      </c>
      <c r="G1973" s="412" t="str">
        <f>IF(B1973='ACL N0000'!B1824,"OK","ERROR")</f>
        <v>OK</v>
      </c>
    </row>
    <row r="1974" spans="2:7">
      <c r="B1974" s="412">
        <v>43069</v>
      </c>
      <c r="C1974" s="648">
        <v>6411.84</v>
      </c>
      <c r="D1974" s="258">
        <v>3724.96</v>
      </c>
      <c r="E1974">
        <f>'ACL N0000'!G1825</f>
        <v>42.5</v>
      </c>
      <c r="G1974" s="412" t="str">
        <f>IF(B1974='ACL N0000'!B1825,"OK","ERROR")</f>
        <v>OK</v>
      </c>
    </row>
    <row r="1975" spans="2:7">
      <c r="B1975" s="412">
        <v>43073</v>
      </c>
      <c r="C1975" s="648">
        <v>6405.91</v>
      </c>
      <c r="D1975" s="258">
        <v>3720.84</v>
      </c>
      <c r="E1975">
        <f>'ACL N0000'!G1826</f>
        <v>42.5</v>
      </c>
      <c r="G1975" s="412" t="str">
        <f>IF(B1975='ACL N0000'!B1826,"OK","ERROR")</f>
        <v>OK</v>
      </c>
    </row>
    <row r="1976" spans="2:7">
      <c r="B1976" s="412">
        <v>43074</v>
      </c>
      <c r="C1976" s="648">
        <v>6390.55</v>
      </c>
      <c r="D1976" s="258">
        <v>3716.5</v>
      </c>
      <c r="E1976">
        <f>'ACL N0000'!G1827</f>
        <v>42.7</v>
      </c>
      <c r="G1976" s="412" t="str">
        <f>IF(B1976='ACL N0000'!B1827,"OK","ERROR")</f>
        <v>OK</v>
      </c>
    </row>
    <row r="1977" spans="2:7">
      <c r="B1977" s="412">
        <v>43075</v>
      </c>
      <c r="C1977" s="648">
        <v>6380.91</v>
      </c>
      <c r="D1977" s="258">
        <v>3708.56</v>
      </c>
      <c r="E1977">
        <f>'ACL N0000'!G1828</f>
        <v>42.5</v>
      </c>
      <c r="G1977" s="412" t="str">
        <f>IF(B1977='ACL N0000'!B1828,"OK","ERROR")</f>
        <v>OK</v>
      </c>
    </row>
    <row r="1978" spans="2:7">
      <c r="B1978" s="412">
        <v>43076</v>
      </c>
      <c r="C1978" s="648">
        <v>6382.95</v>
      </c>
      <c r="D1978" s="258">
        <v>3712.61</v>
      </c>
      <c r="E1978">
        <v>42.5</v>
      </c>
      <c r="G1978" s="412" t="str">
        <f>IF(B1978='ACL N0000'!B1829,"OK","ERROR")</f>
        <v>ERROR</v>
      </c>
    </row>
    <row r="1979" spans="2:7">
      <c r="B1979" s="647"/>
    </row>
  </sheetData>
  <sortState xmlns:xlrd2="http://schemas.microsoft.com/office/spreadsheetml/2017/richdata2" ref="K1683:M2087">
    <sortCondition ref="K1682"/>
  </sortState>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FFC000"/>
    <pageSetUpPr fitToPage="1"/>
  </sheetPr>
  <dimension ref="A2:Y188"/>
  <sheetViews>
    <sheetView zoomScaleNormal="100" zoomScaleSheetLayoutView="130" workbookViewId="0">
      <pane xSplit="3" ySplit="9" topLeftCell="D139" activePane="bottomRight" state="frozen"/>
      <selection pane="topRight" activeCell="D1" sqref="D1"/>
      <selection pane="bottomLeft" activeCell="A10" sqref="A10"/>
      <selection pane="bottomRight" activeCell="D10" sqref="D10"/>
    </sheetView>
  </sheetViews>
  <sheetFormatPr defaultColWidth="9.109375" defaultRowHeight="11.4"/>
  <cols>
    <col min="1" max="1" width="2.88671875" style="415" customWidth="1"/>
    <col min="2" max="2" width="7.88671875" style="415" customWidth="1"/>
    <col min="3" max="3" width="16" style="415" customWidth="1"/>
    <col min="4" max="8" width="11" style="415" customWidth="1"/>
    <col min="9" max="14" width="11.88671875" style="415" customWidth="1"/>
    <col min="15" max="15" width="11" style="415" customWidth="1"/>
    <col min="16" max="20" width="11.88671875" style="415" customWidth="1"/>
    <col min="21" max="21" width="11" style="415" customWidth="1"/>
    <col min="22" max="23" width="9.109375" style="415"/>
    <col min="24" max="24" width="9.6640625" style="415" bestFit="1" customWidth="1"/>
    <col min="25" max="16384" width="9.109375" style="415"/>
  </cols>
  <sheetData>
    <row r="2" spans="1:23" ht="15.75" customHeight="1">
      <c r="A2" s="441"/>
      <c r="B2" s="722" t="s">
        <v>3771</v>
      </c>
      <c r="C2" s="722"/>
      <c r="D2" s="722"/>
      <c r="E2" s="722"/>
      <c r="F2" s="722"/>
      <c r="G2" s="722"/>
      <c r="H2" s="722"/>
      <c r="I2" s="722"/>
      <c r="J2" s="722"/>
      <c r="K2" s="722"/>
      <c r="L2" s="722"/>
      <c r="M2" s="722"/>
      <c r="N2" s="722"/>
      <c r="O2" s="722"/>
      <c r="P2" s="722"/>
      <c r="Q2" s="722"/>
      <c r="R2" s="722"/>
      <c r="S2" s="722"/>
      <c r="T2" s="722"/>
      <c r="U2" s="722"/>
    </row>
    <row r="3" spans="1:23">
      <c r="B3" s="723"/>
      <c r="C3" s="723"/>
      <c r="D3" s="723"/>
      <c r="E3" s="723"/>
      <c r="F3" s="723"/>
      <c r="G3" s="723"/>
      <c r="H3" s="723"/>
      <c r="I3" s="723"/>
      <c r="J3" s="723"/>
      <c r="K3" s="723"/>
      <c r="L3" s="723"/>
      <c r="M3" s="723"/>
      <c r="N3" s="723"/>
      <c r="O3" s="723"/>
      <c r="P3" s="723"/>
      <c r="Q3" s="723"/>
      <c r="R3" s="723"/>
      <c r="S3" s="723"/>
      <c r="T3" s="723"/>
      <c r="U3" s="723"/>
    </row>
    <row r="4" spans="1:23" ht="15.75" customHeight="1">
      <c r="B4" s="724" t="s">
        <v>3770</v>
      </c>
      <c r="C4" s="725"/>
      <c r="D4" s="725"/>
      <c r="E4" s="725"/>
      <c r="F4" s="725"/>
      <c r="G4" s="725"/>
      <c r="H4" s="725"/>
      <c r="I4" s="725"/>
      <c r="J4" s="725"/>
      <c r="K4" s="725"/>
      <c r="L4" s="725"/>
      <c r="M4" s="725"/>
      <c r="N4" s="725"/>
      <c r="O4" s="725"/>
      <c r="P4" s="725"/>
      <c r="Q4" s="725"/>
      <c r="R4" s="725"/>
      <c r="S4" s="725"/>
      <c r="T4" s="725"/>
      <c r="U4" s="726"/>
    </row>
    <row r="5" spans="1:23" ht="17.25" customHeight="1">
      <c r="B5" s="735" t="s">
        <v>3769</v>
      </c>
      <c r="C5" s="732"/>
      <c r="D5" s="712" t="s">
        <v>3768</v>
      </c>
      <c r="E5" s="715" t="s">
        <v>3767</v>
      </c>
      <c r="F5" s="716"/>
      <c r="G5" s="716"/>
      <c r="H5" s="717"/>
      <c r="I5" s="715" t="s">
        <v>3766</v>
      </c>
      <c r="J5" s="716"/>
      <c r="K5" s="716"/>
      <c r="L5" s="716"/>
      <c r="M5" s="716"/>
      <c r="N5" s="717"/>
      <c r="O5" s="712" t="s">
        <v>3765</v>
      </c>
      <c r="P5" s="715" t="s">
        <v>3764</v>
      </c>
      <c r="Q5" s="716"/>
      <c r="R5" s="716"/>
      <c r="S5" s="716"/>
      <c r="T5" s="717"/>
      <c r="U5" s="718" t="s">
        <v>3763</v>
      </c>
    </row>
    <row r="6" spans="1:23" ht="16.5" customHeight="1">
      <c r="B6" s="736"/>
      <c r="C6" s="737"/>
      <c r="D6" s="713"/>
      <c r="E6" s="731" t="s">
        <v>3762</v>
      </c>
      <c r="F6" s="732"/>
      <c r="G6" s="727" t="s">
        <v>3761</v>
      </c>
      <c r="H6" s="728"/>
      <c r="I6" s="712" t="s">
        <v>3760</v>
      </c>
      <c r="J6" s="715" t="s">
        <v>3759</v>
      </c>
      <c r="K6" s="716"/>
      <c r="L6" s="716"/>
      <c r="M6" s="717"/>
      <c r="N6" s="712" t="s">
        <v>3758</v>
      </c>
      <c r="O6" s="713"/>
      <c r="P6" s="712" t="s">
        <v>3757</v>
      </c>
      <c r="Q6" s="715" t="s">
        <v>3756</v>
      </c>
      <c r="R6" s="716"/>
      <c r="S6" s="716"/>
      <c r="T6" s="717"/>
      <c r="U6" s="719"/>
    </row>
    <row r="7" spans="1:23" ht="20.25" customHeight="1">
      <c r="B7" s="736"/>
      <c r="C7" s="737"/>
      <c r="D7" s="713"/>
      <c r="E7" s="733"/>
      <c r="F7" s="734"/>
      <c r="G7" s="729"/>
      <c r="H7" s="730"/>
      <c r="I7" s="713"/>
      <c r="J7" s="712" t="s">
        <v>3755</v>
      </c>
      <c r="K7" s="712" t="s">
        <v>3754</v>
      </c>
      <c r="L7" s="712" t="s">
        <v>3753</v>
      </c>
      <c r="M7" s="712" t="s">
        <v>3752</v>
      </c>
      <c r="N7" s="713"/>
      <c r="O7" s="713"/>
      <c r="P7" s="713"/>
      <c r="Q7" s="712" t="s">
        <v>3751</v>
      </c>
      <c r="R7" s="715" t="s">
        <v>3750</v>
      </c>
      <c r="S7" s="717"/>
      <c r="T7" s="712" t="s">
        <v>3749</v>
      </c>
      <c r="U7" s="719"/>
    </row>
    <row r="8" spans="1:23" ht="53.25" customHeight="1">
      <c r="B8" s="736"/>
      <c r="C8" s="737"/>
      <c r="D8" s="714"/>
      <c r="E8" s="440" t="s">
        <v>3748</v>
      </c>
      <c r="F8" s="440" t="s">
        <v>3747</v>
      </c>
      <c r="G8" s="440" t="s">
        <v>3746</v>
      </c>
      <c r="H8" s="440" t="s">
        <v>3745</v>
      </c>
      <c r="I8" s="714"/>
      <c r="J8" s="714"/>
      <c r="K8" s="714"/>
      <c r="L8" s="714"/>
      <c r="M8" s="714"/>
      <c r="N8" s="714"/>
      <c r="O8" s="714"/>
      <c r="P8" s="714"/>
      <c r="Q8" s="714"/>
      <c r="R8" s="440" t="s">
        <v>3744</v>
      </c>
      <c r="S8" s="440" t="s">
        <v>3743</v>
      </c>
      <c r="T8" s="714"/>
      <c r="U8" s="720"/>
      <c r="V8" s="415" t="s">
        <v>3742</v>
      </c>
    </row>
    <row r="9" spans="1:23" ht="11.25" customHeight="1">
      <c r="B9" s="738"/>
      <c r="C9" s="739"/>
      <c r="D9" s="439">
        <v>-1</v>
      </c>
      <c r="E9" s="439">
        <v>-2</v>
      </c>
      <c r="F9" s="439">
        <v>-3</v>
      </c>
      <c r="G9" s="439">
        <v>-4</v>
      </c>
      <c r="H9" s="439">
        <v>-5</v>
      </c>
      <c r="I9" s="439">
        <v>-6</v>
      </c>
      <c r="J9" s="439">
        <v>-7</v>
      </c>
      <c r="K9" s="439">
        <v>-8</v>
      </c>
      <c r="L9" s="439">
        <v>-9</v>
      </c>
      <c r="M9" s="439">
        <v>-10</v>
      </c>
      <c r="N9" s="439">
        <v>-11</v>
      </c>
      <c r="O9" s="439">
        <v>-12</v>
      </c>
      <c r="P9" s="439">
        <v>-13</v>
      </c>
      <c r="Q9" s="439">
        <v>-14</v>
      </c>
      <c r="R9" s="439">
        <v>-15</v>
      </c>
      <c r="S9" s="439">
        <v>-16</v>
      </c>
      <c r="T9" s="439">
        <v>-17</v>
      </c>
      <c r="U9" s="438">
        <v>-18</v>
      </c>
    </row>
    <row r="10" spans="1:23" ht="12.75" customHeight="1">
      <c r="B10" s="430">
        <v>2003</v>
      </c>
      <c r="C10" s="437" t="s">
        <v>3165</v>
      </c>
      <c r="D10" s="436">
        <v>18</v>
      </c>
      <c r="E10" s="436">
        <v>8.74</v>
      </c>
      <c r="F10" s="436">
        <v>8.85</v>
      </c>
      <c r="G10" s="436">
        <v>9</v>
      </c>
      <c r="H10" s="436">
        <v>11</v>
      </c>
      <c r="I10" s="436" t="s">
        <v>3741</v>
      </c>
      <c r="J10" s="436" t="s">
        <v>3356</v>
      </c>
      <c r="K10" s="436" t="s">
        <v>3740</v>
      </c>
      <c r="L10" s="436" t="s">
        <v>3739</v>
      </c>
      <c r="M10" s="436" t="s">
        <v>3738</v>
      </c>
      <c r="N10" s="436" t="s">
        <v>3737</v>
      </c>
      <c r="O10" s="436">
        <v>7.18</v>
      </c>
      <c r="P10" s="436" t="s">
        <v>3733</v>
      </c>
      <c r="Q10" s="436" t="s">
        <v>3736</v>
      </c>
      <c r="R10" s="436" t="s">
        <v>3398</v>
      </c>
      <c r="S10" s="436" t="s">
        <v>3711</v>
      </c>
      <c r="T10" s="436" t="s">
        <v>3735</v>
      </c>
      <c r="U10" s="435">
        <v>11.42</v>
      </c>
      <c r="V10" s="419"/>
      <c r="W10" s="419"/>
    </row>
    <row r="11" spans="1:23" ht="12.75" customHeight="1">
      <c r="B11" s="430"/>
      <c r="C11" s="429" t="s">
        <v>3160</v>
      </c>
      <c r="D11" s="427">
        <v>18</v>
      </c>
      <c r="E11" s="427">
        <v>9.11</v>
      </c>
      <c r="F11" s="427">
        <v>9.11</v>
      </c>
      <c r="G11" s="427">
        <v>9</v>
      </c>
      <c r="H11" s="427">
        <v>11</v>
      </c>
      <c r="I11" s="427" t="s">
        <v>3247</v>
      </c>
      <c r="J11" s="427" t="s">
        <v>3356</v>
      </c>
      <c r="K11" s="427" t="s">
        <v>3356</v>
      </c>
      <c r="L11" s="427" t="s">
        <v>3730</v>
      </c>
      <c r="M11" s="427" t="s">
        <v>3734</v>
      </c>
      <c r="N11" s="427" t="s">
        <v>3722</v>
      </c>
      <c r="O11" s="427">
        <v>6.86</v>
      </c>
      <c r="P11" s="427" t="s">
        <v>3728</v>
      </c>
      <c r="Q11" s="427" t="s">
        <v>3732</v>
      </c>
      <c r="R11" s="427" t="s">
        <v>3398</v>
      </c>
      <c r="S11" s="427" t="s">
        <v>3711</v>
      </c>
      <c r="T11" s="427" t="s">
        <v>3726</v>
      </c>
      <c r="U11" s="426">
        <v>11.22</v>
      </c>
      <c r="V11" s="419"/>
      <c r="W11" s="419"/>
    </row>
    <row r="12" spans="1:23" ht="12.75" customHeight="1">
      <c r="B12" s="430"/>
      <c r="C12" s="429" t="s">
        <v>3154</v>
      </c>
      <c r="D12" s="427">
        <v>18</v>
      </c>
      <c r="E12" s="427">
        <v>9.09</v>
      </c>
      <c r="F12" s="427">
        <v>9.18</v>
      </c>
      <c r="G12" s="427">
        <v>9</v>
      </c>
      <c r="H12" s="427">
        <v>11</v>
      </c>
      <c r="I12" s="427" t="s">
        <v>3247</v>
      </c>
      <c r="J12" s="427" t="s">
        <v>3356</v>
      </c>
      <c r="K12" s="427" t="s">
        <v>3356</v>
      </c>
      <c r="L12" s="427" t="s">
        <v>3730</v>
      </c>
      <c r="M12" s="427" t="s">
        <v>3729</v>
      </c>
      <c r="N12" s="427" t="s">
        <v>3722</v>
      </c>
      <c r="O12" s="427">
        <v>6.46</v>
      </c>
      <c r="P12" s="427" t="s">
        <v>3733</v>
      </c>
      <c r="Q12" s="427" t="s">
        <v>3732</v>
      </c>
      <c r="R12" s="427" t="s">
        <v>3398</v>
      </c>
      <c r="S12" s="427" t="s">
        <v>3711</v>
      </c>
      <c r="T12" s="427" t="s">
        <v>3726</v>
      </c>
      <c r="U12" s="426">
        <v>11.54</v>
      </c>
      <c r="V12" s="419"/>
      <c r="W12" s="419"/>
    </row>
    <row r="13" spans="1:23" ht="12.75" customHeight="1">
      <c r="B13" s="430"/>
      <c r="C13" s="429" t="s">
        <v>3148</v>
      </c>
      <c r="D13" s="427">
        <v>18</v>
      </c>
      <c r="E13" s="427">
        <v>8.75</v>
      </c>
      <c r="F13" s="427">
        <v>8.7799999999999994</v>
      </c>
      <c r="G13" s="427">
        <v>9</v>
      </c>
      <c r="H13" s="427">
        <v>11</v>
      </c>
      <c r="I13" s="427" t="s">
        <v>3731</v>
      </c>
      <c r="J13" s="427" t="s">
        <v>3715</v>
      </c>
      <c r="K13" s="427" t="s">
        <v>3356</v>
      </c>
      <c r="L13" s="427" t="s">
        <v>3730</v>
      </c>
      <c r="M13" s="427" t="s">
        <v>3729</v>
      </c>
      <c r="N13" s="427" t="s">
        <v>3722</v>
      </c>
      <c r="O13" s="427">
        <v>6.32</v>
      </c>
      <c r="P13" s="427" t="s">
        <v>3728</v>
      </c>
      <c r="Q13" s="427" t="s">
        <v>3727</v>
      </c>
      <c r="R13" s="427" t="s">
        <v>3398</v>
      </c>
      <c r="S13" s="427" t="s">
        <v>3711</v>
      </c>
      <c r="T13" s="427" t="s">
        <v>3726</v>
      </c>
      <c r="U13" s="426">
        <v>11.67</v>
      </c>
      <c r="V13" s="419"/>
      <c r="W13" s="419"/>
    </row>
    <row r="14" spans="1:23" ht="12.75" customHeight="1">
      <c r="B14" s="430"/>
      <c r="C14" s="429" t="s">
        <v>114</v>
      </c>
      <c r="D14" s="427">
        <v>18</v>
      </c>
      <c r="E14" s="427">
        <v>8.6300000000000008</v>
      </c>
      <c r="F14" s="427">
        <v>8.5500000000000007</v>
      </c>
      <c r="G14" s="427">
        <v>8.25</v>
      </c>
      <c r="H14" s="427">
        <v>10.25</v>
      </c>
      <c r="I14" s="427" t="s">
        <v>3280</v>
      </c>
      <c r="J14" s="427" t="s">
        <v>3725</v>
      </c>
      <c r="K14" s="427" t="s">
        <v>3724</v>
      </c>
      <c r="L14" s="427" t="s">
        <v>3356</v>
      </c>
      <c r="M14" s="427" t="s">
        <v>3723</v>
      </c>
      <c r="N14" s="427" t="s">
        <v>3722</v>
      </c>
      <c r="O14" s="427">
        <v>6.14</v>
      </c>
      <c r="P14" s="427" t="s">
        <v>3713</v>
      </c>
      <c r="Q14" s="427" t="s">
        <v>3566</v>
      </c>
      <c r="R14" s="427" t="s">
        <v>3363</v>
      </c>
      <c r="S14" s="427" t="s">
        <v>3711</v>
      </c>
      <c r="T14" s="427" t="s">
        <v>3711</v>
      </c>
      <c r="U14" s="426">
        <v>10.78</v>
      </c>
      <c r="V14" s="419"/>
      <c r="W14" s="419"/>
    </row>
    <row r="15" spans="1:23" ht="12.75" customHeight="1">
      <c r="B15" s="430"/>
      <c r="C15" s="429" t="s">
        <v>3135</v>
      </c>
      <c r="D15" s="427">
        <v>18</v>
      </c>
      <c r="E15" s="427">
        <v>8.39</v>
      </c>
      <c r="F15" s="427">
        <v>8.4600000000000009</v>
      </c>
      <c r="G15" s="427">
        <v>8.25</v>
      </c>
      <c r="H15" s="427">
        <v>10.25</v>
      </c>
      <c r="I15" s="427" t="s">
        <v>3721</v>
      </c>
      <c r="J15" s="427" t="s">
        <v>3720</v>
      </c>
      <c r="K15" s="427" t="s">
        <v>3719</v>
      </c>
      <c r="L15" s="427" t="s">
        <v>3715</v>
      </c>
      <c r="M15" s="427" t="s">
        <v>3661</v>
      </c>
      <c r="N15" s="427" t="s">
        <v>3617</v>
      </c>
      <c r="O15" s="427">
        <v>6</v>
      </c>
      <c r="P15" s="427" t="s">
        <v>3713</v>
      </c>
      <c r="Q15" s="427" t="s">
        <v>3566</v>
      </c>
      <c r="R15" s="427" t="s">
        <v>3363</v>
      </c>
      <c r="S15" s="427" t="s">
        <v>3711</v>
      </c>
      <c r="T15" s="427" t="s">
        <v>3711</v>
      </c>
      <c r="U15" s="426">
        <v>10.6</v>
      </c>
      <c r="V15" s="419"/>
      <c r="W15" s="419"/>
    </row>
    <row r="16" spans="1:23" ht="12.75" customHeight="1">
      <c r="B16" s="430"/>
      <c r="C16" s="429" t="s">
        <v>3125</v>
      </c>
      <c r="D16" s="427">
        <v>18</v>
      </c>
      <c r="E16" s="427">
        <v>8.01</v>
      </c>
      <c r="F16" s="427">
        <v>8.0299999999999994</v>
      </c>
      <c r="G16" s="427">
        <v>8.25</v>
      </c>
      <c r="H16" s="427">
        <v>10.25</v>
      </c>
      <c r="I16" s="427" t="s">
        <v>3718</v>
      </c>
      <c r="J16" s="427" t="s">
        <v>3717</v>
      </c>
      <c r="K16" s="427" t="s">
        <v>3716</v>
      </c>
      <c r="L16" s="427" t="s">
        <v>3715</v>
      </c>
      <c r="M16" s="427" t="s">
        <v>3714</v>
      </c>
      <c r="N16" s="427" t="s">
        <v>3617</v>
      </c>
      <c r="O16" s="427">
        <v>5.77</v>
      </c>
      <c r="P16" s="427" t="s">
        <v>3713</v>
      </c>
      <c r="Q16" s="427" t="s">
        <v>3712</v>
      </c>
      <c r="R16" s="427" t="s">
        <v>3363</v>
      </c>
      <c r="S16" s="427" t="s">
        <v>3711</v>
      </c>
      <c r="T16" s="427" t="s">
        <v>3710</v>
      </c>
      <c r="U16" s="426">
        <v>10.37</v>
      </c>
      <c r="V16" s="419"/>
      <c r="W16" s="419"/>
    </row>
    <row r="17" spans="2:23" ht="12.75" customHeight="1">
      <c r="B17" s="430"/>
      <c r="C17" s="429" t="s">
        <v>3117</v>
      </c>
      <c r="D17" s="427">
        <v>15</v>
      </c>
      <c r="E17" s="427">
        <v>7.65</v>
      </c>
      <c r="F17" s="427">
        <v>7.52</v>
      </c>
      <c r="G17" s="427">
        <v>7.5</v>
      </c>
      <c r="H17" s="427">
        <v>9.5</v>
      </c>
      <c r="I17" s="427" t="s">
        <v>3709</v>
      </c>
      <c r="J17" s="427" t="s">
        <v>3673</v>
      </c>
      <c r="K17" s="427" t="s">
        <v>3673</v>
      </c>
      <c r="L17" s="427" t="s">
        <v>3708</v>
      </c>
      <c r="M17" s="427" t="s">
        <v>3707</v>
      </c>
      <c r="N17" s="427" t="s">
        <v>3702</v>
      </c>
      <c r="O17" s="427">
        <v>5.66</v>
      </c>
      <c r="P17" s="427" t="s">
        <v>3162</v>
      </c>
      <c r="Q17" s="427" t="s">
        <v>3706</v>
      </c>
      <c r="R17" s="427" t="s">
        <v>3705</v>
      </c>
      <c r="S17" s="427" t="s">
        <v>3302</v>
      </c>
      <c r="T17" s="427" t="s">
        <v>3699</v>
      </c>
      <c r="U17" s="426">
        <v>10.039999999999999</v>
      </c>
      <c r="V17" s="419"/>
      <c r="W17" s="419"/>
    </row>
    <row r="18" spans="2:23" ht="12.75" customHeight="1">
      <c r="B18" s="430"/>
      <c r="C18" s="429" t="s">
        <v>3113</v>
      </c>
      <c r="D18" s="427">
        <v>15</v>
      </c>
      <c r="E18" s="427">
        <v>7.26</v>
      </c>
      <c r="F18" s="427">
        <v>7.14</v>
      </c>
      <c r="G18" s="427">
        <v>7.5</v>
      </c>
      <c r="H18" s="427">
        <v>9.5</v>
      </c>
      <c r="I18" s="427" t="s">
        <v>3704</v>
      </c>
      <c r="J18" s="427" t="s">
        <v>3703</v>
      </c>
      <c r="K18" s="427" t="s">
        <v>3673</v>
      </c>
      <c r="L18" s="427" t="s">
        <v>3669</v>
      </c>
      <c r="M18" s="427" t="s">
        <v>3697</v>
      </c>
      <c r="N18" s="427" t="s">
        <v>3702</v>
      </c>
      <c r="O18" s="427">
        <v>5.53</v>
      </c>
      <c r="P18" s="427" t="s">
        <v>3701</v>
      </c>
      <c r="Q18" s="427" t="s">
        <v>3700</v>
      </c>
      <c r="R18" s="427" t="s">
        <v>3695</v>
      </c>
      <c r="S18" s="427" t="s">
        <v>3302</v>
      </c>
      <c r="T18" s="427" t="s">
        <v>3699</v>
      </c>
      <c r="U18" s="426">
        <v>9.5</v>
      </c>
      <c r="V18" s="419"/>
      <c r="W18" s="419"/>
    </row>
    <row r="19" spans="2:23" ht="12.75" customHeight="1">
      <c r="B19" s="430"/>
      <c r="C19" s="429" t="s">
        <v>3104</v>
      </c>
      <c r="D19" s="427">
        <v>15</v>
      </c>
      <c r="E19" s="427">
        <v>7.07</v>
      </c>
      <c r="F19" s="427">
        <v>6.98</v>
      </c>
      <c r="G19" s="427">
        <v>7</v>
      </c>
      <c r="H19" s="427">
        <v>8.5</v>
      </c>
      <c r="I19" s="427" t="s">
        <v>3698</v>
      </c>
      <c r="J19" s="427" t="s">
        <v>3686</v>
      </c>
      <c r="K19" s="427" t="s">
        <v>3673</v>
      </c>
      <c r="L19" s="427" t="s">
        <v>3669</v>
      </c>
      <c r="M19" s="427" t="s">
        <v>3697</v>
      </c>
      <c r="N19" s="427" t="s">
        <v>3696</v>
      </c>
      <c r="O19" s="427">
        <v>5.43</v>
      </c>
      <c r="P19" s="427" t="s">
        <v>3401</v>
      </c>
      <c r="Q19" s="427" t="s">
        <v>3162</v>
      </c>
      <c r="R19" s="427" t="s">
        <v>3695</v>
      </c>
      <c r="S19" s="427" t="s">
        <v>3302</v>
      </c>
      <c r="T19" s="427" t="s">
        <v>3694</v>
      </c>
      <c r="U19" s="426">
        <v>9.14</v>
      </c>
      <c r="V19" s="419"/>
      <c r="W19" s="419"/>
    </row>
    <row r="20" spans="2:23" ht="12.75" customHeight="1">
      <c r="B20" s="430"/>
      <c r="C20" s="429" t="s">
        <v>3099</v>
      </c>
      <c r="D20" s="427">
        <v>15</v>
      </c>
      <c r="E20" s="427">
        <v>7.31</v>
      </c>
      <c r="F20" s="427">
        <v>7.17</v>
      </c>
      <c r="G20" s="427">
        <v>7</v>
      </c>
      <c r="H20" s="427">
        <v>8.5</v>
      </c>
      <c r="I20" s="427" t="s">
        <v>3693</v>
      </c>
      <c r="J20" s="427" t="s">
        <v>3686</v>
      </c>
      <c r="K20" s="427" t="s">
        <v>3662</v>
      </c>
      <c r="L20" s="427" t="s">
        <v>3669</v>
      </c>
      <c r="M20" s="427" t="s">
        <v>3680</v>
      </c>
      <c r="N20" s="427" t="s">
        <v>3689</v>
      </c>
      <c r="O20" s="427">
        <v>5.42</v>
      </c>
      <c r="P20" s="427" t="s">
        <v>3380</v>
      </c>
      <c r="Q20" s="427" t="s">
        <v>3119</v>
      </c>
      <c r="R20" s="427" t="s">
        <v>3683</v>
      </c>
      <c r="S20" s="427" t="s">
        <v>3302</v>
      </c>
      <c r="T20" s="427" t="s">
        <v>3302</v>
      </c>
      <c r="U20" s="426">
        <v>8.94</v>
      </c>
      <c r="V20" s="419"/>
      <c r="W20" s="419"/>
    </row>
    <row r="21" spans="2:23" ht="12.75" customHeight="1">
      <c r="B21" s="430"/>
      <c r="C21" s="429" t="s">
        <v>3094</v>
      </c>
      <c r="D21" s="427">
        <v>15</v>
      </c>
      <c r="E21" s="427">
        <v>7.35</v>
      </c>
      <c r="F21" s="427">
        <v>7.24</v>
      </c>
      <c r="G21" s="427">
        <v>7</v>
      </c>
      <c r="H21" s="427">
        <v>8.5</v>
      </c>
      <c r="I21" s="427" t="s">
        <v>3692</v>
      </c>
      <c r="J21" s="427" t="s">
        <v>3691</v>
      </c>
      <c r="K21" s="427" t="s">
        <v>3690</v>
      </c>
      <c r="L21" s="427" t="s">
        <v>3685</v>
      </c>
      <c r="M21" s="427" t="s">
        <v>3680</v>
      </c>
      <c r="N21" s="427" t="s">
        <v>3689</v>
      </c>
      <c r="O21" s="427">
        <v>5.27</v>
      </c>
      <c r="P21" s="427" t="s">
        <v>3380</v>
      </c>
      <c r="Q21" s="427" t="s">
        <v>3119</v>
      </c>
      <c r="R21" s="427" t="s">
        <v>3683</v>
      </c>
      <c r="S21" s="427" t="s">
        <v>3302</v>
      </c>
      <c r="T21" s="427" t="s">
        <v>3302</v>
      </c>
      <c r="U21" s="426">
        <v>8.9499999999999993</v>
      </c>
      <c r="V21" s="419"/>
      <c r="W21" s="419"/>
    </row>
    <row r="22" spans="2:23" ht="12.75" customHeight="1">
      <c r="B22" s="430">
        <v>2004</v>
      </c>
      <c r="C22" s="429" t="s">
        <v>3165</v>
      </c>
      <c r="D22" s="427">
        <v>15</v>
      </c>
      <c r="E22" s="427">
        <v>7.45</v>
      </c>
      <c r="F22" s="427">
        <v>7.59</v>
      </c>
      <c r="G22" s="427">
        <v>7</v>
      </c>
      <c r="H22" s="427">
        <v>8.5</v>
      </c>
      <c r="I22" s="427" t="s">
        <v>3688</v>
      </c>
      <c r="J22" s="427" t="s">
        <v>3686</v>
      </c>
      <c r="K22" s="427" t="s">
        <v>3685</v>
      </c>
      <c r="L22" s="427" t="s">
        <v>3685</v>
      </c>
      <c r="M22" s="427" t="s">
        <v>3680</v>
      </c>
      <c r="N22" s="427" t="s">
        <v>3684</v>
      </c>
      <c r="O22" s="427">
        <v>5.21</v>
      </c>
      <c r="P22" s="427" t="s">
        <v>3380</v>
      </c>
      <c r="Q22" s="427" t="s">
        <v>3119</v>
      </c>
      <c r="R22" s="427" t="s">
        <v>3683</v>
      </c>
      <c r="S22" s="427" t="s">
        <v>3302</v>
      </c>
      <c r="T22" s="427" t="s">
        <v>3302</v>
      </c>
      <c r="U22" s="426">
        <v>9.01</v>
      </c>
      <c r="V22" s="419"/>
      <c r="W22" s="419"/>
    </row>
    <row r="23" spans="2:23" ht="12.75" customHeight="1">
      <c r="B23" s="430"/>
      <c r="C23" s="429" t="s">
        <v>3160</v>
      </c>
      <c r="D23" s="427">
        <v>15</v>
      </c>
      <c r="E23" s="427">
        <v>7.69</v>
      </c>
      <c r="F23" s="427">
        <v>7.69</v>
      </c>
      <c r="G23" s="427">
        <v>7</v>
      </c>
      <c r="H23" s="427">
        <v>8.5</v>
      </c>
      <c r="I23" s="427" t="s">
        <v>3687</v>
      </c>
      <c r="J23" s="427" t="s">
        <v>3686</v>
      </c>
      <c r="K23" s="427" t="s">
        <v>3685</v>
      </c>
      <c r="L23" s="427" t="s">
        <v>3673</v>
      </c>
      <c r="M23" s="427" t="s">
        <v>3680</v>
      </c>
      <c r="N23" s="427" t="s">
        <v>3684</v>
      </c>
      <c r="O23" s="427">
        <v>5.18</v>
      </c>
      <c r="P23" s="427" t="s">
        <v>3380</v>
      </c>
      <c r="Q23" s="427" t="s">
        <v>3119</v>
      </c>
      <c r="R23" s="427" t="s">
        <v>3683</v>
      </c>
      <c r="S23" s="427" t="s">
        <v>3302</v>
      </c>
      <c r="T23" s="427" t="s">
        <v>3302</v>
      </c>
      <c r="U23" s="426">
        <v>9.0500000000000007</v>
      </c>
      <c r="V23" s="419"/>
      <c r="W23" s="419"/>
    </row>
    <row r="24" spans="2:23" ht="12.75" customHeight="1">
      <c r="B24" s="430"/>
      <c r="C24" s="429" t="s">
        <v>3154</v>
      </c>
      <c r="D24" s="427">
        <v>15</v>
      </c>
      <c r="E24" s="427">
        <v>7.63</v>
      </c>
      <c r="F24" s="427">
        <v>7.66</v>
      </c>
      <c r="G24" s="427">
        <v>7</v>
      </c>
      <c r="H24" s="427">
        <v>8.5</v>
      </c>
      <c r="I24" s="427" t="s">
        <v>3682</v>
      </c>
      <c r="J24" s="427" t="s">
        <v>3675</v>
      </c>
      <c r="K24" s="427" t="s">
        <v>3681</v>
      </c>
      <c r="L24" s="427" t="s">
        <v>3673</v>
      </c>
      <c r="M24" s="427" t="s">
        <v>3680</v>
      </c>
      <c r="N24" s="427" t="s">
        <v>3679</v>
      </c>
      <c r="O24" s="427">
        <v>4.96</v>
      </c>
      <c r="P24" s="427" t="s">
        <v>3677</v>
      </c>
      <c r="Q24" s="427" t="s">
        <v>3613</v>
      </c>
      <c r="R24" s="427" t="s">
        <v>3613</v>
      </c>
      <c r="S24" s="427" t="s">
        <v>3635</v>
      </c>
      <c r="T24" s="427" t="s">
        <v>3302</v>
      </c>
      <c r="U24" s="426">
        <v>9.18</v>
      </c>
      <c r="V24" s="419"/>
      <c r="W24" s="419"/>
    </row>
    <row r="25" spans="2:23" ht="12.75" customHeight="1">
      <c r="B25" s="430"/>
      <c r="C25" s="429" t="s">
        <v>3148</v>
      </c>
      <c r="D25" s="427">
        <v>15</v>
      </c>
      <c r="E25" s="427">
        <v>7.79</v>
      </c>
      <c r="F25" s="427">
        <v>7.71</v>
      </c>
      <c r="G25" s="427">
        <v>7</v>
      </c>
      <c r="H25" s="427">
        <v>8.5</v>
      </c>
      <c r="I25" s="427" t="s">
        <v>3678</v>
      </c>
      <c r="J25" s="427" t="s">
        <v>3675</v>
      </c>
      <c r="K25" s="427" t="s">
        <v>3674</v>
      </c>
      <c r="L25" s="427" t="s">
        <v>3673</v>
      </c>
      <c r="M25" s="427" t="s">
        <v>3672</v>
      </c>
      <c r="N25" s="427" t="s">
        <v>3645</v>
      </c>
      <c r="O25" s="427">
        <v>4.99</v>
      </c>
      <c r="P25" s="427" t="s">
        <v>3677</v>
      </c>
      <c r="Q25" s="427" t="s">
        <v>3613</v>
      </c>
      <c r="R25" s="427" t="s">
        <v>3613</v>
      </c>
      <c r="S25" s="427" t="s">
        <v>3635</v>
      </c>
      <c r="T25" s="427" t="s">
        <v>3302</v>
      </c>
      <c r="U25" s="426">
        <v>9.24</v>
      </c>
      <c r="V25" s="419"/>
      <c r="W25" s="419"/>
    </row>
    <row r="26" spans="2:23" ht="12.75" customHeight="1">
      <c r="B26" s="430"/>
      <c r="C26" s="429" t="s">
        <v>114</v>
      </c>
      <c r="D26" s="427">
        <v>15</v>
      </c>
      <c r="E26" s="427">
        <v>7.79</v>
      </c>
      <c r="F26" s="427">
        <v>7.71</v>
      </c>
      <c r="G26" s="427">
        <v>7</v>
      </c>
      <c r="H26" s="427">
        <v>8.5</v>
      </c>
      <c r="I26" s="427" t="s">
        <v>3676</v>
      </c>
      <c r="J26" s="427" t="s">
        <v>3675</v>
      </c>
      <c r="K26" s="427" t="s">
        <v>3674</v>
      </c>
      <c r="L26" s="427" t="s">
        <v>3673</v>
      </c>
      <c r="M26" s="427" t="s">
        <v>3672</v>
      </c>
      <c r="N26" s="427" t="s">
        <v>3645</v>
      </c>
      <c r="O26" s="427">
        <v>4.91</v>
      </c>
      <c r="P26" s="427" t="s">
        <v>3459</v>
      </c>
      <c r="Q26" s="427" t="s">
        <v>3613</v>
      </c>
      <c r="R26" s="427" t="s">
        <v>3613</v>
      </c>
      <c r="S26" s="427" t="s">
        <v>3635</v>
      </c>
      <c r="T26" s="427" t="s">
        <v>3302</v>
      </c>
      <c r="U26" s="426">
        <v>9.08</v>
      </c>
      <c r="V26" s="419"/>
      <c r="W26" s="419"/>
    </row>
    <row r="27" spans="2:23" ht="12.75" customHeight="1">
      <c r="B27" s="430"/>
      <c r="C27" s="429" t="s">
        <v>3135</v>
      </c>
      <c r="D27" s="427">
        <v>15</v>
      </c>
      <c r="E27" s="427">
        <v>7.8</v>
      </c>
      <c r="F27" s="427">
        <v>7.75</v>
      </c>
      <c r="G27" s="427">
        <v>7</v>
      </c>
      <c r="H27" s="427">
        <v>8.5</v>
      </c>
      <c r="I27" s="427" t="s">
        <v>3671</v>
      </c>
      <c r="J27" s="427" t="s">
        <v>3670</v>
      </c>
      <c r="K27" s="427" t="s">
        <v>3665</v>
      </c>
      <c r="L27" s="427" t="s">
        <v>3669</v>
      </c>
      <c r="M27" s="427" t="s">
        <v>3668</v>
      </c>
      <c r="N27" s="427" t="s">
        <v>3645</v>
      </c>
      <c r="O27" s="427">
        <v>4.84</v>
      </c>
      <c r="P27" s="427" t="s">
        <v>3660</v>
      </c>
      <c r="Q27" s="427" t="s">
        <v>3613</v>
      </c>
      <c r="R27" s="427" t="s">
        <v>3613</v>
      </c>
      <c r="S27" s="427" t="s">
        <v>3643</v>
      </c>
      <c r="T27" s="427" t="s">
        <v>3302</v>
      </c>
      <c r="U27" s="426">
        <v>9.35</v>
      </c>
      <c r="V27" s="419"/>
      <c r="W27" s="419"/>
    </row>
    <row r="28" spans="2:23" ht="12.75" customHeight="1">
      <c r="B28" s="430"/>
      <c r="C28" s="429" t="s">
        <v>3125</v>
      </c>
      <c r="D28" s="427">
        <v>15</v>
      </c>
      <c r="E28" s="427">
        <v>8.1</v>
      </c>
      <c r="F28" s="427">
        <v>8.1</v>
      </c>
      <c r="G28" s="427">
        <v>7</v>
      </c>
      <c r="H28" s="427">
        <v>8.5</v>
      </c>
      <c r="I28" s="427" t="s">
        <v>3667</v>
      </c>
      <c r="J28" s="427" t="s">
        <v>3666</v>
      </c>
      <c r="K28" s="427" t="s">
        <v>3665</v>
      </c>
      <c r="L28" s="427" t="s">
        <v>3292</v>
      </c>
      <c r="M28" s="427" t="s">
        <v>3664</v>
      </c>
      <c r="N28" s="427" t="s">
        <v>3645</v>
      </c>
      <c r="O28" s="427">
        <v>4.95</v>
      </c>
      <c r="P28" s="427" t="s">
        <v>3438</v>
      </c>
      <c r="Q28" s="427" t="s">
        <v>3613</v>
      </c>
      <c r="R28" s="427" t="s">
        <v>3613</v>
      </c>
      <c r="S28" s="427" t="s">
        <v>3643</v>
      </c>
      <c r="T28" s="427" t="s">
        <v>3302</v>
      </c>
      <c r="U28" s="426">
        <v>9.6999999999999993</v>
      </c>
      <c r="V28" s="419"/>
      <c r="W28" s="419"/>
    </row>
    <row r="29" spans="2:23" ht="12.75" customHeight="1">
      <c r="B29" s="430"/>
      <c r="C29" s="429" t="s">
        <v>3117</v>
      </c>
      <c r="D29" s="427">
        <v>15</v>
      </c>
      <c r="E29" s="427">
        <v>7.44</v>
      </c>
      <c r="F29" s="427">
        <v>7.94</v>
      </c>
      <c r="G29" s="427">
        <v>7</v>
      </c>
      <c r="H29" s="427">
        <v>8.5</v>
      </c>
      <c r="I29" s="427" t="s">
        <v>3663</v>
      </c>
      <c r="J29" s="427" t="s">
        <v>3653</v>
      </c>
      <c r="K29" s="427" t="s">
        <v>3662</v>
      </c>
      <c r="L29" s="427" t="s">
        <v>3292</v>
      </c>
      <c r="M29" s="427" t="s">
        <v>3661</v>
      </c>
      <c r="N29" s="427" t="s">
        <v>3645</v>
      </c>
      <c r="O29" s="427">
        <v>4.9800000000000004</v>
      </c>
      <c r="P29" s="427" t="s">
        <v>3660</v>
      </c>
      <c r="Q29" s="427" t="s">
        <v>3613</v>
      </c>
      <c r="R29" s="427" t="s">
        <v>3613</v>
      </c>
      <c r="S29" s="427" t="s">
        <v>3643</v>
      </c>
      <c r="T29" s="427" t="s">
        <v>3302</v>
      </c>
      <c r="U29" s="426">
        <v>9.7200000000000006</v>
      </c>
      <c r="V29" s="419"/>
      <c r="W29" s="419"/>
    </row>
    <row r="30" spans="2:23" ht="12.75" customHeight="1">
      <c r="B30" s="430"/>
      <c r="C30" s="429" t="s">
        <v>3113</v>
      </c>
      <c r="D30" s="427">
        <v>15</v>
      </c>
      <c r="E30" s="427">
        <v>7</v>
      </c>
      <c r="F30" s="427">
        <v>7.5</v>
      </c>
      <c r="G30" s="427">
        <v>7</v>
      </c>
      <c r="H30" s="427">
        <v>8.5</v>
      </c>
      <c r="I30" s="427" t="s">
        <v>3659</v>
      </c>
      <c r="J30" s="427" t="s">
        <v>3653</v>
      </c>
      <c r="K30" s="427" t="s">
        <v>3658</v>
      </c>
      <c r="L30" s="427" t="s">
        <v>3657</v>
      </c>
      <c r="M30" s="427" t="s">
        <v>3656</v>
      </c>
      <c r="N30" s="427" t="s">
        <v>3645</v>
      </c>
      <c r="O30" s="427">
        <v>5.22</v>
      </c>
      <c r="P30" s="427" t="s">
        <v>3655</v>
      </c>
      <c r="Q30" s="427" t="s">
        <v>3613</v>
      </c>
      <c r="R30" s="427" t="s">
        <v>3613</v>
      </c>
      <c r="S30" s="427" t="s">
        <v>3643</v>
      </c>
      <c r="T30" s="427" t="s">
        <v>3302</v>
      </c>
      <c r="U30" s="426">
        <v>9.6</v>
      </c>
      <c r="V30" s="419"/>
      <c r="W30" s="419"/>
    </row>
    <row r="31" spans="2:23" ht="12.75" customHeight="1">
      <c r="B31" s="430"/>
      <c r="C31" s="429" t="s">
        <v>3104</v>
      </c>
      <c r="D31" s="427">
        <v>15</v>
      </c>
      <c r="E31" s="427">
        <v>7.25</v>
      </c>
      <c r="F31" s="427">
        <v>7.6</v>
      </c>
      <c r="G31" s="427">
        <v>7</v>
      </c>
      <c r="H31" s="427">
        <v>8.5</v>
      </c>
      <c r="I31" s="427" t="s">
        <v>3654</v>
      </c>
      <c r="J31" s="427" t="s">
        <v>3653</v>
      </c>
      <c r="K31" s="427" t="s">
        <v>3652</v>
      </c>
      <c r="L31" s="427" t="s">
        <v>3651</v>
      </c>
      <c r="M31" s="427" t="s">
        <v>3650</v>
      </c>
      <c r="N31" s="427" t="s">
        <v>3645</v>
      </c>
      <c r="O31" s="427">
        <v>5.21</v>
      </c>
      <c r="P31" s="427" t="s">
        <v>3459</v>
      </c>
      <c r="Q31" s="427" t="s">
        <v>3613</v>
      </c>
      <c r="R31" s="427" t="s">
        <v>3613</v>
      </c>
      <c r="S31" s="427" t="s">
        <v>3643</v>
      </c>
      <c r="T31" s="427" t="s">
        <v>3302</v>
      </c>
      <c r="U31" s="426">
        <v>9.65</v>
      </c>
      <c r="V31" s="419"/>
      <c r="W31" s="419"/>
    </row>
    <row r="32" spans="2:23" ht="12.75" customHeight="1">
      <c r="B32" s="430"/>
      <c r="C32" s="429" t="s">
        <v>3099</v>
      </c>
      <c r="D32" s="427">
        <v>15</v>
      </c>
      <c r="E32" s="427">
        <v>7.25</v>
      </c>
      <c r="F32" s="427">
        <v>7.65</v>
      </c>
      <c r="G32" s="427">
        <v>7.5</v>
      </c>
      <c r="H32" s="427">
        <v>9</v>
      </c>
      <c r="I32" s="427" t="s">
        <v>3649</v>
      </c>
      <c r="J32" s="427" t="s">
        <v>3648</v>
      </c>
      <c r="K32" s="427" t="s">
        <v>3647</v>
      </c>
      <c r="L32" s="427" t="s">
        <v>3623</v>
      </c>
      <c r="M32" s="427" t="s">
        <v>3646</v>
      </c>
      <c r="N32" s="427" t="s">
        <v>3645</v>
      </c>
      <c r="O32" s="427">
        <v>5.12</v>
      </c>
      <c r="P32" s="427" t="s">
        <v>3644</v>
      </c>
      <c r="Q32" s="427" t="s">
        <v>3613</v>
      </c>
      <c r="R32" s="427" t="s">
        <v>3613</v>
      </c>
      <c r="S32" s="427" t="s">
        <v>3643</v>
      </c>
      <c r="T32" s="427" t="s">
        <v>3302</v>
      </c>
      <c r="U32" s="426">
        <v>9.85</v>
      </c>
      <c r="V32" s="419"/>
      <c r="W32" s="419"/>
    </row>
    <row r="33" spans="2:23" ht="12.75" customHeight="1">
      <c r="B33" s="430"/>
      <c r="C33" s="429" t="s">
        <v>3094</v>
      </c>
      <c r="D33" s="427">
        <v>15</v>
      </c>
      <c r="E33" s="427">
        <v>7.25</v>
      </c>
      <c r="F33" s="427">
        <v>7.65</v>
      </c>
      <c r="G33" s="427">
        <v>7.5</v>
      </c>
      <c r="H33" s="427">
        <v>9</v>
      </c>
      <c r="I33" s="427" t="s">
        <v>3642</v>
      </c>
      <c r="J33" s="427" t="s">
        <v>3628</v>
      </c>
      <c r="K33" s="427" t="s">
        <v>3627</v>
      </c>
      <c r="L33" s="427" t="s">
        <v>3625</v>
      </c>
      <c r="M33" s="427" t="s">
        <v>3637</v>
      </c>
      <c r="N33" s="427" t="s">
        <v>3641</v>
      </c>
      <c r="O33" s="427">
        <v>5.31</v>
      </c>
      <c r="P33" s="427" t="s">
        <v>3640</v>
      </c>
      <c r="Q33" s="427" t="s">
        <v>3603</v>
      </c>
      <c r="R33" s="427" t="s">
        <v>3613</v>
      </c>
      <c r="S33" s="427" t="s">
        <v>3635</v>
      </c>
      <c r="T33" s="427" t="s">
        <v>3302</v>
      </c>
      <c r="U33" s="426">
        <v>10.17</v>
      </c>
      <c r="V33" s="419"/>
      <c r="W33" s="419"/>
    </row>
    <row r="34" spans="2:23" ht="12.75" customHeight="1">
      <c r="B34" s="430"/>
      <c r="C34" s="429"/>
      <c r="D34" s="427"/>
      <c r="E34" s="427"/>
      <c r="F34" s="427"/>
      <c r="G34" s="427"/>
      <c r="H34" s="427"/>
      <c r="I34" s="427"/>
      <c r="J34" s="427"/>
      <c r="K34" s="427"/>
      <c r="L34" s="427"/>
      <c r="M34" s="427"/>
      <c r="N34" s="427"/>
      <c r="O34" s="427"/>
      <c r="P34" s="427"/>
      <c r="Q34" s="427"/>
      <c r="R34" s="427"/>
      <c r="S34" s="427"/>
      <c r="T34" s="427"/>
      <c r="U34" s="426"/>
      <c r="V34" s="419"/>
      <c r="W34" s="419"/>
    </row>
    <row r="35" spans="2:23" ht="12.75" customHeight="1">
      <c r="B35" s="430">
        <v>2005</v>
      </c>
      <c r="C35" s="429" t="s">
        <v>3165</v>
      </c>
      <c r="D35" s="427">
        <v>15</v>
      </c>
      <c r="E35" s="427">
        <v>7.34</v>
      </c>
      <c r="F35" s="427">
        <v>7.65</v>
      </c>
      <c r="G35" s="427">
        <v>7.5</v>
      </c>
      <c r="H35" s="427">
        <v>9</v>
      </c>
      <c r="I35" s="427" t="s">
        <v>3280</v>
      </c>
      <c r="J35" s="427" t="s">
        <v>3628</v>
      </c>
      <c r="K35" s="427" t="s">
        <v>3627</v>
      </c>
      <c r="L35" s="427" t="s">
        <v>3625</v>
      </c>
      <c r="M35" s="427" t="s">
        <v>3637</v>
      </c>
      <c r="N35" s="427" t="s">
        <v>3617</v>
      </c>
      <c r="O35" s="427">
        <v>5.35</v>
      </c>
      <c r="P35" s="427" t="s">
        <v>3639</v>
      </c>
      <c r="Q35" s="427" t="s">
        <v>3603</v>
      </c>
      <c r="R35" s="427" t="s">
        <v>3613</v>
      </c>
      <c r="S35" s="427" t="s">
        <v>3635</v>
      </c>
      <c r="T35" s="427" t="s">
        <v>3302</v>
      </c>
      <c r="U35" s="426">
        <v>9.8000000000000007</v>
      </c>
      <c r="V35" s="419"/>
      <c r="W35" s="419"/>
    </row>
    <row r="36" spans="2:23" ht="12.75" customHeight="1">
      <c r="B36" s="430"/>
      <c r="C36" s="429" t="s">
        <v>3160</v>
      </c>
      <c r="D36" s="427">
        <v>15</v>
      </c>
      <c r="E36" s="427">
        <v>7.34</v>
      </c>
      <c r="F36" s="427">
        <v>7.65</v>
      </c>
      <c r="G36" s="427">
        <v>7.5</v>
      </c>
      <c r="H36" s="427">
        <v>9</v>
      </c>
      <c r="I36" s="427" t="s">
        <v>3638</v>
      </c>
      <c r="J36" s="427" t="s">
        <v>3628</v>
      </c>
      <c r="K36" s="427" t="s">
        <v>3627</v>
      </c>
      <c r="L36" s="427" t="s">
        <v>3625</v>
      </c>
      <c r="M36" s="427" t="s">
        <v>3637</v>
      </c>
      <c r="N36" s="427" t="s">
        <v>3636</v>
      </c>
      <c r="O36" s="427">
        <v>5.43</v>
      </c>
      <c r="P36" s="427" t="s">
        <v>3630</v>
      </c>
      <c r="Q36" s="427" t="s">
        <v>3438</v>
      </c>
      <c r="R36" s="427" t="s">
        <v>3613</v>
      </c>
      <c r="S36" s="427" t="s">
        <v>3635</v>
      </c>
      <c r="T36" s="427" t="s">
        <v>3302</v>
      </c>
      <c r="U36" s="426">
        <v>9.7200000000000006</v>
      </c>
      <c r="V36" s="419"/>
      <c r="W36" s="419"/>
    </row>
    <row r="37" spans="2:23" ht="12.75" customHeight="1">
      <c r="B37" s="430"/>
      <c r="C37" s="429" t="s">
        <v>3154</v>
      </c>
      <c r="D37" s="427">
        <v>15</v>
      </c>
      <c r="E37" s="427">
        <v>7.56</v>
      </c>
      <c r="F37" s="427">
        <v>7.76</v>
      </c>
      <c r="G37" s="427">
        <v>7.5</v>
      </c>
      <c r="H37" s="427">
        <v>9</v>
      </c>
      <c r="I37" s="427" t="s">
        <v>3634</v>
      </c>
      <c r="J37" s="427" t="s">
        <v>3628</v>
      </c>
      <c r="K37" s="427" t="s">
        <v>3627</v>
      </c>
      <c r="L37" s="427" t="s">
        <v>3337</v>
      </c>
      <c r="M37" s="427" t="s">
        <v>3631</v>
      </c>
      <c r="N37" s="427" t="s">
        <v>3621</v>
      </c>
      <c r="O37" s="427">
        <v>5.42</v>
      </c>
      <c r="P37" s="427" t="s">
        <v>3630</v>
      </c>
      <c r="Q37" s="427" t="s">
        <v>3629</v>
      </c>
      <c r="R37" s="427" t="s">
        <v>3613</v>
      </c>
      <c r="S37" s="427" t="s">
        <v>3248</v>
      </c>
      <c r="T37" s="427" t="s">
        <v>3302</v>
      </c>
      <c r="U37" s="426">
        <v>9.7799999999999994</v>
      </c>
      <c r="V37" s="419"/>
      <c r="W37" s="419"/>
    </row>
    <row r="38" spans="2:23" ht="12.75" customHeight="1">
      <c r="B38" s="430"/>
      <c r="C38" s="429" t="s">
        <v>3148</v>
      </c>
      <c r="D38" s="427">
        <v>15</v>
      </c>
      <c r="E38" s="427">
        <v>8.0500000000000007</v>
      </c>
      <c r="F38" s="427">
        <v>8.25</v>
      </c>
      <c r="G38" s="427">
        <v>7.5</v>
      </c>
      <c r="H38" s="427">
        <v>9</v>
      </c>
      <c r="I38" s="427" t="s">
        <v>3633</v>
      </c>
      <c r="J38" s="427" t="s">
        <v>3628</v>
      </c>
      <c r="K38" s="427" t="s">
        <v>3627</v>
      </c>
      <c r="L38" s="427" t="s">
        <v>3632</v>
      </c>
      <c r="M38" s="427" t="s">
        <v>3631</v>
      </c>
      <c r="N38" s="427" t="s">
        <v>3621</v>
      </c>
      <c r="O38" s="427">
        <v>5.43</v>
      </c>
      <c r="P38" s="427" t="s">
        <v>3630</v>
      </c>
      <c r="Q38" s="427" t="s">
        <v>3629</v>
      </c>
      <c r="R38" s="427" t="s">
        <v>3613</v>
      </c>
      <c r="S38" s="427" t="s">
        <v>3248</v>
      </c>
      <c r="T38" s="427" t="s">
        <v>3302</v>
      </c>
      <c r="U38" s="426">
        <v>9.8350000000000009</v>
      </c>
      <c r="V38" s="419"/>
      <c r="W38" s="419"/>
    </row>
    <row r="39" spans="2:23" ht="12.75" customHeight="1">
      <c r="B39" s="430"/>
      <c r="C39" s="429" t="s">
        <v>114</v>
      </c>
      <c r="D39" s="427">
        <v>15</v>
      </c>
      <c r="E39" s="427">
        <v>8.3000000000000007</v>
      </c>
      <c r="F39" s="427">
        <v>8.48</v>
      </c>
      <c r="G39" s="427">
        <v>7.75</v>
      </c>
      <c r="H39" s="427">
        <v>9.25</v>
      </c>
      <c r="I39" s="427" t="s">
        <v>3396</v>
      </c>
      <c r="J39" s="427" t="s">
        <v>3628</v>
      </c>
      <c r="K39" s="427" t="s">
        <v>3627</v>
      </c>
      <c r="L39" s="427" t="s">
        <v>3625</v>
      </c>
      <c r="M39" s="427" t="s">
        <v>3622</v>
      </c>
      <c r="N39" s="427" t="s">
        <v>3621</v>
      </c>
      <c r="O39" s="427">
        <v>5.43</v>
      </c>
      <c r="P39" s="427" t="s">
        <v>3302</v>
      </c>
      <c r="Q39" s="427" t="s">
        <v>3620</v>
      </c>
      <c r="R39" s="427" t="s">
        <v>3613</v>
      </c>
      <c r="S39" s="427" t="s">
        <v>3248</v>
      </c>
      <c r="T39" s="427" t="s">
        <v>3302</v>
      </c>
      <c r="U39" s="426">
        <v>10.19</v>
      </c>
      <c r="V39" s="419"/>
      <c r="W39" s="419"/>
    </row>
    <row r="40" spans="2:23" ht="12.75" customHeight="1">
      <c r="B40" s="430"/>
      <c r="C40" s="429" t="s">
        <v>3135</v>
      </c>
      <c r="D40" s="427">
        <v>15</v>
      </c>
      <c r="E40" s="427">
        <v>9.01</v>
      </c>
      <c r="F40" s="427">
        <v>9.25</v>
      </c>
      <c r="G40" s="427">
        <v>8.25</v>
      </c>
      <c r="H40" s="427">
        <v>9.75</v>
      </c>
      <c r="I40" s="427" t="s">
        <v>3626</v>
      </c>
      <c r="J40" s="427" t="s">
        <v>3299</v>
      </c>
      <c r="K40" s="427" t="s">
        <v>3623</v>
      </c>
      <c r="L40" s="427" t="s">
        <v>3625</v>
      </c>
      <c r="M40" s="427" t="s">
        <v>3622</v>
      </c>
      <c r="N40" s="427" t="s">
        <v>3621</v>
      </c>
      <c r="O40" s="427">
        <v>5.45</v>
      </c>
      <c r="P40" s="427" t="s">
        <v>3302</v>
      </c>
      <c r="Q40" s="427" t="s">
        <v>3620</v>
      </c>
      <c r="R40" s="427" t="s">
        <v>3613</v>
      </c>
      <c r="S40" s="427" t="s">
        <v>3248</v>
      </c>
      <c r="T40" s="427" t="s">
        <v>3302</v>
      </c>
      <c r="U40" s="426">
        <v>10.6</v>
      </c>
      <c r="V40" s="419"/>
      <c r="W40" s="419"/>
    </row>
    <row r="41" spans="2:23" ht="12.75" customHeight="1">
      <c r="B41" s="430"/>
      <c r="C41" s="429" t="s">
        <v>3125</v>
      </c>
      <c r="D41" s="427">
        <v>15</v>
      </c>
      <c r="E41" s="427">
        <v>9.0299999999999994</v>
      </c>
      <c r="F41" s="427">
        <v>9.36</v>
      </c>
      <c r="G41" s="427">
        <v>8.25</v>
      </c>
      <c r="H41" s="427">
        <v>9.75</v>
      </c>
      <c r="I41" s="427" t="s">
        <v>3624</v>
      </c>
      <c r="J41" s="427" t="s">
        <v>3299</v>
      </c>
      <c r="K41" s="427" t="s">
        <v>3623</v>
      </c>
      <c r="L41" s="427" t="s">
        <v>3370</v>
      </c>
      <c r="M41" s="427" t="s">
        <v>3622</v>
      </c>
      <c r="N41" s="427" t="s">
        <v>3621</v>
      </c>
      <c r="O41" s="427">
        <v>5.5</v>
      </c>
      <c r="P41" s="427" t="s">
        <v>3600</v>
      </c>
      <c r="Q41" s="427" t="s">
        <v>3620</v>
      </c>
      <c r="R41" s="427" t="s">
        <v>3613</v>
      </c>
      <c r="S41" s="427" t="s">
        <v>3248</v>
      </c>
      <c r="T41" s="427" t="s">
        <v>3180</v>
      </c>
      <c r="U41" s="426">
        <v>10.81</v>
      </c>
      <c r="V41" s="419"/>
      <c r="W41" s="419"/>
    </row>
    <row r="42" spans="2:23" ht="12.75" customHeight="1">
      <c r="B42" s="430"/>
      <c r="C42" s="429" t="s">
        <v>3117</v>
      </c>
      <c r="D42" s="427">
        <v>15</v>
      </c>
      <c r="E42" s="427">
        <v>9.34</v>
      </c>
      <c r="F42" s="427">
        <v>9.48</v>
      </c>
      <c r="G42" s="427">
        <v>8.25</v>
      </c>
      <c r="H42" s="427">
        <v>9.75</v>
      </c>
      <c r="I42" s="427" t="s">
        <v>3619</v>
      </c>
      <c r="J42" s="427" t="s">
        <v>3143</v>
      </c>
      <c r="K42" s="427" t="s">
        <v>3370</v>
      </c>
      <c r="L42" s="427" t="s">
        <v>3279</v>
      </c>
      <c r="M42" s="427" t="s">
        <v>3618</v>
      </c>
      <c r="N42" s="427" t="s">
        <v>3617</v>
      </c>
      <c r="O42" s="427">
        <v>5.73</v>
      </c>
      <c r="P42" s="427" t="s">
        <v>3600</v>
      </c>
      <c r="Q42" s="427" t="s">
        <v>3614</v>
      </c>
      <c r="R42" s="427" t="s">
        <v>3613</v>
      </c>
      <c r="S42" s="427" t="s">
        <v>3219</v>
      </c>
      <c r="T42" s="427" t="s">
        <v>3180</v>
      </c>
      <c r="U42" s="426">
        <v>11.04</v>
      </c>
      <c r="V42" s="419"/>
      <c r="W42" s="419"/>
    </row>
    <row r="43" spans="2:23" ht="12.75" customHeight="1">
      <c r="B43" s="430"/>
      <c r="C43" s="429" t="s">
        <v>3113</v>
      </c>
      <c r="D43" s="427">
        <v>15</v>
      </c>
      <c r="E43" s="427">
        <v>9.6199999999999992</v>
      </c>
      <c r="F43" s="427">
        <v>9.8000000000000007</v>
      </c>
      <c r="G43" s="427">
        <v>8.5</v>
      </c>
      <c r="H43" s="427">
        <v>10</v>
      </c>
      <c r="I43" s="427" t="s">
        <v>3616</v>
      </c>
      <c r="J43" s="427" t="s">
        <v>3611</v>
      </c>
      <c r="K43" s="427" t="s">
        <v>3274</v>
      </c>
      <c r="L43" s="427" t="s">
        <v>3274</v>
      </c>
      <c r="M43" s="427" t="s">
        <v>3615</v>
      </c>
      <c r="N43" s="427" t="s">
        <v>3596</v>
      </c>
      <c r="O43" s="427">
        <v>5.84</v>
      </c>
      <c r="P43" s="427" t="s">
        <v>3600</v>
      </c>
      <c r="Q43" s="427" t="s">
        <v>3614</v>
      </c>
      <c r="R43" s="427" t="s">
        <v>3613</v>
      </c>
      <c r="S43" s="427" t="s">
        <v>3219</v>
      </c>
      <c r="T43" s="427" t="s">
        <v>3180</v>
      </c>
      <c r="U43" s="426">
        <v>11.51</v>
      </c>
      <c r="V43" s="419"/>
      <c r="W43" s="419"/>
    </row>
    <row r="44" spans="2:23" ht="12.75" customHeight="1">
      <c r="B44" s="430"/>
      <c r="C44" s="429" t="s">
        <v>3104</v>
      </c>
      <c r="D44" s="427">
        <v>15</v>
      </c>
      <c r="E44" s="427">
        <v>9.74</v>
      </c>
      <c r="F44" s="427">
        <v>9.98</v>
      </c>
      <c r="G44" s="427">
        <v>8.5</v>
      </c>
      <c r="H44" s="427">
        <v>10</v>
      </c>
      <c r="I44" s="427" t="s">
        <v>3612</v>
      </c>
      <c r="J44" s="427" t="s">
        <v>3611</v>
      </c>
      <c r="K44" s="427" t="s">
        <v>3610</v>
      </c>
      <c r="L44" s="427" t="s">
        <v>3274</v>
      </c>
      <c r="M44" s="427" t="s">
        <v>3609</v>
      </c>
      <c r="N44" s="427" t="s">
        <v>3596</v>
      </c>
      <c r="O44" s="427">
        <v>5.86</v>
      </c>
      <c r="P44" s="427" t="s">
        <v>3600</v>
      </c>
      <c r="Q44" s="427" t="s">
        <v>3606</v>
      </c>
      <c r="R44" s="427" t="s">
        <v>3608</v>
      </c>
      <c r="S44" s="427" t="s">
        <v>3219</v>
      </c>
      <c r="T44" s="427" t="s">
        <v>3180</v>
      </c>
      <c r="U44" s="426">
        <v>11.8</v>
      </c>
      <c r="V44" s="419"/>
      <c r="W44" s="419"/>
    </row>
    <row r="45" spans="2:23" ht="12.75" customHeight="1">
      <c r="B45" s="430"/>
      <c r="C45" s="429" t="s">
        <v>3099</v>
      </c>
      <c r="D45" s="427">
        <v>15</v>
      </c>
      <c r="E45" s="427">
        <v>10.02</v>
      </c>
      <c r="F45" s="427">
        <v>10.29</v>
      </c>
      <c r="G45" s="427">
        <v>8.5</v>
      </c>
      <c r="H45" s="427">
        <v>10</v>
      </c>
      <c r="I45" s="427" t="s">
        <v>3607</v>
      </c>
      <c r="J45" s="427" t="s">
        <v>3326</v>
      </c>
      <c r="K45" s="427" t="s">
        <v>3598</v>
      </c>
      <c r="L45" s="427" t="s">
        <v>3591</v>
      </c>
      <c r="M45" s="427" t="s">
        <v>3604</v>
      </c>
      <c r="N45" s="427" t="s">
        <v>3596</v>
      </c>
      <c r="O45" s="427">
        <v>5.96</v>
      </c>
      <c r="P45" s="427" t="s">
        <v>3600</v>
      </c>
      <c r="Q45" s="427" t="s">
        <v>3606</v>
      </c>
      <c r="R45" s="427" t="s">
        <v>3602</v>
      </c>
      <c r="S45" s="427" t="s">
        <v>3418</v>
      </c>
      <c r="T45" s="427" t="s">
        <v>3594</v>
      </c>
      <c r="U45" s="426">
        <v>11.95</v>
      </c>
      <c r="V45" s="419"/>
      <c r="W45" s="419"/>
    </row>
    <row r="46" spans="2:23" ht="12.75" customHeight="1">
      <c r="B46" s="430"/>
      <c r="C46" s="429" t="s">
        <v>3094</v>
      </c>
      <c r="D46" s="427">
        <v>15</v>
      </c>
      <c r="E46" s="427">
        <v>10.1</v>
      </c>
      <c r="F46" s="427">
        <v>10.37</v>
      </c>
      <c r="G46" s="427">
        <v>8.75</v>
      </c>
      <c r="H46" s="427">
        <v>10.25</v>
      </c>
      <c r="I46" s="427" t="s">
        <v>3605</v>
      </c>
      <c r="J46" s="427" t="s">
        <v>3326</v>
      </c>
      <c r="K46" s="427" t="s">
        <v>3598</v>
      </c>
      <c r="L46" s="427" t="s">
        <v>3591</v>
      </c>
      <c r="M46" s="427" t="s">
        <v>3604</v>
      </c>
      <c r="N46" s="427" t="s">
        <v>3596</v>
      </c>
      <c r="O46" s="427">
        <v>6.24</v>
      </c>
      <c r="P46" s="427" t="s">
        <v>3600</v>
      </c>
      <c r="Q46" s="427" t="s">
        <v>3603</v>
      </c>
      <c r="R46" s="427" t="s">
        <v>3602</v>
      </c>
      <c r="S46" s="427" t="s">
        <v>3418</v>
      </c>
      <c r="T46" s="427" t="s">
        <v>3594</v>
      </c>
      <c r="U46" s="426">
        <v>12.14</v>
      </c>
      <c r="V46" s="419"/>
      <c r="W46" s="419"/>
    </row>
    <row r="47" spans="2:23" ht="12.75" customHeight="1">
      <c r="B47" s="430">
        <v>2006</v>
      </c>
      <c r="C47" s="429" t="s">
        <v>3165</v>
      </c>
      <c r="D47" s="427">
        <v>15</v>
      </c>
      <c r="E47" s="427">
        <v>10.1</v>
      </c>
      <c r="F47" s="427">
        <v>10.37</v>
      </c>
      <c r="G47" s="427">
        <v>8.75</v>
      </c>
      <c r="H47" s="427">
        <v>10.25</v>
      </c>
      <c r="I47" s="427" t="s">
        <v>3601</v>
      </c>
      <c r="J47" s="427" t="s">
        <v>3592</v>
      </c>
      <c r="K47" s="427" t="s">
        <v>3598</v>
      </c>
      <c r="L47" s="427" t="s">
        <v>3590</v>
      </c>
      <c r="M47" s="427" t="s">
        <v>3597</v>
      </c>
      <c r="N47" s="427" t="s">
        <v>3596</v>
      </c>
      <c r="O47" s="427">
        <v>6.34</v>
      </c>
      <c r="P47" s="427" t="s">
        <v>3600</v>
      </c>
      <c r="Q47" s="427" t="s">
        <v>3595</v>
      </c>
      <c r="R47" s="427" t="s">
        <v>3566</v>
      </c>
      <c r="S47" s="427" t="s">
        <v>3418</v>
      </c>
      <c r="T47" s="427" t="s">
        <v>3594</v>
      </c>
      <c r="U47" s="426">
        <v>12.3</v>
      </c>
      <c r="V47" s="419"/>
      <c r="W47" s="419"/>
    </row>
    <row r="48" spans="2:23" ht="12.75" customHeight="1">
      <c r="B48" s="430"/>
      <c r="C48" s="429" t="s">
        <v>3160</v>
      </c>
      <c r="D48" s="427">
        <v>15</v>
      </c>
      <c r="E48" s="427">
        <v>10.11</v>
      </c>
      <c r="F48" s="427">
        <v>10.37</v>
      </c>
      <c r="G48" s="427">
        <v>8.75</v>
      </c>
      <c r="H48" s="427">
        <v>10.25</v>
      </c>
      <c r="I48" s="427" t="s">
        <v>3599</v>
      </c>
      <c r="J48" s="427" t="s">
        <v>3592</v>
      </c>
      <c r="K48" s="427" t="s">
        <v>3598</v>
      </c>
      <c r="L48" s="427" t="s">
        <v>3590</v>
      </c>
      <c r="M48" s="427" t="s">
        <v>3597</v>
      </c>
      <c r="N48" s="427" t="s">
        <v>3596</v>
      </c>
      <c r="O48" s="427">
        <v>6.46</v>
      </c>
      <c r="P48" s="427" t="s">
        <v>3580</v>
      </c>
      <c r="Q48" s="427" t="s">
        <v>3595</v>
      </c>
      <c r="R48" s="427" t="s">
        <v>3566</v>
      </c>
      <c r="S48" s="427" t="s">
        <v>3418</v>
      </c>
      <c r="T48" s="427" t="s">
        <v>3594</v>
      </c>
      <c r="U48" s="426">
        <v>12.03</v>
      </c>
      <c r="V48" s="419"/>
      <c r="W48" s="419"/>
    </row>
    <row r="49" spans="2:23" ht="12.75" customHeight="1">
      <c r="B49" s="430"/>
      <c r="C49" s="429" t="s">
        <v>3154</v>
      </c>
      <c r="D49" s="427">
        <v>15</v>
      </c>
      <c r="E49" s="427">
        <v>10.1</v>
      </c>
      <c r="F49" s="427">
        <v>10.38</v>
      </c>
      <c r="G49" s="427">
        <v>8.75</v>
      </c>
      <c r="H49" s="427">
        <v>10.25</v>
      </c>
      <c r="I49" s="427" t="s">
        <v>3593</v>
      </c>
      <c r="J49" s="427" t="s">
        <v>3592</v>
      </c>
      <c r="K49" s="427" t="s">
        <v>3591</v>
      </c>
      <c r="L49" s="427" t="s">
        <v>3590</v>
      </c>
      <c r="M49" s="427" t="s">
        <v>3589</v>
      </c>
      <c r="N49" s="427" t="s">
        <v>3567</v>
      </c>
      <c r="O49" s="427">
        <v>6.56</v>
      </c>
      <c r="P49" s="427" t="s">
        <v>3580</v>
      </c>
      <c r="Q49" s="427" t="s">
        <v>3588</v>
      </c>
      <c r="R49" s="427" t="s">
        <v>3584</v>
      </c>
      <c r="S49" s="427" t="s">
        <v>3418</v>
      </c>
      <c r="T49" s="427" t="s">
        <v>3418</v>
      </c>
      <c r="U49" s="426">
        <v>11.97</v>
      </c>
      <c r="V49" s="419"/>
      <c r="W49" s="419"/>
    </row>
    <row r="50" spans="2:23" ht="12.75" customHeight="1">
      <c r="B50" s="430"/>
      <c r="C50" s="429" t="s">
        <v>3148</v>
      </c>
      <c r="D50" s="427">
        <v>15</v>
      </c>
      <c r="E50" s="427">
        <v>10.050000000000001</v>
      </c>
      <c r="F50" s="427">
        <v>10.37</v>
      </c>
      <c r="G50" s="427">
        <v>8.75</v>
      </c>
      <c r="H50" s="427">
        <v>10.25</v>
      </c>
      <c r="I50" s="427" t="s">
        <v>3587</v>
      </c>
      <c r="J50" s="427" t="s">
        <v>3577</v>
      </c>
      <c r="K50" s="427" t="s">
        <v>3576</v>
      </c>
      <c r="L50" s="427" t="s">
        <v>3575</v>
      </c>
      <c r="M50" s="427" t="s">
        <v>3586</v>
      </c>
      <c r="N50" s="427" t="s">
        <v>3567</v>
      </c>
      <c r="O50" s="427">
        <v>6.48</v>
      </c>
      <c r="P50" s="427" t="s">
        <v>3580</v>
      </c>
      <c r="Q50" s="427" t="s">
        <v>3585</v>
      </c>
      <c r="R50" s="427" t="s">
        <v>3584</v>
      </c>
      <c r="S50" s="427" t="s">
        <v>3418</v>
      </c>
      <c r="T50" s="427" t="s">
        <v>3418</v>
      </c>
      <c r="U50" s="426">
        <v>11.95</v>
      </c>
      <c r="V50" s="419"/>
      <c r="W50" s="419"/>
    </row>
    <row r="51" spans="2:23" ht="12.75" customHeight="1">
      <c r="B51" s="430"/>
      <c r="C51" s="429" t="s">
        <v>114</v>
      </c>
      <c r="D51" s="427">
        <v>15</v>
      </c>
      <c r="E51" s="427">
        <v>10.09</v>
      </c>
      <c r="F51" s="427">
        <v>10.38</v>
      </c>
      <c r="G51" s="427">
        <v>8.75</v>
      </c>
      <c r="H51" s="427">
        <v>10.25</v>
      </c>
      <c r="I51" s="427" t="s">
        <v>3583</v>
      </c>
      <c r="J51" s="427" t="s">
        <v>3577</v>
      </c>
      <c r="K51" s="427" t="s">
        <v>3576</v>
      </c>
      <c r="L51" s="427" t="s">
        <v>3575</v>
      </c>
      <c r="M51" s="427" t="s">
        <v>3574</v>
      </c>
      <c r="N51" s="427" t="s">
        <v>3567</v>
      </c>
      <c r="O51" s="427">
        <v>6.47</v>
      </c>
      <c r="P51" s="427" t="s">
        <v>3580</v>
      </c>
      <c r="Q51" s="427" t="s">
        <v>3579</v>
      </c>
      <c r="R51" s="427" t="s">
        <v>3566</v>
      </c>
      <c r="S51" s="427" t="s">
        <v>3418</v>
      </c>
      <c r="T51" s="427" t="s">
        <v>3418</v>
      </c>
      <c r="U51" s="426">
        <v>11.88</v>
      </c>
      <c r="V51" s="419"/>
      <c r="W51" s="419"/>
    </row>
    <row r="52" spans="2:23" ht="12.75" customHeight="1">
      <c r="B52" s="430"/>
      <c r="C52" s="429" t="s">
        <v>3135</v>
      </c>
      <c r="D52" s="427">
        <v>15</v>
      </c>
      <c r="E52" s="427">
        <v>10.16</v>
      </c>
      <c r="F52" s="427">
        <v>10.45</v>
      </c>
      <c r="G52" s="427">
        <v>9</v>
      </c>
      <c r="H52" s="427">
        <v>10.5</v>
      </c>
      <c r="I52" s="427" t="s">
        <v>3582</v>
      </c>
      <c r="J52" s="427" t="s">
        <v>3577</v>
      </c>
      <c r="K52" s="427" t="s">
        <v>3576</v>
      </c>
      <c r="L52" s="427" t="s">
        <v>3575</v>
      </c>
      <c r="M52" s="427" t="s">
        <v>3574</v>
      </c>
      <c r="N52" s="427" t="s">
        <v>3567</v>
      </c>
      <c r="O52" s="427">
        <v>6.61</v>
      </c>
      <c r="P52" s="427" t="s">
        <v>3580</v>
      </c>
      <c r="Q52" s="427" t="s">
        <v>3579</v>
      </c>
      <c r="R52" s="427" t="s">
        <v>3566</v>
      </c>
      <c r="S52" s="427" t="s">
        <v>3418</v>
      </c>
      <c r="T52" s="427" t="s">
        <v>3418</v>
      </c>
      <c r="U52" s="426">
        <v>12.28</v>
      </c>
      <c r="V52" s="419"/>
      <c r="W52" s="419"/>
    </row>
    <row r="53" spans="2:23" ht="12.75" customHeight="1">
      <c r="B53" s="430"/>
      <c r="C53" s="429" t="s">
        <v>3125</v>
      </c>
      <c r="D53" s="427">
        <v>15</v>
      </c>
      <c r="E53" s="427">
        <v>10.28</v>
      </c>
      <c r="F53" s="427">
        <v>10.51</v>
      </c>
      <c r="G53" s="427">
        <v>9.125</v>
      </c>
      <c r="H53" s="427">
        <v>10.625</v>
      </c>
      <c r="I53" s="427" t="s">
        <v>3581</v>
      </c>
      <c r="J53" s="427" t="s">
        <v>3577</v>
      </c>
      <c r="K53" s="427" t="s">
        <v>3576</v>
      </c>
      <c r="L53" s="427" t="s">
        <v>3575</v>
      </c>
      <c r="M53" s="427" t="s">
        <v>3574</v>
      </c>
      <c r="N53" s="427" t="s">
        <v>3567</v>
      </c>
      <c r="O53" s="427">
        <v>6.59</v>
      </c>
      <c r="P53" s="427" t="s">
        <v>3580</v>
      </c>
      <c r="Q53" s="427" t="s">
        <v>3579</v>
      </c>
      <c r="R53" s="427" t="s">
        <v>3566</v>
      </c>
      <c r="S53" s="427" t="s">
        <v>3418</v>
      </c>
      <c r="T53" s="427" t="s">
        <v>3418</v>
      </c>
      <c r="U53" s="426">
        <v>12.62</v>
      </c>
      <c r="V53" s="419"/>
      <c r="W53" s="419"/>
    </row>
    <row r="54" spans="2:23" ht="12.75" customHeight="1">
      <c r="B54" s="430"/>
      <c r="C54" s="429" t="s">
        <v>3117</v>
      </c>
      <c r="D54" s="427">
        <v>15</v>
      </c>
      <c r="E54" s="427">
        <v>10.51</v>
      </c>
      <c r="F54" s="427">
        <v>10.7</v>
      </c>
      <c r="G54" s="427">
        <v>9.125</v>
      </c>
      <c r="H54" s="427">
        <v>10.625</v>
      </c>
      <c r="I54" s="427" t="s">
        <v>3578</v>
      </c>
      <c r="J54" s="427" t="s">
        <v>3577</v>
      </c>
      <c r="K54" s="427" t="s">
        <v>3576</v>
      </c>
      <c r="L54" s="427" t="s">
        <v>3575</v>
      </c>
      <c r="M54" s="427" t="s">
        <v>3574</v>
      </c>
      <c r="N54" s="427" t="s">
        <v>3567</v>
      </c>
      <c r="O54" s="427">
        <v>6.72</v>
      </c>
      <c r="P54" s="427" t="s">
        <v>3573</v>
      </c>
      <c r="Q54" s="427" t="s">
        <v>3572</v>
      </c>
      <c r="R54" s="427" t="s">
        <v>3566</v>
      </c>
      <c r="S54" s="427" t="s">
        <v>3418</v>
      </c>
      <c r="T54" s="427" t="s">
        <v>3418</v>
      </c>
      <c r="U54" s="426">
        <v>12.79</v>
      </c>
      <c r="V54" s="419"/>
      <c r="W54" s="419"/>
    </row>
    <row r="55" spans="2:23" ht="12.75" customHeight="1">
      <c r="B55" s="430"/>
      <c r="C55" s="429" t="s">
        <v>3113</v>
      </c>
      <c r="D55" s="427">
        <v>15</v>
      </c>
      <c r="E55" s="427">
        <v>10.53</v>
      </c>
      <c r="F55" s="427">
        <v>10.71</v>
      </c>
      <c r="G55" s="427">
        <v>9.625</v>
      </c>
      <c r="H55" s="427">
        <v>11.125</v>
      </c>
      <c r="I55" s="427" t="s">
        <v>3571</v>
      </c>
      <c r="J55" s="427" t="s">
        <v>3570</v>
      </c>
      <c r="K55" s="427" t="s">
        <v>3326</v>
      </c>
      <c r="L55" s="427" t="s">
        <v>3569</v>
      </c>
      <c r="M55" s="427" t="s">
        <v>3568</v>
      </c>
      <c r="N55" s="427" t="s">
        <v>3567</v>
      </c>
      <c r="O55" s="427">
        <v>6.89</v>
      </c>
      <c r="P55" s="427" t="s">
        <v>3562</v>
      </c>
      <c r="Q55" s="427" t="s">
        <v>3566</v>
      </c>
      <c r="R55" s="427" t="s">
        <v>3566</v>
      </c>
      <c r="S55" s="427" t="s">
        <v>3418</v>
      </c>
      <c r="T55" s="427" t="s">
        <v>3418</v>
      </c>
      <c r="U55" s="426">
        <v>13.58</v>
      </c>
      <c r="V55" s="419"/>
      <c r="W55" s="419"/>
    </row>
    <row r="56" spans="2:23" ht="12.75" customHeight="1">
      <c r="B56" s="430"/>
      <c r="C56" s="429" t="s">
        <v>3104</v>
      </c>
      <c r="D56" s="427">
        <v>15</v>
      </c>
      <c r="E56" s="427">
        <v>11.93</v>
      </c>
      <c r="F56" s="427">
        <v>12.03</v>
      </c>
      <c r="G56" s="427">
        <v>9.625</v>
      </c>
      <c r="H56" s="427">
        <v>11.125</v>
      </c>
      <c r="I56" s="427" t="s">
        <v>3565</v>
      </c>
      <c r="J56" s="427" t="s">
        <v>3557</v>
      </c>
      <c r="K56" s="427" t="s">
        <v>3258</v>
      </c>
      <c r="L56" s="427" t="s">
        <v>3564</v>
      </c>
      <c r="M56" s="427" t="s">
        <v>3563</v>
      </c>
      <c r="N56" s="427" t="s">
        <v>3553</v>
      </c>
      <c r="O56" s="427">
        <v>7.03</v>
      </c>
      <c r="P56" s="427" t="s">
        <v>3562</v>
      </c>
      <c r="Q56" s="427" t="s">
        <v>3561</v>
      </c>
      <c r="R56" s="427" t="s">
        <v>3397</v>
      </c>
      <c r="S56" s="427" t="s">
        <v>3418</v>
      </c>
      <c r="T56" s="427" t="s">
        <v>3418</v>
      </c>
      <c r="U56" s="426">
        <v>14.54</v>
      </c>
      <c r="V56" s="419"/>
      <c r="W56" s="419"/>
    </row>
    <row r="57" spans="2:23" ht="12.75" customHeight="1">
      <c r="B57" s="430"/>
      <c r="C57" s="429" t="s">
        <v>3099</v>
      </c>
      <c r="D57" s="427">
        <v>15</v>
      </c>
      <c r="E57" s="427">
        <v>12.32</v>
      </c>
      <c r="F57" s="427">
        <v>12.58</v>
      </c>
      <c r="G57" s="427">
        <v>9.625</v>
      </c>
      <c r="H57" s="427">
        <v>11.125</v>
      </c>
      <c r="I57" s="427" t="s">
        <v>3560</v>
      </c>
      <c r="J57" s="427" t="s">
        <v>3557</v>
      </c>
      <c r="K57" s="427" t="s">
        <v>3556</v>
      </c>
      <c r="L57" s="427" t="s">
        <v>3555</v>
      </c>
      <c r="M57" s="427" t="s">
        <v>3554</v>
      </c>
      <c r="N57" s="427" t="s">
        <v>3553</v>
      </c>
      <c r="O57" s="427">
        <v>7.87</v>
      </c>
      <c r="P57" s="427" t="s">
        <v>3559</v>
      </c>
      <c r="Q57" s="427" t="s">
        <v>3538</v>
      </c>
      <c r="R57" s="427" t="s">
        <v>3538</v>
      </c>
      <c r="S57" s="427" t="s">
        <v>3418</v>
      </c>
      <c r="T57" s="427" t="s">
        <v>3418</v>
      </c>
      <c r="U57" s="426">
        <v>13.52</v>
      </c>
      <c r="V57" s="419"/>
      <c r="W57" s="419"/>
    </row>
    <row r="58" spans="2:23" ht="12.75" customHeight="1">
      <c r="B58" s="430"/>
      <c r="C58" s="429" t="s">
        <v>3094</v>
      </c>
      <c r="D58" s="427">
        <v>15</v>
      </c>
      <c r="E58" s="427">
        <v>12.76</v>
      </c>
      <c r="F58" s="427">
        <v>12.96</v>
      </c>
      <c r="G58" s="427">
        <v>10</v>
      </c>
      <c r="H58" s="427">
        <v>11.5</v>
      </c>
      <c r="I58" s="427" t="s">
        <v>3558</v>
      </c>
      <c r="J58" s="427" t="s">
        <v>3557</v>
      </c>
      <c r="K58" s="427" t="s">
        <v>3556</v>
      </c>
      <c r="L58" s="427" t="s">
        <v>3555</v>
      </c>
      <c r="M58" s="427" t="s">
        <v>3554</v>
      </c>
      <c r="N58" s="427" t="s">
        <v>3553</v>
      </c>
      <c r="O58" s="427">
        <v>7.6</v>
      </c>
      <c r="P58" s="427" t="s">
        <v>3552</v>
      </c>
      <c r="Q58" s="427" t="s">
        <v>3539</v>
      </c>
      <c r="R58" s="427" t="s">
        <v>3551</v>
      </c>
      <c r="S58" s="427" t="s">
        <v>3418</v>
      </c>
      <c r="T58" s="427" t="s">
        <v>3418</v>
      </c>
      <c r="U58" s="426">
        <v>14.74</v>
      </c>
      <c r="V58" s="419"/>
      <c r="W58" s="419"/>
    </row>
    <row r="59" spans="2:23" ht="12.75" customHeight="1">
      <c r="B59" s="430">
        <v>2007</v>
      </c>
      <c r="C59" s="429" t="s">
        <v>3165</v>
      </c>
      <c r="D59" s="427">
        <v>15</v>
      </c>
      <c r="E59" s="427">
        <v>13.37</v>
      </c>
      <c r="F59" s="427">
        <v>13.58</v>
      </c>
      <c r="G59" s="427">
        <v>10</v>
      </c>
      <c r="H59" s="427">
        <v>11.5</v>
      </c>
      <c r="I59" s="427" t="s">
        <v>3550</v>
      </c>
      <c r="J59" s="427" t="s">
        <v>3549</v>
      </c>
      <c r="K59" s="427" t="s">
        <v>3548</v>
      </c>
      <c r="L59" s="427" t="s">
        <v>3547</v>
      </c>
      <c r="M59" s="427" t="s">
        <v>3541</v>
      </c>
      <c r="N59" s="427" t="s">
        <v>3546</v>
      </c>
      <c r="O59" s="427">
        <v>7.6</v>
      </c>
      <c r="P59" s="427" t="s">
        <v>3540</v>
      </c>
      <c r="Q59" s="427" t="s">
        <v>3539</v>
      </c>
      <c r="R59" s="427" t="s">
        <v>3538</v>
      </c>
      <c r="S59" s="427" t="s">
        <v>3418</v>
      </c>
      <c r="T59" s="427" t="s">
        <v>3261</v>
      </c>
      <c r="U59" s="426">
        <v>15.52</v>
      </c>
      <c r="V59" s="419"/>
      <c r="W59" s="419"/>
    </row>
    <row r="60" spans="2:23" ht="12.75" customHeight="1">
      <c r="B60" s="430"/>
      <c r="C60" s="429" t="s">
        <v>3160</v>
      </c>
      <c r="D60" s="427">
        <v>15</v>
      </c>
      <c r="E60" s="427">
        <v>14.06</v>
      </c>
      <c r="F60" s="427">
        <v>14.2</v>
      </c>
      <c r="G60" s="427">
        <v>10.5</v>
      </c>
      <c r="H60" s="427">
        <v>12</v>
      </c>
      <c r="I60" s="427" t="s">
        <v>3545</v>
      </c>
      <c r="J60" s="427" t="s">
        <v>3544</v>
      </c>
      <c r="K60" s="427" t="s">
        <v>3543</v>
      </c>
      <c r="L60" s="427" t="s">
        <v>3542</v>
      </c>
      <c r="M60" s="427" t="s">
        <v>3541</v>
      </c>
      <c r="N60" s="427" t="s">
        <v>3534</v>
      </c>
      <c r="O60" s="427">
        <v>8.18</v>
      </c>
      <c r="P60" s="427" t="s">
        <v>3540</v>
      </c>
      <c r="Q60" s="427" t="s">
        <v>3539</v>
      </c>
      <c r="R60" s="427" t="s">
        <v>3538</v>
      </c>
      <c r="S60" s="427" t="s">
        <v>3418</v>
      </c>
      <c r="T60" s="427" t="s">
        <v>3537</v>
      </c>
      <c r="U60" s="426">
        <v>15.35</v>
      </c>
      <c r="V60" s="419"/>
      <c r="W60" s="419"/>
    </row>
    <row r="61" spans="2:23" ht="12.75" customHeight="1">
      <c r="B61" s="430"/>
      <c r="C61" s="429" t="s">
        <v>3154</v>
      </c>
      <c r="D61" s="427">
        <v>15</v>
      </c>
      <c r="E61" s="427">
        <v>14.62</v>
      </c>
      <c r="F61" s="427">
        <v>14.53</v>
      </c>
      <c r="G61" s="427">
        <v>10.5</v>
      </c>
      <c r="H61" s="427">
        <v>12</v>
      </c>
      <c r="I61" s="427" t="s">
        <v>3536</v>
      </c>
      <c r="J61" s="427" t="s">
        <v>3523</v>
      </c>
      <c r="K61" s="427" t="s">
        <v>3527</v>
      </c>
      <c r="L61" s="427" t="s">
        <v>3521</v>
      </c>
      <c r="M61" s="427" t="s">
        <v>3535</v>
      </c>
      <c r="N61" s="427" t="s">
        <v>3534</v>
      </c>
      <c r="O61" s="427">
        <v>8.26</v>
      </c>
      <c r="P61" s="427" t="s">
        <v>3533</v>
      </c>
      <c r="Q61" s="427" t="s">
        <v>3532</v>
      </c>
      <c r="R61" s="427" t="s">
        <v>3531</v>
      </c>
      <c r="S61" s="427" t="s">
        <v>3418</v>
      </c>
      <c r="T61" s="427" t="s">
        <v>3530</v>
      </c>
      <c r="U61" s="426">
        <v>17.57</v>
      </c>
      <c r="V61" s="419"/>
      <c r="W61" s="419"/>
    </row>
    <row r="62" spans="2:23" ht="12.75" customHeight="1">
      <c r="B62" s="430"/>
      <c r="C62" s="429" t="s">
        <v>3148</v>
      </c>
      <c r="D62" s="427">
        <v>15</v>
      </c>
      <c r="E62" s="427">
        <v>16.559999999999999</v>
      </c>
      <c r="F62" s="427">
        <v>16.190000000000001</v>
      </c>
      <c r="G62" s="427">
        <v>10.5</v>
      </c>
      <c r="H62" s="427">
        <v>12</v>
      </c>
      <c r="I62" s="427" t="s">
        <v>3529</v>
      </c>
      <c r="J62" s="427" t="s">
        <v>3528</v>
      </c>
      <c r="K62" s="427" t="s">
        <v>3527</v>
      </c>
      <c r="L62" s="427" t="s">
        <v>3521</v>
      </c>
      <c r="M62" s="427" t="s">
        <v>3520</v>
      </c>
      <c r="N62" s="427" t="s">
        <v>3519</v>
      </c>
      <c r="O62" s="427">
        <v>8.34</v>
      </c>
      <c r="P62" s="427" t="s">
        <v>3512</v>
      </c>
      <c r="Q62" s="427" t="s">
        <v>3526</v>
      </c>
      <c r="R62" s="427" t="s">
        <v>3525</v>
      </c>
      <c r="S62" s="427" t="s">
        <v>3418</v>
      </c>
      <c r="T62" s="427" t="s">
        <v>3524</v>
      </c>
      <c r="U62" s="426">
        <v>19.489999999999998</v>
      </c>
      <c r="V62" s="419"/>
      <c r="W62" s="419"/>
    </row>
    <row r="63" spans="2:23" ht="12.75" customHeight="1">
      <c r="B63" s="430"/>
      <c r="C63" s="429" t="s">
        <v>114</v>
      </c>
      <c r="D63" s="427">
        <v>15</v>
      </c>
      <c r="E63" s="427">
        <v>16.91</v>
      </c>
      <c r="F63" s="427">
        <v>16.57</v>
      </c>
      <c r="G63" s="427">
        <v>10.5</v>
      </c>
      <c r="H63" s="427">
        <v>12</v>
      </c>
      <c r="I63" s="427" t="s">
        <v>3443</v>
      </c>
      <c r="J63" s="427" t="s">
        <v>3523</v>
      </c>
      <c r="K63" s="427" t="s">
        <v>3522</v>
      </c>
      <c r="L63" s="427" t="s">
        <v>3521</v>
      </c>
      <c r="M63" s="427" t="s">
        <v>3520</v>
      </c>
      <c r="N63" s="427" t="s">
        <v>3519</v>
      </c>
      <c r="O63" s="427">
        <v>8.65</v>
      </c>
      <c r="P63" s="427" t="s">
        <v>3512</v>
      </c>
      <c r="Q63" s="427" t="s">
        <v>3518</v>
      </c>
      <c r="R63" s="427" t="s">
        <v>3517</v>
      </c>
      <c r="S63" s="427" t="s">
        <v>3516</v>
      </c>
      <c r="T63" s="427" t="s">
        <v>3515</v>
      </c>
      <c r="U63" s="426">
        <v>16.82</v>
      </c>
      <c r="V63" s="419"/>
      <c r="W63" s="419"/>
    </row>
    <row r="64" spans="2:23" ht="12.75" customHeight="1">
      <c r="B64" s="430"/>
      <c r="C64" s="429" t="s">
        <v>3135</v>
      </c>
      <c r="D64" s="427">
        <v>15</v>
      </c>
      <c r="E64" s="427">
        <v>17.399999999999999</v>
      </c>
      <c r="F64" s="427">
        <v>16.89</v>
      </c>
      <c r="G64" s="427">
        <v>10.5</v>
      </c>
      <c r="H64" s="427">
        <v>12</v>
      </c>
      <c r="I64" s="427" t="s">
        <v>3514</v>
      </c>
      <c r="J64" s="427" t="s">
        <v>3386</v>
      </c>
      <c r="K64" s="427" t="s">
        <v>3381</v>
      </c>
      <c r="L64" s="427" t="s">
        <v>3513</v>
      </c>
      <c r="M64" s="427" t="s">
        <v>3504</v>
      </c>
      <c r="N64" s="427" t="s">
        <v>3493</v>
      </c>
      <c r="O64" s="427">
        <v>8.86</v>
      </c>
      <c r="P64" s="427" t="s">
        <v>3512</v>
      </c>
      <c r="Q64" s="427" t="s">
        <v>3398</v>
      </c>
      <c r="R64" s="427" t="s">
        <v>3503</v>
      </c>
      <c r="S64" s="427" t="s">
        <v>3261</v>
      </c>
      <c r="T64" s="427" t="s">
        <v>3511</v>
      </c>
      <c r="U64" s="426">
        <v>16</v>
      </c>
      <c r="V64" s="419"/>
      <c r="W64" s="419"/>
    </row>
    <row r="65" spans="2:25" ht="12.75" customHeight="1">
      <c r="B65" s="430"/>
      <c r="C65" s="429" t="s">
        <v>3125</v>
      </c>
      <c r="D65" s="427">
        <v>15</v>
      </c>
      <c r="E65" s="427">
        <v>17.38</v>
      </c>
      <c r="F65" s="427">
        <v>16.89</v>
      </c>
      <c r="G65" s="427">
        <v>10.5</v>
      </c>
      <c r="H65" s="427">
        <v>12</v>
      </c>
      <c r="I65" s="427" t="s">
        <v>3510</v>
      </c>
      <c r="J65" s="427" t="s">
        <v>3509</v>
      </c>
      <c r="K65" s="427" t="s">
        <v>3386</v>
      </c>
      <c r="L65" s="427" t="s">
        <v>3499</v>
      </c>
      <c r="M65" s="427" t="s">
        <v>3504</v>
      </c>
      <c r="N65" s="427" t="s">
        <v>3493</v>
      </c>
      <c r="O65" s="427">
        <v>9.27</v>
      </c>
      <c r="P65" s="427" t="s">
        <v>3492</v>
      </c>
      <c r="Q65" s="427" t="s">
        <v>3398</v>
      </c>
      <c r="R65" s="427" t="s">
        <v>3503</v>
      </c>
      <c r="S65" s="427" t="s">
        <v>3261</v>
      </c>
      <c r="T65" s="427" t="s">
        <v>3508</v>
      </c>
      <c r="U65" s="426">
        <v>17.48</v>
      </c>
      <c r="V65" s="419"/>
      <c r="W65" s="419"/>
    </row>
    <row r="66" spans="2:25" ht="12.75" customHeight="1">
      <c r="B66" s="430"/>
      <c r="C66" s="429" t="s">
        <v>3117</v>
      </c>
      <c r="D66" s="427">
        <v>15</v>
      </c>
      <c r="E66" s="427">
        <v>17.649999999999999</v>
      </c>
      <c r="F66" s="427">
        <v>16.89</v>
      </c>
      <c r="G66" s="427">
        <v>10.5</v>
      </c>
      <c r="H66" s="427">
        <v>12</v>
      </c>
      <c r="I66" s="427" t="s">
        <v>3507</v>
      </c>
      <c r="J66" s="427" t="s">
        <v>3506</v>
      </c>
      <c r="K66" s="427" t="s">
        <v>3386</v>
      </c>
      <c r="L66" s="427" t="s">
        <v>3505</v>
      </c>
      <c r="M66" s="427" t="s">
        <v>3504</v>
      </c>
      <c r="N66" s="427" t="s">
        <v>3493</v>
      </c>
      <c r="O66" s="427">
        <v>9.61</v>
      </c>
      <c r="P66" s="427" t="s">
        <v>3492</v>
      </c>
      <c r="Q66" s="427" t="s">
        <v>3398</v>
      </c>
      <c r="R66" s="427" t="s">
        <v>3503</v>
      </c>
      <c r="S66" s="427" t="s">
        <v>3261</v>
      </c>
      <c r="T66" s="427" t="s">
        <v>3502</v>
      </c>
      <c r="U66" s="426">
        <v>17.14</v>
      </c>
      <c r="V66" s="419"/>
      <c r="W66" s="419"/>
    </row>
    <row r="67" spans="2:25" ht="12.75" customHeight="1">
      <c r="B67" s="430"/>
      <c r="C67" s="429" t="s">
        <v>3113</v>
      </c>
      <c r="D67" s="427">
        <v>15</v>
      </c>
      <c r="E67" s="427">
        <v>18.2</v>
      </c>
      <c r="F67" s="427">
        <v>17.309999999999999</v>
      </c>
      <c r="G67" s="427">
        <v>10.5</v>
      </c>
      <c r="H67" s="427">
        <v>12</v>
      </c>
      <c r="I67" s="427" t="s">
        <v>3501</v>
      </c>
      <c r="J67" s="427" t="s">
        <v>3489</v>
      </c>
      <c r="K67" s="427" t="s">
        <v>3500</v>
      </c>
      <c r="L67" s="427" t="s">
        <v>3499</v>
      </c>
      <c r="M67" s="427" t="s">
        <v>3494</v>
      </c>
      <c r="N67" s="427" t="s">
        <v>3493</v>
      </c>
      <c r="O67" s="427">
        <v>9.65</v>
      </c>
      <c r="P67" s="427" t="s">
        <v>3492</v>
      </c>
      <c r="Q67" s="427" t="s">
        <v>3398</v>
      </c>
      <c r="R67" s="427" t="s">
        <v>3398</v>
      </c>
      <c r="S67" s="427" t="s">
        <v>3261</v>
      </c>
      <c r="T67" s="427" t="s">
        <v>3498</v>
      </c>
      <c r="U67" s="426">
        <v>17.899999999999999</v>
      </c>
      <c r="V67" s="419"/>
      <c r="W67" s="419"/>
    </row>
    <row r="68" spans="2:25" ht="12.75" customHeight="1">
      <c r="B68" s="430"/>
      <c r="C68" s="429" t="s">
        <v>3104</v>
      </c>
      <c r="D68" s="427">
        <v>15</v>
      </c>
      <c r="E68" s="427">
        <v>17.23</v>
      </c>
      <c r="F68" s="427">
        <v>17.16</v>
      </c>
      <c r="G68" s="427">
        <v>10.5</v>
      </c>
      <c r="H68" s="427">
        <v>12</v>
      </c>
      <c r="I68" s="427" t="s">
        <v>3497</v>
      </c>
      <c r="J68" s="427" t="s">
        <v>3496</v>
      </c>
      <c r="K68" s="427" t="s">
        <v>3495</v>
      </c>
      <c r="L68" s="427" t="s">
        <v>3487</v>
      </c>
      <c r="M68" s="427" t="s">
        <v>3494</v>
      </c>
      <c r="N68" s="427" t="s">
        <v>3493</v>
      </c>
      <c r="O68" s="427">
        <v>9.92</v>
      </c>
      <c r="P68" s="427" t="s">
        <v>3492</v>
      </c>
      <c r="Q68" s="427" t="s">
        <v>3392</v>
      </c>
      <c r="R68" s="427" t="s">
        <v>3392</v>
      </c>
      <c r="S68" s="427" t="s">
        <v>3261</v>
      </c>
      <c r="T68" s="427" t="s">
        <v>3491</v>
      </c>
      <c r="U68" s="426">
        <v>18.309999999999999</v>
      </c>
      <c r="V68" s="433"/>
      <c r="W68" s="419"/>
    </row>
    <row r="69" spans="2:25" ht="12.75" customHeight="1">
      <c r="B69" s="430"/>
      <c r="C69" s="429" t="s">
        <v>3099</v>
      </c>
      <c r="D69" s="427">
        <v>15</v>
      </c>
      <c r="E69" s="427">
        <v>17.07</v>
      </c>
      <c r="F69" s="427">
        <v>19.07</v>
      </c>
      <c r="G69" s="427">
        <v>10.5</v>
      </c>
      <c r="H69" s="427">
        <v>12</v>
      </c>
      <c r="I69" s="427" t="s">
        <v>3490</v>
      </c>
      <c r="J69" s="427" t="s">
        <v>3489</v>
      </c>
      <c r="K69" s="427" t="s">
        <v>3488</v>
      </c>
      <c r="L69" s="427" t="s">
        <v>3487</v>
      </c>
      <c r="M69" s="427" t="s">
        <v>3486</v>
      </c>
      <c r="N69" s="427" t="s">
        <v>3427</v>
      </c>
      <c r="O69" s="427">
        <v>10.31</v>
      </c>
      <c r="P69" s="427" t="s">
        <v>3485</v>
      </c>
      <c r="Q69" s="427" t="s">
        <v>3392</v>
      </c>
      <c r="R69" s="427" t="s">
        <v>3392</v>
      </c>
      <c r="S69" s="427" t="s">
        <v>3261</v>
      </c>
      <c r="T69" s="427" t="s">
        <v>3484</v>
      </c>
      <c r="U69" s="426">
        <v>16.34</v>
      </c>
      <c r="V69" s="433"/>
      <c r="W69" s="419"/>
    </row>
    <row r="70" spans="2:25" ht="12.75" customHeight="1">
      <c r="B70" s="430"/>
      <c r="C70" s="429" t="s">
        <v>3094</v>
      </c>
      <c r="D70" s="427">
        <v>15</v>
      </c>
      <c r="E70" s="427">
        <v>21.3</v>
      </c>
      <c r="F70" s="427">
        <v>19.96</v>
      </c>
      <c r="G70" s="427">
        <v>10.5</v>
      </c>
      <c r="H70" s="427">
        <v>12</v>
      </c>
      <c r="I70" s="427" t="s">
        <v>3483</v>
      </c>
      <c r="J70" s="427" t="s">
        <v>3429</v>
      </c>
      <c r="K70" s="427" t="s">
        <v>3482</v>
      </c>
      <c r="L70" s="427" t="s">
        <v>3459</v>
      </c>
      <c r="M70" s="427" t="s">
        <v>3453</v>
      </c>
      <c r="N70" s="427" t="s">
        <v>3427</v>
      </c>
      <c r="O70" s="427">
        <v>10.31</v>
      </c>
      <c r="P70" s="427" t="s">
        <v>3470</v>
      </c>
      <c r="Q70" s="427" t="s">
        <v>3481</v>
      </c>
      <c r="R70" s="427" t="s">
        <v>3392</v>
      </c>
      <c r="S70" s="427" t="s">
        <v>3261</v>
      </c>
      <c r="T70" s="427" t="s">
        <v>3480</v>
      </c>
      <c r="U70" s="426">
        <v>17</v>
      </c>
      <c r="V70" s="433"/>
      <c r="W70" s="419"/>
    </row>
    <row r="71" spans="2:25" ht="12.75" customHeight="1">
      <c r="B71" s="429">
        <v>2008</v>
      </c>
      <c r="C71" s="429" t="s">
        <v>3165</v>
      </c>
      <c r="D71" s="427">
        <v>15</v>
      </c>
      <c r="E71" s="427">
        <v>19.25</v>
      </c>
      <c r="F71" s="427">
        <v>19.45</v>
      </c>
      <c r="G71" s="427">
        <v>10.5</v>
      </c>
      <c r="H71" s="427">
        <v>12</v>
      </c>
      <c r="I71" s="427" t="s">
        <v>3479</v>
      </c>
      <c r="J71" s="427" t="s">
        <v>3465</v>
      </c>
      <c r="K71" s="427" t="s">
        <v>3364</v>
      </c>
      <c r="L71" s="427" t="s">
        <v>3429</v>
      </c>
      <c r="M71" s="427" t="s">
        <v>3453</v>
      </c>
      <c r="N71" s="427" t="s">
        <v>3427</v>
      </c>
      <c r="O71" s="427">
        <v>10.32</v>
      </c>
      <c r="P71" s="427" t="s">
        <v>3470</v>
      </c>
      <c r="Q71" s="427" t="s">
        <v>3392</v>
      </c>
      <c r="R71" s="427" t="s">
        <v>3392</v>
      </c>
      <c r="S71" s="427" t="s">
        <v>3261</v>
      </c>
      <c r="T71" s="427" t="s">
        <v>3478</v>
      </c>
      <c r="U71" s="426">
        <v>18.25</v>
      </c>
      <c r="V71" s="433"/>
      <c r="W71" s="429">
        <v>2008</v>
      </c>
      <c r="X71" s="443">
        <v>39448</v>
      </c>
      <c r="Y71" s="444">
        <v>0.1825</v>
      </c>
    </row>
    <row r="72" spans="2:25" ht="12.75" customHeight="1">
      <c r="B72" s="429"/>
      <c r="C72" s="429" t="s">
        <v>3160</v>
      </c>
      <c r="D72" s="427">
        <v>15</v>
      </c>
      <c r="E72" s="427">
        <v>18.48</v>
      </c>
      <c r="F72" s="427">
        <v>19.04</v>
      </c>
      <c r="G72" s="427">
        <v>10.5</v>
      </c>
      <c r="H72" s="427">
        <v>12</v>
      </c>
      <c r="I72" s="427" t="s">
        <v>3477</v>
      </c>
      <c r="J72" s="427" t="s">
        <v>3465</v>
      </c>
      <c r="K72" s="427" t="s">
        <v>3364</v>
      </c>
      <c r="L72" s="427" t="s">
        <v>3429</v>
      </c>
      <c r="M72" s="427" t="s">
        <v>3471</v>
      </c>
      <c r="N72" s="427" t="s">
        <v>3427</v>
      </c>
      <c r="O72" s="427">
        <v>10.45</v>
      </c>
      <c r="P72" s="427" t="s">
        <v>3470</v>
      </c>
      <c r="Q72" s="427" t="s">
        <v>3392</v>
      </c>
      <c r="R72" s="427" t="s">
        <v>3392</v>
      </c>
      <c r="S72" s="427" t="s">
        <v>3261</v>
      </c>
      <c r="T72" s="427" t="s">
        <v>3474</v>
      </c>
      <c r="U72" s="426">
        <v>17.7</v>
      </c>
      <c r="V72" s="433"/>
      <c r="W72" s="429">
        <v>2008</v>
      </c>
      <c r="X72" s="443">
        <v>39479</v>
      </c>
      <c r="Y72" s="444">
        <v>0.17699999999999999</v>
      </c>
    </row>
    <row r="73" spans="2:25" ht="12.75" customHeight="1">
      <c r="B73" s="429"/>
      <c r="C73" s="429" t="s">
        <v>3154</v>
      </c>
      <c r="D73" s="427">
        <v>15</v>
      </c>
      <c r="E73" s="427">
        <v>18.39</v>
      </c>
      <c r="F73" s="427">
        <v>19</v>
      </c>
      <c r="G73" s="427">
        <v>10.5</v>
      </c>
      <c r="H73" s="427">
        <v>12</v>
      </c>
      <c r="I73" s="427" t="s">
        <v>3476</v>
      </c>
      <c r="J73" s="427" t="s">
        <v>3459</v>
      </c>
      <c r="K73" s="427" t="s">
        <v>3364</v>
      </c>
      <c r="L73" s="427" t="s">
        <v>3465</v>
      </c>
      <c r="M73" s="427" t="s">
        <v>3471</v>
      </c>
      <c r="N73" s="427" t="s">
        <v>3427</v>
      </c>
      <c r="O73" s="427">
        <v>10.47</v>
      </c>
      <c r="P73" s="427" t="s">
        <v>3470</v>
      </c>
      <c r="Q73" s="427" t="s">
        <v>3392</v>
      </c>
      <c r="R73" s="427" t="s">
        <v>3392</v>
      </c>
      <c r="S73" s="427" t="s">
        <v>3261</v>
      </c>
      <c r="T73" s="427" t="s">
        <v>3474</v>
      </c>
      <c r="U73" s="426">
        <v>17.95</v>
      </c>
      <c r="V73" s="433"/>
      <c r="W73" s="429">
        <v>2008</v>
      </c>
      <c r="X73" s="443">
        <v>39508</v>
      </c>
      <c r="Y73" s="444">
        <v>0.17949999999999999</v>
      </c>
    </row>
    <row r="74" spans="2:25" ht="12.75" customHeight="1">
      <c r="B74" s="429"/>
      <c r="C74" s="429" t="s">
        <v>3148</v>
      </c>
      <c r="D74" s="427">
        <v>15</v>
      </c>
      <c r="E74" s="427">
        <v>18.510000000000002</v>
      </c>
      <c r="F74" s="427">
        <v>19</v>
      </c>
      <c r="G74" s="427">
        <v>10.5</v>
      </c>
      <c r="H74" s="427">
        <v>12</v>
      </c>
      <c r="I74" s="427" t="s">
        <v>3475</v>
      </c>
      <c r="J74" s="427" t="s">
        <v>3459</v>
      </c>
      <c r="K74" s="427" t="s">
        <v>3364</v>
      </c>
      <c r="L74" s="427" t="s">
        <v>3465</v>
      </c>
      <c r="M74" s="427" t="s">
        <v>3471</v>
      </c>
      <c r="N74" s="427" t="s">
        <v>3427</v>
      </c>
      <c r="O74" s="427">
        <v>10.58</v>
      </c>
      <c r="P74" s="427" t="s">
        <v>3470</v>
      </c>
      <c r="Q74" s="427" t="s">
        <v>3392</v>
      </c>
      <c r="R74" s="427" t="s">
        <v>3392</v>
      </c>
      <c r="S74" s="427" t="s">
        <v>3261</v>
      </c>
      <c r="T74" s="427" t="s">
        <v>3474</v>
      </c>
      <c r="U74" s="426">
        <v>18.940000000000001</v>
      </c>
      <c r="V74" s="433"/>
      <c r="W74" s="429">
        <v>2008</v>
      </c>
      <c r="X74" s="443">
        <v>39539</v>
      </c>
      <c r="Y74" s="444">
        <v>0.18940000000000001</v>
      </c>
    </row>
    <row r="75" spans="2:25" ht="12.75" customHeight="1">
      <c r="B75" s="429"/>
      <c r="C75" s="429" t="s">
        <v>114</v>
      </c>
      <c r="D75" s="427">
        <v>15</v>
      </c>
      <c r="E75" s="427">
        <v>17.14</v>
      </c>
      <c r="F75" s="427">
        <v>18.399999999999999</v>
      </c>
      <c r="G75" s="427">
        <v>10.5</v>
      </c>
      <c r="H75" s="427">
        <v>12</v>
      </c>
      <c r="I75" s="427" t="s">
        <v>3473</v>
      </c>
      <c r="J75" s="427" t="s">
        <v>3467</v>
      </c>
      <c r="K75" s="427" t="s">
        <v>3364</v>
      </c>
      <c r="L75" s="427" t="s">
        <v>3472</v>
      </c>
      <c r="M75" s="427" t="s">
        <v>3471</v>
      </c>
      <c r="N75" s="427" t="s">
        <v>3427</v>
      </c>
      <c r="O75" s="427">
        <v>10.76</v>
      </c>
      <c r="P75" s="427" t="s">
        <v>3470</v>
      </c>
      <c r="Q75" s="427" t="s">
        <v>3397</v>
      </c>
      <c r="R75" s="427" t="s">
        <v>3469</v>
      </c>
      <c r="S75" s="427" t="s">
        <v>3261</v>
      </c>
      <c r="T75" s="427" t="s">
        <v>3425</v>
      </c>
      <c r="U75" s="426">
        <v>18.88</v>
      </c>
      <c r="V75" s="433"/>
      <c r="W75" s="429">
        <v>2008</v>
      </c>
      <c r="X75" s="443">
        <v>39569</v>
      </c>
      <c r="Y75" s="444">
        <v>0.1888</v>
      </c>
    </row>
    <row r="76" spans="2:25" ht="12.75" customHeight="1">
      <c r="B76" s="429"/>
      <c r="C76" s="429" t="s">
        <v>3135</v>
      </c>
      <c r="D76" s="427">
        <v>15</v>
      </c>
      <c r="E76" s="427">
        <v>17.29</v>
      </c>
      <c r="F76" s="427">
        <v>18.53</v>
      </c>
      <c r="G76" s="427">
        <v>10.5</v>
      </c>
      <c r="H76" s="427">
        <v>12</v>
      </c>
      <c r="I76" s="427" t="s">
        <v>3468</v>
      </c>
      <c r="J76" s="427" t="s">
        <v>3467</v>
      </c>
      <c r="K76" s="427" t="s">
        <v>3466</v>
      </c>
      <c r="L76" s="427" t="s">
        <v>3465</v>
      </c>
      <c r="M76" s="427" t="s">
        <v>3464</v>
      </c>
      <c r="N76" s="427" t="s">
        <v>3427</v>
      </c>
      <c r="O76" s="427">
        <v>10.92</v>
      </c>
      <c r="P76" s="427" t="s">
        <v>3463</v>
      </c>
      <c r="Q76" s="427" t="s">
        <v>3392</v>
      </c>
      <c r="R76" s="427" t="s">
        <v>3392</v>
      </c>
      <c r="S76" s="427" t="s">
        <v>3261</v>
      </c>
      <c r="T76" s="427" t="s">
        <v>3440</v>
      </c>
      <c r="U76" s="426">
        <v>18.829999999999998</v>
      </c>
      <c r="V76" s="433"/>
      <c r="W76" s="429">
        <v>2008</v>
      </c>
      <c r="X76" s="443">
        <v>39600</v>
      </c>
      <c r="Y76" s="444">
        <v>0.1883</v>
      </c>
    </row>
    <row r="77" spans="2:25" ht="12.75" customHeight="1">
      <c r="B77" s="429"/>
      <c r="C77" s="429" t="s">
        <v>3125</v>
      </c>
      <c r="D77" s="427">
        <v>15</v>
      </c>
      <c r="E77" s="427">
        <v>17.260000000000002</v>
      </c>
      <c r="F77" s="427">
        <v>18.649999999999999</v>
      </c>
      <c r="G77" s="427">
        <v>10.5</v>
      </c>
      <c r="H77" s="427">
        <v>12</v>
      </c>
      <c r="I77" s="427" t="s">
        <v>3462</v>
      </c>
      <c r="J77" s="427" t="s">
        <v>3461</v>
      </c>
      <c r="K77" s="427" t="s">
        <v>3460</v>
      </c>
      <c r="L77" s="427" t="s">
        <v>3459</v>
      </c>
      <c r="M77" s="427" t="s">
        <v>3458</v>
      </c>
      <c r="N77" s="427" t="s">
        <v>3427</v>
      </c>
      <c r="O77" s="427">
        <v>10.93</v>
      </c>
      <c r="P77" s="427" t="s">
        <v>3452</v>
      </c>
      <c r="Q77" s="427" t="s">
        <v>3392</v>
      </c>
      <c r="R77" s="427" t="s">
        <v>3392</v>
      </c>
      <c r="S77" s="427" t="s">
        <v>3261</v>
      </c>
      <c r="T77" s="427" t="s">
        <v>3425</v>
      </c>
      <c r="U77" s="426">
        <v>18.25</v>
      </c>
      <c r="V77" s="433"/>
      <c r="W77" s="429">
        <v>2008</v>
      </c>
      <c r="X77" s="443">
        <v>39630</v>
      </c>
      <c r="Y77" s="444">
        <v>0.1825</v>
      </c>
    </row>
    <row r="78" spans="2:25" ht="12.75" customHeight="1">
      <c r="B78" s="429"/>
      <c r="C78" s="429" t="s">
        <v>3117</v>
      </c>
      <c r="D78" s="427">
        <v>15</v>
      </c>
      <c r="E78" s="427">
        <v>16.46</v>
      </c>
      <c r="F78" s="427">
        <v>18.600000000000001</v>
      </c>
      <c r="G78" s="427">
        <v>10.5</v>
      </c>
      <c r="H78" s="427">
        <v>12</v>
      </c>
      <c r="I78" s="427" t="s">
        <v>3457</v>
      </c>
      <c r="J78" s="427" t="s">
        <v>3454</v>
      </c>
      <c r="K78" s="427" t="s">
        <v>3456</v>
      </c>
      <c r="L78" s="427" t="s">
        <v>3429</v>
      </c>
      <c r="M78" s="427" t="s">
        <v>3453</v>
      </c>
      <c r="N78" s="427" t="s">
        <v>3427</v>
      </c>
      <c r="O78" s="427">
        <v>10.91</v>
      </c>
      <c r="P78" s="427" t="s">
        <v>3452</v>
      </c>
      <c r="Q78" s="427" t="s">
        <v>3392</v>
      </c>
      <c r="R78" s="427" t="s">
        <v>3392</v>
      </c>
      <c r="S78" s="427" t="s">
        <v>3261</v>
      </c>
      <c r="T78" s="427" t="s">
        <v>3425</v>
      </c>
      <c r="U78" s="426">
        <v>17.84</v>
      </c>
      <c r="V78" s="433"/>
      <c r="W78" s="429">
        <v>2008</v>
      </c>
      <c r="X78" s="443">
        <v>39661</v>
      </c>
      <c r="Y78" s="444">
        <v>0.1784</v>
      </c>
    </row>
    <row r="79" spans="2:25" ht="12.75" customHeight="1">
      <c r="B79" s="429"/>
      <c r="C79" s="429" t="s">
        <v>3113</v>
      </c>
      <c r="D79" s="427">
        <v>15</v>
      </c>
      <c r="E79" s="427">
        <v>17.22</v>
      </c>
      <c r="F79" s="427">
        <v>19.059999999999999</v>
      </c>
      <c r="G79" s="427">
        <v>10.5</v>
      </c>
      <c r="H79" s="427">
        <v>12</v>
      </c>
      <c r="I79" s="427" t="s">
        <v>3455</v>
      </c>
      <c r="J79" s="427" t="s">
        <v>3454</v>
      </c>
      <c r="K79" s="427" t="s">
        <v>3400</v>
      </c>
      <c r="L79" s="427" t="s">
        <v>3429</v>
      </c>
      <c r="M79" s="427" t="s">
        <v>3453</v>
      </c>
      <c r="N79" s="427" t="s">
        <v>3427</v>
      </c>
      <c r="O79" s="427">
        <v>11.03</v>
      </c>
      <c r="P79" s="427" t="s">
        <v>3452</v>
      </c>
      <c r="Q79" s="427" t="s">
        <v>3392</v>
      </c>
      <c r="R79" s="427" t="s">
        <v>3392</v>
      </c>
      <c r="S79" s="427" t="s">
        <v>3261</v>
      </c>
      <c r="T79" s="427" t="s">
        <v>3440</v>
      </c>
      <c r="U79" s="426">
        <v>19.82</v>
      </c>
      <c r="V79" s="419"/>
      <c r="W79" s="429">
        <v>2008</v>
      </c>
      <c r="X79" s="443">
        <v>39692</v>
      </c>
      <c r="Y79" s="444">
        <v>0.19820000000000002</v>
      </c>
    </row>
    <row r="80" spans="2:25" ht="12.75" customHeight="1">
      <c r="B80" s="429"/>
      <c r="C80" s="429" t="s">
        <v>3104</v>
      </c>
      <c r="D80" s="427">
        <v>15</v>
      </c>
      <c r="E80" s="427">
        <v>17.2</v>
      </c>
      <c r="F80" s="427">
        <v>19.059999999999999</v>
      </c>
      <c r="G80" s="427">
        <v>10.5</v>
      </c>
      <c r="H80" s="427">
        <v>12</v>
      </c>
      <c r="I80" s="427" t="s">
        <v>3451</v>
      </c>
      <c r="J80" s="427" t="s">
        <v>3450</v>
      </c>
      <c r="K80" s="427" t="s">
        <v>3400</v>
      </c>
      <c r="L80" s="427" t="s">
        <v>3429</v>
      </c>
      <c r="M80" s="427" t="s">
        <v>3449</v>
      </c>
      <c r="N80" s="427" t="s">
        <v>3427</v>
      </c>
      <c r="O80" s="427">
        <v>11.28</v>
      </c>
      <c r="P80" s="427" t="s">
        <v>3415</v>
      </c>
      <c r="Q80" s="427" t="s">
        <v>3392</v>
      </c>
      <c r="R80" s="427" t="s">
        <v>3392</v>
      </c>
      <c r="S80" s="427" t="s">
        <v>3261</v>
      </c>
      <c r="T80" s="427" t="s">
        <v>3440</v>
      </c>
      <c r="U80" s="426">
        <v>20.28</v>
      </c>
      <c r="V80" s="419"/>
      <c r="W80" s="429">
        <v>2008</v>
      </c>
      <c r="X80" s="443">
        <v>39722</v>
      </c>
      <c r="Y80" s="444">
        <v>0.20280000000000001</v>
      </c>
    </row>
    <row r="81" spans="2:25" ht="12.75" customHeight="1">
      <c r="B81" s="429"/>
      <c r="C81" s="429" t="s">
        <v>3099</v>
      </c>
      <c r="D81" s="427">
        <v>15</v>
      </c>
      <c r="E81" s="427">
        <v>17.2</v>
      </c>
      <c r="F81" s="427">
        <v>19.059999999999999</v>
      </c>
      <c r="G81" s="427">
        <v>10.5</v>
      </c>
      <c r="H81" s="427">
        <v>12</v>
      </c>
      <c r="I81" s="427" t="s">
        <v>3448</v>
      </c>
      <c r="J81" s="427" t="s">
        <v>3447</v>
      </c>
      <c r="K81" s="427" t="s">
        <v>3443</v>
      </c>
      <c r="L81" s="427" t="s">
        <v>3446</v>
      </c>
      <c r="M81" s="427" t="s">
        <v>3441</v>
      </c>
      <c r="N81" s="427" t="s">
        <v>3427</v>
      </c>
      <c r="O81" s="427">
        <v>11.39</v>
      </c>
      <c r="P81" s="427" t="s">
        <v>3415</v>
      </c>
      <c r="Q81" s="427" t="s">
        <v>3392</v>
      </c>
      <c r="R81" s="427" t="s">
        <v>3392</v>
      </c>
      <c r="S81" s="427" t="s">
        <v>3425</v>
      </c>
      <c r="T81" s="427" t="s">
        <v>3440</v>
      </c>
      <c r="U81" s="426">
        <v>20.79</v>
      </c>
      <c r="V81" s="419"/>
      <c r="W81" s="429">
        <v>2008</v>
      </c>
      <c r="X81" s="443">
        <v>39753</v>
      </c>
      <c r="Y81" s="444">
        <v>0.2079</v>
      </c>
    </row>
    <row r="82" spans="2:25" ht="12.75" customHeight="1">
      <c r="B82" s="429"/>
      <c r="C82" s="429" t="s">
        <v>3094</v>
      </c>
      <c r="D82" s="427">
        <v>15</v>
      </c>
      <c r="E82" s="427">
        <v>17.329999999999998</v>
      </c>
      <c r="F82" s="427">
        <v>19.12</v>
      </c>
      <c r="G82" s="427">
        <v>10.5</v>
      </c>
      <c r="H82" s="427">
        <v>12</v>
      </c>
      <c r="I82" s="427" t="s">
        <v>3445</v>
      </c>
      <c r="J82" s="427" t="s">
        <v>3444</v>
      </c>
      <c r="K82" s="427" t="s">
        <v>3443</v>
      </c>
      <c r="L82" s="427" t="s">
        <v>3442</v>
      </c>
      <c r="M82" s="427" t="s">
        <v>3441</v>
      </c>
      <c r="N82" s="427" t="s">
        <v>3427</v>
      </c>
      <c r="O82" s="427">
        <v>11.63</v>
      </c>
      <c r="P82" s="427" t="s">
        <v>3415</v>
      </c>
      <c r="Q82" s="427" t="s">
        <v>3392</v>
      </c>
      <c r="R82" s="427" t="s">
        <v>3392</v>
      </c>
      <c r="S82" s="427" t="s">
        <v>3425</v>
      </c>
      <c r="T82" s="427" t="s">
        <v>3440</v>
      </c>
      <c r="U82" s="432">
        <v>19.170000000000002</v>
      </c>
      <c r="V82" s="419"/>
      <c r="W82" s="429">
        <v>2008</v>
      </c>
      <c r="X82" s="443">
        <v>39783</v>
      </c>
      <c r="Y82" s="444">
        <v>0.19170000000000001</v>
      </c>
    </row>
    <row r="83" spans="2:25" ht="12.75" customHeight="1">
      <c r="B83" s="429">
        <v>2009</v>
      </c>
      <c r="C83" s="429" t="s">
        <v>3165</v>
      </c>
      <c r="D83" s="427">
        <v>15</v>
      </c>
      <c r="E83" s="427">
        <v>15.94</v>
      </c>
      <c r="F83" s="427">
        <v>17.559999999999999</v>
      </c>
      <c r="G83" s="427">
        <v>10.5</v>
      </c>
      <c r="H83" s="427">
        <v>12</v>
      </c>
      <c r="I83" s="427" t="s">
        <v>3439</v>
      </c>
      <c r="J83" s="427" t="s">
        <v>3438</v>
      </c>
      <c r="K83" s="427" t="s">
        <v>3422</v>
      </c>
      <c r="L83" s="427" t="s">
        <v>3434</v>
      </c>
      <c r="M83" s="427" t="s">
        <v>3433</v>
      </c>
      <c r="N83" s="427" t="s">
        <v>3427</v>
      </c>
      <c r="O83" s="427">
        <v>11.74</v>
      </c>
      <c r="P83" s="427" t="s">
        <v>3415</v>
      </c>
      <c r="Q83" s="427" t="s">
        <v>3392</v>
      </c>
      <c r="R83" s="427" t="s">
        <v>3392</v>
      </c>
      <c r="S83" s="427" t="s">
        <v>3425</v>
      </c>
      <c r="T83" s="427" t="s">
        <v>3437</v>
      </c>
      <c r="U83" s="432">
        <v>18.920000000000002</v>
      </c>
      <c r="V83" s="433"/>
      <c r="W83" s="429">
        <v>2009</v>
      </c>
      <c r="X83" s="443">
        <v>39814</v>
      </c>
      <c r="Y83" s="444">
        <v>0.18920000000000001</v>
      </c>
    </row>
    <row r="84" spans="2:25" ht="12.75" customHeight="1">
      <c r="B84" s="429"/>
      <c r="C84" s="429" t="s">
        <v>3160</v>
      </c>
      <c r="D84" s="427">
        <v>15</v>
      </c>
      <c r="E84" s="427">
        <v>15.76</v>
      </c>
      <c r="F84" s="427">
        <v>17.73</v>
      </c>
      <c r="G84" s="427">
        <v>10.25</v>
      </c>
      <c r="H84" s="427">
        <v>11.75</v>
      </c>
      <c r="I84" s="427" t="s">
        <v>3436</v>
      </c>
      <c r="J84" s="427" t="s">
        <v>3435</v>
      </c>
      <c r="K84" s="427" t="s">
        <v>3422</v>
      </c>
      <c r="L84" s="427" t="s">
        <v>3434</v>
      </c>
      <c r="M84" s="427" t="s">
        <v>3433</v>
      </c>
      <c r="N84" s="427" t="s">
        <v>3427</v>
      </c>
      <c r="O84" s="427">
        <v>11.55</v>
      </c>
      <c r="P84" s="427" t="s">
        <v>3415</v>
      </c>
      <c r="Q84" s="427" t="s">
        <v>3392</v>
      </c>
      <c r="R84" s="427" t="s">
        <v>3392</v>
      </c>
      <c r="S84" s="427" t="s">
        <v>3425</v>
      </c>
      <c r="T84" s="427" t="s">
        <v>3377</v>
      </c>
      <c r="U84" s="432">
        <v>19.559999999999999</v>
      </c>
      <c r="V84" s="433"/>
      <c r="W84" s="429">
        <v>2009</v>
      </c>
      <c r="X84" s="443">
        <v>39845</v>
      </c>
      <c r="Y84" s="444">
        <v>0.1956</v>
      </c>
    </row>
    <row r="85" spans="2:25" ht="12.75" customHeight="1">
      <c r="B85" s="429"/>
      <c r="C85" s="429" t="s">
        <v>3154</v>
      </c>
      <c r="D85" s="427">
        <v>15</v>
      </c>
      <c r="E85" s="427">
        <v>14.62</v>
      </c>
      <c r="F85" s="427">
        <v>16.63</v>
      </c>
      <c r="G85" s="427">
        <v>10.25</v>
      </c>
      <c r="H85" s="427">
        <v>11.75</v>
      </c>
      <c r="I85" s="427" t="s">
        <v>3432</v>
      </c>
      <c r="J85" s="427" t="s">
        <v>3431</v>
      </c>
      <c r="K85" s="427" t="s">
        <v>3422</v>
      </c>
      <c r="L85" s="427" t="s">
        <v>3429</v>
      </c>
      <c r="M85" s="427" t="s">
        <v>3428</v>
      </c>
      <c r="N85" s="427" t="s">
        <v>3427</v>
      </c>
      <c r="O85" s="427">
        <v>11.53</v>
      </c>
      <c r="P85" s="427" t="s">
        <v>3415</v>
      </c>
      <c r="Q85" s="427" t="s">
        <v>3392</v>
      </c>
      <c r="R85" s="427" t="s">
        <v>3426</v>
      </c>
      <c r="S85" s="427" t="s">
        <v>3425</v>
      </c>
      <c r="T85" s="427" t="s">
        <v>3377</v>
      </c>
      <c r="U85" s="432">
        <v>18.96</v>
      </c>
      <c r="V85" s="433"/>
      <c r="W85" s="429">
        <v>2009</v>
      </c>
      <c r="X85" s="443">
        <v>39873</v>
      </c>
      <c r="Y85" s="444">
        <v>0.18960000000000002</v>
      </c>
    </row>
    <row r="86" spans="2:25" ht="12.75" customHeight="1">
      <c r="B86" s="429"/>
      <c r="C86" s="429" t="s">
        <v>3148</v>
      </c>
      <c r="D86" s="427">
        <v>15</v>
      </c>
      <c r="E86" s="427">
        <v>12.65</v>
      </c>
      <c r="F86" s="427">
        <v>14.05</v>
      </c>
      <c r="G86" s="427">
        <v>9</v>
      </c>
      <c r="H86" s="427">
        <v>11.75</v>
      </c>
      <c r="I86" s="427" t="s">
        <v>3430</v>
      </c>
      <c r="J86" s="427" t="s">
        <v>3423</v>
      </c>
      <c r="K86" s="427" t="s">
        <v>3422</v>
      </c>
      <c r="L86" s="434" t="s">
        <v>3429</v>
      </c>
      <c r="M86" s="427" t="s">
        <v>3428</v>
      </c>
      <c r="N86" s="427" t="s">
        <v>3427</v>
      </c>
      <c r="O86" s="427">
        <v>11.52</v>
      </c>
      <c r="P86" s="427" t="s">
        <v>3415</v>
      </c>
      <c r="Q86" s="427" t="s">
        <v>3392</v>
      </c>
      <c r="R86" s="427" t="s">
        <v>3426</v>
      </c>
      <c r="S86" s="427" t="s">
        <v>3425</v>
      </c>
      <c r="T86" s="427" t="s">
        <v>3377</v>
      </c>
      <c r="U86" s="432">
        <v>18.899999999999999</v>
      </c>
      <c r="V86" s="433"/>
      <c r="W86" s="429">
        <v>2009</v>
      </c>
      <c r="X86" s="443">
        <v>39904</v>
      </c>
      <c r="Y86" s="444">
        <v>0.18899999999999997</v>
      </c>
    </row>
    <row r="87" spans="2:25" ht="12.75" customHeight="1">
      <c r="B87" s="429"/>
      <c r="C87" s="429" t="s">
        <v>114</v>
      </c>
      <c r="D87" s="427">
        <v>15</v>
      </c>
      <c r="E87" s="427">
        <v>12.04</v>
      </c>
      <c r="F87" s="427">
        <v>13.4</v>
      </c>
      <c r="G87" s="427">
        <v>9</v>
      </c>
      <c r="H87" s="427">
        <v>11.5</v>
      </c>
      <c r="I87" s="427" t="s">
        <v>3424</v>
      </c>
      <c r="J87" s="427" t="s">
        <v>3423</v>
      </c>
      <c r="K87" s="427" t="s">
        <v>3422</v>
      </c>
      <c r="L87" s="427" t="s">
        <v>3421</v>
      </c>
      <c r="M87" s="427" t="s">
        <v>3420</v>
      </c>
      <c r="N87" s="427" t="s">
        <v>3419</v>
      </c>
      <c r="O87" s="427">
        <v>11.43</v>
      </c>
      <c r="P87" s="427" t="s">
        <v>3415</v>
      </c>
      <c r="Q87" s="427" t="s">
        <v>3398</v>
      </c>
      <c r="R87" s="427" t="s">
        <v>3405</v>
      </c>
      <c r="S87" s="427" t="s">
        <v>3418</v>
      </c>
      <c r="T87" s="427" t="s">
        <v>3377</v>
      </c>
      <c r="U87" s="432">
        <v>17.75</v>
      </c>
      <c r="V87" s="433"/>
      <c r="W87" s="429">
        <v>2009</v>
      </c>
      <c r="X87" s="443">
        <v>39934</v>
      </c>
      <c r="Y87" s="444">
        <v>0.17749999999999999</v>
      </c>
    </row>
    <row r="88" spans="2:25" ht="12.75" customHeight="1">
      <c r="B88" s="429"/>
      <c r="C88" s="429" t="s">
        <v>3135</v>
      </c>
      <c r="D88" s="427">
        <v>15</v>
      </c>
      <c r="E88" s="427">
        <v>11.41</v>
      </c>
      <c r="F88" s="427">
        <v>12.34</v>
      </c>
      <c r="G88" s="427">
        <v>8.5</v>
      </c>
      <c r="H88" s="427">
        <v>11</v>
      </c>
      <c r="I88" s="427" t="s">
        <v>3417</v>
      </c>
      <c r="J88" s="427" t="s">
        <v>3380</v>
      </c>
      <c r="K88" s="427" t="s">
        <v>3416</v>
      </c>
      <c r="L88" s="427" t="s">
        <v>3401</v>
      </c>
      <c r="M88" s="427" t="s">
        <v>3412</v>
      </c>
      <c r="N88" s="427" t="s">
        <v>3411</v>
      </c>
      <c r="O88" s="427">
        <v>11.12</v>
      </c>
      <c r="P88" s="427" t="s">
        <v>3415</v>
      </c>
      <c r="Q88" s="427" t="s">
        <v>3398</v>
      </c>
      <c r="R88" s="427" t="s">
        <v>3405</v>
      </c>
      <c r="S88" s="427" t="s">
        <v>3373</v>
      </c>
      <c r="T88" s="427" t="s">
        <v>3377</v>
      </c>
      <c r="U88" s="432">
        <v>16.2</v>
      </c>
      <c r="V88" s="433"/>
      <c r="W88" s="429">
        <v>2009</v>
      </c>
      <c r="X88" s="443">
        <v>39965</v>
      </c>
      <c r="Y88" s="444">
        <v>0.16200000000000001</v>
      </c>
    </row>
    <row r="89" spans="2:25" ht="12.75" customHeight="1">
      <c r="B89" s="429"/>
      <c r="C89" s="429" t="s">
        <v>3125</v>
      </c>
      <c r="D89" s="427">
        <v>15</v>
      </c>
      <c r="E89" s="427">
        <v>10.64</v>
      </c>
      <c r="F89" s="427">
        <v>11.97</v>
      </c>
      <c r="G89" s="427">
        <v>8.5</v>
      </c>
      <c r="H89" s="427">
        <v>11</v>
      </c>
      <c r="I89" s="427" t="s">
        <v>3414</v>
      </c>
      <c r="J89" s="427" t="s">
        <v>3380</v>
      </c>
      <c r="K89" s="427" t="s">
        <v>3413</v>
      </c>
      <c r="L89" s="427" t="s">
        <v>3401</v>
      </c>
      <c r="M89" s="427" t="s">
        <v>3412</v>
      </c>
      <c r="N89" s="427" t="s">
        <v>3411</v>
      </c>
      <c r="O89" s="427">
        <v>10.98</v>
      </c>
      <c r="P89" s="427" t="s">
        <v>3399</v>
      </c>
      <c r="Q89" s="427" t="s">
        <v>3398</v>
      </c>
      <c r="R89" s="427" t="s">
        <v>3405</v>
      </c>
      <c r="S89" s="427" t="s">
        <v>3373</v>
      </c>
      <c r="T89" s="427" t="s">
        <v>3377</v>
      </c>
      <c r="U89" s="432">
        <v>15</v>
      </c>
      <c r="V89" s="433"/>
      <c r="W89" s="429">
        <v>2009</v>
      </c>
      <c r="X89" s="443">
        <v>39995</v>
      </c>
      <c r="Y89" s="444">
        <v>0.15</v>
      </c>
    </row>
    <row r="90" spans="2:25" ht="12.75" customHeight="1">
      <c r="B90" s="429"/>
      <c r="C90" s="429" t="s">
        <v>3117</v>
      </c>
      <c r="D90" s="427">
        <v>15</v>
      </c>
      <c r="E90" s="427">
        <v>10.57</v>
      </c>
      <c r="F90" s="427">
        <v>11.98</v>
      </c>
      <c r="G90" s="427">
        <v>8.5</v>
      </c>
      <c r="H90" s="427">
        <v>11</v>
      </c>
      <c r="I90" s="427" t="s">
        <v>3410</v>
      </c>
      <c r="J90" s="427" t="s">
        <v>3364</v>
      </c>
      <c r="K90" s="427" t="s">
        <v>3409</v>
      </c>
      <c r="L90" s="427" t="s">
        <v>3401</v>
      </c>
      <c r="M90" s="427" t="s">
        <v>3408</v>
      </c>
      <c r="N90" s="427" t="s">
        <v>3407</v>
      </c>
      <c r="O90" s="427">
        <v>10.84</v>
      </c>
      <c r="P90" s="427" t="s">
        <v>3406</v>
      </c>
      <c r="Q90" s="427" t="s">
        <v>3398</v>
      </c>
      <c r="R90" s="427" t="s">
        <v>3405</v>
      </c>
      <c r="S90" s="427" t="s">
        <v>3373</v>
      </c>
      <c r="T90" s="427" t="s">
        <v>3377</v>
      </c>
      <c r="U90" s="432">
        <v>14.12</v>
      </c>
      <c r="V90" s="433"/>
      <c r="W90" s="429">
        <v>2009</v>
      </c>
      <c r="X90" s="443">
        <v>40026</v>
      </c>
      <c r="Y90" s="444">
        <v>0.14119999999999999</v>
      </c>
    </row>
    <row r="91" spans="2:25" ht="12.75" customHeight="1">
      <c r="B91" s="429"/>
      <c r="C91" s="429" t="s">
        <v>3113</v>
      </c>
      <c r="D91" s="427">
        <v>15</v>
      </c>
      <c r="E91" s="427">
        <v>9.6999999999999993</v>
      </c>
      <c r="F91" s="427">
        <v>11.17</v>
      </c>
      <c r="G91" s="427">
        <v>8</v>
      </c>
      <c r="H91" s="427">
        <v>10.5</v>
      </c>
      <c r="I91" s="427" t="s">
        <v>3404</v>
      </c>
      <c r="J91" s="427" t="s">
        <v>3403</v>
      </c>
      <c r="K91" s="427" t="s">
        <v>3402</v>
      </c>
      <c r="L91" s="427" t="s">
        <v>3401</v>
      </c>
      <c r="M91" s="427" t="s">
        <v>3400</v>
      </c>
      <c r="N91" s="427" t="s">
        <v>3390</v>
      </c>
      <c r="O91" s="427">
        <v>10.34</v>
      </c>
      <c r="P91" s="427" t="s">
        <v>3399</v>
      </c>
      <c r="Q91" s="427" t="s">
        <v>3398</v>
      </c>
      <c r="R91" s="427" t="s">
        <v>3397</v>
      </c>
      <c r="S91" s="427" t="s">
        <v>3373</v>
      </c>
      <c r="T91" s="427" t="s">
        <v>3377</v>
      </c>
      <c r="U91" s="432">
        <v>13.1</v>
      </c>
      <c r="V91" s="419"/>
      <c r="W91" s="429">
        <v>2009</v>
      </c>
      <c r="X91" s="443">
        <v>40057</v>
      </c>
      <c r="Y91" s="444">
        <v>0.13100000000000001</v>
      </c>
    </row>
    <row r="92" spans="2:25" ht="12.75" customHeight="1">
      <c r="B92" s="429"/>
      <c r="C92" s="429" t="s">
        <v>3104</v>
      </c>
      <c r="D92" s="427">
        <v>15</v>
      </c>
      <c r="E92" s="427">
        <v>8.5</v>
      </c>
      <c r="F92" s="428">
        <v>9.8800000000000008</v>
      </c>
      <c r="G92" s="427">
        <v>8</v>
      </c>
      <c r="H92" s="427">
        <v>10.5</v>
      </c>
      <c r="I92" s="427" t="s">
        <v>3396</v>
      </c>
      <c r="J92" s="427" t="s">
        <v>3387</v>
      </c>
      <c r="K92" s="427" t="s">
        <v>3395</v>
      </c>
      <c r="L92" s="427" t="s">
        <v>3394</v>
      </c>
      <c r="M92" s="427" t="s">
        <v>3394</v>
      </c>
      <c r="N92" s="427" t="s">
        <v>3390</v>
      </c>
      <c r="O92" s="427">
        <v>9.76</v>
      </c>
      <c r="P92" s="427" t="s">
        <v>3393</v>
      </c>
      <c r="Q92" s="427" t="s">
        <v>3392</v>
      </c>
      <c r="R92" s="427" t="s">
        <v>3392</v>
      </c>
      <c r="S92" s="427" t="s">
        <v>3373</v>
      </c>
      <c r="T92" s="427" t="s">
        <v>3377</v>
      </c>
      <c r="U92" s="432">
        <v>12.64</v>
      </c>
      <c r="V92" s="419"/>
      <c r="W92" s="429">
        <v>2009</v>
      </c>
      <c r="X92" s="443">
        <v>40087</v>
      </c>
      <c r="Y92" s="444">
        <v>0.12640000000000001</v>
      </c>
    </row>
    <row r="93" spans="2:25" ht="12.75" customHeight="1">
      <c r="B93" s="429"/>
      <c r="C93" s="430" t="s">
        <v>3099</v>
      </c>
      <c r="D93" s="428">
        <v>15</v>
      </c>
      <c r="E93" s="428">
        <v>7.25</v>
      </c>
      <c r="F93" s="428">
        <v>9.17</v>
      </c>
      <c r="G93" s="428">
        <v>7.5</v>
      </c>
      <c r="H93" s="428">
        <v>9.75</v>
      </c>
      <c r="I93" s="428" t="s">
        <v>3391</v>
      </c>
      <c r="J93" s="427" t="s">
        <v>3387</v>
      </c>
      <c r="K93" s="427" t="s">
        <v>3386</v>
      </c>
      <c r="L93" s="427" t="s">
        <v>3385</v>
      </c>
      <c r="M93" s="427" t="s">
        <v>3380</v>
      </c>
      <c r="N93" s="428" t="s">
        <v>3390</v>
      </c>
      <c r="O93" s="428">
        <v>8.51</v>
      </c>
      <c r="P93" s="428" t="s">
        <v>3383</v>
      </c>
      <c r="Q93" s="428" t="s">
        <v>3389</v>
      </c>
      <c r="R93" s="428" t="s">
        <v>3379</v>
      </c>
      <c r="S93" s="428" t="s">
        <v>3373</v>
      </c>
      <c r="T93" s="427" t="s">
        <v>3377</v>
      </c>
      <c r="U93" s="432">
        <v>11.79</v>
      </c>
      <c r="V93" s="419"/>
      <c r="W93" s="429">
        <v>2009</v>
      </c>
      <c r="X93" s="443">
        <v>40118</v>
      </c>
      <c r="Y93" s="444">
        <v>0.11789999999999999</v>
      </c>
    </row>
    <row r="94" spans="2:25" ht="12.75" customHeight="1">
      <c r="B94" s="429"/>
      <c r="C94" s="430" t="s">
        <v>3094</v>
      </c>
      <c r="D94" s="428">
        <v>15</v>
      </c>
      <c r="E94" s="428">
        <v>7.73</v>
      </c>
      <c r="F94" s="428">
        <v>9.33</v>
      </c>
      <c r="G94" s="428">
        <v>7.5</v>
      </c>
      <c r="H94" s="428">
        <v>9.75</v>
      </c>
      <c r="I94" s="428" t="s">
        <v>3388</v>
      </c>
      <c r="J94" s="428" t="s">
        <v>3387</v>
      </c>
      <c r="K94" s="428" t="s">
        <v>3386</v>
      </c>
      <c r="L94" s="428" t="s">
        <v>3385</v>
      </c>
      <c r="M94" s="428" t="s">
        <v>3380</v>
      </c>
      <c r="N94" s="428" t="s">
        <v>3384</v>
      </c>
      <c r="O94" s="428">
        <v>8.01</v>
      </c>
      <c r="P94" s="428" t="s">
        <v>3383</v>
      </c>
      <c r="Q94" s="428" t="s">
        <v>3379</v>
      </c>
      <c r="R94" s="428" t="s">
        <v>3378</v>
      </c>
      <c r="S94" s="428" t="s">
        <v>3373</v>
      </c>
      <c r="T94" s="428" t="s">
        <v>3377</v>
      </c>
      <c r="U94" s="426">
        <v>11.12</v>
      </c>
      <c r="V94" s="419"/>
      <c r="W94" s="429">
        <v>2009</v>
      </c>
      <c r="X94" s="443">
        <v>40148</v>
      </c>
      <c r="Y94" s="444">
        <v>0.11119999999999999</v>
      </c>
    </row>
    <row r="95" spans="2:25" ht="12.75" customHeight="1">
      <c r="B95" s="429">
        <v>2010</v>
      </c>
      <c r="C95" s="430" t="s">
        <v>3165</v>
      </c>
      <c r="D95" s="428">
        <v>15</v>
      </c>
      <c r="E95" s="428">
        <v>7.95</v>
      </c>
      <c r="F95" s="428">
        <v>9.4600000000000009</v>
      </c>
      <c r="G95" s="428">
        <v>7.5</v>
      </c>
      <c r="H95" s="428">
        <v>9.75</v>
      </c>
      <c r="I95" s="428" t="s">
        <v>3382</v>
      </c>
      <c r="J95" s="428" t="s">
        <v>3146</v>
      </c>
      <c r="K95" s="428" t="s">
        <v>3381</v>
      </c>
      <c r="L95" s="428" t="s">
        <v>3380</v>
      </c>
      <c r="M95" s="428" t="s">
        <v>3376</v>
      </c>
      <c r="N95" s="428" t="s">
        <v>3375</v>
      </c>
      <c r="O95" s="428">
        <v>7.73</v>
      </c>
      <c r="P95" s="428" t="s">
        <v>3138</v>
      </c>
      <c r="Q95" s="428" t="s">
        <v>3379</v>
      </c>
      <c r="R95" s="428" t="s">
        <v>3378</v>
      </c>
      <c r="S95" s="428" t="s">
        <v>3373</v>
      </c>
      <c r="T95" s="428" t="s">
        <v>3377</v>
      </c>
      <c r="U95" s="426">
        <v>10.99</v>
      </c>
      <c r="V95" s="419"/>
      <c r="W95" s="429">
        <v>2010</v>
      </c>
      <c r="X95" s="443">
        <v>40179</v>
      </c>
      <c r="Y95" s="444">
        <v>0.1099</v>
      </c>
    </row>
    <row r="96" spans="2:25" ht="12.75" customHeight="1">
      <c r="B96" s="429"/>
      <c r="C96" s="430" t="s">
        <v>3160</v>
      </c>
      <c r="D96" s="428">
        <v>15</v>
      </c>
      <c r="E96" s="428">
        <v>8.26</v>
      </c>
      <c r="F96" s="428">
        <v>9.4700000000000006</v>
      </c>
      <c r="G96" s="428">
        <v>7.5</v>
      </c>
      <c r="H96" s="428">
        <v>9.75</v>
      </c>
      <c r="I96" s="428" t="s">
        <v>3372</v>
      </c>
      <c r="J96" s="428" t="s">
        <v>3146</v>
      </c>
      <c r="K96" s="428" t="s">
        <v>3371</v>
      </c>
      <c r="L96" s="428" t="s">
        <v>3364</v>
      </c>
      <c r="M96" s="428" t="s">
        <v>3376</v>
      </c>
      <c r="N96" s="428" t="s">
        <v>3375</v>
      </c>
      <c r="O96" s="428">
        <v>7.4</v>
      </c>
      <c r="P96" s="428" t="s">
        <v>3348</v>
      </c>
      <c r="Q96" s="428" t="s">
        <v>3374</v>
      </c>
      <c r="R96" s="428" t="s">
        <v>3366</v>
      </c>
      <c r="S96" s="428" t="s">
        <v>3373</v>
      </c>
      <c r="T96" s="428" t="s">
        <v>3339</v>
      </c>
      <c r="U96" s="426">
        <v>10.83</v>
      </c>
      <c r="V96" s="419"/>
      <c r="W96" s="429">
        <v>2010</v>
      </c>
      <c r="X96" s="443">
        <v>40210</v>
      </c>
      <c r="Y96" s="444">
        <v>0.10830000000000001</v>
      </c>
    </row>
    <row r="97" spans="2:25" ht="12.75" customHeight="1">
      <c r="B97" s="429"/>
      <c r="C97" s="430" t="s">
        <v>3154</v>
      </c>
      <c r="D97" s="428">
        <v>15</v>
      </c>
      <c r="E97" s="428">
        <v>8.52</v>
      </c>
      <c r="F97" s="428">
        <v>9.4700000000000006</v>
      </c>
      <c r="G97" s="428">
        <v>7.5</v>
      </c>
      <c r="H97" s="428">
        <v>9.75</v>
      </c>
      <c r="I97" s="428" t="s">
        <v>3372</v>
      </c>
      <c r="J97" s="428" t="s">
        <v>3342</v>
      </c>
      <c r="K97" s="428" t="s">
        <v>3371</v>
      </c>
      <c r="L97" s="428" t="s">
        <v>3361</v>
      </c>
      <c r="M97" s="428" t="s">
        <v>3360</v>
      </c>
      <c r="N97" s="428" t="s">
        <v>3325</v>
      </c>
      <c r="O97" s="428">
        <v>7.22</v>
      </c>
      <c r="P97" s="428" t="s">
        <v>3348</v>
      </c>
      <c r="Q97" s="428" t="s">
        <v>3353</v>
      </c>
      <c r="R97" s="428" t="s">
        <v>3366</v>
      </c>
      <c r="S97" s="428" t="s">
        <v>3248</v>
      </c>
      <c r="T97" s="428" t="s">
        <v>3339</v>
      </c>
      <c r="U97" s="426">
        <v>10.54</v>
      </c>
      <c r="V97" s="419"/>
      <c r="W97" s="429">
        <v>2010</v>
      </c>
      <c r="X97" s="443">
        <v>40238</v>
      </c>
      <c r="Y97" s="444">
        <v>0.10539999999999999</v>
      </c>
    </row>
    <row r="98" spans="2:25" ht="12.75" customHeight="1">
      <c r="B98" s="429"/>
      <c r="C98" s="430" t="s">
        <v>3148</v>
      </c>
      <c r="D98" s="428">
        <v>15</v>
      </c>
      <c r="E98" s="428">
        <v>8.4</v>
      </c>
      <c r="F98" s="428">
        <v>9.4</v>
      </c>
      <c r="G98" s="428">
        <v>7.5</v>
      </c>
      <c r="H98" s="428">
        <v>9.75</v>
      </c>
      <c r="I98" s="428" t="s">
        <v>3276</v>
      </c>
      <c r="J98" s="428" t="s">
        <v>3370</v>
      </c>
      <c r="K98" s="428" t="s">
        <v>3369</v>
      </c>
      <c r="L98" s="428" t="s">
        <v>3361</v>
      </c>
      <c r="M98" s="428" t="s">
        <v>3360</v>
      </c>
      <c r="N98" s="428" t="s">
        <v>3325</v>
      </c>
      <c r="O98" s="428">
        <v>7.13</v>
      </c>
      <c r="P98" s="428" t="s">
        <v>3348</v>
      </c>
      <c r="Q98" s="428" t="s">
        <v>3368</v>
      </c>
      <c r="R98" s="428" t="s">
        <v>3366</v>
      </c>
      <c r="S98" s="428" t="s">
        <v>3248</v>
      </c>
      <c r="T98" s="428" t="s">
        <v>3339</v>
      </c>
      <c r="U98" s="426">
        <v>10.66</v>
      </c>
      <c r="V98" s="419"/>
      <c r="W98" s="429">
        <v>2010</v>
      </c>
      <c r="X98" s="443">
        <v>40269</v>
      </c>
      <c r="Y98" s="444">
        <v>0.1066</v>
      </c>
    </row>
    <row r="99" spans="2:25" ht="12.75" customHeight="1">
      <c r="B99" s="429"/>
      <c r="C99" s="430" t="s">
        <v>114</v>
      </c>
      <c r="D99" s="428">
        <v>15</v>
      </c>
      <c r="E99" s="428">
        <v>8.1</v>
      </c>
      <c r="F99" s="428">
        <v>9.26</v>
      </c>
      <c r="G99" s="428">
        <v>7.5</v>
      </c>
      <c r="H99" s="428">
        <v>9.75</v>
      </c>
      <c r="I99" s="428" t="s">
        <v>3367</v>
      </c>
      <c r="J99" s="428" t="s">
        <v>3143</v>
      </c>
      <c r="K99" s="428" t="s">
        <v>3356</v>
      </c>
      <c r="L99" s="428" t="s">
        <v>3364</v>
      </c>
      <c r="M99" s="428" t="s">
        <v>3360</v>
      </c>
      <c r="N99" s="428" t="s">
        <v>3325</v>
      </c>
      <c r="O99" s="428">
        <v>7.05</v>
      </c>
      <c r="P99" s="428" t="s">
        <v>3348</v>
      </c>
      <c r="Q99" s="428" t="s">
        <v>3353</v>
      </c>
      <c r="R99" s="428" t="s">
        <v>3366</v>
      </c>
      <c r="S99" s="428" t="s">
        <v>3248</v>
      </c>
      <c r="T99" s="428" t="s">
        <v>3339</v>
      </c>
      <c r="U99" s="426">
        <v>10.57</v>
      </c>
      <c r="V99" s="419"/>
      <c r="W99" s="429">
        <v>2010</v>
      </c>
      <c r="X99" s="443">
        <v>40299</v>
      </c>
      <c r="Y99" s="444">
        <v>0.1057</v>
      </c>
    </row>
    <row r="100" spans="2:25" ht="12.75" customHeight="1">
      <c r="B100" s="429"/>
      <c r="C100" s="430" t="s">
        <v>3135</v>
      </c>
      <c r="D100" s="428">
        <v>15</v>
      </c>
      <c r="E100" s="428">
        <v>8.07</v>
      </c>
      <c r="F100" s="428">
        <v>9.2899999999999991</v>
      </c>
      <c r="G100" s="428">
        <v>7.5</v>
      </c>
      <c r="H100" s="428">
        <v>9.75</v>
      </c>
      <c r="I100" s="428" t="s">
        <v>3365</v>
      </c>
      <c r="J100" s="428" t="s">
        <v>3342</v>
      </c>
      <c r="K100" s="428" t="s">
        <v>3356</v>
      </c>
      <c r="L100" s="428" t="s">
        <v>3364</v>
      </c>
      <c r="M100" s="428" t="s">
        <v>3360</v>
      </c>
      <c r="N100" s="428" t="s">
        <v>3325</v>
      </c>
      <c r="O100" s="428">
        <v>7</v>
      </c>
      <c r="P100" s="428" t="s">
        <v>3348</v>
      </c>
      <c r="Q100" s="428" t="s">
        <v>3363</v>
      </c>
      <c r="R100" s="428" t="s">
        <v>3359</v>
      </c>
      <c r="S100" s="428" t="s">
        <v>3248</v>
      </c>
      <c r="T100" s="428" t="s">
        <v>3339</v>
      </c>
      <c r="U100" s="426">
        <v>10.47</v>
      </c>
      <c r="V100" s="419"/>
      <c r="W100" s="429">
        <v>2010</v>
      </c>
      <c r="X100" s="443">
        <v>40330</v>
      </c>
      <c r="Y100" s="444">
        <v>0.1047</v>
      </c>
    </row>
    <row r="101" spans="2:25" ht="12.75" customHeight="1">
      <c r="B101" s="429"/>
      <c r="C101" s="430" t="s">
        <v>3125</v>
      </c>
      <c r="D101" s="428">
        <v>15</v>
      </c>
      <c r="E101" s="428">
        <v>7.9</v>
      </c>
      <c r="F101" s="428">
        <v>9</v>
      </c>
      <c r="G101" s="428">
        <v>7.25</v>
      </c>
      <c r="H101" s="428">
        <v>9.5</v>
      </c>
      <c r="I101" s="428" t="s">
        <v>3276</v>
      </c>
      <c r="J101" s="428" t="s">
        <v>3362</v>
      </c>
      <c r="K101" s="428" t="s">
        <v>3356</v>
      </c>
      <c r="L101" s="428" t="s">
        <v>3361</v>
      </c>
      <c r="M101" s="428" t="s">
        <v>3360</v>
      </c>
      <c r="N101" s="428" t="s">
        <v>3325</v>
      </c>
      <c r="O101" s="428">
        <v>6.92</v>
      </c>
      <c r="P101" s="428" t="s">
        <v>3348</v>
      </c>
      <c r="Q101" s="428" t="s">
        <v>3353</v>
      </c>
      <c r="R101" s="428" t="s">
        <v>3359</v>
      </c>
      <c r="S101" s="428" t="s">
        <v>3248</v>
      </c>
      <c r="T101" s="428" t="s">
        <v>3339</v>
      </c>
      <c r="U101" s="426">
        <v>10.14</v>
      </c>
      <c r="V101" s="419"/>
      <c r="W101" s="429">
        <v>2010</v>
      </c>
      <c r="X101" s="443">
        <v>40360</v>
      </c>
      <c r="Y101" s="444">
        <v>0.1014</v>
      </c>
    </row>
    <row r="102" spans="2:25" ht="12.75" customHeight="1">
      <c r="B102" s="429"/>
      <c r="C102" s="430" t="s">
        <v>3117</v>
      </c>
      <c r="D102" s="428">
        <v>15</v>
      </c>
      <c r="E102" s="428">
        <v>7.13</v>
      </c>
      <c r="F102" s="428">
        <v>8.08</v>
      </c>
      <c r="G102" s="428">
        <v>7.25</v>
      </c>
      <c r="H102" s="428">
        <v>9</v>
      </c>
      <c r="I102" s="428" t="s">
        <v>3358</v>
      </c>
      <c r="J102" s="428" t="s">
        <v>3357</v>
      </c>
      <c r="K102" s="428" t="s">
        <v>3356</v>
      </c>
      <c r="L102" s="428" t="s">
        <v>3355</v>
      </c>
      <c r="M102" s="428" t="s">
        <v>3354</v>
      </c>
      <c r="N102" s="428" t="s">
        <v>3325</v>
      </c>
      <c r="O102" s="428">
        <v>6.86</v>
      </c>
      <c r="P102" s="428" t="s">
        <v>3348</v>
      </c>
      <c r="Q102" s="428" t="s">
        <v>3353</v>
      </c>
      <c r="R102" s="428" t="s">
        <v>3346</v>
      </c>
      <c r="S102" s="428" t="s">
        <v>3248</v>
      </c>
      <c r="T102" s="428" t="s">
        <v>3339</v>
      </c>
      <c r="U102" s="426">
        <v>10.130000000000001</v>
      </c>
      <c r="V102" s="419"/>
      <c r="W102" s="429">
        <v>2010</v>
      </c>
      <c r="X102" s="443">
        <v>40391</v>
      </c>
      <c r="Y102" s="444">
        <v>0.1013</v>
      </c>
    </row>
    <row r="103" spans="2:25" ht="12.75" customHeight="1">
      <c r="B103" s="429"/>
      <c r="C103" s="430" t="s">
        <v>3113</v>
      </c>
      <c r="D103" s="428">
        <v>15</v>
      </c>
      <c r="E103" s="428" t="s">
        <v>3352</v>
      </c>
      <c r="F103" s="428">
        <v>7.1</v>
      </c>
      <c r="G103" s="428">
        <v>7.25</v>
      </c>
      <c r="H103" s="428">
        <v>9</v>
      </c>
      <c r="I103" s="428" t="s">
        <v>3351</v>
      </c>
      <c r="J103" s="428" t="s">
        <v>3287</v>
      </c>
      <c r="K103" s="428" t="s">
        <v>3342</v>
      </c>
      <c r="L103" s="428" t="s">
        <v>3350</v>
      </c>
      <c r="M103" s="428" t="s">
        <v>3349</v>
      </c>
      <c r="N103" s="428" t="s">
        <v>3325</v>
      </c>
      <c r="O103" s="428">
        <v>6.58</v>
      </c>
      <c r="P103" s="428" t="s">
        <v>3348</v>
      </c>
      <c r="Q103" s="428" t="s">
        <v>3347</v>
      </c>
      <c r="R103" s="428" t="s">
        <v>3346</v>
      </c>
      <c r="S103" s="428" t="s">
        <v>3248</v>
      </c>
      <c r="T103" s="428" t="s">
        <v>3339</v>
      </c>
      <c r="U103" s="426">
        <v>9.98</v>
      </c>
      <c r="V103" s="419"/>
      <c r="W103" s="429">
        <v>2010</v>
      </c>
      <c r="X103" s="443">
        <v>40422</v>
      </c>
      <c r="Y103" s="444">
        <v>9.98E-2</v>
      </c>
    </row>
    <row r="104" spans="2:25" ht="12.75" customHeight="1">
      <c r="B104" s="429"/>
      <c r="C104" s="430" t="s">
        <v>3104</v>
      </c>
      <c r="D104" s="428">
        <v>15</v>
      </c>
      <c r="E104" s="428">
        <v>7.13</v>
      </c>
      <c r="F104" s="428">
        <v>7.37</v>
      </c>
      <c r="G104" s="428">
        <v>7.25</v>
      </c>
      <c r="H104" s="428">
        <v>9</v>
      </c>
      <c r="I104" s="428" t="s">
        <v>3345</v>
      </c>
      <c r="J104" s="428" t="s">
        <v>3327</v>
      </c>
      <c r="K104" s="428" t="s">
        <v>3342</v>
      </c>
      <c r="L104" s="428" t="s">
        <v>3341</v>
      </c>
      <c r="M104" s="428" t="s">
        <v>3340</v>
      </c>
      <c r="N104" s="428" t="s">
        <v>3325</v>
      </c>
      <c r="O104" s="428">
        <v>6.43</v>
      </c>
      <c r="P104" s="428" t="s">
        <v>3335</v>
      </c>
      <c r="Q104" s="428" t="s">
        <v>3344</v>
      </c>
      <c r="R104" s="428" t="s">
        <v>3316</v>
      </c>
      <c r="S104" s="428" t="s">
        <v>3248</v>
      </c>
      <c r="T104" s="428" t="s">
        <v>3339</v>
      </c>
      <c r="U104" s="426">
        <v>9.66</v>
      </c>
      <c r="V104" s="419"/>
      <c r="W104" s="429">
        <v>2010</v>
      </c>
      <c r="X104" s="443">
        <v>40452</v>
      </c>
      <c r="Y104" s="444">
        <v>9.6600000000000005E-2</v>
      </c>
    </row>
    <row r="105" spans="2:25" ht="12.75" customHeight="1">
      <c r="B105" s="429"/>
      <c r="C105" s="430" t="s">
        <v>3099</v>
      </c>
      <c r="D105" s="428">
        <v>15</v>
      </c>
      <c r="E105" s="428">
        <v>7.28</v>
      </c>
      <c r="F105" s="428">
        <v>7.55</v>
      </c>
      <c r="G105" s="428">
        <v>7.25</v>
      </c>
      <c r="H105" s="428">
        <v>9</v>
      </c>
      <c r="I105" s="428" t="s">
        <v>3343</v>
      </c>
      <c r="J105" s="428" t="s">
        <v>3318</v>
      </c>
      <c r="K105" s="428" t="s">
        <v>3342</v>
      </c>
      <c r="L105" s="428" t="s">
        <v>3341</v>
      </c>
      <c r="M105" s="428" t="s">
        <v>3340</v>
      </c>
      <c r="N105" s="428" t="s">
        <v>3325</v>
      </c>
      <c r="O105" s="428">
        <v>6.24</v>
      </c>
      <c r="P105" s="428" t="s">
        <v>3335</v>
      </c>
      <c r="Q105" s="428" t="s">
        <v>3334</v>
      </c>
      <c r="R105" s="428" t="s">
        <v>3316</v>
      </c>
      <c r="S105" s="428" t="s">
        <v>3248</v>
      </c>
      <c r="T105" s="428" t="s">
        <v>3339</v>
      </c>
      <c r="U105" s="426">
        <v>9.3699999999999992</v>
      </c>
      <c r="V105" s="419"/>
      <c r="W105" s="429">
        <v>2010</v>
      </c>
      <c r="X105" s="443">
        <v>40483</v>
      </c>
      <c r="Y105" s="444">
        <v>9.3699999999999992E-2</v>
      </c>
    </row>
    <row r="106" spans="2:25" ht="12.75" customHeight="1">
      <c r="B106" s="429"/>
      <c r="C106" s="430" t="s">
        <v>3094</v>
      </c>
      <c r="D106" s="428">
        <v>15</v>
      </c>
      <c r="E106" s="428">
        <v>7.24</v>
      </c>
      <c r="F106" s="428">
        <v>7.55</v>
      </c>
      <c r="G106" s="428">
        <v>7.25</v>
      </c>
      <c r="H106" s="428">
        <v>9</v>
      </c>
      <c r="I106" s="428" t="s">
        <v>3338</v>
      </c>
      <c r="J106" s="428" t="s">
        <v>3293</v>
      </c>
      <c r="K106" s="428" t="s">
        <v>3337</v>
      </c>
      <c r="L106" s="428" t="s">
        <v>3330</v>
      </c>
      <c r="M106" s="428" t="s">
        <v>3336</v>
      </c>
      <c r="N106" s="428" t="s">
        <v>3325</v>
      </c>
      <c r="O106" s="428">
        <v>6.23</v>
      </c>
      <c r="P106" s="428" t="s">
        <v>3335</v>
      </c>
      <c r="Q106" s="428" t="s">
        <v>3334</v>
      </c>
      <c r="R106" s="428" t="s">
        <v>3316</v>
      </c>
      <c r="S106" s="428" t="s">
        <v>3248</v>
      </c>
      <c r="T106" s="428" t="s">
        <v>3333</v>
      </c>
      <c r="U106" s="426">
        <v>9.27</v>
      </c>
      <c r="V106" s="419"/>
      <c r="W106" s="429">
        <v>2010</v>
      </c>
      <c r="X106" s="443">
        <v>40513</v>
      </c>
      <c r="Y106" s="444">
        <v>9.2699999999999991E-2</v>
      </c>
    </row>
    <row r="107" spans="2:25" ht="12.75" customHeight="1">
      <c r="B107" s="429">
        <v>2011</v>
      </c>
      <c r="C107" s="430" t="s">
        <v>3165</v>
      </c>
      <c r="D107" s="428">
        <v>15</v>
      </c>
      <c r="E107" s="428">
        <v>7.01</v>
      </c>
      <c r="F107" s="428">
        <v>7.33</v>
      </c>
      <c r="G107" s="428">
        <v>7</v>
      </c>
      <c r="H107" s="428">
        <v>8.5</v>
      </c>
      <c r="I107" s="428" t="s">
        <v>3332</v>
      </c>
      <c r="J107" s="428" t="s">
        <v>3331</v>
      </c>
      <c r="K107" s="428" t="s">
        <v>3143</v>
      </c>
      <c r="L107" s="428" t="s">
        <v>3330</v>
      </c>
      <c r="M107" s="428" t="s">
        <v>3317</v>
      </c>
      <c r="N107" s="428" t="s">
        <v>3325</v>
      </c>
      <c r="O107" s="428">
        <v>6.21</v>
      </c>
      <c r="P107" s="428" t="s">
        <v>3324</v>
      </c>
      <c r="Q107" s="428" t="s">
        <v>3329</v>
      </c>
      <c r="R107" s="428" t="s">
        <v>3316</v>
      </c>
      <c r="S107" s="428" t="s">
        <v>3248</v>
      </c>
      <c r="T107" s="428" t="s">
        <v>3261</v>
      </c>
      <c r="U107" s="426">
        <v>9.1199999999999992</v>
      </c>
      <c r="V107" s="419"/>
      <c r="W107" s="429">
        <v>2011</v>
      </c>
      <c r="X107" s="443">
        <v>40544</v>
      </c>
      <c r="Y107" s="444">
        <v>9.1199999999999989E-2</v>
      </c>
    </row>
    <row r="108" spans="2:25" ht="12.75" customHeight="1">
      <c r="B108" s="429"/>
      <c r="C108" s="430" t="s">
        <v>3160</v>
      </c>
      <c r="D108" s="428">
        <v>15</v>
      </c>
      <c r="E108" s="428">
        <v>6.97</v>
      </c>
      <c r="F108" s="428">
        <v>7.33</v>
      </c>
      <c r="G108" s="428">
        <v>7</v>
      </c>
      <c r="H108" s="428">
        <v>8.5</v>
      </c>
      <c r="I108" s="428" t="s">
        <v>3328</v>
      </c>
      <c r="J108" s="428" t="s">
        <v>3327</v>
      </c>
      <c r="K108" s="428" t="s">
        <v>3326</v>
      </c>
      <c r="L108" s="428" t="s">
        <v>3272</v>
      </c>
      <c r="M108" s="428" t="s">
        <v>3317</v>
      </c>
      <c r="N108" s="428" t="s">
        <v>3325</v>
      </c>
      <c r="O108" s="428">
        <v>6.2</v>
      </c>
      <c r="P108" s="428" t="s">
        <v>3324</v>
      </c>
      <c r="Q108" s="428" t="s">
        <v>3320</v>
      </c>
      <c r="R108" s="428" t="s">
        <v>3316</v>
      </c>
      <c r="S108" s="428" t="s">
        <v>3248</v>
      </c>
      <c r="T108" s="428" t="s">
        <v>3261</v>
      </c>
      <c r="U108" s="426">
        <v>9.24</v>
      </c>
      <c r="V108" s="419"/>
      <c r="W108" s="429">
        <v>2011</v>
      </c>
      <c r="X108" s="443">
        <v>40575</v>
      </c>
      <c r="Y108" s="444">
        <v>9.2399999999999996E-2</v>
      </c>
    </row>
    <row r="109" spans="2:25" ht="12.75" customHeight="1">
      <c r="B109" s="429"/>
      <c r="C109" s="430" t="s">
        <v>3154</v>
      </c>
      <c r="D109" s="428">
        <v>15</v>
      </c>
      <c r="E109" s="428">
        <v>6.98</v>
      </c>
      <c r="F109" s="428">
        <v>7.3</v>
      </c>
      <c r="G109" s="428">
        <v>7</v>
      </c>
      <c r="H109" s="428">
        <v>8.5</v>
      </c>
      <c r="I109" s="428" t="s">
        <v>3323</v>
      </c>
      <c r="J109" s="428" t="s">
        <v>3318</v>
      </c>
      <c r="K109" s="428" t="s">
        <v>3299</v>
      </c>
      <c r="L109" s="428" t="s">
        <v>3322</v>
      </c>
      <c r="M109" s="428" t="s">
        <v>3317</v>
      </c>
      <c r="N109" s="428" t="s">
        <v>3311</v>
      </c>
      <c r="O109" s="428">
        <v>6.2</v>
      </c>
      <c r="P109" s="428" t="s">
        <v>3321</v>
      </c>
      <c r="Q109" s="428" t="s">
        <v>3320</v>
      </c>
      <c r="R109" s="428" t="s">
        <v>3316</v>
      </c>
      <c r="S109" s="428" t="s">
        <v>3248</v>
      </c>
      <c r="T109" s="428" t="s">
        <v>3261</v>
      </c>
      <c r="U109" s="426">
        <v>9.15</v>
      </c>
      <c r="V109" s="419"/>
      <c r="W109" s="429">
        <v>2011</v>
      </c>
      <c r="X109" s="443">
        <v>40603</v>
      </c>
      <c r="Y109" s="444">
        <v>9.1499999999999998E-2</v>
      </c>
    </row>
    <row r="110" spans="2:25" ht="12.75" customHeight="1">
      <c r="B110" s="429"/>
      <c r="C110" s="430" t="s">
        <v>3148</v>
      </c>
      <c r="D110" s="428">
        <v>15</v>
      </c>
      <c r="E110" s="428">
        <v>7.04</v>
      </c>
      <c r="F110" s="428">
        <v>7.34</v>
      </c>
      <c r="G110" s="428">
        <v>7</v>
      </c>
      <c r="H110" s="428">
        <v>8.5</v>
      </c>
      <c r="I110" s="428" t="s">
        <v>3319</v>
      </c>
      <c r="J110" s="428" t="s">
        <v>3318</v>
      </c>
      <c r="K110" s="428" t="s">
        <v>3292</v>
      </c>
      <c r="L110" s="428" t="s">
        <v>3312</v>
      </c>
      <c r="M110" s="428" t="s">
        <v>3317</v>
      </c>
      <c r="N110" s="428" t="s">
        <v>3311</v>
      </c>
      <c r="O110" s="428">
        <v>6.22</v>
      </c>
      <c r="P110" s="428" t="s">
        <v>3296</v>
      </c>
      <c r="Q110" s="428" t="s">
        <v>3310</v>
      </c>
      <c r="R110" s="428" t="s">
        <v>3316</v>
      </c>
      <c r="S110" s="428" t="s">
        <v>3248</v>
      </c>
      <c r="T110" s="428" t="s">
        <v>3261</v>
      </c>
      <c r="U110" s="426">
        <v>9.1725000000000012</v>
      </c>
      <c r="V110" s="419"/>
      <c r="W110" s="429">
        <v>2011</v>
      </c>
      <c r="X110" s="443">
        <v>40634</v>
      </c>
      <c r="Y110" s="444">
        <v>9.1725000000000015E-2</v>
      </c>
    </row>
    <row r="111" spans="2:25" ht="12.75" customHeight="1">
      <c r="B111" s="429"/>
      <c r="C111" s="430" t="s">
        <v>114</v>
      </c>
      <c r="D111" s="428">
        <v>15</v>
      </c>
      <c r="E111" s="428">
        <v>7.09</v>
      </c>
      <c r="F111" s="428">
        <v>7.35</v>
      </c>
      <c r="G111" s="428">
        <v>7</v>
      </c>
      <c r="H111" s="428">
        <v>8.5</v>
      </c>
      <c r="I111" s="428" t="s">
        <v>3315</v>
      </c>
      <c r="J111" s="428" t="s">
        <v>3308</v>
      </c>
      <c r="K111" s="428" t="s">
        <v>3292</v>
      </c>
      <c r="L111" s="428" t="s">
        <v>3312</v>
      </c>
      <c r="M111" s="428" t="s">
        <v>3209</v>
      </c>
      <c r="N111" s="428" t="s">
        <v>3311</v>
      </c>
      <c r="O111" s="428">
        <v>6.3</v>
      </c>
      <c r="P111" s="428" t="s">
        <v>3296</v>
      </c>
      <c r="Q111" s="428" t="s">
        <v>3310</v>
      </c>
      <c r="R111" s="428" t="s">
        <v>3314</v>
      </c>
      <c r="S111" s="428" t="s">
        <v>3248</v>
      </c>
      <c r="T111" s="428" t="s">
        <v>3261</v>
      </c>
      <c r="U111" s="426">
        <v>9.2080000000000002</v>
      </c>
      <c r="V111" s="419"/>
      <c r="W111" s="429">
        <v>2011</v>
      </c>
      <c r="X111" s="443">
        <v>40664</v>
      </c>
      <c r="Y111" s="444">
        <v>9.2079999999999995E-2</v>
      </c>
    </row>
    <row r="112" spans="2:25" ht="12.75" customHeight="1">
      <c r="B112" s="429"/>
      <c r="C112" s="430" t="s">
        <v>3135</v>
      </c>
      <c r="D112" s="428">
        <v>15</v>
      </c>
      <c r="E112" s="428">
        <v>7.12</v>
      </c>
      <c r="F112" s="428">
        <v>7.35</v>
      </c>
      <c r="G112" s="428">
        <v>7</v>
      </c>
      <c r="H112" s="428">
        <v>8.5</v>
      </c>
      <c r="I112" s="428" t="s">
        <v>3313</v>
      </c>
      <c r="J112" s="428" t="s">
        <v>3308</v>
      </c>
      <c r="K112" s="428" t="s">
        <v>3292</v>
      </c>
      <c r="L112" s="428" t="s">
        <v>3312</v>
      </c>
      <c r="M112" s="428" t="s">
        <v>3193</v>
      </c>
      <c r="N112" s="428" t="s">
        <v>3311</v>
      </c>
      <c r="O112" s="428">
        <v>6.31</v>
      </c>
      <c r="P112" s="428" t="s">
        <v>3296</v>
      </c>
      <c r="Q112" s="428" t="s">
        <v>3310</v>
      </c>
      <c r="R112" s="428" t="s">
        <v>3303</v>
      </c>
      <c r="S112" s="428" t="s">
        <v>3248</v>
      </c>
      <c r="T112" s="428" t="s">
        <v>3261</v>
      </c>
      <c r="U112" s="426">
        <v>9.2799999999999994</v>
      </c>
      <c r="V112" s="419"/>
      <c r="W112" s="429">
        <v>2011</v>
      </c>
      <c r="X112" s="443">
        <v>40695</v>
      </c>
      <c r="Y112" s="444">
        <v>9.2799999999999994E-2</v>
      </c>
    </row>
    <row r="113" spans="2:25" ht="12.75" customHeight="1">
      <c r="B113" s="429"/>
      <c r="C113" s="430" t="s">
        <v>3125</v>
      </c>
      <c r="D113" s="428">
        <v>15</v>
      </c>
      <c r="E113" s="428">
        <v>7.11</v>
      </c>
      <c r="F113" s="428">
        <v>7.25</v>
      </c>
      <c r="G113" s="428">
        <v>7</v>
      </c>
      <c r="H113" s="428">
        <v>8.5</v>
      </c>
      <c r="I113" s="428" t="s">
        <v>3309</v>
      </c>
      <c r="J113" s="428" t="s">
        <v>3308</v>
      </c>
      <c r="K113" s="428" t="s">
        <v>3307</v>
      </c>
      <c r="L113" s="428" t="s">
        <v>3306</v>
      </c>
      <c r="M113" s="428" t="s">
        <v>3193</v>
      </c>
      <c r="N113" s="428" t="s">
        <v>3305</v>
      </c>
      <c r="O113" s="428">
        <v>6.35</v>
      </c>
      <c r="P113" s="428" t="s">
        <v>3296</v>
      </c>
      <c r="Q113" s="428" t="s">
        <v>3304</v>
      </c>
      <c r="R113" s="428" t="s">
        <v>3303</v>
      </c>
      <c r="S113" s="428" t="s">
        <v>3302</v>
      </c>
      <c r="T113" s="428" t="s">
        <v>3301</v>
      </c>
      <c r="U113" s="426">
        <v>9.33</v>
      </c>
      <c r="V113" s="419"/>
      <c r="W113" s="429">
        <v>2011</v>
      </c>
      <c r="X113" s="443">
        <v>40725</v>
      </c>
      <c r="Y113" s="444">
        <v>9.3299999999999994E-2</v>
      </c>
    </row>
    <row r="114" spans="2:25" ht="12.75" customHeight="1">
      <c r="B114" s="429"/>
      <c r="C114" s="430" t="s">
        <v>3117</v>
      </c>
      <c r="D114" s="428">
        <v>15</v>
      </c>
      <c r="E114" s="428">
        <v>7.11</v>
      </c>
      <c r="F114" s="428">
        <v>7.25</v>
      </c>
      <c r="G114" s="428">
        <v>7</v>
      </c>
      <c r="H114" s="428">
        <v>8.5</v>
      </c>
      <c r="I114" s="428" t="s">
        <v>3300</v>
      </c>
      <c r="J114" s="428" t="s">
        <v>3293</v>
      </c>
      <c r="K114" s="428" t="s">
        <v>3299</v>
      </c>
      <c r="L114" s="428" t="s">
        <v>3298</v>
      </c>
      <c r="M114" s="428" t="s">
        <v>3297</v>
      </c>
      <c r="N114" s="428" t="s">
        <v>3264</v>
      </c>
      <c r="O114" s="428">
        <v>6.4</v>
      </c>
      <c r="P114" s="428" t="s">
        <v>3296</v>
      </c>
      <c r="Q114" s="428" t="s">
        <v>3283</v>
      </c>
      <c r="R114" s="428" t="s">
        <v>3282</v>
      </c>
      <c r="S114" s="428" t="s">
        <v>3248</v>
      </c>
      <c r="T114" s="428" t="s">
        <v>3295</v>
      </c>
      <c r="U114" s="426">
        <v>9.43</v>
      </c>
      <c r="V114" s="419"/>
      <c r="W114" s="429">
        <v>2011</v>
      </c>
      <c r="X114" s="443">
        <v>40756</v>
      </c>
      <c r="Y114" s="444">
        <v>9.4299999999999995E-2</v>
      </c>
    </row>
    <row r="115" spans="2:25" ht="12.75" customHeight="1">
      <c r="B115" s="429"/>
      <c r="C115" s="430" t="s">
        <v>3113</v>
      </c>
      <c r="D115" s="428">
        <v>15</v>
      </c>
      <c r="E115" s="428">
        <v>7.15</v>
      </c>
      <c r="F115" s="428">
        <v>7.31</v>
      </c>
      <c r="G115" s="428">
        <v>7</v>
      </c>
      <c r="H115" s="428">
        <v>8.5</v>
      </c>
      <c r="I115" s="428" t="s">
        <v>3294</v>
      </c>
      <c r="J115" s="428" t="s">
        <v>3293</v>
      </c>
      <c r="K115" s="428" t="s">
        <v>3292</v>
      </c>
      <c r="L115" s="428" t="s">
        <v>3291</v>
      </c>
      <c r="M115" s="428" t="s">
        <v>3290</v>
      </c>
      <c r="N115" s="428" t="s">
        <v>3264</v>
      </c>
      <c r="O115" s="428">
        <v>6.48</v>
      </c>
      <c r="P115" s="428" t="s">
        <v>3249</v>
      </c>
      <c r="Q115" s="428" t="s">
        <v>3289</v>
      </c>
      <c r="R115" s="428" t="s">
        <v>3282</v>
      </c>
      <c r="S115" s="428" t="s">
        <v>3281</v>
      </c>
      <c r="T115" s="428" t="s">
        <v>3261</v>
      </c>
      <c r="U115" s="426">
        <v>9.36</v>
      </c>
      <c r="V115" s="419"/>
      <c r="W115" s="429">
        <v>2011</v>
      </c>
      <c r="X115" s="443">
        <v>40787</v>
      </c>
      <c r="Y115" s="444">
        <v>9.3599999999999989E-2</v>
      </c>
    </row>
    <row r="116" spans="2:25" ht="12.75" customHeight="1">
      <c r="B116" s="429"/>
      <c r="C116" s="430" t="s">
        <v>3104</v>
      </c>
      <c r="D116" s="428">
        <v>15</v>
      </c>
      <c r="E116" s="428">
        <v>7.29</v>
      </c>
      <c r="F116" s="428">
        <v>7.44</v>
      </c>
      <c r="G116" s="428">
        <v>7</v>
      </c>
      <c r="H116" s="428">
        <v>8.5</v>
      </c>
      <c r="I116" s="428" t="s">
        <v>3288</v>
      </c>
      <c r="J116" s="428" t="s">
        <v>3287</v>
      </c>
      <c r="K116" s="428" t="s">
        <v>3286</v>
      </c>
      <c r="L116" s="428" t="s">
        <v>3285</v>
      </c>
      <c r="M116" s="428" t="s">
        <v>3284</v>
      </c>
      <c r="N116" s="428" t="s">
        <v>3264</v>
      </c>
      <c r="O116" s="428">
        <v>6.57</v>
      </c>
      <c r="P116" s="428" t="s">
        <v>3249</v>
      </c>
      <c r="Q116" s="428" t="s">
        <v>3283</v>
      </c>
      <c r="R116" s="428" t="s">
        <v>3282</v>
      </c>
      <c r="S116" s="428" t="s">
        <v>3281</v>
      </c>
      <c r="T116" s="428" t="s">
        <v>3261</v>
      </c>
      <c r="U116" s="426">
        <v>9.33</v>
      </c>
      <c r="V116" s="419"/>
      <c r="W116" s="429">
        <v>2011</v>
      </c>
      <c r="X116" s="443">
        <v>40817</v>
      </c>
      <c r="Y116" s="444">
        <v>9.3299999999999994E-2</v>
      </c>
    </row>
    <row r="117" spans="2:25" ht="12.75" customHeight="1">
      <c r="B117" s="429"/>
      <c r="C117" s="430" t="s">
        <v>3099</v>
      </c>
      <c r="D117" s="428">
        <v>15</v>
      </c>
      <c r="E117" s="428">
        <v>8.1999999999999993</v>
      </c>
      <c r="F117" s="428">
        <v>8.99</v>
      </c>
      <c r="G117" s="428">
        <v>7</v>
      </c>
      <c r="H117" s="428">
        <v>8.5</v>
      </c>
      <c r="I117" s="428" t="s">
        <v>3280</v>
      </c>
      <c r="J117" s="428" t="s">
        <v>3275</v>
      </c>
      <c r="K117" s="428" t="s">
        <v>3279</v>
      </c>
      <c r="L117" s="428" t="s">
        <v>3273</v>
      </c>
      <c r="M117" s="428" t="s">
        <v>3272</v>
      </c>
      <c r="N117" s="428" t="s">
        <v>3264</v>
      </c>
      <c r="O117" s="428">
        <v>6.72</v>
      </c>
      <c r="P117" s="428" t="s">
        <v>3278</v>
      </c>
      <c r="Q117" s="428" t="s">
        <v>3270</v>
      </c>
      <c r="R117" s="428" t="s">
        <v>3191</v>
      </c>
      <c r="S117" s="428" t="s">
        <v>3277</v>
      </c>
      <c r="T117" s="428" t="s">
        <v>3261</v>
      </c>
      <c r="U117" s="426">
        <v>9.84</v>
      </c>
      <c r="V117" s="419"/>
      <c r="W117" s="429">
        <v>2011</v>
      </c>
      <c r="X117" s="443">
        <v>40848</v>
      </c>
      <c r="Y117" s="444">
        <v>9.8400000000000001E-2</v>
      </c>
    </row>
    <row r="118" spans="2:25" ht="12.75" customHeight="1">
      <c r="B118" s="429"/>
      <c r="C118" s="430" t="s">
        <v>3094</v>
      </c>
      <c r="D118" s="428">
        <v>15</v>
      </c>
      <c r="E118" s="428">
        <v>8.68</v>
      </c>
      <c r="F118" s="428">
        <v>9.31</v>
      </c>
      <c r="G118" s="428">
        <v>7</v>
      </c>
      <c r="H118" s="428">
        <v>8.5</v>
      </c>
      <c r="I118" s="428" t="s">
        <v>3276</v>
      </c>
      <c r="J118" s="428" t="s">
        <v>3275</v>
      </c>
      <c r="K118" s="428" t="s">
        <v>3274</v>
      </c>
      <c r="L118" s="428" t="s">
        <v>3273</v>
      </c>
      <c r="M118" s="428" t="s">
        <v>3272</v>
      </c>
      <c r="N118" s="428" t="s">
        <v>3264</v>
      </c>
      <c r="O118" s="428">
        <v>7.24</v>
      </c>
      <c r="P118" s="428" t="s">
        <v>3271</v>
      </c>
      <c r="Q118" s="428" t="s">
        <v>3270</v>
      </c>
      <c r="R118" s="428" t="s">
        <v>3191</v>
      </c>
      <c r="S118" s="428" t="s">
        <v>3269</v>
      </c>
      <c r="T118" s="428" t="s">
        <v>3261</v>
      </c>
      <c r="U118" s="426">
        <v>10.49</v>
      </c>
      <c r="V118" s="419"/>
      <c r="W118" s="429">
        <v>2011</v>
      </c>
      <c r="X118" s="443">
        <v>40878</v>
      </c>
      <c r="Y118" s="444">
        <v>0.10490000000000001</v>
      </c>
    </row>
    <row r="119" spans="2:25" ht="12.75" customHeight="1">
      <c r="B119" s="429">
        <v>2012</v>
      </c>
      <c r="C119" s="430" t="s">
        <v>3165</v>
      </c>
      <c r="D119" s="428">
        <v>15</v>
      </c>
      <c r="E119" s="428">
        <v>8.7100000000000009</v>
      </c>
      <c r="F119" s="428">
        <v>9.3000000000000007</v>
      </c>
      <c r="G119" s="428">
        <v>7</v>
      </c>
      <c r="H119" s="428">
        <v>8.5</v>
      </c>
      <c r="I119" s="428" t="s">
        <v>3268</v>
      </c>
      <c r="J119" s="428" t="s">
        <v>3267</v>
      </c>
      <c r="K119" s="428" t="s">
        <v>3266</v>
      </c>
      <c r="L119" s="428" t="s">
        <v>3265</v>
      </c>
      <c r="M119" s="428" t="s">
        <v>3256</v>
      </c>
      <c r="N119" s="428" t="s">
        <v>3264</v>
      </c>
      <c r="O119" s="428">
        <v>7.35</v>
      </c>
      <c r="P119" s="428" t="s">
        <v>3263</v>
      </c>
      <c r="Q119" s="428" t="s">
        <v>3262</v>
      </c>
      <c r="R119" s="428" t="s">
        <v>3191</v>
      </c>
      <c r="S119" s="428" t="s">
        <v>3248</v>
      </c>
      <c r="T119" s="428" t="s">
        <v>3261</v>
      </c>
      <c r="U119" s="426">
        <v>11.41</v>
      </c>
      <c r="V119" s="419"/>
      <c r="W119" s="429">
        <v>2012</v>
      </c>
      <c r="X119" s="443">
        <v>40909</v>
      </c>
      <c r="Y119" s="444">
        <v>0.11410000000000001</v>
      </c>
    </row>
    <row r="120" spans="2:25" ht="12.75" customHeight="1">
      <c r="B120" s="429"/>
      <c r="C120" s="430" t="s">
        <v>3160</v>
      </c>
      <c r="D120" s="428">
        <v>15</v>
      </c>
      <c r="E120" s="428">
        <v>9.94</v>
      </c>
      <c r="F120" s="428">
        <v>10.3</v>
      </c>
      <c r="G120" s="428">
        <v>7.5</v>
      </c>
      <c r="H120" s="428">
        <v>9</v>
      </c>
      <c r="I120" s="428" t="s">
        <v>3260</v>
      </c>
      <c r="J120" s="428" t="s">
        <v>3259</v>
      </c>
      <c r="K120" s="428" t="s">
        <v>3258</v>
      </c>
      <c r="L120" s="428" t="s">
        <v>3257</v>
      </c>
      <c r="M120" s="428" t="s">
        <v>3256</v>
      </c>
      <c r="N120" s="428" t="s">
        <v>3102</v>
      </c>
      <c r="O120" s="428">
        <v>7.55</v>
      </c>
      <c r="P120" s="428" t="s">
        <v>3255</v>
      </c>
      <c r="Q120" s="428" t="s">
        <v>3241</v>
      </c>
      <c r="R120" s="428" t="s">
        <v>3191</v>
      </c>
      <c r="S120" s="428" t="s">
        <v>3248</v>
      </c>
      <c r="T120" s="428" t="s">
        <v>3248</v>
      </c>
      <c r="U120" s="426">
        <v>11.84</v>
      </c>
      <c r="V120" s="419"/>
      <c r="W120" s="429">
        <v>2012</v>
      </c>
      <c r="X120" s="443">
        <v>40940</v>
      </c>
      <c r="Y120" s="444">
        <v>0.11840000000000001</v>
      </c>
    </row>
    <row r="121" spans="2:25" ht="12.75" customHeight="1">
      <c r="B121" s="429"/>
      <c r="C121" s="430" t="s">
        <v>3154</v>
      </c>
      <c r="D121" s="428">
        <v>15</v>
      </c>
      <c r="E121" s="428">
        <v>11.06</v>
      </c>
      <c r="F121" s="428">
        <v>11.32</v>
      </c>
      <c r="G121" s="428">
        <v>7.5</v>
      </c>
      <c r="H121" s="428">
        <v>9</v>
      </c>
      <c r="I121" s="428" t="s">
        <v>3254</v>
      </c>
      <c r="J121" s="428" t="s">
        <v>3253</v>
      </c>
      <c r="K121" s="428" t="s">
        <v>3252</v>
      </c>
      <c r="L121" s="428" t="s">
        <v>3251</v>
      </c>
      <c r="M121" s="428" t="s">
        <v>3250</v>
      </c>
      <c r="N121" s="428" t="s">
        <v>3139</v>
      </c>
      <c r="O121" s="428">
        <v>7.88</v>
      </c>
      <c r="P121" s="428" t="s">
        <v>3249</v>
      </c>
      <c r="Q121" s="428" t="s">
        <v>3241</v>
      </c>
      <c r="R121" s="428" t="s">
        <v>3191</v>
      </c>
      <c r="S121" s="428" t="s">
        <v>3248</v>
      </c>
      <c r="T121" s="428" t="s">
        <v>3219</v>
      </c>
      <c r="U121" s="426">
        <v>12.42</v>
      </c>
      <c r="V121" s="419"/>
      <c r="W121" s="429">
        <v>2012</v>
      </c>
      <c r="X121" s="443">
        <v>40969</v>
      </c>
      <c r="Y121" s="444">
        <v>0.1242</v>
      </c>
    </row>
    <row r="122" spans="2:25" ht="12.75" customHeight="1">
      <c r="B122" s="429"/>
      <c r="C122" s="430" t="s">
        <v>3148</v>
      </c>
      <c r="D122" s="428">
        <v>15</v>
      </c>
      <c r="E122" s="428">
        <v>12.05</v>
      </c>
      <c r="F122" s="428">
        <v>12.16</v>
      </c>
      <c r="G122" s="428">
        <v>7.75</v>
      </c>
      <c r="H122" s="428">
        <v>9.75</v>
      </c>
      <c r="I122" s="428" t="s">
        <v>3247</v>
      </c>
      <c r="J122" s="428" t="s">
        <v>3246</v>
      </c>
      <c r="K122" s="428" t="s">
        <v>3245</v>
      </c>
      <c r="L122" s="428" t="s">
        <v>3244</v>
      </c>
      <c r="M122" s="428" t="s">
        <v>3243</v>
      </c>
      <c r="N122" s="428" t="s">
        <v>3139</v>
      </c>
      <c r="O122" s="428">
        <v>8.33</v>
      </c>
      <c r="P122" s="428" t="s">
        <v>3242</v>
      </c>
      <c r="Q122" s="428" t="s">
        <v>3241</v>
      </c>
      <c r="R122" s="428" t="s">
        <v>3191</v>
      </c>
      <c r="S122" s="428" t="s">
        <v>3227</v>
      </c>
      <c r="T122" s="428" t="s">
        <v>3219</v>
      </c>
      <c r="U122" s="426">
        <v>12.71</v>
      </c>
      <c r="V122" s="419"/>
      <c r="W122" s="429">
        <v>2012</v>
      </c>
      <c r="X122" s="443">
        <v>41000</v>
      </c>
      <c r="Y122" s="444">
        <v>0.12710000000000002</v>
      </c>
    </row>
    <row r="123" spans="2:25" ht="12.75" customHeight="1">
      <c r="B123" s="429"/>
      <c r="C123" s="430" t="s">
        <v>114</v>
      </c>
      <c r="D123" s="428">
        <v>15</v>
      </c>
      <c r="E123" s="428">
        <v>12.29</v>
      </c>
      <c r="F123" s="428">
        <v>12.6</v>
      </c>
      <c r="G123" s="428">
        <v>7.75</v>
      </c>
      <c r="H123" s="428">
        <v>9.75</v>
      </c>
      <c r="I123" s="428" t="s">
        <v>3240</v>
      </c>
      <c r="J123" s="428" t="s">
        <v>3239</v>
      </c>
      <c r="K123" s="428" t="s">
        <v>3238</v>
      </c>
      <c r="L123" s="428" t="s">
        <v>3237</v>
      </c>
      <c r="M123" s="428" t="s">
        <v>3170</v>
      </c>
      <c r="N123" s="428" t="s">
        <v>3139</v>
      </c>
      <c r="O123" s="428">
        <v>8.2799999999999994</v>
      </c>
      <c r="P123" s="428" t="s">
        <v>3236</v>
      </c>
      <c r="Q123" s="428" t="s">
        <v>3230</v>
      </c>
      <c r="R123" s="428" t="s">
        <v>3191</v>
      </c>
      <c r="S123" s="428" t="s">
        <v>3235</v>
      </c>
      <c r="T123" s="428" t="s">
        <v>3219</v>
      </c>
      <c r="U123" s="426">
        <v>13.32</v>
      </c>
      <c r="V123" s="419"/>
      <c r="W123" s="429">
        <v>2012</v>
      </c>
      <c r="X123" s="443">
        <v>41030</v>
      </c>
      <c r="Y123" s="444">
        <v>0.13320000000000001</v>
      </c>
    </row>
    <row r="124" spans="2:25" ht="12.75" customHeight="1">
      <c r="B124" s="429"/>
      <c r="C124" s="430" t="s">
        <v>3135</v>
      </c>
      <c r="D124" s="428">
        <v>15</v>
      </c>
      <c r="E124" s="428">
        <v>12.61</v>
      </c>
      <c r="F124" s="428">
        <v>12.88</v>
      </c>
      <c r="G124" s="428">
        <v>7.75</v>
      </c>
      <c r="H124" s="428">
        <v>9.75</v>
      </c>
      <c r="I124" s="431" t="s">
        <v>3234</v>
      </c>
      <c r="J124" s="428" t="s">
        <v>3233</v>
      </c>
      <c r="K124" s="428" t="s">
        <v>3232</v>
      </c>
      <c r="L124" s="428" t="s">
        <v>3231</v>
      </c>
      <c r="M124" s="428" t="s">
        <v>3170</v>
      </c>
      <c r="N124" s="428" t="s">
        <v>3198</v>
      </c>
      <c r="O124" s="428">
        <v>8.3800000000000008</v>
      </c>
      <c r="P124" s="428" t="s">
        <v>3212</v>
      </c>
      <c r="Q124" s="428" t="s">
        <v>3230</v>
      </c>
      <c r="R124" s="428" t="s">
        <v>3191</v>
      </c>
      <c r="S124" s="428" t="s">
        <v>3227</v>
      </c>
      <c r="T124" s="428" t="s">
        <v>3219</v>
      </c>
      <c r="U124" s="426">
        <v>13.6</v>
      </c>
      <c r="V124" s="419"/>
      <c r="W124" s="429">
        <v>2012</v>
      </c>
      <c r="X124" s="443">
        <v>41061</v>
      </c>
      <c r="Y124" s="444">
        <v>0.13600000000000001</v>
      </c>
    </row>
    <row r="125" spans="2:25" ht="12.75" customHeight="1">
      <c r="B125" s="429"/>
      <c r="C125" s="430" t="s">
        <v>3125</v>
      </c>
      <c r="D125" s="428">
        <v>15</v>
      </c>
      <c r="E125" s="428">
        <v>12.87</v>
      </c>
      <c r="F125" s="428">
        <v>13.15</v>
      </c>
      <c r="G125" s="428">
        <v>7.75</v>
      </c>
      <c r="H125" s="428">
        <v>9.75</v>
      </c>
      <c r="I125" s="428" t="s">
        <v>3229</v>
      </c>
      <c r="J125" s="428" t="s">
        <v>3225</v>
      </c>
      <c r="K125" s="428" t="s">
        <v>3225</v>
      </c>
      <c r="L125" s="428" t="s">
        <v>3225</v>
      </c>
      <c r="M125" s="428" t="s">
        <v>3170</v>
      </c>
      <c r="N125" s="428" t="s">
        <v>3198</v>
      </c>
      <c r="O125" s="428">
        <v>8.6999999999999993</v>
      </c>
      <c r="P125" s="428" t="s">
        <v>3186</v>
      </c>
      <c r="Q125" s="428" t="s">
        <v>3211</v>
      </c>
      <c r="R125" s="428" t="s">
        <v>3228</v>
      </c>
      <c r="S125" s="428" t="s">
        <v>3227</v>
      </c>
      <c r="T125" s="428" t="s">
        <v>3219</v>
      </c>
      <c r="U125" s="426">
        <v>13.75</v>
      </c>
      <c r="V125" s="419"/>
      <c r="W125" s="429">
        <v>2012</v>
      </c>
      <c r="X125" s="443">
        <v>41091</v>
      </c>
      <c r="Y125" s="444">
        <v>0.13750000000000001</v>
      </c>
    </row>
    <row r="126" spans="2:25" ht="12.75" customHeight="1">
      <c r="B126" s="429"/>
      <c r="C126" s="430" t="s">
        <v>3117</v>
      </c>
      <c r="D126" s="428">
        <v>15</v>
      </c>
      <c r="E126" s="428">
        <v>13.07</v>
      </c>
      <c r="F126" s="428">
        <v>13.31</v>
      </c>
      <c r="G126" s="428">
        <v>7.75</v>
      </c>
      <c r="H126" s="428">
        <v>9.75</v>
      </c>
      <c r="I126" s="428" t="s">
        <v>3226</v>
      </c>
      <c r="J126" s="428" t="s">
        <v>3225</v>
      </c>
      <c r="K126" s="428" t="s">
        <v>3224</v>
      </c>
      <c r="L126" s="428" t="s">
        <v>3223</v>
      </c>
      <c r="M126" s="428" t="s">
        <v>3170</v>
      </c>
      <c r="N126" s="428" t="s">
        <v>3198</v>
      </c>
      <c r="O126" s="428">
        <v>8.9499999999999993</v>
      </c>
      <c r="P126" s="428" t="s">
        <v>3186</v>
      </c>
      <c r="Q126" s="428" t="s">
        <v>3211</v>
      </c>
      <c r="R126" s="428" t="s">
        <v>3191</v>
      </c>
      <c r="S126" s="428" t="s">
        <v>3217</v>
      </c>
      <c r="T126" s="428" t="s">
        <v>3219</v>
      </c>
      <c r="U126" s="426">
        <v>13.76</v>
      </c>
      <c r="V126" s="419"/>
      <c r="W126" s="429">
        <v>2012</v>
      </c>
      <c r="X126" s="443">
        <v>41122</v>
      </c>
      <c r="Y126" s="444">
        <v>0.1376</v>
      </c>
    </row>
    <row r="127" spans="2:25" ht="12.75" customHeight="1">
      <c r="B127" s="429"/>
      <c r="C127" s="430" t="s">
        <v>3113</v>
      </c>
      <c r="D127" s="428">
        <v>15</v>
      </c>
      <c r="E127" s="428">
        <v>12.57</v>
      </c>
      <c r="F127" s="428">
        <v>13.02</v>
      </c>
      <c r="G127" s="428">
        <v>7.75</v>
      </c>
      <c r="H127" s="428">
        <v>9.75</v>
      </c>
      <c r="I127" s="428" t="s">
        <v>3222</v>
      </c>
      <c r="J127" s="428" t="s">
        <v>3221</v>
      </c>
      <c r="K127" s="428" t="s">
        <v>3159</v>
      </c>
      <c r="L127" s="428" t="s">
        <v>3220</v>
      </c>
      <c r="M127" s="428" t="s">
        <v>3170</v>
      </c>
      <c r="N127" s="428" t="s">
        <v>3198</v>
      </c>
      <c r="O127" s="428">
        <v>9.2200000000000006</v>
      </c>
      <c r="P127" s="428" t="s">
        <v>3207</v>
      </c>
      <c r="Q127" s="428" t="s">
        <v>3211</v>
      </c>
      <c r="R127" s="428" t="s">
        <v>3191</v>
      </c>
      <c r="S127" s="428" t="s">
        <v>3217</v>
      </c>
      <c r="T127" s="428" t="s">
        <v>3219</v>
      </c>
      <c r="U127" s="426">
        <v>14.08</v>
      </c>
      <c r="V127" s="419"/>
      <c r="W127" s="429">
        <v>2012</v>
      </c>
      <c r="X127" s="443">
        <v>41153</v>
      </c>
      <c r="Y127" s="444">
        <v>0.14080000000000001</v>
      </c>
    </row>
    <row r="128" spans="2:25" ht="12.75" customHeight="1">
      <c r="B128" s="429"/>
      <c r="C128" s="430" t="s">
        <v>3104</v>
      </c>
      <c r="D128" s="428">
        <v>15</v>
      </c>
      <c r="E128" s="428">
        <v>11.97</v>
      </c>
      <c r="F128" s="428">
        <v>12.56</v>
      </c>
      <c r="G128" s="428">
        <v>7.75</v>
      </c>
      <c r="H128" s="428">
        <v>9.75</v>
      </c>
      <c r="I128" s="428" t="s">
        <v>3218</v>
      </c>
      <c r="J128" s="428" t="s">
        <v>3202</v>
      </c>
      <c r="K128" s="428" t="s">
        <v>3193</v>
      </c>
      <c r="L128" s="428" t="s">
        <v>3193</v>
      </c>
      <c r="M128" s="428" t="s">
        <v>3170</v>
      </c>
      <c r="N128" s="428" t="s">
        <v>3198</v>
      </c>
      <c r="O128" s="428">
        <v>9.4600000000000009</v>
      </c>
      <c r="P128" s="428" t="s">
        <v>3207</v>
      </c>
      <c r="Q128" s="428" t="s">
        <v>3211</v>
      </c>
      <c r="R128" s="428" t="s">
        <v>3191</v>
      </c>
      <c r="S128" s="428" t="s">
        <v>3217</v>
      </c>
      <c r="T128" s="428" t="s">
        <v>3180</v>
      </c>
      <c r="U128" s="426">
        <v>13.97</v>
      </c>
      <c r="V128" s="419"/>
      <c r="W128" s="429">
        <v>2012</v>
      </c>
      <c r="X128" s="443">
        <v>41183</v>
      </c>
      <c r="Y128" s="444">
        <v>0.13970000000000002</v>
      </c>
    </row>
    <row r="129" spans="2:25" ht="12.75" customHeight="1">
      <c r="B129" s="429"/>
      <c r="C129" s="429" t="s">
        <v>3099</v>
      </c>
      <c r="D129" s="428">
        <v>15</v>
      </c>
      <c r="E129" s="428">
        <v>12.09</v>
      </c>
      <c r="F129" s="428">
        <v>12.85</v>
      </c>
      <c r="G129" s="428">
        <v>7.75</v>
      </c>
      <c r="H129" s="428">
        <v>9.75</v>
      </c>
      <c r="I129" s="428" t="s">
        <v>3216</v>
      </c>
      <c r="J129" s="428" t="s">
        <v>3202</v>
      </c>
      <c r="K129" s="428" t="s">
        <v>3215</v>
      </c>
      <c r="L129" s="428" t="s">
        <v>3193</v>
      </c>
      <c r="M129" s="428" t="s">
        <v>3170</v>
      </c>
      <c r="N129" s="428" t="s">
        <v>3198</v>
      </c>
      <c r="O129" s="428">
        <v>9.8000000000000007</v>
      </c>
      <c r="P129" s="428" t="s">
        <v>3212</v>
      </c>
      <c r="Q129" s="428" t="s">
        <v>3211</v>
      </c>
      <c r="R129" s="428" t="s">
        <v>3191</v>
      </c>
      <c r="S129" s="428" t="s">
        <v>3214</v>
      </c>
      <c r="T129" s="428" t="s">
        <v>3180</v>
      </c>
      <c r="U129" s="426">
        <v>14.23</v>
      </c>
      <c r="V129" s="419"/>
      <c r="W129" s="429">
        <v>2012</v>
      </c>
      <c r="X129" s="443">
        <v>41214</v>
      </c>
      <c r="Y129" s="444">
        <v>0.14230000000000001</v>
      </c>
    </row>
    <row r="130" spans="2:25" ht="12.75" customHeight="1">
      <c r="B130" s="429"/>
      <c r="C130" s="429" t="s">
        <v>3094</v>
      </c>
      <c r="D130" s="428">
        <v>15</v>
      </c>
      <c r="E130" s="428">
        <v>10</v>
      </c>
      <c r="F130" s="428">
        <v>11.69</v>
      </c>
      <c r="G130" s="428">
        <v>7.5</v>
      </c>
      <c r="H130" s="428">
        <v>9.5</v>
      </c>
      <c r="I130" s="428" t="s">
        <v>3213</v>
      </c>
      <c r="J130" s="428" t="s">
        <v>3202</v>
      </c>
      <c r="K130" s="428" t="s">
        <v>3202</v>
      </c>
      <c r="L130" s="428" t="s">
        <v>3208</v>
      </c>
      <c r="M130" s="428" t="s">
        <v>3170</v>
      </c>
      <c r="N130" s="428" t="s">
        <v>3198</v>
      </c>
      <c r="O130" s="428">
        <v>10.1</v>
      </c>
      <c r="P130" s="428" t="s">
        <v>3212</v>
      </c>
      <c r="Q130" s="428" t="s">
        <v>3211</v>
      </c>
      <c r="R130" s="428" t="s">
        <v>3191</v>
      </c>
      <c r="S130" s="428" t="s">
        <v>3137</v>
      </c>
      <c r="T130" s="428" t="s">
        <v>3180</v>
      </c>
      <c r="U130" s="426">
        <v>14.29</v>
      </c>
      <c r="V130" s="419"/>
      <c r="W130" s="429">
        <v>2012</v>
      </c>
      <c r="X130" s="443">
        <v>41244</v>
      </c>
      <c r="Y130" s="444">
        <v>0.1429</v>
      </c>
    </row>
    <row r="131" spans="2:25" ht="12.75" customHeight="1">
      <c r="B131" s="429">
        <v>2013</v>
      </c>
      <c r="C131" s="429" t="s">
        <v>3165</v>
      </c>
      <c r="D131" s="428">
        <v>15</v>
      </c>
      <c r="E131" s="428">
        <v>9.4700000000000006</v>
      </c>
      <c r="F131" s="428">
        <v>11.11</v>
      </c>
      <c r="G131" s="428">
        <v>7.5</v>
      </c>
      <c r="H131" s="428">
        <v>9.5</v>
      </c>
      <c r="I131" s="428" t="s">
        <v>3210</v>
      </c>
      <c r="J131" s="428" t="s">
        <v>3209</v>
      </c>
      <c r="K131" s="428" t="s">
        <v>3202</v>
      </c>
      <c r="L131" s="428" t="s">
        <v>3208</v>
      </c>
      <c r="M131" s="428" t="s">
        <v>3170</v>
      </c>
      <c r="N131" s="428" t="s">
        <v>3198</v>
      </c>
      <c r="O131" s="428">
        <v>10.38</v>
      </c>
      <c r="P131" s="428" t="s">
        <v>3207</v>
      </c>
      <c r="Q131" s="428" t="s">
        <v>3185</v>
      </c>
      <c r="R131" s="428" t="s">
        <v>3201</v>
      </c>
      <c r="S131" s="428" t="s">
        <v>3137</v>
      </c>
      <c r="T131" s="428" t="s">
        <v>3180</v>
      </c>
      <c r="U131" s="426">
        <v>14.14</v>
      </c>
      <c r="V131" s="419"/>
      <c r="W131" s="429">
        <v>2013</v>
      </c>
      <c r="X131" s="443">
        <v>41275</v>
      </c>
      <c r="Y131" s="444">
        <v>0.1414</v>
      </c>
    </row>
    <row r="132" spans="2:25" ht="12.75" customHeight="1">
      <c r="B132" s="429"/>
      <c r="C132" s="429" t="s">
        <v>3160</v>
      </c>
      <c r="D132" s="428">
        <v>15</v>
      </c>
      <c r="E132" s="428">
        <v>9.09</v>
      </c>
      <c r="F132" s="428">
        <v>11.1</v>
      </c>
      <c r="G132" s="428">
        <v>7.5</v>
      </c>
      <c r="H132" s="428">
        <v>9.5</v>
      </c>
      <c r="I132" s="428" t="s">
        <v>3206</v>
      </c>
      <c r="J132" s="428" t="s">
        <v>3202</v>
      </c>
      <c r="K132" s="428" t="s">
        <v>3193</v>
      </c>
      <c r="L132" s="428" t="s">
        <v>3203</v>
      </c>
      <c r="M132" s="428" t="s">
        <v>3170</v>
      </c>
      <c r="N132" s="428" t="s">
        <v>3198</v>
      </c>
      <c r="O132" s="428">
        <v>10.56</v>
      </c>
      <c r="P132" s="428" t="s">
        <v>3186</v>
      </c>
      <c r="Q132" s="428" t="s">
        <v>3185</v>
      </c>
      <c r="R132" s="428" t="s">
        <v>3201</v>
      </c>
      <c r="S132" s="428" t="s">
        <v>3137</v>
      </c>
      <c r="T132" s="428" t="s">
        <v>3180</v>
      </c>
      <c r="U132" s="426">
        <v>14.38</v>
      </c>
      <c r="V132" s="419"/>
      <c r="W132" s="429">
        <v>2013</v>
      </c>
      <c r="X132" s="443">
        <v>41306</v>
      </c>
      <c r="Y132" s="444">
        <v>0.14380000000000001</v>
      </c>
    </row>
    <row r="133" spans="2:25" ht="12.75" customHeight="1">
      <c r="B133" s="429"/>
      <c r="C133" s="429" t="s">
        <v>3154</v>
      </c>
      <c r="D133" s="428">
        <v>15</v>
      </c>
      <c r="E133" s="428">
        <v>9.26</v>
      </c>
      <c r="F133" s="428">
        <v>11.35</v>
      </c>
      <c r="G133" s="428">
        <v>7.5</v>
      </c>
      <c r="H133" s="428">
        <v>9.5</v>
      </c>
      <c r="I133" s="428" t="s">
        <v>3206</v>
      </c>
      <c r="J133" s="428" t="s">
        <v>3193</v>
      </c>
      <c r="K133" s="428" t="s">
        <v>3203</v>
      </c>
      <c r="L133" s="428" t="s">
        <v>3202</v>
      </c>
      <c r="M133" s="428" t="s">
        <v>3170</v>
      </c>
      <c r="N133" s="428" t="s">
        <v>3198</v>
      </c>
      <c r="O133" s="428">
        <v>10.69</v>
      </c>
      <c r="P133" s="428" t="s">
        <v>3186</v>
      </c>
      <c r="Q133" s="428" t="s">
        <v>3185</v>
      </c>
      <c r="R133" s="428" t="s">
        <v>3205</v>
      </c>
      <c r="S133" s="428" t="s">
        <v>3137</v>
      </c>
      <c r="T133" s="428" t="s">
        <v>3180</v>
      </c>
      <c r="U133" s="426">
        <v>13.86</v>
      </c>
      <c r="V133" s="419"/>
      <c r="W133" s="429">
        <v>2013</v>
      </c>
      <c r="X133" s="443">
        <v>41334</v>
      </c>
      <c r="Y133" s="444">
        <v>0.1386</v>
      </c>
    </row>
    <row r="134" spans="2:25" ht="12.75" customHeight="1">
      <c r="B134" s="429"/>
      <c r="C134" s="429" t="s">
        <v>3148</v>
      </c>
      <c r="D134" s="428">
        <v>15</v>
      </c>
      <c r="E134" s="428">
        <v>9.23</v>
      </c>
      <c r="F134" s="428">
        <v>11.34</v>
      </c>
      <c r="G134" s="428">
        <v>7.5</v>
      </c>
      <c r="H134" s="428">
        <v>9.5</v>
      </c>
      <c r="I134" s="428" t="s">
        <v>3204</v>
      </c>
      <c r="J134" s="428" t="s">
        <v>3193</v>
      </c>
      <c r="K134" s="428" t="s">
        <v>3203</v>
      </c>
      <c r="L134" s="428" t="s">
        <v>3202</v>
      </c>
      <c r="M134" s="428" t="s">
        <v>3170</v>
      </c>
      <c r="N134" s="428" t="s">
        <v>3192</v>
      </c>
      <c r="O134" s="428">
        <v>10.7</v>
      </c>
      <c r="P134" s="428" t="s">
        <v>3186</v>
      </c>
      <c r="Q134" s="428" t="s">
        <v>3185</v>
      </c>
      <c r="R134" s="428" t="s">
        <v>3201</v>
      </c>
      <c r="S134" s="428" t="s">
        <v>3137</v>
      </c>
      <c r="T134" s="428" t="s">
        <v>3180</v>
      </c>
      <c r="U134" s="426">
        <v>13.58</v>
      </c>
      <c r="V134" s="419"/>
      <c r="W134" s="429">
        <v>2013</v>
      </c>
      <c r="X134" s="443">
        <v>41365</v>
      </c>
      <c r="Y134" s="444">
        <v>0.1358</v>
      </c>
    </row>
    <row r="135" spans="2:25" ht="12.75" customHeight="1">
      <c r="B135" s="429"/>
      <c r="C135" s="429" t="s">
        <v>114</v>
      </c>
      <c r="D135" s="428">
        <v>15</v>
      </c>
      <c r="E135" s="428">
        <v>8.73</v>
      </c>
      <c r="F135" s="428">
        <v>10.86</v>
      </c>
      <c r="G135" s="428">
        <v>7</v>
      </c>
      <c r="H135" s="428">
        <v>9</v>
      </c>
      <c r="I135" s="428">
        <v>9</v>
      </c>
      <c r="J135" s="428" t="s">
        <v>3200</v>
      </c>
      <c r="K135" s="428" t="s">
        <v>3199</v>
      </c>
      <c r="L135" s="428" t="s">
        <v>3171</v>
      </c>
      <c r="M135" s="428" t="s">
        <v>3170</v>
      </c>
      <c r="N135" s="428" t="s">
        <v>3198</v>
      </c>
      <c r="O135" s="428">
        <v>10.74</v>
      </c>
      <c r="P135" s="428" t="s">
        <v>3186</v>
      </c>
      <c r="Q135" s="428" t="s">
        <v>3185</v>
      </c>
      <c r="R135" s="428" t="s">
        <v>3191</v>
      </c>
      <c r="S135" s="428" t="s">
        <v>3137</v>
      </c>
      <c r="T135" s="428" t="s">
        <v>3197</v>
      </c>
      <c r="U135" s="426">
        <v>13.11</v>
      </c>
      <c r="V135" s="419"/>
      <c r="W135" s="429">
        <v>2013</v>
      </c>
      <c r="X135" s="443">
        <v>41395</v>
      </c>
      <c r="Y135" s="444">
        <v>0.13109999999999999</v>
      </c>
    </row>
    <row r="136" spans="2:25" ht="12.75" customHeight="1">
      <c r="B136" s="429"/>
      <c r="C136" s="429" t="s">
        <v>3135</v>
      </c>
      <c r="D136" s="428">
        <v>15</v>
      </c>
      <c r="E136" s="428">
        <v>8.66</v>
      </c>
      <c r="F136" s="428">
        <v>10.66</v>
      </c>
      <c r="G136" s="428">
        <v>7</v>
      </c>
      <c r="H136" s="428">
        <v>9</v>
      </c>
      <c r="I136" s="428" t="s">
        <v>3196</v>
      </c>
      <c r="J136" s="428" t="s">
        <v>3195</v>
      </c>
      <c r="K136" s="428" t="s">
        <v>3193</v>
      </c>
      <c r="L136" s="428" t="s">
        <v>3193</v>
      </c>
      <c r="M136" s="428" t="s">
        <v>3170</v>
      </c>
      <c r="N136" s="428" t="s">
        <v>3192</v>
      </c>
      <c r="O136" s="428">
        <v>10.56</v>
      </c>
      <c r="P136" s="428" t="s">
        <v>3186</v>
      </c>
      <c r="Q136" s="428" t="s">
        <v>3185</v>
      </c>
      <c r="R136" s="428" t="s">
        <v>3191</v>
      </c>
      <c r="S136" s="428" t="s">
        <v>3137</v>
      </c>
      <c r="T136" s="428" t="s">
        <v>3180</v>
      </c>
      <c r="U136" s="426">
        <v>12.47</v>
      </c>
      <c r="V136" s="419"/>
      <c r="W136" s="429">
        <v>2013</v>
      </c>
      <c r="X136" s="443">
        <v>41426</v>
      </c>
      <c r="Y136" s="444">
        <v>0.12470000000000001</v>
      </c>
    </row>
    <row r="137" spans="2:25" ht="12.75" customHeight="1">
      <c r="B137" s="429"/>
      <c r="C137" s="429" t="s">
        <v>3125</v>
      </c>
      <c r="D137" s="428">
        <v>15</v>
      </c>
      <c r="E137" s="428">
        <v>8.6300000000000008</v>
      </c>
      <c r="F137" s="428">
        <v>10.56</v>
      </c>
      <c r="G137" s="428">
        <v>7</v>
      </c>
      <c r="H137" s="428">
        <v>9</v>
      </c>
      <c r="I137" s="428" t="s">
        <v>3194</v>
      </c>
      <c r="J137" s="428" t="s">
        <v>3159</v>
      </c>
      <c r="K137" s="428" t="s">
        <v>3159</v>
      </c>
      <c r="L137" s="428" t="s">
        <v>3193</v>
      </c>
      <c r="M137" s="428" t="s">
        <v>3170</v>
      </c>
      <c r="N137" s="428" t="s">
        <v>3192</v>
      </c>
      <c r="O137" s="428">
        <v>10.43</v>
      </c>
      <c r="P137" s="428" t="s">
        <v>3186</v>
      </c>
      <c r="Q137" s="428" t="s">
        <v>3185</v>
      </c>
      <c r="R137" s="428" t="s">
        <v>3191</v>
      </c>
      <c r="S137" s="428" t="s">
        <v>3100</v>
      </c>
      <c r="T137" s="428" t="s">
        <v>3180</v>
      </c>
      <c r="U137" s="426">
        <v>11.84</v>
      </c>
      <c r="V137" s="419"/>
      <c r="W137" s="429">
        <v>2013</v>
      </c>
      <c r="X137" s="443">
        <v>41456</v>
      </c>
      <c r="Y137" s="444">
        <v>0.11840000000000001</v>
      </c>
    </row>
    <row r="138" spans="2:25" ht="12.75" customHeight="1">
      <c r="B138" s="429"/>
      <c r="C138" s="429" t="s">
        <v>3117</v>
      </c>
      <c r="D138" s="428">
        <v>15</v>
      </c>
      <c r="E138" s="428">
        <v>8.61</v>
      </c>
      <c r="F138" s="428">
        <v>10.56</v>
      </c>
      <c r="G138" s="428">
        <v>7</v>
      </c>
      <c r="H138" s="428">
        <v>9</v>
      </c>
      <c r="I138" s="428" t="s">
        <v>3190</v>
      </c>
      <c r="J138" s="428" t="s">
        <v>3159</v>
      </c>
      <c r="K138" s="428" t="s">
        <v>3189</v>
      </c>
      <c r="L138" s="428" t="s">
        <v>3171</v>
      </c>
      <c r="M138" s="428" t="s">
        <v>3170</v>
      </c>
      <c r="N138" s="428" t="s">
        <v>3139</v>
      </c>
      <c r="O138" s="428">
        <v>10.1</v>
      </c>
      <c r="P138" s="428" t="s">
        <v>3101</v>
      </c>
      <c r="Q138" s="428" t="s">
        <v>3182</v>
      </c>
      <c r="R138" s="428" t="s">
        <v>3166</v>
      </c>
      <c r="S138" s="428" t="s">
        <v>3137</v>
      </c>
      <c r="T138" s="428" t="s">
        <v>3180</v>
      </c>
      <c r="U138" s="426">
        <v>11.86</v>
      </c>
      <c r="V138" s="419"/>
      <c r="W138" s="429">
        <v>2013</v>
      </c>
      <c r="X138" s="443">
        <v>41487</v>
      </c>
      <c r="Y138" s="444">
        <v>0.1186</v>
      </c>
    </row>
    <row r="139" spans="2:25" ht="12.75" customHeight="1">
      <c r="B139" s="429"/>
      <c r="C139" s="429" t="s">
        <v>3113</v>
      </c>
      <c r="D139" s="428">
        <v>15</v>
      </c>
      <c r="E139" s="428">
        <v>8.6</v>
      </c>
      <c r="F139" s="428">
        <v>10.57</v>
      </c>
      <c r="G139" s="428">
        <v>7</v>
      </c>
      <c r="H139" s="428">
        <v>9</v>
      </c>
      <c r="I139" s="428" t="s">
        <v>3188</v>
      </c>
      <c r="J139" s="428" t="s">
        <v>3159</v>
      </c>
      <c r="K139" s="428" t="s">
        <v>3187</v>
      </c>
      <c r="L139" s="428" t="s">
        <v>3171</v>
      </c>
      <c r="M139" s="428" t="s">
        <v>3170</v>
      </c>
      <c r="N139" s="428" t="s">
        <v>3139</v>
      </c>
      <c r="O139" s="428">
        <v>9.93</v>
      </c>
      <c r="P139" s="428" t="s">
        <v>3186</v>
      </c>
      <c r="Q139" s="428" t="s">
        <v>3185</v>
      </c>
      <c r="R139" s="428" t="s">
        <v>3166</v>
      </c>
      <c r="S139" s="428" t="s">
        <v>3175</v>
      </c>
      <c r="T139" s="428" t="s">
        <v>3180</v>
      </c>
      <c r="U139" s="426">
        <v>11.84</v>
      </c>
      <c r="V139" s="419"/>
      <c r="W139" s="429">
        <v>2013</v>
      </c>
      <c r="X139" s="443">
        <v>41518</v>
      </c>
      <c r="Y139" s="444">
        <v>0.11840000000000001</v>
      </c>
    </row>
    <row r="140" spans="2:25" ht="12.75" customHeight="1">
      <c r="B140" s="429"/>
      <c r="C140" s="429" t="s">
        <v>3104</v>
      </c>
      <c r="D140" s="428">
        <v>15</v>
      </c>
      <c r="E140" s="428">
        <v>8.56</v>
      </c>
      <c r="F140" s="428">
        <v>10.02</v>
      </c>
      <c r="G140" s="428">
        <v>6.5</v>
      </c>
      <c r="H140" s="428">
        <v>8.5</v>
      </c>
      <c r="I140" s="428" t="s">
        <v>3184</v>
      </c>
      <c r="J140" s="428" t="s">
        <v>3159</v>
      </c>
      <c r="K140" s="428" t="s">
        <v>3183</v>
      </c>
      <c r="L140" s="428" t="s">
        <v>3171</v>
      </c>
      <c r="M140" s="428" t="s">
        <v>3170</v>
      </c>
      <c r="N140" s="428" t="s">
        <v>3139</v>
      </c>
      <c r="O140" s="428">
        <v>9.7899999999999991</v>
      </c>
      <c r="P140" s="428" t="s">
        <v>3101</v>
      </c>
      <c r="Q140" s="428" t="s">
        <v>3182</v>
      </c>
      <c r="R140" s="428" t="s">
        <v>3181</v>
      </c>
      <c r="S140" s="428" t="s">
        <v>3175</v>
      </c>
      <c r="T140" s="428" t="s">
        <v>3180</v>
      </c>
      <c r="U140" s="426">
        <v>11.45</v>
      </c>
      <c r="V140" s="419"/>
      <c r="W140" s="429">
        <v>2013</v>
      </c>
      <c r="X140" s="443">
        <v>41548</v>
      </c>
      <c r="Y140" s="444">
        <v>0.11449999999999999</v>
      </c>
    </row>
    <row r="141" spans="2:25" ht="12.75" customHeight="1">
      <c r="B141" s="429"/>
      <c r="C141" s="429" t="s">
        <v>3099</v>
      </c>
      <c r="D141" s="428">
        <v>15</v>
      </c>
      <c r="E141" s="428">
        <v>8.06</v>
      </c>
      <c r="F141" s="428">
        <v>9.69</v>
      </c>
      <c r="G141" s="428">
        <v>6.5</v>
      </c>
      <c r="H141" s="428">
        <v>8.5</v>
      </c>
      <c r="I141" s="428" t="s">
        <v>3179</v>
      </c>
      <c r="J141" s="428" t="s">
        <v>3178</v>
      </c>
      <c r="K141" s="428" t="s">
        <v>3177</v>
      </c>
      <c r="L141" s="428" t="s">
        <v>3171</v>
      </c>
      <c r="M141" s="428" t="s">
        <v>3170</v>
      </c>
      <c r="N141" s="428" t="s">
        <v>3139</v>
      </c>
      <c r="O141" s="428">
        <v>9.52</v>
      </c>
      <c r="P141" s="428" t="s">
        <v>3101</v>
      </c>
      <c r="Q141" s="428" t="s">
        <v>3176</v>
      </c>
      <c r="R141" s="428" t="s">
        <v>3166</v>
      </c>
      <c r="S141" s="428" t="s">
        <v>3175</v>
      </c>
      <c r="T141" s="428" t="s">
        <v>3115</v>
      </c>
      <c r="U141" s="426">
        <v>10.95</v>
      </c>
      <c r="V141" s="419"/>
      <c r="W141" s="429">
        <v>2013</v>
      </c>
      <c r="X141" s="443">
        <v>41579</v>
      </c>
      <c r="Y141" s="444">
        <v>0.10949999999999999</v>
      </c>
    </row>
    <row r="142" spans="2:25" ht="12.75" customHeight="1">
      <c r="B142" s="429"/>
      <c r="C142" s="429" t="s">
        <v>3094</v>
      </c>
      <c r="D142" s="428">
        <v>15</v>
      </c>
      <c r="E142" s="428">
        <v>7.54</v>
      </c>
      <c r="F142" s="428">
        <v>8.2899999999999991</v>
      </c>
      <c r="G142" s="428">
        <v>6.5</v>
      </c>
      <c r="H142" s="428">
        <v>8.5</v>
      </c>
      <c r="I142" s="428" t="s">
        <v>3174</v>
      </c>
      <c r="J142" s="428" t="s">
        <v>3173</v>
      </c>
      <c r="K142" s="428" t="s">
        <v>3172</v>
      </c>
      <c r="L142" s="428" t="s">
        <v>3171</v>
      </c>
      <c r="M142" s="428" t="s">
        <v>3170</v>
      </c>
      <c r="N142" s="428" t="s">
        <v>3169</v>
      </c>
      <c r="O142" s="428">
        <v>9.3699999999999992</v>
      </c>
      <c r="P142" s="428" t="s">
        <v>3168</v>
      </c>
      <c r="Q142" s="428" t="s">
        <v>3167</v>
      </c>
      <c r="R142" s="428" t="s">
        <v>3166</v>
      </c>
      <c r="S142" s="428" t="s">
        <v>3137</v>
      </c>
      <c r="T142" s="428" t="s">
        <v>3115</v>
      </c>
      <c r="U142" s="426">
        <v>9.9600000000000009</v>
      </c>
      <c r="V142" s="419"/>
      <c r="W142" s="429">
        <v>2013</v>
      </c>
      <c r="X142" s="443">
        <v>41609</v>
      </c>
      <c r="Y142" s="444">
        <v>9.9600000000000008E-2</v>
      </c>
    </row>
    <row r="143" spans="2:25" ht="12.75" customHeight="1">
      <c r="B143" s="429">
        <v>2014</v>
      </c>
      <c r="C143" s="429" t="s">
        <v>3165</v>
      </c>
      <c r="D143" s="428">
        <v>15</v>
      </c>
      <c r="E143" s="428">
        <v>6.82</v>
      </c>
      <c r="F143" s="428">
        <v>7.14</v>
      </c>
      <c r="G143" s="428">
        <v>6.5</v>
      </c>
      <c r="H143" s="428">
        <v>8</v>
      </c>
      <c r="I143" s="428" t="s">
        <v>3164</v>
      </c>
      <c r="J143" s="427" t="s">
        <v>3159</v>
      </c>
      <c r="K143" s="427" t="s">
        <v>3152</v>
      </c>
      <c r="L143" s="427" t="s">
        <v>3163</v>
      </c>
      <c r="M143" s="427" t="s">
        <v>3144</v>
      </c>
      <c r="N143" s="427" t="s">
        <v>3139</v>
      </c>
      <c r="O143" s="427">
        <v>9.14</v>
      </c>
      <c r="P143" s="427" t="s">
        <v>3101</v>
      </c>
      <c r="Q143" s="427" t="s">
        <v>3162</v>
      </c>
      <c r="R143" s="427" t="s">
        <v>3161</v>
      </c>
      <c r="S143" s="428" t="s">
        <v>3137</v>
      </c>
      <c r="T143" s="427" t="s">
        <v>3155</v>
      </c>
      <c r="U143" s="426">
        <v>9.65</v>
      </c>
      <c r="V143" s="419"/>
      <c r="W143" s="429">
        <v>2014</v>
      </c>
      <c r="X143" s="443">
        <v>41640</v>
      </c>
      <c r="Y143" s="444">
        <v>9.6500000000000002E-2</v>
      </c>
    </row>
    <row r="144" spans="2:25" ht="12.75" customHeight="1">
      <c r="B144" s="429"/>
      <c r="C144" s="429" t="s">
        <v>3160</v>
      </c>
      <c r="D144" s="428">
        <v>15</v>
      </c>
      <c r="E144" s="428">
        <v>6.72</v>
      </c>
      <c r="F144" s="428">
        <v>7.07</v>
      </c>
      <c r="G144" s="428">
        <v>6.5</v>
      </c>
      <c r="H144" s="428">
        <v>8</v>
      </c>
      <c r="I144" s="428" t="s">
        <v>3153</v>
      </c>
      <c r="J144" s="427" t="s">
        <v>3159</v>
      </c>
      <c r="K144" s="427" t="s">
        <v>3158</v>
      </c>
      <c r="L144" s="427" t="s">
        <v>3157</v>
      </c>
      <c r="M144" s="427" t="s">
        <v>3144</v>
      </c>
      <c r="N144" s="427" t="s">
        <v>3139</v>
      </c>
      <c r="O144" s="427">
        <v>8.83</v>
      </c>
      <c r="P144" s="427" t="s">
        <v>3101</v>
      </c>
      <c r="Q144" s="427" t="s">
        <v>3156</v>
      </c>
      <c r="R144" s="427" t="s">
        <v>3138</v>
      </c>
      <c r="S144" s="428" t="s">
        <v>3137</v>
      </c>
      <c r="T144" s="427" t="s">
        <v>3155</v>
      </c>
      <c r="U144" s="426">
        <v>9.4</v>
      </c>
      <c r="V144" s="419"/>
      <c r="W144" s="429">
        <v>2014</v>
      </c>
      <c r="X144" s="443">
        <v>41671</v>
      </c>
      <c r="Y144" s="444">
        <v>9.4E-2</v>
      </c>
    </row>
    <row r="145" spans="2:25" ht="12.75" customHeight="1">
      <c r="B145" s="429"/>
      <c r="C145" s="429" t="s">
        <v>3154</v>
      </c>
      <c r="D145" s="428">
        <v>15</v>
      </c>
      <c r="E145" s="428">
        <v>6.65</v>
      </c>
      <c r="F145" s="428">
        <v>7.05</v>
      </c>
      <c r="G145" s="428">
        <v>6.5</v>
      </c>
      <c r="H145" s="428">
        <v>8</v>
      </c>
      <c r="I145" s="428" t="s">
        <v>3153</v>
      </c>
      <c r="J145" s="427" t="s">
        <v>3146</v>
      </c>
      <c r="K145" s="427" t="s">
        <v>3152</v>
      </c>
      <c r="L145" s="427" t="s">
        <v>3151</v>
      </c>
      <c r="M145" s="427" t="s">
        <v>3144</v>
      </c>
      <c r="N145" s="427" t="s">
        <v>3139</v>
      </c>
      <c r="O145" s="427">
        <v>8.4499999999999993</v>
      </c>
      <c r="P145" s="427" t="s">
        <v>3087</v>
      </c>
      <c r="Q145" s="427" t="s">
        <v>3150</v>
      </c>
      <c r="R145" s="427" t="s">
        <v>3138</v>
      </c>
      <c r="S145" s="428" t="s">
        <v>3137</v>
      </c>
      <c r="T145" s="427" t="s">
        <v>3149</v>
      </c>
      <c r="U145" s="426">
        <v>8.81</v>
      </c>
      <c r="V145" s="419"/>
      <c r="W145" s="429">
        <v>2014</v>
      </c>
      <c r="X145" s="443">
        <v>41699</v>
      </c>
      <c r="Y145" s="444">
        <v>8.8100000000000012E-2</v>
      </c>
    </row>
    <row r="146" spans="2:25" ht="12.75" customHeight="1">
      <c r="B146" s="429"/>
      <c r="C146" s="429" t="s">
        <v>3148</v>
      </c>
      <c r="D146" s="428">
        <v>15</v>
      </c>
      <c r="E146" s="428">
        <v>6.58</v>
      </c>
      <c r="F146" s="428">
        <v>7.02</v>
      </c>
      <c r="G146" s="428">
        <v>6.5</v>
      </c>
      <c r="H146" s="428">
        <v>8</v>
      </c>
      <c r="I146" s="428" t="s">
        <v>3147</v>
      </c>
      <c r="J146" s="427" t="s">
        <v>3146</v>
      </c>
      <c r="K146" s="427" t="s">
        <v>3145</v>
      </c>
      <c r="L146" s="427" t="s">
        <v>3141</v>
      </c>
      <c r="M146" s="427" t="s">
        <v>3144</v>
      </c>
      <c r="N146" s="427" t="s">
        <v>3139</v>
      </c>
      <c r="O146" s="427">
        <v>8.06</v>
      </c>
      <c r="P146" s="427" t="s">
        <v>3128</v>
      </c>
      <c r="Q146" s="427" t="s">
        <v>3127</v>
      </c>
      <c r="R146" s="427" t="s">
        <v>3138</v>
      </c>
      <c r="S146" s="428" t="s">
        <v>3137</v>
      </c>
      <c r="T146" s="427" t="s">
        <v>3127</v>
      </c>
      <c r="U146" s="426">
        <v>8.65</v>
      </c>
      <c r="V146" s="419"/>
      <c r="W146" s="429">
        <v>2014</v>
      </c>
      <c r="X146" s="443">
        <v>41730</v>
      </c>
      <c r="Y146" s="444">
        <v>8.6500000000000007E-2</v>
      </c>
    </row>
    <row r="147" spans="2:25" ht="12.75" customHeight="1">
      <c r="B147" s="429"/>
      <c r="C147" s="429" t="s">
        <v>114</v>
      </c>
      <c r="D147" s="428">
        <v>15</v>
      </c>
      <c r="E147" s="428">
        <v>6.56</v>
      </c>
      <c r="F147" s="428">
        <v>7.02</v>
      </c>
      <c r="G147" s="428">
        <v>6.5</v>
      </c>
      <c r="H147" s="428">
        <v>8</v>
      </c>
      <c r="I147" s="428">
        <v>6.95</v>
      </c>
      <c r="J147" s="427" t="s">
        <v>3143</v>
      </c>
      <c r="K147" s="427" t="s">
        <v>3142</v>
      </c>
      <c r="L147" s="427" t="s">
        <v>3141</v>
      </c>
      <c r="M147" s="427" t="s">
        <v>3140</v>
      </c>
      <c r="N147" s="427" t="s">
        <v>3139</v>
      </c>
      <c r="O147" s="427">
        <v>7.74</v>
      </c>
      <c r="P147" s="427" t="s">
        <v>3128</v>
      </c>
      <c r="Q147" s="427" t="s">
        <v>3127</v>
      </c>
      <c r="R147" s="427" t="s">
        <v>3138</v>
      </c>
      <c r="S147" s="428" t="s">
        <v>3137</v>
      </c>
      <c r="T147" s="427" t="s">
        <v>3136</v>
      </c>
      <c r="U147" s="426">
        <v>8.3800000000000008</v>
      </c>
      <c r="V147" s="419"/>
      <c r="W147" s="429">
        <v>2014</v>
      </c>
      <c r="X147" s="443">
        <v>41760</v>
      </c>
      <c r="Y147" s="444">
        <v>8.3800000000000013E-2</v>
      </c>
    </row>
    <row r="148" spans="2:25" ht="12.75" customHeight="1">
      <c r="B148" s="429"/>
      <c r="C148" s="429" t="s">
        <v>3135</v>
      </c>
      <c r="D148" s="428">
        <v>15</v>
      </c>
      <c r="E148" s="428">
        <v>6.51</v>
      </c>
      <c r="F148" s="428">
        <v>6.99</v>
      </c>
      <c r="G148" s="428">
        <v>6.5</v>
      </c>
      <c r="H148" s="428">
        <v>8</v>
      </c>
      <c r="I148" s="428" t="s">
        <v>3134</v>
      </c>
      <c r="J148" s="427" t="s">
        <v>3133</v>
      </c>
      <c r="K148" s="427" t="s">
        <v>3132</v>
      </c>
      <c r="L148" s="427" t="s">
        <v>3131</v>
      </c>
      <c r="M148" s="427" t="s">
        <v>3130</v>
      </c>
      <c r="N148" s="427" t="s">
        <v>3129</v>
      </c>
      <c r="O148" s="427">
        <v>7.4</v>
      </c>
      <c r="P148" s="427" t="s">
        <v>3128</v>
      </c>
      <c r="Q148" s="427" t="s">
        <v>3127</v>
      </c>
      <c r="R148" s="427" t="s">
        <v>3085</v>
      </c>
      <c r="S148" s="427" t="s">
        <v>3100</v>
      </c>
      <c r="T148" s="427" t="s">
        <v>3126</v>
      </c>
      <c r="U148" s="426">
        <v>8.0299999999999994</v>
      </c>
      <c r="V148" s="419"/>
      <c r="W148" s="429">
        <v>2014</v>
      </c>
      <c r="X148" s="443">
        <v>41791</v>
      </c>
      <c r="Y148" s="444">
        <v>8.0299999999999996E-2</v>
      </c>
    </row>
    <row r="149" spans="2:25" ht="12.75" customHeight="1">
      <c r="B149" s="429"/>
      <c r="C149" s="429" t="s">
        <v>3125</v>
      </c>
      <c r="D149" s="428">
        <v>15</v>
      </c>
      <c r="E149" s="428">
        <v>6.43</v>
      </c>
      <c r="F149" s="428">
        <v>6.68</v>
      </c>
      <c r="G149" s="428">
        <v>6.5</v>
      </c>
      <c r="H149" s="428">
        <v>8</v>
      </c>
      <c r="I149" s="428" t="s">
        <v>3124</v>
      </c>
      <c r="J149" s="427" t="s">
        <v>3123</v>
      </c>
      <c r="K149" s="427" t="s">
        <v>3122</v>
      </c>
      <c r="L149" s="427" t="s">
        <v>3121</v>
      </c>
      <c r="M149" s="427" t="s">
        <v>3120</v>
      </c>
      <c r="N149" s="427" t="s">
        <v>3096</v>
      </c>
      <c r="O149" s="427">
        <v>7.16</v>
      </c>
      <c r="P149" s="427" t="s">
        <v>3087</v>
      </c>
      <c r="Q149" s="427" t="s">
        <v>3119</v>
      </c>
      <c r="R149" s="427" t="s">
        <v>3085</v>
      </c>
      <c r="S149" s="427" t="s">
        <v>3100</v>
      </c>
      <c r="T149" s="427" t="s">
        <v>3118</v>
      </c>
      <c r="U149" s="426">
        <v>7.64</v>
      </c>
      <c r="V149" s="419"/>
      <c r="W149" s="429">
        <v>2014</v>
      </c>
      <c r="X149" s="443">
        <v>41821</v>
      </c>
      <c r="Y149" s="444">
        <v>7.6399999999999996E-2</v>
      </c>
    </row>
    <row r="150" spans="2:25" ht="12.75" customHeight="1">
      <c r="B150" s="429"/>
      <c r="C150" s="429" t="s">
        <v>3117</v>
      </c>
      <c r="D150" s="428">
        <v>15</v>
      </c>
      <c r="E150" s="428">
        <v>6.19</v>
      </c>
      <c r="F150" s="428">
        <v>6.3</v>
      </c>
      <c r="G150" s="428">
        <v>6.5</v>
      </c>
      <c r="H150" s="428">
        <v>8</v>
      </c>
      <c r="I150" s="428">
        <v>6.7</v>
      </c>
      <c r="J150" s="427" t="s">
        <v>3116</v>
      </c>
      <c r="K150" s="427" t="s">
        <v>3110</v>
      </c>
      <c r="L150" s="427" t="s">
        <v>3109</v>
      </c>
      <c r="M150" s="427" t="s">
        <v>3108</v>
      </c>
      <c r="N150" s="427" t="s">
        <v>3107</v>
      </c>
      <c r="O150" s="427">
        <v>7.02</v>
      </c>
      <c r="P150" s="427" t="s">
        <v>3087</v>
      </c>
      <c r="Q150" s="427" t="s">
        <v>3115</v>
      </c>
      <c r="R150" s="427" t="s">
        <v>3085</v>
      </c>
      <c r="S150" s="427" t="s">
        <v>3100</v>
      </c>
      <c r="T150" s="427" t="s">
        <v>3114</v>
      </c>
      <c r="U150" s="426">
        <v>7.28</v>
      </c>
      <c r="V150" s="419"/>
      <c r="W150" s="429">
        <v>2014</v>
      </c>
      <c r="X150" s="443">
        <v>41852</v>
      </c>
      <c r="Y150" s="444">
        <v>7.2800000000000004E-2</v>
      </c>
    </row>
    <row r="151" spans="2:25" ht="12.75" customHeight="1">
      <c r="B151" s="429"/>
      <c r="C151" s="429" t="s">
        <v>3113</v>
      </c>
      <c r="D151" s="428">
        <v>15</v>
      </c>
      <c r="E151" s="428">
        <v>6.15</v>
      </c>
      <c r="F151" s="428">
        <v>5.89</v>
      </c>
      <c r="G151" s="428">
        <v>6.5</v>
      </c>
      <c r="H151" s="428">
        <v>8</v>
      </c>
      <c r="I151" s="428" t="s">
        <v>3112</v>
      </c>
      <c r="J151" s="427" t="s">
        <v>3111</v>
      </c>
      <c r="K151" s="427" t="s">
        <v>3110</v>
      </c>
      <c r="L151" s="427" t="s">
        <v>3109</v>
      </c>
      <c r="M151" s="427" t="s">
        <v>3108</v>
      </c>
      <c r="N151" s="427" t="s">
        <v>3107</v>
      </c>
      <c r="O151" s="427">
        <v>6.83</v>
      </c>
      <c r="P151" s="427" t="s">
        <v>3087</v>
      </c>
      <c r="Q151" s="427" t="s">
        <v>3095</v>
      </c>
      <c r="R151" s="427" t="s">
        <v>3085</v>
      </c>
      <c r="S151" s="427" t="s">
        <v>3106</v>
      </c>
      <c r="T151" s="427" t="s">
        <v>3105</v>
      </c>
      <c r="U151" s="426">
        <v>6.93</v>
      </c>
      <c r="V151" s="419"/>
      <c r="W151" s="429">
        <v>2014</v>
      </c>
      <c r="X151" s="443">
        <v>41883</v>
      </c>
      <c r="Y151" s="444">
        <v>6.93E-2</v>
      </c>
    </row>
    <row r="152" spans="2:25" ht="12.75" customHeight="1">
      <c r="B152" s="429"/>
      <c r="C152" s="429" t="s">
        <v>3104</v>
      </c>
      <c r="D152" s="428">
        <v>15</v>
      </c>
      <c r="E152" s="428">
        <v>6.15</v>
      </c>
      <c r="F152" s="428">
        <v>6</v>
      </c>
      <c r="G152" s="428">
        <v>6.5</v>
      </c>
      <c r="H152" s="428">
        <v>8</v>
      </c>
      <c r="I152" s="428">
        <v>6</v>
      </c>
      <c r="J152" s="427" t="s">
        <v>3103</v>
      </c>
      <c r="K152" s="427" t="s">
        <v>3091</v>
      </c>
      <c r="L152" s="427" t="s">
        <v>3090</v>
      </c>
      <c r="M152" s="427" t="s">
        <v>3089</v>
      </c>
      <c r="N152" s="427" t="s">
        <v>3102</v>
      </c>
      <c r="O152" s="427">
        <v>6.72</v>
      </c>
      <c r="P152" s="427" t="s">
        <v>3101</v>
      </c>
      <c r="Q152" s="427" t="s">
        <v>3095</v>
      </c>
      <c r="R152" s="427" t="s">
        <v>3085</v>
      </c>
      <c r="S152" s="427" t="s">
        <v>3100</v>
      </c>
      <c r="T152" s="427" t="s">
        <v>3083</v>
      </c>
      <c r="U152" s="426">
        <v>6.44</v>
      </c>
      <c r="V152" s="419"/>
      <c r="W152" s="429">
        <v>2014</v>
      </c>
      <c r="X152" s="443">
        <v>41913</v>
      </c>
      <c r="Y152" s="444">
        <v>6.4399999999999999E-2</v>
      </c>
    </row>
    <row r="153" spans="2:25" ht="12.75" customHeight="1">
      <c r="B153" s="429"/>
      <c r="C153" s="429" t="s">
        <v>3099</v>
      </c>
      <c r="D153" s="428">
        <v>15</v>
      </c>
      <c r="E153" s="428">
        <v>6.15</v>
      </c>
      <c r="F153" s="428">
        <v>6</v>
      </c>
      <c r="G153" s="428">
        <v>6.5</v>
      </c>
      <c r="H153" s="428">
        <v>8</v>
      </c>
      <c r="I153" s="428" t="s">
        <v>3098</v>
      </c>
      <c r="J153" s="427" t="s">
        <v>3097</v>
      </c>
      <c r="K153" s="427" t="s">
        <v>3091</v>
      </c>
      <c r="L153" s="427" t="s">
        <v>3090</v>
      </c>
      <c r="M153" s="427" t="s">
        <v>3089</v>
      </c>
      <c r="N153" s="427" t="s">
        <v>3096</v>
      </c>
      <c r="O153" s="427">
        <v>6.42</v>
      </c>
      <c r="P153" s="427" t="s">
        <v>3087</v>
      </c>
      <c r="Q153" s="427" t="s">
        <v>3095</v>
      </c>
      <c r="R153" s="427" t="s">
        <v>3085</v>
      </c>
      <c r="S153" s="427" t="s">
        <v>3084</v>
      </c>
      <c r="T153" s="427" t="s">
        <v>3083</v>
      </c>
      <c r="U153" s="426">
        <v>6.49</v>
      </c>
      <c r="V153" s="419"/>
      <c r="W153" s="429">
        <v>2014</v>
      </c>
      <c r="X153" s="443">
        <v>41944</v>
      </c>
      <c r="Y153" s="444">
        <v>6.4899999999999999E-2</v>
      </c>
    </row>
    <row r="154" spans="2:25" ht="12.75" customHeight="1">
      <c r="B154" s="429"/>
      <c r="C154" s="429" t="s">
        <v>3094</v>
      </c>
      <c r="D154" s="428">
        <v>15</v>
      </c>
      <c r="E154" s="428">
        <v>5.74</v>
      </c>
      <c r="F154" s="428">
        <v>6.01</v>
      </c>
      <c r="G154" s="428">
        <v>6.5</v>
      </c>
      <c r="H154" s="428">
        <v>8</v>
      </c>
      <c r="I154" s="428" t="s">
        <v>3093</v>
      </c>
      <c r="J154" s="427" t="s">
        <v>3092</v>
      </c>
      <c r="K154" s="427" t="s">
        <v>3091</v>
      </c>
      <c r="L154" s="427" t="s">
        <v>3090</v>
      </c>
      <c r="M154" s="427" t="s">
        <v>3089</v>
      </c>
      <c r="N154" s="427" t="s">
        <v>3088</v>
      </c>
      <c r="O154" s="427">
        <v>6.2</v>
      </c>
      <c r="P154" s="427" t="s">
        <v>3087</v>
      </c>
      <c r="Q154" s="427" t="s">
        <v>3086</v>
      </c>
      <c r="R154" s="427" t="s">
        <v>3085</v>
      </c>
      <c r="S154" s="427" t="s">
        <v>3084</v>
      </c>
      <c r="T154" s="427" t="s">
        <v>3083</v>
      </c>
      <c r="U154" s="426">
        <v>6.35</v>
      </c>
      <c r="V154" s="419"/>
      <c r="W154" s="429">
        <v>2014</v>
      </c>
      <c r="X154" s="443">
        <v>41974</v>
      </c>
      <c r="Y154" s="444">
        <v>6.3500000000000001E-2</v>
      </c>
    </row>
    <row r="155" spans="2:25" ht="12.75" customHeight="1">
      <c r="B155" s="429">
        <v>2015</v>
      </c>
      <c r="C155" s="429" t="s">
        <v>3165</v>
      </c>
      <c r="D155" s="428"/>
      <c r="E155" s="428"/>
      <c r="F155" s="428"/>
      <c r="G155" s="428"/>
      <c r="H155" s="428"/>
      <c r="I155" s="428"/>
      <c r="J155" s="427"/>
      <c r="K155" s="427"/>
      <c r="L155" s="427"/>
      <c r="M155" s="427"/>
      <c r="N155" s="427"/>
      <c r="O155" s="427"/>
      <c r="P155" s="427"/>
      <c r="Q155" s="427"/>
      <c r="R155" s="427"/>
      <c r="S155" s="427"/>
      <c r="T155" s="427"/>
      <c r="U155" s="426">
        <v>6.43</v>
      </c>
      <c r="V155" s="419"/>
      <c r="W155" s="429">
        <v>2015</v>
      </c>
      <c r="X155" s="443">
        <v>42005</v>
      </c>
      <c r="Y155" s="444">
        <v>6.4299999999999996E-2</v>
      </c>
    </row>
    <row r="156" spans="2:25" ht="12.75" customHeight="1">
      <c r="B156" s="429"/>
      <c r="C156" s="429" t="s">
        <v>3160</v>
      </c>
      <c r="D156" s="428"/>
      <c r="E156" s="428"/>
      <c r="F156" s="428"/>
      <c r="G156" s="428"/>
      <c r="H156" s="428"/>
      <c r="I156" s="428"/>
      <c r="J156" s="427"/>
      <c r="K156" s="427"/>
      <c r="L156" s="427"/>
      <c r="M156" s="427"/>
      <c r="N156" s="427"/>
      <c r="O156" s="427"/>
      <c r="P156" s="427"/>
      <c r="Q156" s="427"/>
      <c r="R156" s="427"/>
      <c r="S156" s="427"/>
      <c r="T156" s="427"/>
      <c r="U156" s="426">
        <v>6.47</v>
      </c>
      <c r="V156" s="419"/>
      <c r="W156" s="429">
        <v>2015</v>
      </c>
      <c r="X156" s="443">
        <v>42036</v>
      </c>
      <c r="Y156" s="444">
        <v>6.4699999999999994E-2</v>
      </c>
    </row>
    <row r="157" spans="2:25" ht="12.75" customHeight="1">
      <c r="B157" s="429"/>
      <c r="C157" s="429" t="s">
        <v>3154</v>
      </c>
      <c r="D157" s="428"/>
      <c r="E157" s="428"/>
      <c r="F157" s="428"/>
      <c r="G157" s="428"/>
      <c r="H157" s="428"/>
      <c r="I157" s="428"/>
      <c r="J157" s="427"/>
      <c r="K157" s="427"/>
      <c r="L157" s="427"/>
      <c r="M157" s="427"/>
      <c r="N157" s="427"/>
      <c r="O157" s="427"/>
      <c r="P157" s="427"/>
      <c r="Q157" s="427"/>
      <c r="R157" s="427"/>
      <c r="S157" s="427"/>
      <c r="T157" s="427"/>
      <c r="U157" s="426">
        <v>7.01</v>
      </c>
      <c r="V157" s="419"/>
      <c r="W157" s="429">
        <v>2015</v>
      </c>
      <c r="X157" s="443">
        <v>42064</v>
      </c>
      <c r="Y157" s="444">
        <v>7.0099999999999996E-2</v>
      </c>
    </row>
    <row r="158" spans="2:25" ht="12.75" customHeight="1">
      <c r="B158" s="429"/>
      <c r="C158" s="429" t="s">
        <v>3148</v>
      </c>
      <c r="D158" s="428"/>
      <c r="E158" s="428"/>
      <c r="F158" s="428"/>
      <c r="G158" s="428"/>
      <c r="H158" s="428"/>
      <c r="I158" s="428"/>
      <c r="J158" s="427"/>
      <c r="K158" s="427"/>
      <c r="L158" s="427"/>
      <c r="M158" s="427"/>
      <c r="N158" s="427"/>
      <c r="O158" s="427"/>
      <c r="P158" s="427"/>
      <c r="Q158" s="427"/>
      <c r="R158" s="427"/>
      <c r="S158" s="427"/>
      <c r="T158" s="427"/>
      <c r="U158" s="426">
        <v>7.09</v>
      </c>
      <c r="V158" s="419"/>
      <c r="W158" s="429">
        <v>2015</v>
      </c>
      <c r="X158" s="443">
        <v>42095</v>
      </c>
      <c r="Y158" s="444">
        <v>7.0900000000000005E-2</v>
      </c>
    </row>
    <row r="159" spans="2:25" ht="12.75" customHeight="1">
      <c r="B159" s="429"/>
      <c r="C159" s="429" t="s">
        <v>114</v>
      </c>
      <c r="D159" s="428"/>
      <c r="E159" s="428"/>
      <c r="F159" s="428"/>
      <c r="G159" s="428"/>
      <c r="H159" s="428"/>
      <c r="I159" s="428"/>
      <c r="J159" s="427"/>
      <c r="K159" s="427"/>
      <c r="L159" s="427"/>
      <c r="M159" s="427"/>
      <c r="N159" s="427"/>
      <c r="O159" s="427"/>
      <c r="P159" s="427"/>
      <c r="Q159" s="427"/>
      <c r="R159" s="427"/>
      <c r="S159" s="427"/>
      <c r="T159" s="427"/>
      <c r="U159" s="426">
        <v>6.95</v>
      </c>
      <c r="V159" s="419"/>
      <c r="W159" s="429">
        <v>2015</v>
      </c>
      <c r="X159" s="443">
        <v>42125</v>
      </c>
      <c r="Y159" s="444">
        <v>6.9500000000000006E-2</v>
      </c>
    </row>
    <row r="160" spans="2:25" ht="12.75" customHeight="1">
      <c r="B160" s="429"/>
      <c r="C160" s="429" t="s">
        <v>3135</v>
      </c>
      <c r="D160" s="428"/>
      <c r="E160" s="428"/>
      <c r="F160" s="428"/>
      <c r="G160" s="428"/>
      <c r="H160" s="428"/>
      <c r="I160" s="428"/>
      <c r="J160" s="427"/>
      <c r="K160" s="427"/>
      <c r="L160" s="427"/>
      <c r="M160" s="427"/>
      <c r="N160" s="427"/>
      <c r="O160" s="427"/>
      <c r="P160" s="427"/>
      <c r="Q160" s="427"/>
      <c r="R160" s="427"/>
      <c r="S160" s="427"/>
      <c r="T160" s="427"/>
      <c r="U160" s="426">
        <v>7.13</v>
      </c>
      <c r="V160" s="419"/>
      <c r="W160" s="429">
        <v>2015</v>
      </c>
      <c r="X160" s="443">
        <v>42156</v>
      </c>
      <c r="Y160" s="444">
        <v>7.1300000000000002E-2</v>
      </c>
    </row>
    <row r="161" spans="2:25" ht="12.75" customHeight="1">
      <c r="B161" s="429"/>
      <c r="C161" s="429" t="s">
        <v>3125</v>
      </c>
      <c r="D161" s="428"/>
      <c r="E161" s="428"/>
      <c r="F161" s="428"/>
      <c r="G161" s="428"/>
      <c r="H161" s="428"/>
      <c r="I161" s="428"/>
      <c r="J161" s="427"/>
      <c r="K161" s="427"/>
      <c r="L161" s="427"/>
      <c r="M161" s="427"/>
      <c r="N161" s="427"/>
      <c r="O161" s="427"/>
      <c r="P161" s="427"/>
      <c r="Q161" s="427"/>
      <c r="R161" s="427"/>
      <c r="S161" s="427"/>
      <c r="T161" s="427"/>
      <c r="U161" s="426">
        <v>6.98</v>
      </c>
      <c r="V161" s="419"/>
      <c r="W161" s="429">
        <v>2015</v>
      </c>
      <c r="X161" s="443">
        <v>42186</v>
      </c>
      <c r="Y161" s="444">
        <v>6.9800000000000001E-2</v>
      </c>
    </row>
    <row r="162" spans="2:25" ht="12.75" customHeight="1">
      <c r="B162" s="429"/>
      <c r="C162" s="429" t="s">
        <v>3117</v>
      </c>
      <c r="D162" s="428"/>
      <c r="E162" s="428"/>
      <c r="F162" s="428"/>
      <c r="G162" s="428"/>
      <c r="H162" s="428"/>
      <c r="I162" s="428"/>
      <c r="J162" s="427"/>
      <c r="K162" s="427"/>
      <c r="L162" s="427"/>
      <c r="M162" s="427"/>
      <c r="N162" s="427"/>
      <c r="O162" s="427"/>
      <c r="P162" s="427"/>
      <c r="Q162" s="427"/>
      <c r="R162" s="427"/>
      <c r="S162" s="427"/>
      <c r="T162" s="427"/>
      <c r="U162" s="426">
        <v>6.76</v>
      </c>
      <c r="V162" s="419"/>
      <c r="W162" s="429">
        <v>2015</v>
      </c>
      <c r="X162" s="443">
        <v>42217</v>
      </c>
      <c r="Y162" s="444">
        <v>6.7599999999999993E-2</v>
      </c>
    </row>
    <row r="163" spans="2:25" ht="12.75" customHeight="1">
      <c r="B163" s="429"/>
      <c r="C163" s="429" t="s">
        <v>3113</v>
      </c>
      <c r="D163" s="428"/>
      <c r="E163" s="428"/>
      <c r="F163" s="428"/>
      <c r="G163" s="428"/>
      <c r="H163" s="428"/>
      <c r="I163" s="428"/>
      <c r="J163" s="427"/>
      <c r="K163" s="427"/>
      <c r="L163" s="427"/>
      <c r="M163" s="427"/>
      <c r="N163" s="427"/>
      <c r="O163" s="427"/>
      <c r="P163" s="427"/>
      <c r="Q163" s="427"/>
      <c r="R163" s="427"/>
      <c r="S163" s="427"/>
      <c r="T163" s="427"/>
      <c r="U163" s="426">
        <v>7.08</v>
      </c>
      <c r="V163" s="419"/>
      <c r="W163" s="429">
        <v>2015</v>
      </c>
      <c r="X163" s="443">
        <v>42248</v>
      </c>
      <c r="Y163" s="444">
        <v>7.0800000000000002E-2</v>
      </c>
    </row>
    <row r="164" spans="2:25" ht="12.75" customHeight="1">
      <c r="B164" s="429"/>
      <c r="C164" s="429" t="s">
        <v>3104</v>
      </c>
      <c r="D164" s="428"/>
      <c r="E164" s="428"/>
      <c r="F164" s="428"/>
      <c r="G164" s="428"/>
      <c r="H164" s="428"/>
      <c r="I164" s="428"/>
      <c r="J164" s="427"/>
      <c r="K164" s="427"/>
      <c r="L164" s="427"/>
      <c r="M164" s="427"/>
      <c r="N164" s="427"/>
      <c r="O164" s="427"/>
      <c r="P164" s="427"/>
      <c r="Q164" s="427"/>
      <c r="R164" s="427"/>
      <c r="S164" s="427"/>
      <c r="T164" s="427"/>
      <c r="U164" s="426">
        <v>7.24</v>
      </c>
      <c r="V164" s="419"/>
      <c r="W164" s="429">
        <v>2015</v>
      </c>
      <c r="X164" s="443">
        <v>42278</v>
      </c>
      <c r="Y164" s="444">
        <v>7.2400000000000006E-2</v>
      </c>
    </row>
    <row r="165" spans="2:25" ht="12.75" customHeight="1">
      <c r="B165" s="429"/>
      <c r="C165" s="429" t="s">
        <v>3099</v>
      </c>
      <c r="D165" s="428"/>
      <c r="E165" s="428"/>
      <c r="F165" s="428"/>
      <c r="G165" s="428"/>
      <c r="H165" s="428"/>
      <c r="I165" s="428"/>
      <c r="J165" s="427"/>
      <c r="K165" s="427"/>
      <c r="L165" s="427"/>
      <c r="M165" s="427"/>
      <c r="N165" s="427"/>
      <c r="O165" s="427"/>
      <c r="P165" s="427"/>
      <c r="Q165" s="427"/>
      <c r="R165" s="427"/>
      <c r="S165" s="427"/>
      <c r="T165" s="427"/>
      <c r="U165" s="426">
        <v>7.41</v>
      </c>
      <c r="V165" s="419"/>
      <c r="W165" s="429">
        <v>2015</v>
      </c>
      <c r="X165" s="443">
        <v>42309</v>
      </c>
      <c r="Y165" s="444">
        <v>7.4099999999999999E-2</v>
      </c>
    </row>
    <row r="166" spans="2:25" ht="12.75" customHeight="1">
      <c r="B166" s="429"/>
      <c r="C166" s="429" t="s">
        <v>3094</v>
      </c>
      <c r="D166" s="428"/>
      <c r="E166" s="428"/>
      <c r="F166" s="428"/>
      <c r="G166" s="428"/>
      <c r="H166" s="428"/>
      <c r="I166" s="428"/>
      <c r="J166" s="427"/>
      <c r="K166" s="427"/>
      <c r="L166" s="427"/>
      <c r="M166" s="427"/>
      <c r="N166" s="427"/>
      <c r="O166" s="427"/>
      <c r="P166" s="427"/>
      <c r="Q166" s="427"/>
      <c r="R166" s="427"/>
      <c r="S166" s="427"/>
      <c r="T166" s="427"/>
      <c r="U166" s="426">
        <v>7.5</v>
      </c>
      <c r="V166" s="419"/>
      <c r="W166" s="429">
        <v>2015</v>
      </c>
      <c r="X166" s="443">
        <v>42339</v>
      </c>
      <c r="Y166" s="444">
        <v>7.4999999999999997E-2</v>
      </c>
    </row>
    <row r="167" spans="2:25" ht="12.75" customHeight="1">
      <c r="B167" s="429">
        <v>2016</v>
      </c>
      <c r="C167" s="429" t="s">
        <v>3165</v>
      </c>
      <c r="D167" s="428"/>
      <c r="E167" s="428"/>
      <c r="F167" s="428"/>
      <c r="G167" s="428"/>
      <c r="H167" s="428"/>
      <c r="I167" s="428"/>
      <c r="J167" s="427"/>
      <c r="K167" s="427"/>
      <c r="L167" s="427"/>
      <c r="M167" s="427"/>
      <c r="N167" s="427"/>
      <c r="O167" s="427"/>
      <c r="P167" s="427"/>
      <c r="Q167" s="427"/>
      <c r="R167" s="427"/>
      <c r="S167" s="427"/>
      <c r="T167" s="427"/>
      <c r="U167" s="426">
        <v>7.92</v>
      </c>
      <c r="V167" s="419"/>
      <c r="W167" s="429">
        <v>2016</v>
      </c>
      <c r="X167" s="443">
        <v>42370</v>
      </c>
      <c r="Y167" s="444">
        <v>7.9199999999999993E-2</v>
      </c>
    </row>
    <row r="168" spans="2:25" ht="12.75" customHeight="1">
      <c r="B168" s="429"/>
      <c r="C168" s="429" t="s">
        <v>3160</v>
      </c>
      <c r="D168" s="428"/>
      <c r="E168" s="428"/>
      <c r="F168" s="428"/>
      <c r="G168" s="428"/>
      <c r="H168" s="428"/>
      <c r="I168" s="428"/>
      <c r="J168" s="427"/>
      <c r="K168" s="427"/>
      <c r="L168" s="427"/>
      <c r="M168" s="427"/>
      <c r="N168" s="427"/>
      <c r="O168" s="427"/>
      <c r="P168" s="427"/>
      <c r="Q168" s="427"/>
      <c r="R168" s="427"/>
      <c r="S168" s="427"/>
      <c r="T168" s="427"/>
      <c r="U168" s="426">
        <v>8.3699999999999992</v>
      </c>
      <c r="V168" s="419"/>
      <c r="W168" s="429">
        <v>2016</v>
      </c>
      <c r="X168" s="443">
        <v>42401</v>
      </c>
      <c r="Y168" s="444">
        <v>8.3699999999999997E-2</v>
      </c>
    </row>
    <row r="169" spans="2:25" ht="12.75" customHeight="1">
      <c r="B169" s="429"/>
      <c r="C169" s="429" t="s">
        <v>3154</v>
      </c>
      <c r="D169" s="428"/>
      <c r="E169" s="428"/>
      <c r="F169" s="428"/>
      <c r="G169" s="428"/>
      <c r="H169" s="428"/>
      <c r="I169" s="428"/>
      <c r="J169" s="427"/>
      <c r="K169" s="427"/>
      <c r="L169" s="427"/>
      <c r="M169" s="427"/>
      <c r="N169" s="427"/>
      <c r="O169" s="427"/>
      <c r="P169" s="427"/>
      <c r="Q169" s="427"/>
      <c r="R169" s="427"/>
      <c r="S169" s="427"/>
      <c r="T169" s="427"/>
      <c r="U169" s="426">
        <v>9.1199999999999992</v>
      </c>
      <c r="V169" s="419"/>
      <c r="W169" s="429">
        <v>2016</v>
      </c>
      <c r="X169" s="443">
        <v>42430</v>
      </c>
      <c r="Y169" s="444">
        <v>9.1199999999999989E-2</v>
      </c>
    </row>
    <row r="170" spans="2:25" ht="12.75" customHeight="1">
      <c r="B170" s="429"/>
      <c r="C170" s="429" t="s">
        <v>3148</v>
      </c>
      <c r="D170" s="428"/>
      <c r="E170" s="428"/>
      <c r="F170" s="428"/>
      <c r="G170" s="428"/>
      <c r="H170" s="428"/>
      <c r="I170" s="428"/>
      <c r="J170" s="427"/>
      <c r="K170" s="427"/>
      <c r="L170" s="427"/>
      <c r="M170" s="427"/>
      <c r="N170" s="427"/>
      <c r="O170" s="427"/>
      <c r="P170" s="427"/>
      <c r="Q170" s="427"/>
      <c r="R170" s="427"/>
      <c r="S170" s="427"/>
      <c r="T170" s="427"/>
      <c r="U170" s="426">
        <v>9.82</v>
      </c>
      <c r="V170" s="419"/>
      <c r="W170" s="429">
        <v>2016</v>
      </c>
      <c r="X170" s="443">
        <v>42461</v>
      </c>
      <c r="Y170" s="444">
        <v>9.820000000000001E-2</v>
      </c>
    </row>
    <row r="171" spans="2:25" ht="12.75" customHeight="1">
      <c r="B171" s="429"/>
      <c r="C171" s="429" t="s">
        <v>114</v>
      </c>
      <c r="D171" s="428"/>
      <c r="E171" s="428"/>
      <c r="F171" s="428"/>
      <c r="G171" s="428"/>
      <c r="H171" s="428"/>
      <c r="I171" s="428"/>
      <c r="J171" s="427"/>
      <c r="K171" s="427"/>
      <c r="L171" s="427"/>
      <c r="M171" s="427"/>
      <c r="N171" s="427"/>
      <c r="O171" s="427"/>
      <c r="P171" s="427"/>
      <c r="Q171" s="427"/>
      <c r="R171" s="427"/>
      <c r="S171" s="427"/>
      <c r="T171" s="427"/>
      <c r="U171" s="426">
        <v>10.15</v>
      </c>
      <c r="V171" s="419"/>
      <c r="W171" s="429">
        <v>2016</v>
      </c>
      <c r="X171" s="443">
        <v>42491</v>
      </c>
      <c r="Y171" s="444">
        <v>0.10150000000000001</v>
      </c>
    </row>
    <row r="172" spans="2:25" ht="12.75" customHeight="1">
      <c r="B172" s="429"/>
      <c r="C172" s="429" t="s">
        <v>3135</v>
      </c>
      <c r="D172" s="428"/>
      <c r="E172" s="428"/>
      <c r="F172" s="428"/>
      <c r="G172" s="428"/>
      <c r="H172" s="428"/>
      <c r="I172" s="428"/>
      <c r="J172" s="427"/>
      <c r="K172" s="427"/>
      <c r="L172" s="427"/>
      <c r="M172" s="427"/>
      <c r="N172" s="427"/>
      <c r="O172" s="427"/>
      <c r="P172" s="427"/>
      <c r="Q172" s="427"/>
      <c r="R172" s="427"/>
      <c r="S172" s="427"/>
      <c r="T172" s="427"/>
      <c r="U172" s="426">
        <v>10.23</v>
      </c>
      <c r="V172" s="419"/>
      <c r="W172" s="429">
        <v>2016</v>
      </c>
      <c r="X172" s="443">
        <v>42522</v>
      </c>
      <c r="Y172" s="444">
        <v>0.1023</v>
      </c>
    </row>
    <row r="173" spans="2:25" ht="12.75" customHeight="1">
      <c r="B173" s="429"/>
      <c r="C173" s="429" t="s">
        <v>3125</v>
      </c>
      <c r="D173" s="428"/>
      <c r="E173" s="428"/>
      <c r="F173" s="428"/>
      <c r="G173" s="428"/>
      <c r="H173" s="428"/>
      <c r="I173" s="428"/>
      <c r="J173" s="427"/>
      <c r="K173" s="427"/>
      <c r="L173" s="427"/>
      <c r="M173" s="427"/>
      <c r="N173" s="427"/>
      <c r="O173" s="427"/>
      <c r="P173" s="427"/>
      <c r="Q173" s="427"/>
      <c r="R173" s="427"/>
      <c r="S173" s="427"/>
      <c r="T173" s="427"/>
      <c r="U173" s="426">
        <v>10.98</v>
      </c>
      <c r="V173" s="419"/>
      <c r="W173" s="429">
        <v>2016</v>
      </c>
      <c r="X173" s="443">
        <v>42552</v>
      </c>
      <c r="Y173" s="444">
        <v>0.10980000000000001</v>
      </c>
    </row>
    <row r="174" spans="2:25" ht="12.75" customHeight="1">
      <c r="B174" s="429"/>
      <c r="C174" s="429" t="s">
        <v>3117</v>
      </c>
      <c r="D174" s="428"/>
      <c r="E174" s="428"/>
      <c r="F174" s="428"/>
      <c r="G174" s="428"/>
      <c r="H174" s="428"/>
      <c r="I174" s="428"/>
      <c r="J174" s="427"/>
      <c r="K174" s="427"/>
      <c r="L174" s="427"/>
      <c r="M174" s="427"/>
      <c r="N174" s="427"/>
      <c r="O174" s="427"/>
      <c r="P174" s="427"/>
      <c r="Q174" s="427"/>
      <c r="R174" s="427"/>
      <c r="S174" s="427"/>
      <c r="T174" s="427"/>
      <c r="U174" s="426">
        <v>11.89</v>
      </c>
      <c r="V174" s="419"/>
      <c r="W174" s="429">
        <v>2016</v>
      </c>
      <c r="X174" s="443">
        <v>42583</v>
      </c>
      <c r="Y174" s="444">
        <v>0.11890000000000001</v>
      </c>
    </row>
    <row r="175" spans="2:25" ht="12.75" customHeight="1">
      <c r="B175" s="429"/>
      <c r="C175" s="429" t="s">
        <v>3113</v>
      </c>
      <c r="D175" s="428"/>
      <c r="E175" s="428"/>
      <c r="F175" s="428"/>
      <c r="G175" s="428"/>
      <c r="H175" s="428"/>
      <c r="I175" s="428"/>
      <c r="J175" s="427"/>
      <c r="K175" s="427"/>
      <c r="L175" s="427"/>
      <c r="M175" s="427"/>
      <c r="N175" s="427"/>
      <c r="O175" s="427"/>
      <c r="P175" s="427"/>
      <c r="Q175" s="427"/>
      <c r="R175" s="427"/>
      <c r="S175" s="427"/>
      <c r="T175" s="427"/>
      <c r="U175" s="426"/>
      <c r="V175" s="419"/>
      <c r="W175" s="429">
        <v>2016</v>
      </c>
      <c r="X175" s="443">
        <v>42614</v>
      </c>
    </row>
    <row r="176" spans="2:25" ht="12.75" customHeight="1">
      <c r="B176" s="429"/>
      <c r="C176" s="429" t="s">
        <v>3104</v>
      </c>
      <c r="D176" s="428"/>
      <c r="E176" s="428"/>
      <c r="F176" s="428"/>
      <c r="G176" s="428"/>
      <c r="H176" s="428"/>
      <c r="I176" s="428"/>
      <c r="J176" s="427"/>
      <c r="K176" s="427"/>
      <c r="L176" s="427"/>
      <c r="M176" s="427"/>
      <c r="N176" s="427"/>
      <c r="O176" s="427"/>
      <c r="P176" s="427"/>
      <c r="Q176" s="427"/>
      <c r="R176" s="427"/>
      <c r="S176" s="427"/>
      <c r="T176" s="427"/>
      <c r="U176" s="426"/>
      <c r="V176" s="419"/>
      <c r="W176" s="429">
        <v>2016</v>
      </c>
      <c r="X176" s="443">
        <v>42644</v>
      </c>
    </row>
    <row r="177" spans="2:24" ht="12.75" customHeight="1">
      <c r="B177" s="429"/>
      <c r="C177" s="429" t="s">
        <v>3099</v>
      </c>
      <c r="D177" s="428"/>
      <c r="E177" s="428"/>
      <c r="F177" s="428"/>
      <c r="G177" s="428"/>
      <c r="H177" s="428"/>
      <c r="I177" s="428"/>
      <c r="J177" s="427"/>
      <c r="K177" s="427"/>
      <c r="L177" s="427"/>
      <c r="M177" s="427"/>
      <c r="N177" s="427"/>
      <c r="O177" s="427"/>
      <c r="P177" s="427"/>
      <c r="Q177" s="427"/>
      <c r="R177" s="427"/>
      <c r="S177" s="427"/>
      <c r="T177" s="427"/>
      <c r="U177" s="426"/>
      <c r="V177" s="419"/>
      <c r="W177" s="429">
        <v>2016</v>
      </c>
      <c r="X177" s="443">
        <v>42675</v>
      </c>
    </row>
    <row r="178" spans="2:24" ht="12.75" customHeight="1">
      <c r="B178" s="429"/>
      <c r="C178" s="429" t="s">
        <v>3094</v>
      </c>
      <c r="D178" s="428"/>
      <c r="E178" s="428"/>
      <c r="F178" s="428"/>
      <c r="G178" s="428"/>
      <c r="H178" s="428"/>
      <c r="I178" s="428"/>
      <c r="J178" s="427"/>
      <c r="K178" s="427"/>
      <c r="L178" s="427"/>
      <c r="M178" s="427"/>
      <c r="N178" s="427"/>
      <c r="O178" s="427"/>
      <c r="P178" s="427"/>
      <c r="Q178" s="427"/>
      <c r="R178" s="427"/>
      <c r="S178" s="427"/>
      <c r="T178" s="427"/>
      <c r="U178" s="426"/>
      <c r="V178" s="419"/>
      <c r="W178" s="429">
        <v>2016</v>
      </c>
      <c r="X178" s="443">
        <v>42705</v>
      </c>
    </row>
    <row r="179" spans="2:24" ht="12.75" customHeight="1">
      <c r="B179" s="424"/>
      <c r="C179" s="424"/>
      <c r="D179" s="424"/>
      <c r="E179" s="425"/>
      <c r="F179" s="425"/>
      <c r="G179" s="425"/>
      <c r="H179" s="425"/>
      <c r="I179" s="425"/>
      <c r="J179" s="424"/>
      <c r="K179" s="424"/>
      <c r="L179" s="424"/>
      <c r="M179" s="424"/>
      <c r="N179" s="424"/>
      <c r="O179" s="424"/>
      <c r="P179" s="424"/>
      <c r="Q179" s="424"/>
      <c r="R179" s="424"/>
      <c r="S179" s="424"/>
      <c r="T179" s="424"/>
      <c r="U179" s="423"/>
      <c r="V179" s="419"/>
      <c r="W179" s="419"/>
    </row>
    <row r="180" spans="2:24">
      <c r="B180" s="422"/>
      <c r="C180" s="422"/>
      <c r="D180" s="421"/>
      <c r="E180" s="420"/>
      <c r="F180" s="420"/>
      <c r="G180" s="420"/>
      <c r="H180" s="420"/>
      <c r="I180" s="421"/>
      <c r="J180" s="421"/>
      <c r="K180" s="421"/>
      <c r="L180" s="421"/>
      <c r="M180" s="421"/>
      <c r="N180" s="421"/>
      <c r="O180" s="420"/>
      <c r="P180" s="421"/>
      <c r="Q180" s="421"/>
      <c r="R180" s="421"/>
      <c r="S180" s="421"/>
      <c r="T180" s="421"/>
      <c r="U180" s="420"/>
      <c r="V180" s="419"/>
      <c r="W180" s="419"/>
    </row>
    <row r="181" spans="2:24" s="418" customFormat="1" ht="21" customHeight="1">
      <c r="B181" s="711" t="s">
        <v>3082</v>
      </c>
      <c r="C181" s="711"/>
      <c r="D181" s="711"/>
      <c r="E181" s="711"/>
      <c r="F181" s="711"/>
      <c r="G181" s="711"/>
      <c r="H181" s="711"/>
      <c r="I181" s="711"/>
      <c r="J181" s="711"/>
      <c r="K181" s="711"/>
      <c r="L181" s="711"/>
      <c r="M181" s="711"/>
      <c r="N181" s="711"/>
      <c r="O181" s="711"/>
      <c r="P181" s="711"/>
      <c r="Q181" s="711"/>
      <c r="R181" s="711"/>
      <c r="S181" s="711"/>
      <c r="T181" s="711"/>
      <c r="U181" s="711"/>
    </row>
    <row r="182" spans="2:24" s="416" customFormat="1" ht="15" customHeight="1">
      <c r="B182" s="711" t="s">
        <v>3081</v>
      </c>
      <c r="C182" s="711"/>
      <c r="D182" s="711"/>
      <c r="E182" s="711"/>
      <c r="F182" s="711"/>
      <c r="G182" s="711"/>
      <c r="H182" s="711"/>
      <c r="I182" s="711"/>
      <c r="J182" s="711"/>
      <c r="K182" s="711"/>
      <c r="L182" s="711"/>
      <c r="M182" s="711"/>
      <c r="N182" s="711"/>
      <c r="O182" s="711"/>
      <c r="P182" s="711"/>
      <c r="Q182" s="711"/>
      <c r="R182" s="711"/>
      <c r="S182" s="711"/>
      <c r="T182" s="711"/>
      <c r="U182" s="711"/>
    </row>
    <row r="183" spans="2:24" s="416" customFormat="1" ht="15" customHeight="1">
      <c r="B183" s="711" t="s">
        <v>3080</v>
      </c>
      <c r="C183" s="711"/>
      <c r="D183" s="711"/>
      <c r="E183" s="711"/>
      <c r="F183" s="711"/>
      <c r="G183" s="711"/>
      <c r="H183" s="711"/>
      <c r="I183" s="711"/>
      <c r="J183" s="711"/>
      <c r="K183" s="711"/>
      <c r="L183" s="711"/>
      <c r="M183" s="711"/>
      <c r="N183" s="711"/>
      <c r="O183" s="711"/>
      <c r="P183" s="711"/>
      <c r="Q183" s="711"/>
      <c r="R183" s="711"/>
      <c r="S183" s="711"/>
      <c r="T183" s="711"/>
      <c r="U183" s="711"/>
    </row>
    <row r="184" spans="2:24" s="416" customFormat="1" ht="15" customHeight="1">
      <c r="B184" s="711" t="s">
        <v>3079</v>
      </c>
      <c r="C184" s="711"/>
      <c r="D184" s="711"/>
      <c r="E184" s="711"/>
      <c r="F184" s="711"/>
      <c r="G184" s="711"/>
      <c r="H184" s="711"/>
      <c r="I184" s="711"/>
      <c r="J184" s="711"/>
      <c r="K184" s="711"/>
      <c r="L184" s="711"/>
      <c r="M184" s="711"/>
      <c r="N184" s="711"/>
      <c r="O184" s="711"/>
      <c r="P184" s="711"/>
      <c r="Q184" s="711"/>
      <c r="R184" s="711"/>
      <c r="S184" s="711"/>
      <c r="T184" s="711"/>
      <c r="U184" s="711"/>
    </row>
    <row r="185" spans="2:24" s="416" customFormat="1" ht="15" customHeight="1">
      <c r="B185" s="711" t="s">
        <v>3078</v>
      </c>
      <c r="C185" s="711"/>
      <c r="D185" s="711"/>
      <c r="E185" s="711"/>
      <c r="F185" s="711"/>
      <c r="G185" s="711"/>
      <c r="H185" s="711"/>
      <c r="I185" s="711"/>
      <c r="J185" s="711"/>
      <c r="K185" s="711"/>
      <c r="L185" s="711"/>
      <c r="M185" s="711"/>
      <c r="N185" s="711"/>
      <c r="O185" s="711"/>
      <c r="P185" s="711"/>
      <c r="Q185" s="711"/>
      <c r="R185" s="711"/>
      <c r="S185" s="711"/>
      <c r="T185" s="711"/>
      <c r="U185" s="711"/>
    </row>
    <row r="186" spans="2:24" s="416" customFormat="1" ht="15" customHeight="1">
      <c r="B186" s="711" t="s">
        <v>3077</v>
      </c>
      <c r="C186" s="711"/>
      <c r="D186" s="711"/>
      <c r="E186" s="711"/>
      <c r="F186" s="711"/>
      <c r="G186" s="711"/>
      <c r="H186" s="711"/>
      <c r="I186" s="711"/>
      <c r="J186" s="711"/>
      <c r="K186" s="711"/>
      <c r="L186" s="711"/>
      <c r="M186" s="711"/>
      <c r="N186" s="711"/>
      <c r="O186" s="711"/>
      <c r="P186" s="711"/>
      <c r="Q186" s="711"/>
      <c r="R186" s="711"/>
      <c r="S186" s="711"/>
      <c r="T186" s="711"/>
      <c r="U186" s="711"/>
      <c r="V186" s="417"/>
    </row>
    <row r="187" spans="2:24" ht="12.75" customHeight="1">
      <c r="B187" s="721"/>
      <c r="C187" s="721"/>
      <c r="D187" s="721"/>
      <c r="E187" s="721"/>
      <c r="F187" s="721"/>
      <c r="G187" s="721"/>
      <c r="H187" s="721"/>
      <c r="I187" s="721"/>
      <c r="J187" s="721"/>
      <c r="K187" s="721"/>
      <c r="L187" s="721"/>
      <c r="M187" s="721"/>
      <c r="N187" s="721"/>
      <c r="O187" s="721"/>
      <c r="P187" s="721"/>
      <c r="Q187" s="721"/>
      <c r="R187" s="721"/>
      <c r="S187" s="721"/>
      <c r="T187" s="721"/>
      <c r="U187" s="721"/>
    </row>
    <row r="188" spans="2:24" ht="15.75" customHeight="1">
      <c r="B188" s="721"/>
      <c r="C188" s="721"/>
      <c r="D188" s="721"/>
      <c r="E188" s="721"/>
      <c r="F188" s="721"/>
      <c r="G188" s="721"/>
      <c r="H188" s="721"/>
      <c r="I188" s="721"/>
      <c r="J188" s="721"/>
      <c r="K188" s="721"/>
      <c r="L188" s="721"/>
      <c r="M188" s="721"/>
      <c r="N188" s="721"/>
      <c r="O188" s="721"/>
      <c r="P188" s="721"/>
      <c r="Q188" s="721"/>
      <c r="R188" s="721"/>
      <c r="S188" s="721"/>
      <c r="T188" s="721"/>
      <c r="U188" s="721"/>
    </row>
  </sheetData>
  <mergeCells count="32">
    <mergeCell ref="B2:U2"/>
    <mergeCell ref="T7:T8"/>
    <mergeCell ref="B3:U3"/>
    <mergeCell ref="B4:U4"/>
    <mergeCell ref="D5:D8"/>
    <mergeCell ref="E5:H5"/>
    <mergeCell ref="G6:H7"/>
    <mergeCell ref="N6:N8"/>
    <mergeCell ref="P6:P8"/>
    <mergeCell ref="L7:L8"/>
    <mergeCell ref="E6:F7"/>
    <mergeCell ref="J7:J8"/>
    <mergeCell ref="B5:C9"/>
    <mergeCell ref="R7:S7"/>
    <mergeCell ref="K7:K8"/>
    <mergeCell ref="O5:O8"/>
    <mergeCell ref="B188:U188"/>
    <mergeCell ref="B186:U186"/>
    <mergeCell ref="B187:U187"/>
    <mergeCell ref="B184:U184"/>
    <mergeCell ref="B185:U185"/>
    <mergeCell ref="B183:U183"/>
    <mergeCell ref="I6:I8"/>
    <mergeCell ref="J6:M6"/>
    <mergeCell ref="I5:N5"/>
    <mergeCell ref="Q6:T6"/>
    <mergeCell ref="M7:M8"/>
    <mergeCell ref="Q7:Q8"/>
    <mergeCell ref="B181:U181"/>
    <mergeCell ref="B182:U182"/>
    <mergeCell ref="P5:T5"/>
    <mergeCell ref="U5:U8"/>
  </mergeCells>
  <printOptions horizontalCentered="1" verticalCentered="1"/>
  <pageMargins left="0.82" right="0.25" top="0.5" bottom="0.5" header="0.5" footer="0.5"/>
  <pageSetup paperSize="9" scale="23" orientation="landscape" horizontalDpi="4294967292"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FFC000"/>
  </sheetPr>
  <dimension ref="B1:B53"/>
  <sheetViews>
    <sheetView workbookViewId="0"/>
  </sheetViews>
  <sheetFormatPr defaultRowHeight="14.4"/>
  <sheetData>
    <row r="1" spans="2:2" ht="15.6">
      <c r="B1" s="234" t="s">
        <v>2802</v>
      </c>
    </row>
    <row r="2" spans="2:2">
      <c r="B2" t="s">
        <v>2801</v>
      </c>
    </row>
    <row r="4" spans="2:2" ht="15.6">
      <c r="B4" s="234" t="s">
        <v>2803</v>
      </c>
    </row>
    <row r="5" spans="2:2">
      <c r="B5" t="s">
        <v>2804</v>
      </c>
    </row>
    <row r="7" spans="2:2" ht="15.6">
      <c r="B7" s="234" t="s">
        <v>2806</v>
      </c>
    </row>
    <row r="8" spans="2:2">
      <c r="B8" t="s">
        <v>2805</v>
      </c>
    </row>
    <row r="10" spans="2:2" ht="15.6">
      <c r="B10" s="234" t="s">
        <v>2808</v>
      </c>
    </row>
    <row r="11" spans="2:2">
      <c r="B11" t="s">
        <v>2807</v>
      </c>
    </row>
    <row r="13" spans="2:2" ht="15.6">
      <c r="B13" s="234" t="s">
        <v>2810</v>
      </c>
    </row>
    <row r="14" spans="2:2">
      <c r="B14" t="s">
        <v>2809</v>
      </c>
    </row>
    <row r="16" spans="2:2" ht="15.6">
      <c r="B16" s="234" t="s">
        <v>2812</v>
      </c>
    </row>
    <row r="17" spans="2:2">
      <c r="B17" t="s">
        <v>2811</v>
      </c>
    </row>
    <row r="19" spans="2:2" ht="15.6">
      <c r="B19" s="234" t="s">
        <v>2813</v>
      </c>
    </row>
    <row r="20" spans="2:2">
      <c r="B20" t="s">
        <v>2814</v>
      </c>
    </row>
    <row r="22" spans="2:2" ht="15.6">
      <c r="B22" s="234" t="s">
        <v>2816</v>
      </c>
    </row>
    <row r="23" spans="2:2">
      <c r="B23" t="s">
        <v>2815</v>
      </c>
    </row>
    <row r="25" spans="2:2" ht="15.6">
      <c r="B25" s="234" t="s">
        <v>2817</v>
      </c>
    </row>
    <row r="26" spans="2:2">
      <c r="B26" t="s">
        <v>2818</v>
      </c>
    </row>
    <row r="28" spans="2:2" ht="16.2">
      <c r="B28" s="235" t="s">
        <v>2820</v>
      </c>
    </row>
    <row r="29" spans="2:2">
      <c r="B29" t="s">
        <v>2819</v>
      </c>
    </row>
    <row r="31" spans="2:2" ht="15.6">
      <c r="B31" s="234" t="s">
        <v>2822</v>
      </c>
    </row>
    <row r="32" spans="2:2">
      <c r="B32" t="s">
        <v>2821</v>
      </c>
    </row>
    <row r="34" spans="2:2" ht="15.6">
      <c r="B34" s="234" t="s">
        <v>2823</v>
      </c>
    </row>
    <row r="35" spans="2:2">
      <c r="B35" t="s">
        <v>2824</v>
      </c>
    </row>
    <row r="37" spans="2:2" ht="15.6">
      <c r="B37" s="234" t="s">
        <v>2826</v>
      </c>
    </row>
    <row r="38" spans="2:2">
      <c r="B38" t="s">
        <v>2825</v>
      </c>
    </row>
    <row r="40" spans="2:2">
      <c r="B40" s="247" t="s">
        <v>2840</v>
      </c>
    </row>
    <row r="41" spans="2:2">
      <c r="B41" t="s">
        <v>2841</v>
      </c>
    </row>
    <row r="43" spans="2:2">
      <c r="B43" s="247" t="s">
        <v>3055</v>
      </c>
    </row>
    <row r="44" spans="2:2">
      <c r="B44" t="s">
        <v>3054</v>
      </c>
    </row>
    <row r="46" spans="2:2">
      <c r="B46" s="247" t="s">
        <v>3057</v>
      </c>
    </row>
    <row r="47" spans="2:2">
      <c r="B47" t="s">
        <v>3056</v>
      </c>
    </row>
    <row r="49" spans="2:2" ht="15.6">
      <c r="B49" s="411" t="s">
        <v>3059</v>
      </c>
    </row>
    <row r="50" spans="2:2">
      <c r="B50" t="s">
        <v>3058</v>
      </c>
    </row>
    <row r="52" spans="2:2" ht="15.6">
      <c r="B52" s="411" t="s">
        <v>3071</v>
      </c>
    </row>
    <row r="53" spans="2:2">
      <c r="B53" t="s">
        <v>3070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FFC000"/>
  </sheetPr>
  <dimension ref="B3:Z44"/>
  <sheetViews>
    <sheetView workbookViewId="0"/>
  </sheetViews>
  <sheetFormatPr defaultRowHeight="14.4"/>
  <cols>
    <col min="5" max="6" width="10.5546875" bestFit="1" customWidth="1"/>
  </cols>
  <sheetData>
    <row r="3" spans="2:26">
      <c r="B3" t="s">
        <v>3064</v>
      </c>
    </row>
    <row r="4" spans="2:26">
      <c r="C4" t="s">
        <v>150</v>
      </c>
    </row>
    <row r="5" spans="2:26">
      <c r="B5" t="s">
        <v>127</v>
      </c>
      <c r="C5" s="99">
        <f>Segment!G106</f>
        <v>6790.5550000000003</v>
      </c>
      <c r="D5" s="17">
        <f>C5/$C$9</f>
        <v>0.41288910097128628</v>
      </c>
      <c r="E5" s="7">
        <f>E9*0.4</f>
        <v>7663.1742857142863</v>
      </c>
      <c r="F5" t="s">
        <v>127</v>
      </c>
      <c r="G5" s="137">
        <v>0.4</v>
      </c>
      <c r="Y5" t="s">
        <v>3019</v>
      </c>
    </row>
    <row r="6" spans="2:26">
      <c r="B6" t="s">
        <v>142</v>
      </c>
      <c r="C6" s="99">
        <f>Segment!G107</f>
        <v>6620</v>
      </c>
      <c r="D6" s="17">
        <f>C6/$C$9</f>
        <v>0.40251877032582978</v>
      </c>
      <c r="E6" s="7">
        <f>E9*0.3</f>
        <v>5747.380714285714</v>
      </c>
      <c r="F6" t="s">
        <v>142</v>
      </c>
      <c r="G6" s="137">
        <v>0.3</v>
      </c>
      <c r="P6" t="s">
        <v>2842</v>
      </c>
      <c r="Q6" t="s">
        <v>2844</v>
      </c>
      <c r="Y6" s="4" t="s">
        <v>3020</v>
      </c>
      <c r="Z6" s="4" t="s">
        <v>3021</v>
      </c>
    </row>
    <row r="7" spans="2:26">
      <c r="B7" t="s">
        <v>163</v>
      </c>
      <c r="C7" s="99">
        <f>Comps!G116</f>
        <v>3035.8829999999998</v>
      </c>
      <c r="D7" s="17">
        <f>C7/$C$9</f>
        <v>0.18459212870288383</v>
      </c>
      <c r="E7" s="7">
        <f>E9*0.18</f>
        <v>3448.4284285714284</v>
      </c>
      <c r="F7" t="s">
        <v>163</v>
      </c>
      <c r="G7" s="137">
        <v>0.17</v>
      </c>
      <c r="P7" t="s">
        <v>142</v>
      </c>
      <c r="Q7">
        <v>1999</v>
      </c>
      <c r="Y7" t="s">
        <v>3024</v>
      </c>
    </row>
    <row r="8" spans="2:26">
      <c r="B8" t="s">
        <v>156</v>
      </c>
      <c r="E8" s="7">
        <f>E9-E5-E6-E7</f>
        <v>2298.9522857142874</v>
      </c>
      <c r="F8" t="s">
        <v>156</v>
      </c>
      <c r="G8" s="137">
        <f>1-G7-G6-G5</f>
        <v>0.13</v>
      </c>
      <c r="P8" t="s">
        <v>155</v>
      </c>
      <c r="Q8" t="s">
        <v>2851</v>
      </c>
      <c r="Y8" t="s">
        <v>3022</v>
      </c>
    </row>
    <row r="9" spans="2:26">
      <c r="C9" s="99">
        <f>SUM(C5:C7)</f>
        <v>16446.438000000002</v>
      </c>
      <c r="E9" s="7">
        <f>(C5+C6)/0.7</f>
        <v>19157.935714285715</v>
      </c>
      <c r="P9" t="s">
        <v>2843</v>
      </c>
      <c r="Y9" t="s">
        <v>3023</v>
      </c>
    </row>
    <row r="10" spans="2:26">
      <c r="Y10" t="s">
        <v>3025</v>
      </c>
    </row>
    <row r="11" spans="2:26">
      <c r="P11" t="s">
        <v>2845</v>
      </c>
      <c r="Y11" t="s">
        <v>3026</v>
      </c>
    </row>
    <row r="12" spans="2:26">
      <c r="P12" t="s">
        <v>2846</v>
      </c>
      <c r="Y12" t="s">
        <v>3034</v>
      </c>
    </row>
    <row r="13" spans="2:26">
      <c r="P13" t="s">
        <v>2847</v>
      </c>
    </row>
    <row r="14" spans="2:26">
      <c r="P14" t="s">
        <v>2848</v>
      </c>
      <c r="Y14" s="4" t="s">
        <v>3027</v>
      </c>
      <c r="Z14" s="4" t="s">
        <v>3021</v>
      </c>
    </row>
    <row r="15" spans="2:26">
      <c r="P15" t="s">
        <v>2849</v>
      </c>
      <c r="Y15" t="s">
        <v>3031</v>
      </c>
    </row>
    <row r="16" spans="2:26">
      <c r="P16" t="s">
        <v>2850</v>
      </c>
      <c r="Y16" t="s">
        <v>3028</v>
      </c>
    </row>
    <row r="17" spans="16:26">
      <c r="Y17" t="s">
        <v>3030</v>
      </c>
    </row>
    <row r="18" spans="16:26">
      <c r="Y18" t="s">
        <v>3048</v>
      </c>
    </row>
    <row r="19" spans="16:26">
      <c r="P19" s="4" t="s">
        <v>3013</v>
      </c>
    </row>
    <row r="20" spans="16:26">
      <c r="P20" t="s">
        <v>3014</v>
      </c>
    </row>
    <row r="21" spans="16:26">
      <c r="P21" t="s">
        <v>3015</v>
      </c>
      <c r="Y21" s="4" t="s">
        <v>3032</v>
      </c>
      <c r="Z21" s="4" t="s">
        <v>3029</v>
      </c>
    </row>
    <row r="22" spans="16:26">
      <c r="P22" t="s">
        <v>3016</v>
      </c>
      <c r="Y22" t="s">
        <v>3043</v>
      </c>
    </row>
    <row r="23" spans="16:26">
      <c r="P23" t="s">
        <v>3017</v>
      </c>
      <c r="Y23" t="s">
        <v>3041</v>
      </c>
    </row>
    <row r="24" spans="16:26">
      <c r="P24" t="s">
        <v>3018</v>
      </c>
      <c r="Y24" t="s">
        <v>3042</v>
      </c>
    </row>
    <row r="25" spans="16:26">
      <c r="Y25" t="s">
        <v>3047</v>
      </c>
    </row>
    <row r="26" spans="16:26">
      <c r="Y26" t="s">
        <v>3044</v>
      </c>
    </row>
    <row r="27" spans="16:26">
      <c r="Y27" t="s">
        <v>3045</v>
      </c>
    </row>
    <row r="28" spans="16:26">
      <c r="Y28" t="s">
        <v>3046</v>
      </c>
    </row>
    <row r="31" spans="16:26">
      <c r="Y31" s="4" t="s">
        <v>3035</v>
      </c>
      <c r="Z31" s="4" t="s">
        <v>3021</v>
      </c>
    </row>
    <row r="32" spans="16:26">
      <c r="Y32" t="s">
        <v>3036</v>
      </c>
    </row>
    <row r="33" spans="25:26">
      <c r="Y33" t="s">
        <v>3037</v>
      </c>
    </row>
    <row r="34" spans="25:26">
      <c r="Y34" t="s">
        <v>3038</v>
      </c>
    </row>
    <row r="35" spans="25:26">
      <c r="Y35" t="s">
        <v>3039</v>
      </c>
    </row>
    <row r="36" spans="25:26">
      <c r="Y36" t="s">
        <v>3040</v>
      </c>
    </row>
    <row r="40" spans="25:26">
      <c r="Y40" s="4" t="s">
        <v>3049</v>
      </c>
      <c r="Z40" s="4" t="s">
        <v>3033</v>
      </c>
    </row>
    <row r="41" spans="25:26">
      <c r="Y41" t="s">
        <v>3050</v>
      </c>
    </row>
    <row r="42" spans="25:26">
      <c r="Y42" t="s">
        <v>3052</v>
      </c>
    </row>
    <row r="43" spans="25:26">
      <c r="Y43" t="s">
        <v>3051</v>
      </c>
    </row>
    <row r="44" spans="25:26">
      <c r="Y44" t="s">
        <v>3053</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FFC000"/>
  </sheetPr>
  <dimension ref="B1:T143"/>
  <sheetViews>
    <sheetView topLeftCell="A37" workbookViewId="0"/>
  </sheetViews>
  <sheetFormatPr defaultRowHeight="14.4"/>
  <cols>
    <col min="2" max="2" width="21.5546875" bestFit="1" customWidth="1"/>
    <col min="3" max="3" width="11" customWidth="1"/>
    <col min="4" max="4" width="10.5546875" bestFit="1" customWidth="1"/>
    <col min="5" max="8" width="9.33203125" bestFit="1" customWidth="1"/>
    <col min="9" max="9" width="10.5546875" bestFit="1" customWidth="1"/>
    <col min="11" max="11" width="9.6640625" bestFit="1" customWidth="1"/>
  </cols>
  <sheetData>
    <row r="1" spans="2:20">
      <c r="B1" t="s">
        <v>3787</v>
      </c>
    </row>
    <row r="2" spans="2:20">
      <c r="B2" t="s">
        <v>3788</v>
      </c>
      <c r="O2" s="302"/>
      <c r="P2" s="303"/>
      <c r="Q2" s="304"/>
      <c r="R2" s="305"/>
      <c r="S2" s="306"/>
      <c r="T2" s="307"/>
    </row>
    <row r="3" spans="2:20">
      <c r="C3" t="s">
        <v>105</v>
      </c>
      <c r="D3" t="s">
        <v>150</v>
      </c>
      <c r="O3" s="302" t="s">
        <v>2381</v>
      </c>
      <c r="P3" s="307">
        <v>255</v>
      </c>
      <c r="Q3" s="307">
        <v>255</v>
      </c>
      <c r="R3" s="307">
        <v>255</v>
      </c>
      <c r="S3" s="307">
        <v>0</v>
      </c>
      <c r="T3" s="307"/>
    </row>
    <row r="4" spans="2:20">
      <c r="B4" t="str">
        <f>Segment!A59</f>
        <v>Cables</v>
      </c>
      <c r="C4">
        <f>Segment!F59</f>
        <v>13595.13</v>
      </c>
      <c r="D4">
        <f>Segment!G59</f>
        <v>12302.486000000001</v>
      </c>
      <c r="O4" s="302" t="s">
        <v>2382</v>
      </c>
      <c r="P4" s="307">
        <v>192</v>
      </c>
      <c r="Q4" s="307">
        <v>217</v>
      </c>
      <c r="R4" s="307">
        <v>230</v>
      </c>
      <c r="S4" s="307">
        <v>32</v>
      </c>
      <c r="T4" s="307"/>
    </row>
    <row r="5" spans="2:20">
      <c r="B5" t="str">
        <f>Segment!A60</f>
        <v>PVC Compound</v>
      </c>
      <c r="C5">
        <f>Segment!F60</f>
        <v>90.26</v>
      </c>
      <c r="D5">
        <f>Segment!G60</f>
        <v>75.653000000000006</v>
      </c>
      <c r="O5" s="302" t="s">
        <v>2383</v>
      </c>
      <c r="P5" s="307">
        <v>0</v>
      </c>
      <c r="Q5" s="307">
        <v>102</v>
      </c>
      <c r="R5" s="307">
        <v>153</v>
      </c>
      <c r="S5" s="307">
        <v>96</v>
      </c>
      <c r="T5" s="307"/>
    </row>
    <row r="6" spans="2:20">
      <c r="B6" t="str">
        <f>Segment!A61</f>
        <v>Other</v>
      </c>
      <c r="C6">
        <f>Segment!F61</f>
        <v>741.84699999999998</v>
      </c>
      <c r="D6">
        <f>Segment!G61</f>
        <v>433.08499999999998</v>
      </c>
    </row>
    <row r="10" spans="2:20">
      <c r="B10" t="s">
        <v>3789</v>
      </c>
    </row>
    <row r="11" spans="2:20">
      <c r="B11" t="s">
        <v>123</v>
      </c>
      <c r="D11">
        <f>Segment!G51</f>
        <v>11636.076999999999</v>
      </c>
    </row>
    <row r="12" spans="2:20">
      <c r="B12" t="s">
        <v>100</v>
      </c>
      <c r="D12">
        <f>Segment!G52</f>
        <v>1175.1469999999999</v>
      </c>
    </row>
    <row r="17" spans="2:3">
      <c r="B17" t="s">
        <v>3790</v>
      </c>
    </row>
    <row r="19" spans="2:3">
      <c r="B19" t="s">
        <v>3791</v>
      </c>
      <c r="C19" s="137">
        <v>0.3</v>
      </c>
    </row>
    <row r="20" spans="2:3">
      <c r="B20" t="s">
        <v>3792</v>
      </c>
      <c r="C20" s="137">
        <v>0.4</v>
      </c>
    </row>
    <row r="21" spans="2:3">
      <c r="B21" t="s">
        <v>3793</v>
      </c>
      <c r="C21" s="137">
        <f>1-C19-C20</f>
        <v>0.29999999999999993</v>
      </c>
    </row>
    <row r="41" spans="2:11">
      <c r="B41" s="156" t="s">
        <v>3072</v>
      </c>
    </row>
    <row r="42" spans="2:11">
      <c r="F42" s="17">
        <f>F44/E44-1</f>
        <v>3.7267080745341685E-2</v>
      </c>
      <c r="H42" s="17">
        <f>H44/G44-1</f>
        <v>0.19960079840319356</v>
      </c>
    </row>
    <row r="43" spans="2:11">
      <c r="C43" s="57">
        <v>2009</v>
      </c>
      <c r="D43" s="57">
        <v>2010</v>
      </c>
      <c r="E43" s="57">
        <v>2011</v>
      </c>
      <c r="F43" s="57">
        <v>2012</v>
      </c>
      <c r="G43" s="57">
        <v>2013</v>
      </c>
      <c r="H43" s="57">
        <v>2014</v>
      </c>
      <c r="I43" s="57">
        <v>2015</v>
      </c>
      <c r="J43" t="s">
        <v>3076</v>
      </c>
      <c r="K43" t="s">
        <v>252</v>
      </c>
    </row>
    <row r="44" spans="2:11">
      <c r="B44" t="s">
        <v>2832</v>
      </c>
      <c r="C44">
        <v>349</v>
      </c>
      <c r="D44" s="16">
        <v>483</v>
      </c>
      <c r="E44" s="16">
        <v>483</v>
      </c>
      <c r="F44" s="16">
        <v>501</v>
      </c>
      <c r="G44" s="16">
        <v>501</v>
      </c>
      <c r="H44" s="16">
        <v>601</v>
      </c>
      <c r="I44" s="16">
        <v>601</v>
      </c>
      <c r="J44" s="16"/>
    </row>
    <row r="45" spans="2:11">
      <c r="B45" t="s">
        <v>2831</v>
      </c>
      <c r="C45">
        <v>1722</v>
      </c>
      <c r="D45" s="16">
        <v>1714</v>
      </c>
      <c r="E45" s="16">
        <v>1724</v>
      </c>
      <c r="F45" s="16">
        <v>1791</v>
      </c>
      <c r="G45" s="16">
        <v>1885</v>
      </c>
      <c r="H45" s="16">
        <v>2206</v>
      </c>
      <c r="I45" s="16">
        <v>2260</v>
      </c>
      <c r="J45" s="16"/>
    </row>
    <row r="46" spans="2:11">
      <c r="B46" t="s">
        <v>2833</v>
      </c>
      <c r="C46">
        <v>41</v>
      </c>
      <c r="D46" s="16">
        <v>41</v>
      </c>
      <c r="E46" s="16">
        <v>50</v>
      </c>
      <c r="F46" s="16">
        <v>50</v>
      </c>
      <c r="G46" s="16">
        <v>50</v>
      </c>
      <c r="H46" s="16">
        <v>50</v>
      </c>
      <c r="I46" s="16">
        <v>50</v>
      </c>
      <c r="J46" s="16"/>
    </row>
    <row r="47" spans="2:11">
      <c r="B47" t="s">
        <v>2834</v>
      </c>
      <c r="C47">
        <v>22855</v>
      </c>
      <c r="D47" s="16">
        <v>24370</v>
      </c>
      <c r="E47" s="16">
        <v>25257</v>
      </c>
      <c r="F47" s="16">
        <v>25953</v>
      </c>
      <c r="G47" s="16">
        <v>28677</v>
      </c>
      <c r="H47" s="16">
        <v>29266</v>
      </c>
      <c r="I47" s="16">
        <v>29654</v>
      </c>
      <c r="J47" s="16"/>
    </row>
    <row r="48" spans="2:11">
      <c r="B48" t="s">
        <v>2835</v>
      </c>
      <c r="C48">
        <v>58</v>
      </c>
      <c r="D48" s="16">
        <v>35</v>
      </c>
      <c r="E48" s="16">
        <v>35</v>
      </c>
      <c r="F48" s="16">
        <v>36</v>
      </c>
      <c r="G48" s="16">
        <v>37</v>
      </c>
      <c r="H48" s="16">
        <v>38</v>
      </c>
      <c r="I48" s="16">
        <v>40</v>
      </c>
      <c r="J48" s="16"/>
    </row>
    <row r="49" spans="2:11">
      <c r="B49" t="s">
        <v>2836</v>
      </c>
      <c r="C49">
        <v>1557</v>
      </c>
      <c r="D49" s="16">
        <v>1522</v>
      </c>
      <c r="E49" s="16">
        <v>1544</v>
      </c>
      <c r="F49" s="16">
        <v>1583</v>
      </c>
      <c r="G49" s="16">
        <v>1657</v>
      </c>
      <c r="H49" s="16">
        <v>1658</v>
      </c>
      <c r="I49" s="16">
        <v>1492</v>
      </c>
      <c r="J49" s="16"/>
    </row>
    <row r="50" spans="2:11">
      <c r="B50" t="s">
        <v>2837</v>
      </c>
      <c r="C50">
        <v>711</v>
      </c>
      <c r="D50" s="244">
        <v>734</v>
      </c>
      <c r="E50" s="244">
        <v>754</v>
      </c>
      <c r="F50" s="244">
        <v>759</v>
      </c>
      <c r="G50" s="244">
        <v>754</v>
      </c>
      <c r="H50" s="244">
        <v>775</v>
      </c>
      <c r="I50" s="244">
        <v>789</v>
      </c>
      <c r="J50" s="16"/>
    </row>
    <row r="51" spans="2:11">
      <c r="B51" t="s">
        <v>2838</v>
      </c>
      <c r="C51" s="244">
        <v>98571</v>
      </c>
      <c r="D51" s="244">
        <v>104153</v>
      </c>
      <c r="E51" s="244">
        <v>108468</v>
      </c>
      <c r="F51" s="244">
        <v>113003</v>
      </c>
      <c r="G51" s="244">
        <v>121232</v>
      </c>
      <c r="H51" s="244">
        <v>127204</v>
      </c>
      <c r="I51" s="244">
        <v>133565</v>
      </c>
      <c r="J51" s="16"/>
    </row>
    <row r="52" spans="2:11" s="48" customFormat="1">
      <c r="B52" s="49" t="s">
        <v>2839</v>
      </c>
      <c r="C52" s="245">
        <v>37827</v>
      </c>
      <c r="D52" s="245">
        <v>33998</v>
      </c>
      <c r="E52" s="245">
        <v>33859</v>
      </c>
      <c r="F52" s="245">
        <v>34862</v>
      </c>
      <c r="G52" s="245">
        <v>34826</v>
      </c>
      <c r="H52" s="245">
        <v>33815</v>
      </c>
      <c r="I52" s="245">
        <v>33201</v>
      </c>
      <c r="J52" s="73"/>
    </row>
    <row r="53" spans="2:11" s="48" customFormat="1">
      <c r="B53" s="49" t="s">
        <v>3066</v>
      </c>
      <c r="C53" s="73">
        <v>4371</v>
      </c>
      <c r="D53" s="73">
        <v>3649</v>
      </c>
      <c r="E53" s="73">
        <v>3697</v>
      </c>
      <c r="F53" s="73">
        <v>3500</v>
      </c>
      <c r="G53" s="73">
        <v>3645</v>
      </c>
      <c r="H53" s="73">
        <v>3725</v>
      </c>
      <c r="I53" s="73">
        <v>3276</v>
      </c>
      <c r="J53" s="73"/>
    </row>
    <row r="54" spans="2:11" s="48" customFormat="1">
      <c r="B54" s="49" t="s">
        <v>3067</v>
      </c>
      <c r="C54" s="73">
        <v>56373</v>
      </c>
      <c r="D54" s="73">
        <v>66506</v>
      </c>
      <c r="E54" s="73">
        <v>70912</v>
      </c>
      <c r="F54" s="73">
        <v>74642</v>
      </c>
      <c r="G54" s="73">
        <v>82771</v>
      </c>
      <c r="H54" s="73">
        <v>89663</v>
      </c>
      <c r="I54" s="73">
        <v>97088</v>
      </c>
      <c r="J54" s="73"/>
      <c r="K54" s="246"/>
    </row>
    <row r="55" spans="2:11">
      <c r="C55" s="16"/>
      <c r="D55" s="16"/>
      <c r="E55" s="16"/>
      <c r="F55" s="16"/>
      <c r="G55" s="16"/>
      <c r="H55" s="16"/>
      <c r="I55" s="16"/>
      <c r="J55" s="16"/>
      <c r="K55" s="28"/>
    </row>
    <row r="56" spans="2:11">
      <c r="B56" s="49" t="s">
        <v>3075</v>
      </c>
      <c r="C56" s="28">
        <f>SUM(C44:C51)</f>
        <v>125864</v>
      </c>
      <c r="D56" s="28">
        <f>SUM(D44:D51)</f>
        <v>133052</v>
      </c>
      <c r="E56" s="28">
        <f t="shared" ref="E56:I56" si="0">SUM(E44:E51)</f>
        <v>138315</v>
      </c>
      <c r="F56" s="28">
        <f t="shared" si="0"/>
        <v>143676</v>
      </c>
      <c r="G56" s="28">
        <f t="shared" si="0"/>
        <v>154793</v>
      </c>
      <c r="H56" s="28">
        <f t="shared" si="0"/>
        <v>161798</v>
      </c>
      <c r="I56" s="28">
        <f t="shared" si="0"/>
        <v>168451</v>
      </c>
      <c r="J56" s="28">
        <f>I56*(1+$J$57)</f>
        <v>176959.82151725848</v>
      </c>
      <c r="K56" s="28">
        <f>J56*(1+$J$57)</f>
        <v>185898.44186986113</v>
      </c>
    </row>
    <row r="57" spans="2:11">
      <c r="B57" s="49" t="s">
        <v>3069</v>
      </c>
      <c r="D57" s="17">
        <f t="shared" ref="D57:H57" si="1">D56/C56-1</f>
        <v>5.7109260789423466E-2</v>
      </c>
      <c r="E57" s="17">
        <f t="shared" si="1"/>
        <v>3.9555963082103185E-2</v>
      </c>
      <c r="F57" s="17">
        <f t="shared" si="1"/>
        <v>3.8759353649278738E-2</v>
      </c>
      <c r="G57" s="17">
        <f t="shared" si="1"/>
        <v>7.7375483727275318E-2</v>
      </c>
      <c r="H57" s="17">
        <f t="shared" si="1"/>
        <v>4.5253984353297527E-2</v>
      </c>
      <c r="I57" s="17">
        <f>I56/H56-1</f>
        <v>4.1119173290151911E-2</v>
      </c>
      <c r="J57" s="17">
        <f>((I56/E56)^(1/4))-1</f>
        <v>5.0512146067749564E-2</v>
      </c>
    </row>
    <row r="58" spans="2:11">
      <c r="B58" s="49" t="s">
        <v>3068</v>
      </c>
      <c r="D58" s="28">
        <f t="shared" ref="D58:H58" si="2">D56-C56</f>
        <v>7188</v>
      </c>
      <c r="E58" s="28">
        <f t="shared" si="2"/>
        <v>5263</v>
      </c>
      <c r="F58" s="28">
        <f t="shared" si="2"/>
        <v>5361</v>
      </c>
      <c r="G58" s="28">
        <f t="shared" si="2"/>
        <v>11117</v>
      </c>
      <c r="H58" s="28">
        <f t="shared" si="2"/>
        <v>7005</v>
      </c>
      <c r="I58" s="28">
        <f>I56-H56</f>
        <v>6653</v>
      </c>
    </row>
    <row r="59" spans="2:11">
      <c r="D59" s="7"/>
    </row>
    <row r="60" spans="2:11">
      <c r="B60" t="str">
        <f>B44&amp;" incerase YoY"</f>
        <v>220 Kv OH incerase YoY</v>
      </c>
      <c r="D60" s="17">
        <f>D44/C44-1</f>
        <v>0.3839541547277936</v>
      </c>
      <c r="E60" s="17">
        <f t="shared" ref="E60:I60" si="3">E44/D44-1</f>
        <v>0</v>
      </c>
      <c r="F60" s="17">
        <f t="shared" si="3"/>
        <v>3.7267080745341685E-2</v>
      </c>
      <c r="G60" s="17">
        <f t="shared" si="3"/>
        <v>0</v>
      </c>
      <c r="H60" s="17">
        <f t="shared" si="3"/>
        <v>0.19960079840319356</v>
      </c>
      <c r="I60" s="17">
        <f t="shared" si="3"/>
        <v>0</v>
      </c>
    </row>
    <row r="61" spans="2:11">
      <c r="B61" t="str">
        <f t="shared" ref="B61:B70" si="4">B45&amp;" incerase YoY"</f>
        <v>132 Kv OH incerase YoY</v>
      </c>
      <c r="D61" s="17">
        <f t="shared" ref="D61:I61" si="5">D45/C45-1</f>
        <v>-4.6457607433216808E-3</v>
      </c>
      <c r="E61" s="17">
        <f t="shared" si="5"/>
        <v>5.834305717619559E-3</v>
      </c>
      <c r="F61" s="17">
        <f t="shared" si="5"/>
        <v>3.8863109048723921E-2</v>
      </c>
      <c r="G61" s="17">
        <f t="shared" si="5"/>
        <v>5.2484645449469625E-2</v>
      </c>
      <c r="H61" s="17">
        <f t="shared" si="5"/>
        <v>0.170291777188329</v>
      </c>
      <c r="I61" s="17">
        <f t="shared" si="5"/>
        <v>2.4478694469628248E-2</v>
      </c>
    </row>
    <row r="62" spans="2:11">
      <c r="B62" t="str">
        <f t="shared" si="4"/>
        <v>132 Kv UG incerase YoY</v>
      </c>
      <c r="D62" s="17">
        <f t="shared" ref="D62:I62" si="6">D46/C46-1</f>
        <v>0</v>
      </c>
      <c r="E62" s="17">
        <f t="shared" si="6"/>
        <v>0.21951219512195119</v>
      </c>
      <c r="F62" s="17">
        <f t="shared" si="6"/>
        <v>0</v>
      </c>
      <c r="G62" s="17">
        <f t="shared" si="6"/>
        <v>0</v>
      </c>
      <c r="H62" s="17">
        <f t="shared" si="6"/>
        <v>0</v>
      </c>
      <c r="I62" s="17">
        <f t="shared" si="6"/>
        <v>0</v>
      </c>
    </row>
    <row r="63" spans="2:11">
      <c r="B63" t="str">
        <f t="shared" si="4"/>
        <v>33 Kv OH incerase YoY</v>
      </c>
      <c r="D63" s="17">
        <f t="shared" ref="D63:I63" si="7">D47/C47-1</f>
        <v>6.6287464449792166E-2</v>
      </c>
      <c r="E63" s="17">
        <f t="shared" si="7"/>
        <v>3.6397209684037701E-2</v>
      </c>
      <c r="F63" s="17">
        <f t="shared" si="7"/>
        <v>2.7556716949756588E-2</v>
      </c>
      <c r="G63" s="17">
        <f t="shared" si="7"/>
        <v>0.10495896428158602</v>
      </c>
      <c r="H63" s="17">
        <f t="shared" si="7"/>
        <v>2.0539107995954931E-2</v>
      </c>
      <c r="I63" s="17">
        <f t="shared" si="7"/>
        <v>1.3257705186906277E-2</v>
      </c>
    </row>
    <row r="64" spans="2:11">
      <c r="B64" t="str">
        <f t="shared" si="4"/>
        <v>33 Kv UG incerase YoY</v>
      </c>
      <c r="D64" s="17">
        <f t="shared" ref="D64:I64" si="8">D48/C48-1</f>
        <v>-0.39655172413793105</v>
      </c>
      <c r="E64" s="17">
        <f t="shared" si="8"/>
        <v>0</v>
      </c>
      <c r="F64" s="17">
        <f t="shared" si="8"/>
        <v>2.857142857142847E-2</v>
      </c>
      <c r="G64" s="17">
        <f t="shared" si="8"/>
        <v>2.7777777777777679E-2</v>
      </c>
      <c r="H64" s="17">
        <f t="shared" si="8"/>
        <v>2.7027027027026973E-2</v>
      </c>
      <c r="I64" s="17">
        <f t="shared" si="8"/>
        <v>5.2631578947368363E-2</v>
      </c>
    </row>
    <row r="65" spans="2:9">
      <c r="B65" t="str">
        <f t="shared" si="4"/>
        <v>11 Kv OH incerase YoY</v>
      </c>
      <c r="D65" s="17">
        <f t="shared" ref="D65:I65" si="9">D49/C49-1</f>
        <v>-2.247912652536932E-2</v>
      </c>
      <c r="E65" s="17">
        <f t="shared" si="9"/>
        <v>1.4454664914586024E-2</v>
      </c>
      <c r="F65" s="17">
        <f t="shared" si="9"/>
        <v>2.5259067357513043E-2</v>
      </c>
      <c r="G65" s="17">
        <f t="shared" si="9"/>
        <v>4.6746683512318477E-2</v>
      </c>
      <c r="H65" s="17">
        <f t="shared" si="9"/>
        <v>6.0350030175015945E-4</v>
      </c>
      <c r="I65" s="17">
        <f t="shared" si="9"/>
        <v>-0.10012062726176119</v>
      </c>
    </row>
    <row r="66" spans="2:9">
      <c r="B66" t="str">
        <f t="shared" si="4"/>
        <v>11 Kv UG incerase YoY</v>
      </c>
      <c r="D66" s="17">
        <f t="shared" ref="D66:I66" si="10">D50/C50-1</f>
        <v>3.234880450070321E-2</v>
      </c>
      <c r="E66" s="17">
        <f t="shared" si="10"/>
        <v>2.7247956403269713E-2</v>
      </c>
      <c r="F66" s="17">
        <f t="shared" si="10"/>
        <v>6.6312997347479641E-3</v>
      </c>
      <c r="G66" s="17">
        <f t="shared" si="10"/>
        <v>-6.5876152832674562E-3</v>
      </c>
      <c r="H66" s="17">
        <f t="shared" si="10"/>
        <v>2.7851458885941538E-2</v>
      </c>
      <c r="I66" s="17">
        <f t="shared" si="10"/>
        <v>1.806451612903226E-2</v>
      </c>
    </row>
    <row r="67" spans="2:9">
      <c r="B67" t="str">
        <f t="shared" si="4"/>
        <v>Low voltage total incerase YoY</v>
      </c>
      <c r="D67" s="17">
        <f t="shared" ref="D67:I67" si="11">D51/C51-1</f>
        <v>5.6629231721297302E-2</v>
      </c>
      <c r="E67" s="17">
        <f t="shared" si="11"/>
        <v>4.1429435541943116E-2</v>
      </c>
      <c r="F67" s="17">
        <f t="shared" si="11"/>
        <v>4.1809565954936012E-2</v>
      </c>
      <c r="G67" s="17">
        <f t="shared" si="11"/>
        <v>7.2821075546666947E-2</v>
      </c>
      <c r="H67" s="17">
        <f t="shared" si="11"/>
        <v>4.9260921208921671E-2</v>
      </c>
      <c r="I67" s="17">
        <f t="shared" si="11"/>
        <v>5.0006289110405389E-2</v>
      </c>
    </row>
    <row r="68" spans="2:9">
      <c r="B68" t="str">
        <f t="shared" si="4"/>
        <v>1 phase incerase YoY</v>
      </c>
      <c r="D68" s="17">
        <f t="shared" ref="D68:I68" si="12">D52/C52-1</f>
        <v>-0.10122399344383637</v>
      </c>
      <c r="E68" s="17">
        <f t="shared" si="12"/>
        <v>-4.0884757926936688E-3</v>
      </c>
      <c r="F68" s="17">
        <f t="shared" si="12"/>
        <v>2.9622847691898713E-2</v>
      </c>
      <c r="G68" s="17">
        <f t="shared" si="12"/>
        <v>-1.0326429923699365E-3</v>
      </c>
      <c r="H68" s="17">
        <f t="shared" si="12"/>
        <v>-2.9030035031298418E-2</v>
      </c>
      <c r="I68" s="17">
        <f t="shared" si="12"/>
        <v>-1.8157622356942182E-2</v>
      </c>
    </row>
    <row r="69" spans="2:9">
      <c r="B69" t="str">
        <f t="shared" si="4"/>
        <v>2 phase incerase YoY</v>
      </c>
      <c r="D69" s="17">
        <f t="shared" ref="D69:I69" si="13">D53/C53-1</f>
        <v>-0.16517959277053307</v>
      </c>
      <c r="E69" s="17">
        <f t="shared" si="13"/>
        <v>1.3154288846259243E-2</v>
      </c>
      <c r="F69" s="17">
        <f t="shared" si="13"/>
        <v>-5.3286448471733805E-2</v>
      </c>
      <c r="G69" s="17">
        <f t="shared" si="13"/>
        <v>4.142857142857137E-2</v>
      </c>
      <c r="H69" s="17">
        <f t="shared" si="13"/>
        <v>2.1947873799725626E-2</v>
      </c>
      <c r="I69" s="17">
        <f t="shared" si="13"/>
        <v>-0.12053691275167788</v>
      </c>
    </row>
    <row r="70" spans="2:9">
      <c r="B70" t="str">
        <f t="shared" si="4"/>
        <v>3 phase incerase YoY</v>
      </c>
      <c r="D70" s="17">
        <f t="shared" ref="D70:I70" si="14">D54/C54-1</f>
        <v>0.17974917070228646</v>
      </c>
      <c r="E70" s="17">
        <f t="shared" si="14"/>
        <v>6.6249661684659955E-2</v>
      </c>
      <c r="F70" s="17">
        <f t="shared" si="14"/>
        <v>5.2600406137184086E-2</v>
      </c>
      <c r="G70" s="17">
        <f t="shared" si="14"/>
        <v>0.10890651375900973</v>
      </c>
      <c r="H70" s="17">
        <f t="shared" si="14"/>
        <v>8.326587814572739E-2</v>
      </c>
      <c r="I70" s="17">
        <f t="shared" si="14"/>
        <v>8.2810077735520737E-2</v>
      </c>
    </row>
    <row r="72" spans="2:9">
      <c r="B72" s="156" t="s">
        <v>3074</v>
      </c>
    </row>
    <row r="74" spans="2:9">
      <c r="D74">
        <v>2015</v>
      </c>
      <c r="F74" t="s">
        <v>253</v>
      </c>
      <c r="H74" t="s">
        <v>402</v>
      </c>
    </row>
    <row r="75" spans="2:9">
      <c r="B75" t="s">
        <v>3073</v>
      </c>
      <c r="D75" s="414">
        <v>33426</v>
      </c>
      <c r="F75">
        <v>45000</v>
      </c>
      <c r="H75">
        <v>75000</v>
      </c>
    </row>
    <row r="76" spans="2:9">
      <c r="B76" t="s">
        <v>3795</v>
      </c>
      <c r="D76" s="414"/>
    </row>
    <row r="78" spans="2:9">
      <c r="B78" t="s">
        <v>3782</v>
      </c>
    </row>
    <row r="79" spans="2:9">
      <c r="B79" t="s">
        <v>3783</v>
      </c>
    </row>
    <row r="83" spans="2:3">
      <c r="B83" t="s">
        <v>3779</v>
      </c>
    </row>
    <row r="84" spans="2:3">
      <c r="B84">
        <v>2010</v>
      </c>
      <c r="C84" s="15">
        <v>10721</v>
      </c>
    </row>
    <row r="85" spans="2:3">
      <c r="B85">
        <v>2011</v>
      </c>
      <c r="C85" s="15">
        <v>12184</v>
      </c>
    </row>
    <row r="86" spans="2:3">
      <c r="B86">
        <v>2012</v>
      </c>
      <c r="C86" s="15">
        <v>12695</v>
      </c>
    </row>
    <row r="87" spans="2:3">
      <c r="B87">
        <v>2013</v>
      </c>
      <c r="C87" s="15">
        <v>12257</v>
      </c>
    </row>
    <row r="88" spans="2:3">
      <c r="B88">
        <v>2014</v>
      </c>
      <c r="C88" s="15">
        <v>13477</v>
      </c>
    </row>
    <row r="89" spans="2:3">
      <c r="B89">
        <v>2015</v>
      </c>
      <c r="C89" s="15">
        <v>15026</v>
      </c>
    </row>
    <row r="100" spans="2:3">
      <c r="B100" t="s">
        <v>3780</v>
      </c>
    </row>
    <row r="102" spans="2:3">
      <c r="B102">
        <v>2015</v>
      </c>
      <c r="C102">
        <v>2657</v>
      </c>
    </row>
    <row r="104" spans="2:3">
      <c r="B104" t="s">
        <v>3794</v>
      </c>
      <c r="C104">
        <v>6000</v>
      </c>
    </row>
    <row r="106" spans="2:3">
      <c r="B106" t="s">
        <v>3781</v>
      </c>
    </row>
    <row r="117" spans="2:11">
      <c r="B117" t="s">
        <v>3784</v>
      </c>
    </row>
    <row r="118" spans="2:11">
      <c r="C118" t="s">
        <v>3885</v>
      </c>
      <c r="K118" s="4"/>
    </row>
    <row r="119" spans="2:11">
      <c r="C119" t="s">
        <v>3785</v>
      </c>
    </row>
    <row r="120" spans="2:11">
      <c r="B120">
        <v>2011</v>
      </c>
      <c r="C120">
        <v>450.09100000000001</v>
      </c>
    </row>
    <row r="121" spans="2:11">
      <c r="B121">
        <v>2012</v>
      </c>
      <c r="C121">
        <v>686.70799999999997</v>
      </c>
    </row>
    <row r="122" spans="2:11">
      <c r="B122">
        <v>2013</v>
      </c>
      <c r="C122">
        <v>495.20499999999998</v>
      </c>
      <c r="D122">
        <v>1000</v>
      </c>
    </row>
    <row r="123" spans="2:11">
      <c r="B123">
        <v>2014</v>
      </c>
      <c r="C123">
        <v>268.928</v>
      </c>
    </row>
    <row r="124" spans="2:11">
      <c r="B124">
        <v>2015</v>
      </c>
      <c r="C124">
        <v>396.75599999999997</v>
      </c>
    </row>
    <row r="126" spans="2:11">
      <c r="B126" t="s">
        <v>3813</v>
      </c>
    </row>
    <row r="133" spans="2:5">
      <c r="B133" t="s">
        <v>3812</v>
      </c>
      <c r="C133" t="s">
        <v>3815</v>
      </c>
      <c r="D133" t="s">
        <v>3816</v>
      </c>
      <c r="E133" t="s">
        <v>3817</v>
      </c>
    </row>
    <row r="134" spans="2:5">
      <c r="C134" t="s">
        <v>3818</v>
      </c>
      <c r="D134" t="s">
        <v>3819</v>
      </c>
      <c r="E134" t="s">
        <v>3814</v>
      </c>
    </row>
    <row r="135" spans="2:5">
      <c r="B135">
        <v>2013</v>
      </c>
      <c r="C135" s="445">
        <v>9.5920000000000005</v>
      </c>
      <c r="D135" s="262">
        <v>3.4000000000000002E-2</v>
      </c>
      <c r="E135" s="15">
        <v>3610</v>
      </c>
    </row>
    <row r="136" spans="2:5">
      <c r="B136">
        <v>2014</v>
      </c>
      <c r="C136" s="445">
        <v>10.448</v>
      </c>
      <c r="D136" s="262">
        <v>4.9000000000000002E-2</v>
      </c>
      <c r="E136" s="15">
        <v>3853</v>
      </c>
    </row>
    <row r="137" spans="2:5">
      <c r="B137">
        <v>2015</v>
      </c>
      <c r="C137" s="445">
        <v>11.183</v>
      </c>
      <c r="D137" s="262">
        <v>4.8000000000000001E-2</v>
      </c>
      <c r="E137" s="15">
        <v>3924</v>
      </c>
    </row>
    <row r="138" spans="2:5">
      <c r="B138" s="44" t="s">
        <v>3076</v>
      </c>
      <c r="C138" s="445">
        <v>12.307</v>
      </c>
      <c r="D138" s="262">
        <v>5.7999999999999996E-2</v>
      </c>
      <c r="E138" s="15">
        <v>4008</v>
      </c>
    </row>
    <row r="139" spans="2:5">
      <c r="B139" s="44" t="s">
        <v>252</v>
      </c>
      <c r="C139" s="445">
        <v>13.614000000000001</v>
      </c>
      <c r="D139" s="262">
        <v>6.3E-2</v>
      </c>
      <c r="E139" s="15">
        <v>4298</v>
      </c>
    </row>
    <row r="140" spans="2:5">
      <c r="B140" s="44" t="s">
        <v>253</v>
      </c>
      <c r="C140" s="445">
        <v>15.154999999999999</v>
      </c>
      <c r="D140" s="262">
        <v>7.0000000000000007E-2</v>
      </c>
      <c r="E140" s="15">
        <v>4704</v>
      </c>
    </row>
    <row r="141" spans="2:5">
      <c r="B141" s="44" t="s">
        <v>254</v>
      </c>
      <c r="C141" s="445">
        <v>16.863</v>
      </c>
      <c r="D141" s="262">
        <v>7.0000000000000007E-2</v>
      </c>
      <c r="E141" s="15">
        <v>5181</v>
      </c>
    </row>
    <row r="143" spans="2:5">
      <c r="C143" s="15"/>
      <c r="D143" s="17">
        <v>10</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FFC000"/>
  </sheetPr>
  <dimension ref="C1:N86"/>
  <sheetViews>
    <sheetView topLeftCell="A39" workbookViewId="0"/>
  </sheetViews>
  <sheetFormatPr defaultRowHeight="14.4"/>
  <cols>
    <col min="3" max="3" width="23.88671875" bestFit="1" customWidth="1"/>
  </cols>
  <sheetData>
    <row r="1" spans="3:14">
      <c r="D1" t="s">
        <v>18</v>
      </c>
      <c r="E1" t="s">
        <v>17</v>
      </c>
      <c r="F1" t="s">
        <v>5</v>
      </c>
      <c r="G1" t="s">
        <v>4</v>
      </c>
      <c r="H1" t="s">
        <v>105</v>
      </c>
      <c r="I1" t="s">
        <v>150</v>
      </c>
      <c r="J1" t="s">
        <v>151</v>
      </c>
      <c r="K1" t="s">
        <v>152</v>
      </c>
      <c r="L1" t="s">
        <v>153</v>
      </c>
      <c r="M1" t="s">
        <v>309</v>
      </c>
    </row>
    <row r="2" spans="3:14">
      <c r="C2" t="s">
        <v>383</v>
      </c>
      <c r="D2" s="99">
        <f>'IS &amp; BS'!B6</f>
        <v>1288.9619779999994</v>
      </c>
      <c r="E2" s="99">
        <f>'IS &amp; BS'!C6</f>
        <v>1711.3548919999994</v>
      </c>
      <c r="F2" s="99">
        <f>'IS &amp; BS'!D6</f>
        <v>1864.3530570000003</v>
      </c>
      <c r="G2" s="99">
        <f>'IS &amp; BS'!E6</f>
        <v>1923.9379999999983</v>
      </c>
      <c r="H2" s="99">
        <f>'IS &amp; BS'!F6</f>
        <v>2549.768</v>
      </c>
      <c r="I2" s="99">
        <f>'IS &amp; BS'!G6</f>
        <v>3057.1139999999996</v>
      </c>
      <c r="J2" s="99">
        <f>'IS &amp; BS'!H6</f>
        <v>3242.619999999999</v>
      </c>
      <c r="K2" s="99">
        <f>'IS &amp; BS'!I6</f>
        <v>3291.5520521099315</v>
      </c>
      <c r="L2" s="99">
        <f>'IS &amp; BS'!J6</f>
        <v>4544.1300460060556</v>
      </c>
      <c r="M2" s="99">
        <f>'IS &amp; BS'!K6</f>
        <v>5275.1152127208516</v>
      </c>
      <c r="N2" s="99"/>
    </row>
    <row r="3" spans="3:14">
      <c r="C3" t="s">
        <v>3864</v>
      </c>
      <c r="D3">
        <f>IS_BS_Assumptions!B42</f>
        <v>7535</v>
      </c>
      <c r="E3">
        <f>IS_BS_Assumptions!C42</f>
        <v>8828</v>
      </c>
      <c r="F3">
        <f>IS_BS_Assumptions!D42</f>
        <v>7962</v>
      </c>
      <c r="G3">
        <f>IS_BS_Assumptions!E42</f>
        <v>7332</v>
      </c>
      <c r="H3">
        <f>IS_BS_Assumptions!F42</f>
        <v>6863</v>
      </c>
      <c r="I3">
        <f>IS_BS_Assumptions!G42</f>
        <v>5510</v>
      </c>
      <c r="J3">
        <f>IS_BS_Assumptions!H42</f>
        <v>5200</v>
      </c>
      <c r="K3">
        <f>IS_BS_Assumptions!I42</f>
        <v>6900</v>
      </c>
      <c r="L3">
        <f>IS_BS_Assumptions!J42</f>
        <v>7176</v>
      </c>
      <c r="M3">
        <f>IS_BS_Assumptions!K42</f>
        <v>7449.0289532293982</v>
      </c>
    </row>
    <row r="4" spans="3:14">
      <c r="C4" t="s">
        <v>3863</v>
      </c>
      <c r="D4" s="17">
        <f>'IS &amp; BS'!B6/'IS &amp; BS'!B4</f>
        <v>0.13469099339059787</v>
      </c>
      <c r="E4" s="17">
        <f>'IS &amp; BS'!C6/'IS &amp; BS'!C4</f>
        <v>0.16605132693214464</v>
      </c>
      <c r="F4" s="17">
        <f>'IS &amp; BS'!D6/'IS &amp; BS'!D4</f>
        <v>0.16460068408461867</v>
      </c>
      <c r="G4" s="17">
        <f>'IS &amp; BS'!E6/'IS &amp; BS'!E4</f>
        <v>0.16807558263566019</v>
      </c>
      <c r="H4" s="17">
        <f>'IS &amp; BS'!F6/'IS &amp; BS'!F4</f>
        <v>0.1767329514814896</v>
      </c>
      <c r="I4" s="17">
        <f>'IS &amp; BS'!G6/'IS &amp; BS'!G4</f>
        <v>0.23862778451145647</v>
      </c>
      <c r="J4" s="17">
        <f>'IS &amp; BS'!H6/'IS &amp; BS'!H4</f>
        <v>0.22104148438945892</v>
      </c>
      <c r="K4" s="17">
        <f>'IS &amp; BS'!I6/'IS &amp; BS'!I4</f>
        <v>0.15689873893093445</v>
      </c>
      <c r="L4" s="17">
        <f>'IS &amp; BS'!J6/'IS &amp; BS'!J4</f>
        <v>0.17165569019328486</v>
      </c>
      <c r="M4" s="17">
        <f>'IS &amp; BS'!K6/'IS &amp; BS'!K4</f>
        <v>0.17554114153536132</v>
      </c>
      <c r="N4" s="17"/>
    </row>
    <row r="5" spans="3:14">
      <c r="C5" t="s">
        <v>3862</v>
      </c>
      <c r="E5" s="17">
        <f>IS_BS_Assumptions!C42/IS_BS_Assumptions!B42-1</f>
        <v>0.17159920371599213</v>
      </c>
      <c r="F5" s="17">
        <f>IS_BS_Assumptions!D42/IS_BS_Assumptions!C42-1</f>
        <v>-9.809696420480285E-2</v>
      </c>
      <c r="G5" s="17">
        <f>IS_BS_Assumptions!E42/IS_BS_Assumptions!D42-1</f>
        <v>-7.9125847776940428E-2</v>
      </c>
      <c r="H5" s="17">
        <f>IS_BS_Assumptions!F42/IS_BS_Assumptions!E42-1</f>
        <v>-6.3966175668303316E-2</v>
      </c>
      <c r="I5" s="17">
        <f>IS_BS_Assumptions!G42/IS_BS_Assumptions!F42-1</f>
        <v>-0.19714410607606003</v>
      </c>
      <c r="J5" s="17">
        <f>IS_BS_Assumptions!H42/IS_BS_Assumptions!G42-1</f>
        <v>-5.6261343012704135E-2</v>
      </c>
      <c r="K5" s="17">
        <f>IS_BS_Assumptions!I42/IS_BS_Assumptions!H42-1</f>
        <v>0.32692307692307687</v>
      </c>
      <c r="L5" s="17">
        <f>IS_BS_Assumptions!J42/IS_BS_Assumptions!I42-1</f>
        <v>4.0000000000000036E-2</v>
      </c>
      <c r="M5" s="17">
        <f>IS_BS_Assumptions!K42/IS_BS_Assumptions!J42-1</f>
        <v>3.8047512991833621E-2</v>
      </c>
    </row>
    <row r="6" spans="3:14">
      <c r="C6" t="s">
        <v>3865</v>
      </c>
      <c r="D6">
        <f>IS_BS_Assumptions!B49</f>
        <v>2173</v>
      </c>
      <c r="E6">
        <f>IS_BS_Assumptions!C49</f>
        <v>2401</v>
      </c>
      <c r="F6">
        <f>IS_BS_Assumptions!D49</f>
        <v>2023</v>
      </c>
      <c r="G6">
        <f>IS_BS_Assumptions!E49</f>
        <v>1847</v>
      </c>
      <c r="H6">
        <f>IS_BS_Assumptions!F49</f>
        <v>1867</v>
      </c>
      <c r="I6">
        <f>IS_BS_Assumptions!G49</f>
        <v>1665</v>
      </c>
      <c r="J6">
        <f>IS_BS_Assumptions!H49</f>
        <v>1700</v>
      </c>
      <c r="K6">
        <f>IS_BS_Assumptions!I49</f>
        <v>2200</v>
      </c>
      <c r="L6">
        <f>IS_BS_Assumptions!J49</f>
        <v>2300</v>
      </c>
      <c r="M6">
        <f>IS_BS_Assumptions!K49</f>
        <v>2400</v>
      </c>
    </row>
    <row r="26" spans="3:13">
      <c r="D26" t="s">
        <v>18</v>
      </c>
      <c r="E26" t="s">
        <v>17</v>
      </c>
      <c r="F26" t="s">
        <v>5</v>
      </c>
      <c r="G26" t="s">
        <v>4</v>
      </c>
      <c r="H26" t="s">
        <v>105</v>
      </c>
      <c r="I26" t="s">
        <v>150</v>
      </c>
      <c r="J26" t="s">
        <v>151</v>
      </c>
      <c r="K26" t="s">
        <v>152</v>
      </c>
      <c r="L26" t="s">
        <v>153</v>
      </c>
      <c r="M26" t="s">
        <v>309</v>
      </c>
    </row>
    <row r="27" spans="3:13">
      <c r="C27" t="s">
        <v>3887</v>
      </c>
      <c r="D27" s="99">
        <f>'IS &amp; BS'!B64+'IS &amp; BS'!B72+'IS &amp; BS'!B73</f>
        <v>2879.8933179999999</v>
      </c>
      <c r="E27" s="99">
        <f>'IS &amp; BS'!C64+'IS &amp; BS'!C72+'IS &amp; BS'!C73</f>
        <v>2115.8226300000001</v>
      </c>
      <c r="F27" s="99">
        <f>'IS &amp; BS'!D64+'IS &amp; BS'!D72+'IS &amp; BS'!D73</f>
        <v>3014.4349999999995</v>
      </c>
      <c r="G27" s="99">
        <f>'IS &amp; BS'!E64+'IS &amp; BS'!E72+'IS &amp; BS'!E73</f>
        <v>3089.3149999999996</v>
      </c>
      <c r="H27" s="99">
        <f>'IS &amp; BS'!F64+'IS &amp; BS'!F72+'IS &amp; BS'!F73</f>
        <v>3502.6649999999995</v>
      </c>
      <c r="I27" s="99">
        <f>'IS &amp; BS'!G64+'IS &amp; BS'!G72+'IS &amp; BS'!G73</f>
        <v>2647.3960000000002</v>
      </c>
      <c r="J27" s="99">
        <f>'IS &amp; BS'!H64+'IS &amp; BS'!H72+'IS &amp; BS'!H73</f>
        <v>2795.2539999999999</v>
      </c>
      <c r="K27" s="99">
        <f>'IS &amp; BS'!I64+'IS &amp; BS'!I72+'IS &amp; BS'!I73</f>
        <v>2992.9235767353562</v>
      </c>
      <c r="L27" s="99">
        <f>'IS &amp; BS'!J64+'IS &amp; BS'!J72+'IS &amp; BS'!J73</f>
        <v>3298.9752618966913</v>
      </c>
      <c r="M27" s="99">
        <f>'IS &amp; BS'!K64+'IS &amp; BS'!K72+'IS &amp; BS'!K73</f>
        <v>3614.511400798212</v>
      </c>
    </row>
    <row r="28" spans="3:13">
      <c r="C28" t="s">
        <v>3888</v>
      </c>
      <c r="D28" s="15">
        <f>IS_BS_Assumptions!B96</f>
        <v>243.34868299999999</v>
      </c>
      <c r="E28" s="15">
        <f>IS_BS_Assumptions!C96</f>
        <v>262.58402000000001</v>
      </c>
      <c r="F28" s="15">
        <f>IS_BS_Assumptions!D96</f>
        <v>361.83100000000002</v>
      </c>
      <c r="G28" s="15">
        <f>IS_BS_Assumptions!E96</f>
        <v>314.11799999999999</v>
      </c>
      <c r="H28" s="15">
        <f>IS_BS_Assumptions!F96</f>
        <v>399.29599999999999</v>
      </c>
      <c r="I28" s="15">
        <f>IS_BS_Assumptions!G96</f>
        <v>350.11</v>
      </c>
      <c r="J28" s="15">
        <f>IS_BS_Assumptions!H96</f>
        <v>345.637</v>
      </c>
      <c r="K28" s="15">
        <f>IS_BS_Assumptions!I96</f>
        <v>448.93853651030344</v>
      </c>
      <c r="L28" s="15">
        <f>IS_BS_Assumptions!J96</f>
        <v>494.84628928450365</v>
      </c>
      <c r="M28" s="15">
        <f>IS_BS_Assumptions!K96</f>
        <v>542.17671011973175</v>
      </c>
    </row>
    <row r="47" spans="3:14">
      <c r="D47" t="s">
        <v>18</v>
      </c>
      <c r="E47" t="s">
        <v>17</v>
      </c>
      <c r="F47" t="s">
        <v>5</v>
      </c>
      <c r="G47" t="s">
        <v>4</v>
      </c>
      <c r="H47" t="s">
        <v>105</v>
      </c>
      <c r="I47" t="s">
        <v>150</v>
      </c>
      <c r="J47" t="s">
        <v>151</v>
      </c>
      <c r="K47" t="s">
        <v>152</v>
      </c>
      <c r="L47" t="s">
        <v>153</v>
      </c>
      <c r="M47" t="s">
        <v>309</v>
      </c>
    </row>
    <row r="48" spans="3:14">
      <c r="C48" t="s">
        <v>3875</v>
      </c>
      <c r="D48" s="137">
        <f>'Ratios watch'!B26</f>
        <v>0.13469099339059787</v>
      </c>
      <c r="E48" s="137">
        <f>'Ratios watch'!C26</f>
        <v>0.16605132693214464</v>
      </c>
      <c r="F48" s="137">
        <f>'Ratios watch'!D26</f>
        <v>0.16460068408461867</v>
      </c>
      <c r="G48" s="137">
        <f>'Ratios watch'!E26</f>
        <v>0.16807558263566019</v>
      </c>
      <c r="H48" s="137">
        <f>'Ratios watch'!F26</f>
        <v>0.1767329514814896</v>
      </c>
      <c r="I48" s="137">
        <f>'Ratios watch'!G26</f>
        <v>0.23862778451145647</v>
      </c>
      <c r="J48" s="137">
        <f>'Ratios watch'!H26</f>
        <v>0.22104148438945892</v>
      </c>
      <c r="K48" s="137">
        <f>'Ratios watch'!I26</f>
        <v>0.15689873893093445</v>
      </c>
      <c r="L48" s="137">
        <f>'Ratios watch'!J26</f>
        <v>0.17165569019328486</v>
      </c>
      <c r="M48" s="137">
        <f>'Ratios watch'!K26</f>
        <v>0.17554114153536132</v>
      </c>
      <c r="N48" s="99"/>
    </row>
    <row r="49" spans="3:14">
      <c r="C49" t="s">
        <v>2905</v>
      </c>
      <c r="D49" s="137">
        <f>'Ratios watch'!B30</f>
        <v>7.0686676188075101E-2</v>
      </c>
      <c r="E49" s="137">
        <f>'Ratios watch'!C30</f>
        <v>9.9035405616742345E-2</v>
      </c>
      <c r="F49" s="137">
        <f>'Ratios watch'!D30</f>
        <v>9.6215970464262376E-2</v>
      </c>
      <c r="G49" s="137">
        <f>'Ratios watch'!E30</f>
        <v>8.4920566003154258E-2</v>
      </c>
      <c r="H49" s="137">
        <f>'Ratios watch'!F30</f>
        <v>0.11065951925926767</v>
      </c>
      <c r="I49" s="137">
        <f>'Ratios watch'!G30</f>
        <v>0.14772897577936342</v>
      </c>
      <c r="J49" s="137">
        <f>'Ratios watch'!H30</f>
        <v>0.13693976067052327</v>
      </c>
      <c r="K49" s="137">
        <f>'Ratios watch'!I30</f>
        <v>7.9405494790427661E-2</v>
      </c>
      <c r="L49" s="137">
        <f>'Ratios watch'!J30</f>
        <v>9.7162914335295059E-2</v>
      </c>
      <c r="M49" s="137">
        <f>'Ratios watch'!K30</f>
        <v>0.10168416127983997</v>
      </c>
      <c r="N49" s="99"/>
    </row>
    <row r="50" spans="3:14">
      <c r="C50" t="s">
        <v>3882</v>
      </c>
      <c r="D50" s="17">
        <f>'IS &amp; BS'!B25</f>
        <v>2.9963121328006742E-2</v>
      </c>
      <c r="E50" s="17">
        <f>'IS &amp; BS'!C25</f>
        <v>5.4865429086936562E-2</v>
      </c>
      <c r="F50" s="17">
        <f>'IS &amp; BS'!D25</f>
        <v>5.2132854489976288E-2</v>
      </c>
      <c r="G50" s="17">
        <f>'IS &amp; BS'!E25</f>
        <v>4.4659663058749043E-2</v>
      </c>
      <c r="H50" s="17">
        <f>'IS &amp; BS'!F25</f>
        <v>6.6130962299362106E-2</v>
      </c>
      <c r="I50" s="17">
        <f>'IS &amp; BS'!G25</f>
        <v>9.9071564122210271E-2</v>
      </c>
      <c r="J50" s="17">
        <f>'IS &amp; BS'!H25</f>
        <v>8.5580073532343884E-2</v>
      </c>
      <c r="K50" s="17">
        <f>'IS &amp; BS'!I25</f>
        <v>4.0674968978379709E-2</v>
      </c>
      <c r="L50" s="17">
        <f>'IS &amp; BS'!J25</f>
        <v>5.5226755264346346E-2</v>
      </c>
      <c r="M50" s="17">
        <f>'IS &amp; BS'!K25</f>
        <v>5.8862850423191497E-2</v>
      </c>
      <c r="N50" s="17"/>
    </row>
    <row r="51" spans="3:14">
      <c r="D51" s="17"/>
      <c r="E51" s="17"/>
      <c r="F51" s="17"/>
      <c r="G51" s="17"/>
      <c r="H51" s="17"/>
      <c r="I51" s="17"/>
      <c r="J51" s="17"/>
      <c r="K51" s="17"/>
      <c r="L51" s="17"/>
      <c r="M51" s="17"/>
      <c r="N51" s="17"/>
    </row>
    <row r="52" spans="3:14">
      <c r="D52" s="17"/>
      <c r="E52" s="17"/>
      <c r="F52" s="17"/>
      <c r="G52" s="17"/>
      <c r="H52" s="17"/>
      <c r="I52" s="17"/>
      <c r="J52" s="17"/>
      <c r="K52" s="17"/>
      <c r="L52" s="17"/>
      <c r="M52" s="17"/>
      <c r="N52" s="17"/>
    </row>
    <row r="53" spans="3:14">
      <c r="D53" s="17"/>
      <c r="E53" s="17"/>
      <c r="F53" s="17"/>
      <c r="G53" s="17"/>
      <c r="H53" s="17"/>
      <c r="I53" s="17"/>
      <c r="J53" s="17"/>
      <c r="K53" s="17"/>
      <c r="L53" s="17"/>
      <c r="M53" s="17"/>
      <c r="N53" s="17"/>
    </row>
    <row r="54" spans="3:14">
      <c r="D54" s="17"/>
      <c r="E54" s="17"/>
      <c r="F54" s="17"/>
      <c r="G54" s="17"/>
      <c r="H54" s="17"/>
      <c r="I54" s="17"/>
      <c r="J54" s="17"/>
      <c r="K54" s="17"/>
      <c r="L54" s="17"/>
      <c r="M54" s="17"/>
      <c r="N54" s="17"/>
    </row>
    <row r="55" spans="3:14">
      <c r="D55" s="17"/>
      <c r="E55" s="17"/>
      <c r="F55" s="17"/>
      <c r="G55" s="17"/>
      <c r="H55" s="17"/>
      <c r="I55" s="17"/>
      <c r="J55" s="17"/>
      <c r="K55" s="17"/>
      <c r="L55" s="17"/>
      <c r="M55" s="17"/>
      <c r="N55" s="17"/>
    </row>
    <row r="56" spans="3:14">
      <c r="D56" s="17"/>
      <c r="E56" s="17"/>
      <c r="F56" s="17"/>
      <c r="G56" s="17"/>
      <c r="H56" s="17"/>
      <c r="I56" s="17"/>
      <c r="J56" s="17"/>
      <c r="K56" s="17"/>
      <c r="L56" s="17"/>
      <c r="M56" s="17"/>
      <c r="N56" s="17"/>
    </row>
    <row r="57" spans="3:14">
      <c r="D57" s="17"/>
      <c r="E57" s="17"/>
      <c r="F57" s="17"/>
      <c r="G57" s="17"/>
      <c r="H57" s="17"/>
      <c r="I57" s="17"/>
      <c r="J57" s="17"/>
      <c r="K57" s="17"/>
      <c r="L57" s="17"/>
      <c r="M57" s="17"/>
      <c r="N57" s="17"/>
    </row>
    <row r="58" spans="3:14">
      <c r="D58" s="17"/>
      <c r="E58" s="17"/>
      <c r="F58" s="17"/>
      <c r="G58" s="17"/>
      <c r="H58" s="17"/>
      <c r="I58" s="17"/>
      <c r="J58" s="17"/>
      <c r="K58" s="17"/>
      <c r="L58" s="17"/>
      <c r="M58" s="17"/>
      <c r="N58" s="17"/>
    </row>
    <row r="59" spans="3:14">
      <c r="D59" s="17"/>
      <c r="E59" s="17"/>
      <c r="F59" s="17"/>
      <c r="G59" s="17"/>
      <c r="H59" s="17"/>
      <c r="I59" s="17"/>
      <c r="J59" s="17"/>
      <c r="K59" s="17"/>
      <c r="L59" s="17"/>
      <c r="M59" s="17"/>
      <c r="N59" s="17"/>
    </row>
    <row r="60" spans="3:14">
      <c r="D60" s="17"/>
      <c r="E60" s="17"/>
      <c r="F60" s="17"/>
      <c r="G60" s="17"/>
      <c r="H60" s="17"/>
      <c r="I60" s="17"/>
      <c r="J60" s="17"/>
      <c r="K60" s="17"/>
      <c r="L60" s="17"/>
      <c r="M60" s="17"/>
      <c r="N60" s="17"/>
    </row>
    <row r="61" spans="3:14">
      <c r="D61" s="17"/>
      <c r="E61" s="17"/>
      <c r="F61" s="17"/>
      <c r="G61" s="17"/>
      <c r="H61" s="17"/>
      <c r="I61" s="17"/>
      <c r="J61" s="17"/>
      <c r="K61" s="17"/>
      <c r="L61" s="17"/>
      <c r="M61" s="17"/>
      <c r="N61" s="17"/>
    </row>
    <row r="62" spans="3:14">
      <c r="D62" s="17"/>
      <c r="E62" s="17"/>
      <c r="F62" s="17"/>
      <c r="G62" s="17"/>
      <c r="H62" s="17"/>
      <c r="I62" s="17"/>
      <c r="J62" s="17"/>
      <c r="K62" s="17"/>
      <c r="L62" s="17"/>
      <c r="M62" s="17"/>
      <c r="N62" s="17"/>
    </row>
    <row r="63" spans="3:14">
      <c r="D63" s="17"/>
      <c r="E63" s="17"/>
      <c r="F63" s="17"/>
      <c r="G63" s="17"/>
      <c r="H63" s="17"/>
      <c r="I63" s="17"/>
      <c r="J63" s="17"/>
      <c r="K63" s="17"/>
      <c r="L63" s="17"/>
      <c r="M63" s="17"/>
      <c r="N63" s="17"/>
    </row>
    <row r="64" spans="3:14">
      <c r="D64" s="17"/>
      <c r="E64" s="17"/>
      <c r="F64" s="17"/>
      <c r="G64" s="17"/>
      <c r="H64" s="17"/>
      <c r="I64" s="17"/>
      <c r="J64" s="17"/>
      <c r="K64" s="17"/>
      <c r="L64" s="17"/>
      <c r="M64" s="17"/>
      <c r="N64" s="17"/>
    </row>
    <row r="70" spans="3:13">
      <c r="C70" t="s">
        <v>3874</v>
      </c>
      <c r="J70" s="99">
        <f>J48</f>
        <v>0.22104148438945892</v>
      </c>
      <c r="K70" s="99">
        <f t="shared" ref="K70:M70" si="0">K48</f>
        <v>0.15689873893093445</v>
      </c>
      <c r="L70" s="99">
        <f t="shared" si="0"/>
        <v>0.17165569019328486</v>
      </c>
      <c r="M70" s="99">
        <f t="shared" si="0"/>
        <v>0.17554114153536132</v>
      </c>
    </row>
    <row r="71" spans="3:13">
      <c r="C71" t="s">
        <v>3866</v>
      </c>
      <c r="J71" s="15">
        <f>J73-J72</f>
        <v>-9.3897633590254372</v>
      </c>
      <c r="K71" s="15">
        <f t="shared" ref="K71:M71" si="1">K73-K72</f>
        <v>-51.829136510303442</v>
      </c>
      <c r="L71" s="15">
        <f t="shared" si="1"/>
        <v>-97.736889284503661</v>
      </c>
      <c r="M71" s="15">
        <f t="shared" si="1"/>
        <v>-145.06731011973176</v>
      </c>
    </row>
    <row r="72" spans="3:13">
      <c r="C72" s="552" t="s">
        <v>3870</v>
      </c>
      <c r="J72" s="15">
        <f>J28</f>
        <v>345.637</v>
      </c>
      <c r="K72" s="15">
        <f t="shared" ref="K72:M72" si="2">K28</f>
        <v>448.93853651030344</v>
      </c>
      <c r="L72" s="15">
        <f t="shared" si="2"/>
        <v>494.84628928450365</v>
      </c>
      <c r="M72" s="15">
        <f t="shared" si="2"/>
        <v>542.17671011973175</v>
      </c>
    </row>
    <row r="73" spans="3:13">
      <c r="C73" s="552" t="s">
        <v>3869</v>
      </c>
      <c r="J73">
        <f>J74*J75</f>
        <v>336.24723664097456</v>
      </c>
      <c r="K73">
        <f t="shared" ref="K73:M73" si="3">K74*K75</f>
        <v>397.10939999999999</v>
      </c>
      <c r="L73">
        <f t="shared" si="3"/>
        <v>397.10939999999999</v>
      </c>
      <c r="M73">
        <f t="shared" si="3"/>
        <v>397.10939999999999</v>
      </c>
    </row>
    <row r="74" spans="3:13">
      <c r="C74" s="552" t="s">
        <v>3868</v>
      </c>
      <c r="J74">
        <f>IS_BS_Assumptions!G187</f>
        <v>2647.3960000000002</v>
      </c>
      <c r="K74">
        <f>J74</f>
        <v>2647.3960000000002</v>
      </c>
      <c r="L74">
        <f t="shared" ref="L74:M74" si="4">K74</f>
        <v>2647.3960000000002</v>
      </c>
      <c r="M74">
        <f t="shared" si="4"/>
        <v>2647.3960000000002</v>
      </c>
    </row>
    <row r="75" spans="3:13">
      <c r="C75" s="552" t="s">
        <v>3867</v>
      </c>
      <c r="J75" s="137">
        <f>IS_BS_Assumptions!H97</f>
        <v>0.12701055551982951</v>
      </c>
      <c r="K75" s="137">
        <f>IS_BS_Assumptions!I97</f>
        <v>0.15</v>
      </c>
      <c r="L75" s="137">
        <f>IS_BS_Assumptions!J97</f>
        <v>0.15</v>
      </c>
      <c r="M75" s="137">
        <f>IS_BS_Assumptions!K97</f>
        <v>0.15</v>
      </c>
    </row>
    <row r="77" spans="3:13">
      <c r="C77" t="s">
        <v>3871</v>
      </c>
      <c r="J77" s="99">
        <f>J70-J71</f>
        <v>9.6108048434148969</v>
      </c>
      <c r="K77" s="99">
        <f>K70-K71</f>
        <v>51.986035249234376</v>
      </c>
      <c r="L77" s="99">
        <f>L70-L71</f>
        <v>97.908544974696952</v>
      </c>
      <c r="M77" s="99">
        <f>M70-M71</f>
        <v>145.24285126126711</v>
      </c>
    </row>
    <row r="78" spans="3:13">
      <c r="C78" t="s">
        <v>3872</v>
      </c>
      <c r="J78" s="17">
        <f>J77/'IS &amp; BS'!H4</f>
        <v>6.5514508908408352E-4</v>
      </c>
      <c r="K78" s="17">
        <f>K77/'IS &amp; BS'!I4</f>
        <v>2.4780235109438786E-3</v>
      </c>
      <c r="L78" s="17">
        <f>L77/'IS &amp; BS'!J4</f>
        <v>3.6985206614462019E-3</v>
      </c>
      <c r="M78" s="17">
        <f>M77/'IS &amp; BS'!K4</f>
        <v>4.8332775460088748E-3</v>
      </c>
    </row>
    <row r="79" spans="3:13">
      <c r="C79" t="s">
        <v>3873</v>
      </c>
      <c r="J79" s="137">
        <f>J50</f>
        <v>8.5580073532343884E-2</v>
      </c>
      <c r="K79" s="137">
        <f t="shared" ref="K79:M79" si="5">K50</f>
        <v>4.0674968978379709E-2</v>
      </c>
      <c r="L79" s="137">
        <f t="shared" si="5"/>
        <v>5.5226755264346346E-2</v>
      </c>
      <c r="M79" s="137">
        <f t="shared" si="5"/>
        <v>5.8862850423191497E-2</v>
      </c>
    </row>
    <row r="84" spans="3:13">
      <c r="D84">
        <v>2011</v>
      </c>
      <c r="E84">
        <v>2012</v>
      </c>
      <c r="F84">
        <v>2013</v>
      </c>
      <c r="G84">
        <v>2014</v>
      </c>
      <c r="H84">
        <v>2015</v>
      </c>
      <c r="I84">
        <v>2016</v>
      </c>
      <c r="J84" t="s">
        <v>252</v>
      </c>
      <c r="K84" t="s">
        <v>253</v>
      </c>
      <c r="L84" t="s">
        <v>254</v>
      </c>
      <c r="M84" t="s">
        <v>402</v>
      </c>
    </row>
    <row r="85" spans="3:13">
      <c r="C85" t="s">
        <v>3883</v>
      </c>
      <c r="D85" s="50">
        <f>IS_BS_Assumptions!B148</f>
        <v>2194.8140279999998</v>
      </c>
      <c r="E85" s="50">
        <f>IS_BS_Assumptions!C148</f>
        <v>2265.4185010000001</v>
      </c>
      <c r="F85" s="50">
        <f>IS_BS_Assumptions!D148</f>
        <v>2701.0540000000001</v>
      </c>
      <c r="G85" s="50">
        <f>IS_BS_Assumptions!E148</f>
        <v>3093.1840000000002</v>
      </c>
      <c r="H85" s="50">
        <f>IS_BS_Assumptions!F148</f>
        <v>4095.2779999999998</v>
      </c>
      <c r="I85" s="50">
        <f>IS_BS_Assumptions!G148</f>
        <v>3445.5839999999998</v>
      </c>
      <c r="J85" s="50">
        <f>IS_BS_Assumptions!H148</f>
        <v>4323.6059999999998</v>
      </c>
      <c r="K85" s="50">
        <f>IS_BS_Assumptions!I148</f>
        <v>5244.7076288465996</v>
      </c>
      <c r="L85" s="50">
        <f>IS_BS_Assumptions!J148</f>
        <v>6618.0882802215156</v>
      </c>
      <c r="M85" s="50">
        <f>IS_BS_Assumptions!K148</f>
        <v>7512.6479846580905</v>
      </c>
    </row>
    <row r="86" spans="3:13">
      <c r="C86" t="s">
        <v>3886</v>
      </c>
      <c r="D86" s="50">
        <f>IS_BS_Assumptions!B149</f>
        <v>0</v>
      </c>
      <c r="E86" s="55">
        <f>IS_BS_Assumptions!C149</f>
        <v>2.5966356832070767</v>
      </c>
      <c r="F86" s="55">
        <f>IS_BS_Assumptions!D149</f>
        <v>2.6308904359590306</v>
      </c>
      <c r="G86" s="55">
        <f>IS_BS_Assumptions!E149</f>
        <v>3.037114276384218</v>
      </c>
      <c r="H86" s="55">
        <f>IS_BS_Assumptions!F149</f>
        <v>2.9895381208153795</v>
      </c>
      <c r="I86" s="55">
        <f>IS_BS_Assumptions!G149</f>
        <v>3.5316822186545167</v>
      </c>
      <c r="J86" s="55">
        <f>IS_BS_Assumptions!H149</f>
        <v>3.1776402232214824</v>
      </c>
      <c r="K86" s="55">
        <f>IS_BS_Assumptions!I149</f>
        <v>3</v>
      </c>
      <c r="L86" s="55">
        <f>IS_BS_Assumptions!J149</f>
        <v>3</v>
      </c>
      <c r="M86" s="55">
        <f>IS_BS_Assumptions!K149</f>
        <v>3</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FFC000"/>
  </sheetPr>
  <dimension ref="A1:AA91"/>
  <sheetViews>
    <sheetView showGridLines="0" topLeftCell="K1" workbookViewId="0">
      <selection activeCell="V67" sqref="V67"/>
    </sheetView>
  </sheetViews>
  <sheetFormatPr defaultRowHeight="14.4"/>
  <cols>
    <col min="2" max="2" width="13.33203125" bestFit="1" customWidth="1"/>
  </cols>
  <sheetData>
    <row r="1" spans="1:27">
      <c r="B1" t="s">
        <v>3876</v>
      </c>
      <c r="D1" t="s">
        <v>3877</v>
      </c>
      <c r="H1" t="s">
        <v>3878</v>
      </c>
      <c r="I1" t="s">
        <v>3877</v>
      </c>
      <c r="U1" t="s">
        <v>2978</v>
      </c>
      <c r="Y1" t="s">
        <v>2979</v>
      </c>
    </row>
    <row r="2" spans="1:27">
      <c r="U2">
        <v>2016</v>
      </c>
      <c r="V2">
        <v>2015</v>
      </c>
      <c r="Y2">
        <v>2016</v>
      </c>
      <c r="Z2">
        <v>2015</v>
      </c>
    </row>
    <row r="3" spans="1:27">
      <c r="A3">
        <v>2011</v>
      </c>
      <c r="B3" s="542">
        <v>40544</v>
      </c>
      <c r="C3" s="414">
        <v>9533.2000000000007</v>
      </c>
      <c r="D3" s="553">
        <v>89.51</v>
      </c>
      <c r="F3">
        <f>CORREL(C3:C84,D3:D84)</f>
        <v>0.82828225582389992</v>
      </c>
      <c r="H3" s="297">
        <v>2439.6999999999998</v>
      </c>
      <c r="I3" s="553">
        <v>89.51</v>
      </c>
    </row>
    <row r="4" spans="1:27">
      <c r="A4">
        <v>2011</v>
      </c>
      <c r="B4" s="542">
        <v>40575</v>
      </c>
      <c r="C4" s="414">
        <v>9880.94</v>
      </c>
      <c r="D4" s="553">
        <v>89.37</v>
      </c>
      <c r="H4" s="297">
        <v>2515.2600000000002</v>
      </c>
      <c r="I4" s="553">
        <v>89.37</v>
      </c>
      <c r="T4" t="s">
        <v>110</v>
      </c>
      <c r="U4" s="297">
        <v>4471.79</v>
      </c>
      <c r="V4" s="297">
        <v>5830.54</v>
      </c>
      <c r="Y4" s="297">
        <v>1481.1</v>
      </c>
      <c r="Z4" s="297">
        <v>1814.72</v>
      </c>
    </row>
    <row r="5" spans="1:27">
      <c r="A5">
        <v>2011</v>
      </c>
      <c r="B5" s="542">
        <v>40603</v>
      </c>
      <c r="C5" s="414">
        <v>9503.36</v>
      </c>
      <c r="D5" s="553">
        <v>102.92</v>
      </c>
      <c r="H5" s="297">
        <v>2555.5</v>
      </c>
      <c r="I5" s="553">
        <v>102.92</v>
      </c>
      <c r="T5" t="s">
        <v>111</v>
      </c>
      <c r="U5" s="297">
        <v>4598.62</v>
      </c>
      <c r="V5" s="297">
        <v>5729.28</v>
      </c>
      <c r="Y5" s="298">
        <v>1531.26</v>
      </c>
      <c r="Z5" s="297">
        <v>1817.82</v>
      </c>
    </row>
    <row r="6" spans="1:27">
      <c r="A6">
        <v>2011</v>
      </c>
      <c r="B6" s="542">
        <v>40634</v>
      </c>
      <c r="C6" s="414">
        <v>9482.75</v>
      </c>
      <c r="D6" s="554">
        <v>110.04</v>
      </c>
      <c r="H6" s="297">
        <v>2667.42</v>
      </c>
      <c r="I6" s="554">
        <v>110.04</v>
      </c>
      <c r="T6" t="s">
        <v>112</v>
      </c>
      <c r="U6" s="297">
        <v>4953.8</v>
      </c>
      <c r="V6" s="297">
        <v>5939.67</v>
      </c>
      <c r="Y6" s="297">
        <v>1531.01</v>
      </c>
      <c r="Z6" s="297">
        <v>1773.86</v>
      </c>
    </row>
    <row r="7" spans="1:27">
      <c r="A7">
        <v>2011</v>
      </c>
      <c r="B7" s="542">
        <v>40664</v>
      </c>
      <c r="C7" s="414">
        <v>8931.68</v>
      </c>
      <c r="D7" s="553">
        <v>101.25</v>
      </c>
      <c r="H7" s="297">
        <v>2587.21</v>
      </c>
      <c r="I7" s="553">
        <v>101.25</v>
      </c>
      <c r="T7" t="s">
        <v>113</v>
      </c>
      <c r="U7" s="297">
        <v>4872.74</v>
      </c>
      <c r="V7" s="297">
        <v>6042.09</v>
      </c>
      <c r="Y7">
        <v>1571.23</v>
      </c>
      <c r="Z7" s="297">
        <v>1819.19</v>
      </c>
    </row>
    <row r="8" spans="1:27">
      <c r="A8">
        <v>2011</v>
      </c>
      <c r="B8" s="542">
        <v>40695</v>
      </c>
      <c r="C8" s="414">
        <v>9066.85</v>
      </c>
      <c r="D8" s="553">
        <v>96.25</v>
      </c>
      <c r="H8" s="297">
        <v>2557.7600000000002</v>
      </c>
      <c r="I8" s="553">
        <v>96.25</v>
      </c>
      <c r="T8" t="s">
        <v>114</v>
      </c>
      <c r="U8" s="297">
        <v>4694.54</v>
      </c>
      <c r="V8" s="297">
        <v>6294.78</v>
      </c>
      <c r="Y8" s="297">
        <v>1550.63</v>
      </c>
      <c r="Z8" s="297">
        <v>1804.04</v>
      </c>
    </row>
    <row r="9" spans="1:27">
      <c r="A9">
        <v>2011</v>
      </c>
      <c r="B9" s="542">
        <v>40725</v>
      </c>
      <c r="C9" s="414">
        <v>9650.4599999999991</v>
      </c>
      <c r="D9" s="553">
        <v>97.19</v>
      </c>
      <c r="H9" s="297">
        <v>2525.4299999999998</v>
      </c>
      <c r="I9" s="553">
        <v>97.19</v>
      </c>
      <c r="N9" t="s">
        <v>3860</v>
      </c>
      <c r="O9" t="s">
        <v>3861</v>
      </c>
      <c r="T9" t="s">
        <v>115</v>
      </c>
      <c r="U9" s="298">
        <v>4641.97</v>
      </c>
      <c r="V9" s="297">
        <v>5833.01</v>
      </c>
      <c r="Y9" s="298">
        <v>1593.51</v>
      </c>
      <c r="Z9" s="297">
        <v>1687.73</v>
      </c>
    </row>
    <row r="10" spans="1:27">
      <c r="A10">
        <v>2011</v>
      </c>
      <c r="B10" s="542">
        <v>40756</v>
      </c>
      <c r="C10" s="414">
        <v>8997.99</v>
      </c>
      <c r="D10" s="553">
        <v>86.32</v>
      </c>
      <c r="H10" s="297">
        <v>2380.98</v>
      </c>
      <c r="I10" s="553">
        <v>86.32</v>
      </c>
      <c r="M10">
        <v>2011</v>
      </c>
      <c r="N10">
        <f t="array" ref="N10:N19">TRANSPOSE(IS_BS_Assumptions!B42:K42)</f>
        <v>7535</v>
      </c>
      <c r="O10">
        <f t="array" ref="O10:O19">TRANSPOSE(IS_BS_Assumptions!B49:K49)</f>
        <v>2173</v>
      </c>
    </row>
    <row r="11" spans="1:27">
      <c r="A11">
        <v>2011</v>
      </c>
      <c r="B11" s="542">
        <v>40787</v>
      </c>
      <c r="C11" s="543">
        <v>8300.14</v>
      </c>
      <c r="D11" s="553">
        <v>85.62</v>
      </c>
      <c r="H11" s="297">
        <v>2293.46</v>
      </c>
      <c r="I11" s="553">
        <v>85.62</v>
      </c>
      <c r="M11">
        <v>2012</v>
      </c>
      <c r="N11">
        <v>8828</v>
      </c>
      <c r="O11">
        <v>2401</v>
      </c>
      <c r="T11" t="s">
        <v>2975</v>
      </c>
      <c r="U11" s="258">
        <f>AVERAGE(U4:U6)</f>
        <v>4674.7366666666667</v>
      </c>
      <c r="V11" s="258">
        <f>AVERAGE(V4:V6)</f>
        <v>5833.163333333333</v>
      </c>
      <c r="W11" s="17">
        <f>U11/V11-1</f>
        <v>-0.19859321614515613</v>
      </c>
      <c r="Y11" s="258">
        <f>AVERAGE(Y4:Y6)</f>
        <v>1514.4566666666667</v>
      </c>
      <c r="Z11" s="258">
        <f>AVERAGE(Z4:Z6)</f>
        <v>1802.1333333333332</v>
      </c>
      <c r="AA11" s="17">
        <f>Y11/Z11-1</f>
        <v>-0.15963117786327308</v>
      </c>
    </row>
    <row r="12" spans="1:27">
      <c r="A12">
        <v>2011</v>
      </c>
      <c r="B12" s="542">
        <v>40817</v>
      </c>
      <c r="C12" s="544">
        <v>7394.19</v>
      </c>
      <c r="D12" s="553">
        <v>86.41</v>
      </c>
      <c r="H12" s="297">
        <v>2180.65</v>
      </c>
      <c r="I12" s="553">
        <v>86.41</v>
      </c>
      <c r="M12">
        <v>2013</v>
      </c>
      <c r="N12">
        <v>7962</v>
      </c>
      <c r="O12">
        <v>2023</v>
      </c>
      <c r="T12" t="s">
        <v>2974</v>
      </c>
      <c r="U12" s="258">
        <f>AVERAGE(U7:U9)</f>
        <v>4736.416666666667</v>
      </c>
      <c r="V12" s="258">
        <f>AVERAGE(V7:V9)</f>
        <v>6056.6266666666661</v>
      </c>
      <c r="W12" s="17">
        <f>U12/V12-1</f>
        <v>-0.21797777420654385</v>
      </c>
      <c r="Y12" s="258">
        <f>AVERAGE(Y7:Y9)</f>
        <v>1571.79</v>
      </c>
      <c r="Z12" s="258">
        <f>AVERAGE(Z7:Z9)</f>
        <v>1770.32</v>
      </c>
      <c r="AA12" s="17">
        <f>Y12/Z12-1</f>
        <v>-0.11214356726467534</v>
      </c>
    </row>
    <row r="13" spans="1:27">
      <c r="A13">
        <v>2011</v>
      </c>
      <c r="B13" s="542">
        <v>40848</v>
      </c>
      <c r="C13" s="543">
        <v>7581.02</v>
      </c>
      <c r="D13" s="553">
        <v>97.07</v>
      </c>
      <c r="H13" s="297">
        <v>2079.98</v>
      </c>
      <c r="I13" s="553">
        <v>97.07</v>
      </c>
      <c r="M13">
        <v>2014</v>
      </c>
      <c r="N13">
        <v>7332</v>
      </c>
      <c r="O13">
        <v>1847</v>
      </c>
      <c r="T13" t="s">
        <v>2976</v>
      </c>
      <c r="U13" s="258">
        <f>AVERAGE(U4:U9)</f>
        <v>4705.5766666666668</v>
      </c>
      <c r="V13" s="258">
        <f>AVERAGE(V4:V9)</f>
        <v>5944.8949999999995</v>
      </c>
      <c r="W13" s="17">
        <f>U13/V13-1</f>
        <v>-0.20846765726448202</v>
      </c>
      <c r="Y13" s="258">
        <f>AVERAGE(Y4:Y9)</f>
        <v>1543.1233333333332</v>
      </c>
      <c r="Z13" s="258">
        <f>AVERAGE(Z4:Z9)</f>
        <v>1786.2266666666667</v>
      </c>
      <c r="AA13" s="17">
        <f>Y13/Z13-1</f>
        <v>-0.13609881537990709</v>
      </c>
    </row>
    <row r="14" spans="1:27">
      <c r="A14">
        <v>2011</v>
      </c>
      <c r="B14" s="542">
        <v>40878</v>
      </c>
      <c r="C14" s="544">
        <v>7558.88</v>
      </c>
      <c r="D14" s="553">
        <v>98.61</v>
      </c>
      <c r="H14" s="297">
        <v>2024.38</v>
      </c>
      <c r="I14" s="553">
        <v>98.61</v>
      </c>
      <c r="M14">
        <v>2015</v>
      </c>
      <c r="N14">
        <v>6863</v>
      </c>
      <c r="O14">
        <v>1867</v>
      </c>
    </row>
    <row r="15" spans="1:27">
      <c r="A15">
        <v>2012</v>
      </c>
      <c r="B15" s="542">
        <v>40909</v>
      </c>
      <c r="C15" s="543">
        <v>8061.92</v>
      </c>
      <c r="D15" s="553">
        <v>100.15</v>
      </c>
      <c r="H15" s="297">
        <v>2151.33</v>
      </c>
      <c r="I15" s="553">
        <v>100.15</v>
      </c>
      <c r="M15" t="s">
        <v>3076</v>
      </c>
      <c r="N15">
        <v>5510</v>
      </c>
      <c r="O15">
        <v>1665</v>
      </c>
    </row>
    <row r="16" spans="1:27">
      <c r="A16">
        <v>2012</v>
      </c>
      <c r="B16" s="542">
        <v>40940</v>
      </c>
      <c r="C16" s="544">
        <v>8441.49</v>
      </c>
      <c r="D16" s="553">
        <v>102.26</v>
      </c>
      <c r="H16" s="297">
        <v>2207.92</v>
      </c>
      <c r="I16" s="553">
        <v>102.26</v>
      </c>
      <c r="M16" t="s">
        <v>252</v>
      </c>
      <c r="N16">
        <v>5200</v>
      </c>
      <c r="O16">
        <v>1700</v>
      </c>
    </row>
    <row r="17" spans="1:15">
      <c r="A17">
        <v>2012</v>
      </c>
      <c r="B17" s="542">
        <v>40969</v>
      </c>
      <c r="C17" s="543">
        <v>8470.7800000000007</v>
      </c>
      <c r="D17" s="553">
        <v>106.15</v>
      </c>
      <c r="H17" s="297">
        <v>2184.16</v>
      </c>
      <c r="I17" s="553">
        <v>106.15</v>
      </c>
      <c r="M17" t="s">
        <v>253</v>
      </c>
      <c r="N17">
        <v>6900</v>
      </c>
      <c r="O17">
        <v>2200</v>
      </c>
    </row>
    <row r="18" spans="1:15">
      <c r="A18">
        <v>2012</v>
      </c>
      <c r="B18" s="542">
        <v>41000</v>
      </c>
      <c r="C18" s="544">
        <v>8285.5300000000007</v>
      </c>
      <c r="D18" s="553">
        <v>103.28</v>
      </c>
      <c r="H18" s="297">
        <v>2048.5100000000002</v>
      </c>
      <c r="I18" s="553">
        <v>103.28</v>
      </c>
      <c r="M18" t="s">
        <v>254</v>
      </c>
      <c r="N18">
        <v>7176</v>
      </c>
      <c r="O18">
        <v>2300</v>
      </c>
    </row>
    <row r="19" spans="1:15">
      <c r="A19">
        <v>2012</v>
      </c>
      <c r="B19" s="542">
        <v>41030</v>
      </c>
      <c r="C19" s="543">
        <v>7896.91</v>
      </c>
      <c r="D19" s="553">
        <v>94.51</v>
      </c>
      <c r="H19" s="297">
        <v>2002.52</v>
      </c>
      <c r="I19" s="553">
        <v>94.51</v>
      </c>
      <c r="M19" t="s">
        <v>402</v>
      </c>
      <c r="N19">
        <v>7449.0289532293982</v>
      </c>
      <c r="O19">
        <v>2400</v>
      </c>
    </row>
    <row r="20" spans="1:15">
      <c r="A20">
        <v>2012</v>
      </c>
      <c r="B20" s="542">
        <v>41061</v>
      </c>
      <c r="C20" s="414">
        <v>7428.29</v>
      </c>
      <c r="D20" s="553">
        <v>82.36</v>
      </c>
      <c r="H20" s="297">
        <v>1885.51</v>
      </c>
      <c r="I20" s="553">
        <v>82.36</v>
      </c>
    </row>
    <row r="21" spans="1:15">
      <c r="A21">
        <v>2012</v>
      </c>
      <c r="B21" s="542">
        <v>41091</v>
      </c>
      <c r="C21" s="414">
        <v>7584.26</v>
      </c>
      <c r="D21" s="553">
        <v>87.89</v>
      </c>
      <c r="H21" s="297">
        <v>1876.25</v>
      </c>
      <c r="I21" s="553">
        <v>87.89</v>
      </c>
    </row>
    <row r="22" spans="1:15">
      <c r="A22">
        <v>2012</v>
      </c>
      <c r="B22" s="542">
        <v>41122</v>
      </c>
      <c r="C22" s="414">
        <v>7510.43</v>
      </c>
      <c r="D22" s="553">
        <v>94.11</v>
      </c>
      <c r="H22" s="297">
        <v>1843.33</v>
      </c>
      <c r="I22" s="553">
        <v>94.11</v>
      </c>
    </row>
    <row r="23" spans="1:15">
      <c r="A23">
        <v>2012</v>
      </c>
      <c r="B23" s="542">
        <v>41153</v>
      </c>
      <c r="C23" s="543">
        <v>8087.74</v>
      </c>
      <c r="D23" s="555">
        <v>94.61</v>
      </c>
      <c r="H23" s="297">
        <v>2064.12</v>
      </c>
      <c r="I23" s="555">
        <v>94.61</v>
      </c>
    </row>
    <row r="24" spans="1:15">
      <c r="A24">
        <v>2012</v>
      </c>
      <c r="B24" s="542">
        <v>41183</v>
      </c>
      <c r="C24" s="414">
        <v>8062.03</v>
      </c>
      <c r="D24" s="553">
        <v>89.52</v>
      </c>
      <c r="H24" s="297">
        <v>1974.3</v>
      </c>
      <c r="I24" s="553">
        <v>89.52</v>
      </c>
    </row>
    <row r="25" spans="1:15">
      <c r="A25">
        <v>2012</v>
      </c>
      <c r="B25" s="542">
        <v>41214</v>
      </c>
      <c r="C25" s="414">
        <v>7711.23</v>
      </c>
      <c r="D25" s="553">
        <v>86.69</v>
      </c>
      <c r="H25" s="297">
        <v>1948.83</v>
      </c>
      <c r="I25" s="553">
        <v>86.69</v>
      </c>
    </row>
    <row r="26" spans="1:15">
      <c r="A26">
        <v>2012</v>
      </c>
      <c r="B26" s="542">
        <v>41244</v>
      </c>
      <c r="C26" s="414">
        <v>7966.49</v>
      </c>
      <c r="D26" s="553">
        <v>88.19</v>
      </c>
      <c r="H26" s="297">
        <v>2086.7600000000002</v>
      </c>
      <c r="I26" s="553">
        <v>88.19</v>
      </c>
    </row>
    <row r="27" spans="1:15">
      <c r="A27">
        <v>2013</v>
      </c>
      <c r="B27" s="542">
        <v>41275</v>
      </c>
      <c r="C27" s="414">
        <v>8053.74</v>
      </c>
      <c r="D27" s="553">
        <v>94.65</v>
      </c>
      <c r="H27" s="297">
        <v>2037.61</v>
      </c>
      <c r="I27" s="553">
        <v>94.65</v>
      </c>
    </row>
    <row r="28" spans="1:15">
      <c r="A28">
        <v>2013</v>
      </c>
      <c r="B28" s="542">
        <v>41306</v>
      </c>
      <c r="C28" s="414">
        <v>8060.93</v>
      </c>
      <c r="D28" s="553">
        <v>95.3</v>
      </c>
      <c r="H28" s="297">
        <v>2053.6</v>
      </c>
      <c r="I28" s="553">
        <v>95.3</v>
      </c>
    </row>
    <row r="29" spans="1:15">
      <c r="A29">
        <v>2013</v>
      </c>
      <c r="B29" s="542">
        <v>41334</v>
      </c>
      <c r="C29" s="414">
        <v>7652.38</v>
      </c>
      <c r="D29" s="553">
        <v>93.12</v>
      </c>
      <c r="H29" s="297">
        <v>1911.28</v>
      </c>
      <c r="I29" s="553">
        <v>93.12</v>
      </c>
    </row>
    <row r="30" spans="1:15">
      <c r="A30">
        <v>2013</v>
      </c>
      <c r="B30" s="542">
        <v>41365</v>
      </c>
      <c r="C30" s="414">
        <v>7221.16</v>
      </c>
      <c r="D30" s="553">
        <v>92.02</v>
      </c>
      <c r="H30" s="297">
        <v>1861.02</v>
      </c>
      <c r="I30" s="553">
        <v>92.02</v>
      </c>
    </row>
    <row r="31" spans="1:15">
      <c r="A31">
        <v>2013</v>
      </c>
      <c r="B31" s="542">
        <v>41395</v>
      </c>
      <c r="C31" s="414">
        <v>7248.71</v>
      </c>
      <c r="D31" s="553">
        <v>94.72</v>
      </c>
      <c r="H31" s="297">
        <v>1832.57</v>
      </c>
      <c r="I31" s="553">
        <v>94.72</v>
      </c>
    </row>
    <row r="32" spans="1:15">
      <c r="A32">
        <v>2013</v>
      </c>
      <c r="B32" s="542">
        <v>41426</v>
      </c>
      <c r="C32" s="414">
        <v>7000.24</v>
      </c>
      <c r="D32" s="553">
        <v>95.79</v>
      </c>
      <c r="H32" s="297">
        <v>1814.54</v>
      </c>
      <c r="I32" s="553">
        <v>95.79</v>
      </c>
    </row>
    <row r="33" spans="1:9">
      <c r="A33">
        <v>2013</v>
      </c>
      <c r="B33" s="542">
        <v>41456</v>
      </c>
      <c r="C33" s="414">
        <v>6906.64</v>
      </c>
      <c r="D33" s="553">
        <v>104.55</v>
      </c>
      <c r="H33" s="297">
        <v>1769.61</v>
      </c>
      <c r="I33" s="553">
        <v>104.55</v>
      </c>
    </row>
    <row r="34" spans="1:9">
      <c r="A34">
        <v>2013</v>
      </c>
      <c r="B34" s="542">
        <v>41487</v>
      </c>
      <c r="C34" s="414">
        <v>7186.25</v>
      </c>
      <c r="D34" s="553">
        <v>106.55</v>
      </c>
      <c r="H34" s="297">
        <v>1816.24</v>
      </c>
      <c r="I34" s="553">
        <v>106.55</v>
      </c>
    </row>
    <row r="35" spans="1:9">
      <c r="A35">
        <v>2013</v>
      </c>
      <c r="B35" s="542">
        <v>41518</v>
      </c>
      <c r="C35" s="414">
        <v>7159.27</v>
      </c>
      <c r="D35" s="553">
        <v>106.31</v>
      </c>
      <c r="H35" s="297">
        <v>1761.3</v>
      </c>
      <c r="I35" s="553">
        <v>106.31</v>
      </c>
    </row>
    <row r="36" spans="1:9">
      <c r="A36">
        <v>2013</v>
      </c>
      <c r="B36" s="542">
        <v>41548</v>
      </c>
      <c r="C36" s="414">
        <v>7203.02</v>
      </c>
      <c r="D36" s="553">
        <v>100.5</v>
      </c>
      <c r="H36" s="297">
        <v>1814.58</v>
      </c>
      <c r="I36" s="553">
        <v>100.5</v>
      </c>
    </row>
    <row r="37" spans="1:9">
      <c r="A37">
        <v>2013</v>
      </c>
      <c r="B37" s="542">
        <v>41579</v>
      </c>
      <c r="C37" s="414">
        <v>7070.65</v>
      </c>
      <c r="D37" s="553">
        <v>93.81</v>
      </c>
      <c r="H37" s="297">
        <v>1747.96</v>
      </c>
      <c r="I37" s="553">
        <v>93.81</v>
      </c>
    </row>
    <row r="38" spans="1:9">
      <c r="A38">
        <v>2013</v>
      </c>
      <c r="B38" s="542">
        <v>41609</v>
      </c>
      <c r="C38" s="414">
        <v>7214.9</v>
      </c>
      <c r="D38" s="553">
        <v>97.9</v>
      </c>
      <c r="H38" s="297">
        <v>1739.81</v>
      </c>
      <c r="I38" s="553">
        <v>97.9</v>
      </c>
    </row>
    <row r="39" spans="1:9">
      <c r="A39">
        <v>2014</v>
      </c>
      <c r="B39" s="542">
        <v>41640</v>
      </c>
      <c r="C39" s="414">
        <v>7291.47</v>
      </c>
      <c r="D39" s="553">
        <v>95</v>
      </c>
      <c r="H39" s="297">
        <v>1727.41</v>
      </c>
      <c r="I39" s="553">
        <v>95</v>
      </c>
    </row>
    <row r="40" spans="1:9">
      <c r="A40">
        <v>2014</v>
      </c>
      <c r="B40" s="542">
        <v>41671</v>
      </c>
      <c r="C40" s="414">
        <v>7149.21</v>
      </c>
      <c r="D40" s="553">
        <v>100.7</v>
      </c>
      <c r="H40" s="297">
        <v>1695.17</v>
      </c>
      <c r="I40" s="553">
        <v>100.7</v>
      </c>
    </row>
    <row r="41" spans="1:9">
      <c r="A41">
        <v>2014</v>
      </c>
      <c r="B41" s="542">
        <v>41699</v>
      </c>
      <c r="C41" s="414">
        <v>6650.04</v>
      </c>
      <c r="D41" s="553">
        <v>100.57</v>
      </c>
      <c r="H41" s="297">
        <v>1705.37</v>
      </c>
      <c r="I41" s="553">
        <v>100.57</v>
      </c>
    </row>
    <row r="42" spans="1:9">
      <c r="A42">
        <v>2014</v>
      </c>
      <c r="B42" s="542">
        <v>41730</v>
      </c>
      <c r="C42" s="414">
        <v>6673.56</v>
      </c>
      <c r="D42" s="553">
        <v>102.18</v>
      </c>
      <c r="H42" s="297">
        <v>1810.68</v>
      </c>
      <c r="I42" s="553">
        <v>102.18</v>
      </c>
    </row>
    <row r="43" spans="1:9">
      <c r="A43">
        <v>2014</v>
      </c>
      <c r="B43" s="542">
        <v>41760</v>
      </c>
      <c r="C43" s="414">
        <v>6891.13</v>
      </c>
      <c r="D43" s="553">
        <v>102</v>
      </c>
      <c r="H43" s="297">
        <v>1751.05</v>
      </c>
      <c r="I43" s="553">
        <v>102</v>
      </c>
    </row>
    <row r="44" spans="1:9">
      <c r="A44">
        <v>2014</v>
      </c>
      <c r="B44" s="542">
        <v>41791</v>
      </c>
      <c r="C44" s="414">
        <v>6821.14</v>
      </c>
      <c r="D44" s="553">
        <v>105.24</v>
      </c>
      <c r="H44" s="297">
        <v>1838.95</v>
      </c>
      <c r="I44" s="553">
        <v>105.24</v>
      </c>
    </row>
    <row r="45" spans="1:9">
      <c r="A45">
        <v>2014</v>
      </c>
      <c r="B45" s="542">
        <v>41821</v>
      </c>
      <c r="C45" s="414">
        <v>7113.38</v>
      </c>
      <c r="D45" s="553">
        <v>102.99</v>
      </c>
      <c r="H45" s="297">
        <v>1948.3</v>
      </c>
      <c r="I45" s="553">
        <v>102.99</v>
      </c>
    </row>
    <row r="46" spans="1:9">
      <c r="A46">
        <v>2014</v>
      </c>
      <c r="B46" s="542">
        <v>41852</v>
      </c>
      <c r="C46" s="414">
        <v>7001.84</v>
      </c>
      <c r="D46" s="553">
        <v>96.38</v>
      </c>
      <c r="H46" s="297">
        <v>2030.49</v>
      </c>
      <c r="I46" s="553">
        <v>96.38</v>
      </c>
    </row>
    <row r="47" spans="1:9">
      <c r="A47">
        <v>2014</v>
      </c>
      <c r="B47" s="542">
        <v>41883</v>
      </c>
      <c r="C47" s="414">
        <v>6872.22</v>
      </c>
      <c r="D47" s="553">
        <v>93.35</v>
      </c>
      <c r="H47" s="297">
        <v>1990.43</v>
      </c>
      <c r="I47" s="553">
        <v>93.35</v>
      </c>
    </row>
    <row r="48" spans="1:9">
      <c r="A48">
        <v>2014</v>
      </c>
      <c r="B48" s="542">
        <v>41913</v>
      </c>
      <c r="C48" s="414">
        <v>6737.48</v>
      </c>
      <c r="D48" s="553">
        <v>84.4</v>
      </c>
      <c r="H48" s="297">
        <v>1946.19</v>
      </c>
      <c r="I48" s="553">
        <v>84.4</v>
      </c>
    </row>
    <row r="49" spans="1:15">
      <c r="A49">
        <v>2014</v>
      </c>
      <c r="B49" s="542">
        <v>41944</v>
      </c>
      <c r="C49" s="414">
        <v>6712.85</v>
      </c>
      <c r="D49" s="553">
        <v>75.7</v>
      </c>
      <c r="H49" s="297">
        <v>2055.56</v>
      </c>
      <c r="I49" s="553">
        <v>75.7</v>
      </c>
    </row>
    <row r="50" spans="1:15">
      <c r="A50">
        <v>2014</v>
      </c>
      <c r="B50" s="542">
        <v>41974</v>
      </c>
      <c r="C50" s="414">
        <v>6446.45</v>
      </c>
      <c r="D50" s="553">
        <v>59.1</v>
      </c>
      <c r="H50" s="297">
        <v>1909.46</v>
      </c>
      <c r="I50" s="553">
        <v>59.1</v>
      </c>
    </row>
    <row r="51" spans="1:15">
      <c r="A51">
        <v>2015</v>
      </c>
      <c r="B51" s="542">
        <v>42005</v>
      </c>
      <c r="C51" s="414">
        <v>5830.54</v>
      </c>
      <c r="D51" s="553">
        <v>47.6</v>
      </c>
      <c r="H51" s="297">
        <v>1814.72</v>
      </c>
      <c r="I51" s="553">
        <v>47.6</v>
      </c>
    </row>
    <row r="52" spans="1:15">
      <c r="A52">
        <v>2015</v>
      </c>
      <c r="B52" s="542">
        <v>42036</v>
      </c>
      <c r="C52" s="414">
        <v>5729.28</v>
      </c>
      <c r="D52" s="553">
        <v>50.72</v>
      </c>
      <c r="H52" s="297">
        <v>1817.82</v>
      </c>
      <c r="I52" s="553">
        <v>50.72</v>
      </c>
    </row>
    <row r="53" spans="1:15">
      <c r="A53">
        <v>2015</v>
      </c>
      <c r="B53" s="542">
        <v>42064</v>
      </c>
      <c r="C53" s="414">
        <v>5939.67</v>
      </c>
      <c r="D53" s="553">
        <v>47.78</v>
      </c>
      <c r="H53" s="297">
        <v>1773.86</v>
      </c>
      <c r="I53" s="553">
        <v>47.78</v>
      </c>
    </row>
    <row r="54" spans="1:15">
      <c r="A54">
        <v>2015</v>
      </c>
      <c r="B54" s="542">
        <v>42095</v>
      </c>
      <c r="C54" s="414">
        <v>6042.09</v>
      </c>
      <c r="D54" s="553">
        <v>54.2</v>
      </c>
      <c r="H54" s="297">
        <v>1819.19</v>
      </c>
      <c r="I54" s="553">
        <v>54.2</v>
      </c>
    </row>
    <row r="55" spans="1:15">
      <c r="A55">
        <v>2015</v>
      </c>
      <c r="B55" s="542">
        <v>42125</v>
      </c>
      <c r="C55" s="414">
        <v>6294.78</v>
      </c>
      <c r="D55" s="553">
        <v>59.26</v>
      </c>
      <c r="H55" s="297">
        <v>1804.04</v>
      </c>
      <c r="I55" s="553">
        <v>59.26</v>
      </c>
    </row>
    <row r="56" spans="1:15">
      <c r="A56">
        <v>2015</v>
      </c>
      <c r="B56" s="542">
        <v>42156</v>
      </c>
      <c r="C56" s="414">
        <v>5833.01</v>
      </c>
      <c r="D56" s="553">
        <v>59.8</v>
      </c>
      <c r="H56" s="297">
        <v>1687.73</v>
      </c>
      <c r="I56" s="553">
        <v>59.8</v>
      </c>
    </row>
    <row r="57" spans="1:15">
      <c r="A57">
        <v>2015</v>
      </c>
      <c r="B57" s="542">
        <v>42186</v>
      </c>
      <c r="C57" s="414">
        <v>5456.75</v>
      </c>
      <c r="D57" s="555">
        <v>51.16</v>
      </c>
      <c r="H57" s="297">
        <v>1639.5</v>
      </c>
      <c r="I57" s="555">
        <v>51.16</v>
      </c>
    </row>
    <row r="58" spans="1:15">
      <c r="A58">
        <v>2015</v>
      </c>
      <c r="B58" s="542">
        <v>42217</v>
      </c>
      <c r="C58" s="414">
        <v>5127.3</v>
      </c>
      <c r="D58" s="553">
        <v>42.86</v>
      </c>
      <c r="H58" s="297">
        <v>1548.13</v>
      </c>
      <c r="I58" s="553">
        <v>42.86</v>
      </c>
    </row>
    <row r="59" spans="1:15">
      <c r="A59">
        <v>2015</v>
      </c>
      <c r="B59" s="542">
        <v>42248</v>
      </c>
      <c r="C59" s="414">
        <v>5217.25</v>
      </c>
      <c r="D59" s="553">
        <v>45.48</v>
      </c>
      <c r="H59" s="297">
        <v>1589.6</v>
      </c>
      <c r="I59" s="553">
        <v>45.48</v>
      </c>
    </row>
    <row r="60" spans="1:15">
      <c r="A60">
        <v>2015</v>
      </c>
      <c r="B60" s="542">
        <v>42278</v>
      </c>
      <c r="C60" s="414">
        <v>5216.09</v>
      </c>
      <c r="D60" s="553">
        <v>46.2</v>
      </c>
      <c r="H60" s="297">
        <v>1516.49</v>
      </c>
      <c r="I60" s="553">
        <v>46.2</v>
      </c>
      <c r="N60" t="s">
        <v>272</v>
      </c>
      <c r="O60">
        <v>6187</v>
      </c>
    </row>
    <row r="61" spans="1:15">
      <c r="A61">
        <v>2015</v>
      </c>
      <c r="B61" s="542">
        <v>42309</v>
      </c>
      <c r="C61" s="414">
        <v>4799.8999999999996</v>
      </c>
      <c r="D61" s="553">
        <v>42.65</v>
      </c>
      <c r="H61" s="297">
        <v>1467.89</v>
      </c>
      <c r="I61" s="553">
        <v>42.65</v>
      </c>
      <c r="N61" t="s">
        <v>3961</v>
      </c>
      <c r="O61">
        <v>7050</v>
      </c>
    </row>
    <row r="62" spans="1:15">
      <c r="A62">
        <v>2015</v>
      </c>
      <c r="B62" s="542">
        <v>42339</v>
      </c>
      <c r="C62" s="414">
        <v>4638.83</v>
      </c>
      <c r="D62" s="553">
        <v>37.24</v>
      </c>
      <c r="H62" s="297">
        <v>1497.2</v>
      </c>
      <c r="I62" s="553">
        <v>37.24</v>
      </c>
      <c r="N62" t="s">
        <v>3962</v>
      </c>
      <c r="O62">
        <v>7176</v>
      </c>
    </row>
    <row r="63" spans="1:15">
      <c r="A63">
        <v>2016</v>
      </c>
      <c r="B63" s="542">
        <v>42370</v>
      </c>
      <c r="C63" s="414">
        <v>4471.79</v>
      </c>
      <c r="D63" s="553">
        <v>31.7</v>
      </c>
      <c r="H63" s="297">
        <v>1481.1</v>
      </c>
      <c r="I63" s="553">
        <v>31.7</v>
      </c>
    </row>
    <row r="64" spans="1:15">
      <c r="A64">
        <v>2016</v>
      </c>
      <c r="B64" s="542">
        <v>42401</v>
      </c>
      <c r="C64" s="414">
        <v>4598.62</v>
      </c>
      <c r="D64" s="554">
        <v>30.35</v>
      </c>
      <c r="H64" s="297">
        <v>1531.26</v>
      </c>
      <c r="I64" s="554">
        <v>30.35</v>
      </c>
    </row>
    <row r="65" spans="1:9">
      <c r="A65">
        <v>2016</v>
      </c>
      <c r="B65" s="542">
        <v>42430</v>
      </c>
      <c r="C65" s="414">
        <v>4953.8</v>
      </c>
      <c r="D65" s="553">
        <v>37.770000000000003</v>
      </c>
      <c r="H65" s="297">
        <v>1531.01</v>
      </c>
      <c r="I65" s="553">
        <v>37.770000000000003</v>
      </c>
    </row>
    <row r="66" spans="1:9">
      <c r="A66">
        <v>2016</v>
      </c>
      <c r="B66" s="542">
        <v>42461</v>
      </c>
      <c r="C66" s="414">
        <v>4872.74</v>
      </c>
      <c r="D66" s="553">
        <v>40.96</v>
      </c>
      <c r="F66" s="17">
        <f t="shared" ref="F66:F72" si="0">C66/C65-1</f>
        <v>-1.6363195930396923E-2</v>
      </c>
      <c r="H66" s="297">
        <v>1571.23</v>
      </c>
      <c r="I66" s="553">
        <v>40.96</v>
      </c>
    </row>
    <row r="67" spans="1:9">
      <c r="A67">
        <v>2016</v>
      </c>
      <c r="B67" s="542">
        <v>42491</v>
      </c>
      <c r="C67" s="414">
        <v>4694.54</v>
      </c>
      <c r="D67" s="553">
        <v>46.85</v>
      </c>
      <c r="F67" s="17">
        <f t="shared" si="0"/>
        <v>-3.6570800001641701E-2</v>
      </c>
      <c r="H67" s="297">
        <v>1550.63</v>
      </c>
      <c r="I67" s="553">
        <v>46.85</v>
      </c>
    </row>
    <row r="68" spans="1:9">
      <c r="A68">
        <v>2016</v>
      </c>
      <c r="B68" s="542">
        <v>42522</v>
      </c>
      <c r="C68" s="414">
        <v>4641.97</v>
      </c>
      <c r="D68" s="553">
        <v>48.75</v>
      </c>
      <c r="F68" s="17">
        <f t="shared" si="0"/>
        <v>-1.1198115257298857E-2</v>
      </c>
      <c r="H68" s="297">
        <v>1593.51</v>
      </c>
      <c r="I68" s="553">
        <v>48.75</v>
      </c>
    </row>
    <row r="69" spans="1:9">
      <c r="A69">
        <v>2016</v>
      </c>
      <c r="B69" s="542">
        <v>42552</v>
      </c>
      <c r="C69" s="414">
        <v>4864.8999999999996</v>
      </c>
      <c r="D69" s="553">
        <v>44.89</v>
      </c>
      <c r="F69" s="17">
        <f t="shared" si="0"/>
        <v>4.8024868751844529E-2</v>
      </c>
      <c r="H69" s="297">
        <v>1629.05</v>
      </c>
      <c r="I69" s="553">
        <v>44.89</v>
      </c>
    </row>
    <row r="70" spans="1:9">
      <c r="A70">
        <v>2016</v>
      </c>
      <c r="B70" s="542">
        <v>42583</v>
      </c>
      <c r="C70" s="258">
        <v>4751.67</v>
      </c>
      <c r="D70" s="665">
        <v>44.75</v>
      </c>
      <c r="F70" s="17">
        <f t="shared" si="0"/>
        <v>-2.3274887459146076E-2</v>
      </c>
      <c r="H70" s="664">
        <v>1639.28</v>
      </c>
      <c r="I70" s="665">
        <v>44.75</v>
      </c>
    </row>
    <row r="71" spans="1:9">
      <c r="A71">
        <v>2016</v>
      </c>
      <c r="B71" s="542">
        <v>42614</v>
      </c>
      <c r="C71" s="663">
        <v>4722.2</v>
      </c>
      <c r="D71" s="666">
        <v>45.17</v>
      </c>
      <c r="E71" s="258">
        <f>AVERAGE(C65:C71)</f>
        <v>4785.9742857142855</v>
      </c>
      <c r="F71" s="17">
        <f t="shared" si="0"/>
        <v>-6.2020300231288017E-3</v>
      </c>
      <c r="H71" s="663">
        <v>1592.36</v>
      </c>
      <c r="I71" s="666">
        <v>45.17</v>
      </c>
    </row>
    <row r="72" spans="1:9">
      <c r="A72">
        <v>2016</v>
      </c>
      <c r="B72" s="542">
        <v>42644</v>
      </c>
      <c r="C72" s="664">
        <v>4731.26</v>
      </c>
      <c r="D72" s="665">
        <v>49.89</v>
      </c>
      <c r="F72" s="17">
        <f t="shared" si="0"/>
        <v>1.9185972639872428E-3</v>
      </c>
      <c r="H72" s="664">
        <v>1665.9</v>
      </c>
      <c r="I72" s="665">
        <v>49.89</v>
      </c>
    </row>
    <row r="73" spans="1:9">
      <c r="A73">
        <v>2016</v>
      </c>
      <c r="B73" s="542">
        <v>42675</v>
      </c>
      <c r="C73" s="663">
        <v>5450.93</v>
      </c>
      <c r="D73" s="666">
        <v>45.62</v>
      </c>
      <c r="F73" s="17">
        <f>C73/C72-1</f>
        <v>0.15210958602993707</v>
      </c>
      <c r="H73" s="663">
        <v>1737.11</v>
      </c>
      <c r="I73" s="666">
        <v>45.62</v>
      </c>
    </row>
    <row r="74" spans="1:9">
      <c r="A74">
        <v>2016</v>
      </c>
      <c r="B74" s="542">
        <v>42705</v>
      </c>
      <c r="C74" s="664">
        <v>5660.35</v>
      </c>
      <c r="D74" s="665">
        <v>52.01</v>
      </c>
      <c r="F74" s="17">
        <f t="shared" ref="F74:F80" si="1">C74/C73-1</f>
        <v>3.8419132148092228E-2</v>
      </c>
      <c r="H74" s="664">
        <v>1727.74</v>
      </c>
      <c r="I74" s="665">
        <v>52.01</v>
      </c>
    </row>
    <row r="75" spans="1:9">
      <c r="A75">
        <v>2017</v>
      </c>
      <c r="B75" s="542">
        <v>42736</v>
      </c>
      <c r="C75" s="663">
        <v>5754.56</v>
      </c>
      <c r="D75" s="666">
        <v>52.56</v>
      </c>
      <c r="F75" s="17">
        <f t="shared" si="1"/>
        <v>1.6643847111927679E-2</v>
      </c>
      <c r="H75" s="663">
        <v>1791.24</v>
      </c>
      <c r="I75" s="666">
        <v>52.56</v>
      </c>
    </row>
    <row r="76" spans="1:9">
      <c r="A76">
        <v>2017</v>
      </c>
      <c r="B76" s="542">
        <v>42767</v>
      </c>
      <c r="C76" s="664">
        <v>5940.91</v>
      </c>
      <c r="D76" s="665">
        <v>53.4</v>
      </c>
      <c r="F76" s="17">
        <f t="shared" si="1"/>
        <v>3.2383014513707398E-2</v>
      </c>
      <c r="H76" s="664">
        <v>1860.75</v>
      </c>
      <c r="I76" s="665">
        <v>53.4</v>
      </c>
    </row>
    <row r="77" spans="1:9">
      <c r="A77">
        <v>2017</v>
      </c>
      <c r="B77" s="542">
        <v>42795</v>
      </c>
      <c r="C77" s="663">
        <v>5824.63</v>
      </c>
      <c r="D77" s="666">
        <v>49.58</v>
      </c>
      <c r="F77" s="17">
        <f t="shared" si="1"/>
        <v>-1.9572759055430877E-2</v>
      </c>
      <c r="H77" s="663">
        <v>1901.47</v>
      </c>
      <c r="I77" s="666">
        <v>49.58</v>
      </c>
    </row>
    <row r="78" spans="1:9">
      <c r="A78">
        <v>2017</v>
      </c>
      <c r="B78" s="542">
        <v>42826</v>
      </c>
      <c r="C78" s="664">
        <v>5683.9</v>
      </c>
      <c r="D78" s="665">
        <v>51.17</v>
      </c>
      <c r="F78" s="17">
        <f t="shared" si="1"/>
        <v>-2.4161191354644118E-2</v>
      </c>
      <c r="H78" s="664">
        <v>1921.22</v>
      </c>
      <c r="I78" s="665">
        <v>51.17</v>
      </c>
    </row>
    <row r="79" spans="1:9">
      <c r="A79">
        <v>2017</v>
      </c>
      <c r="B79" s="542">
        <v>42856</v>
      </c>
      <c r="C79" s="663">
        <v>5599.56</v>
      </c>
      <c r="D79" s="666">
        <v>48.56</v>
      </c>
      <c r="F79" s="17">
        <f t="shared" si="1"/>
        <v>-1.4838403209064044E-2</v>
      </c>
      <c r="H79" s="663">
        <v>1913.02</v>
      </c>
      <c r="I79" s="666">
        <v>48.56</v>
      </c>
    </row>
    <row r="80" spans="1:9">
      <c r="A80">
        <v>2017</v>
      </c>
      <c r="B80" s="542">
        <v>42887</v>
      </c>
      <c r="C80" s="664">
        <v>5719.76</v>
      </c>
      <c r="D80" s="665">
        <v>45.17</v>
      </c>
      <c r="F80" s="17">
        <f t="shared" si="1"/>
        <v>2.146597232639702E-2</v>
      </c>
      <c r="H80" s="664">
        <v>1885.29</v>
      </c>
      <c r="I80" s="665">
        <v>45.17</v>
      </c>
    </row>
    <row r="81" spans="2:6">
      <c r="B81" s="542">
        <v>42917</v>
      </c>
      <c r="C81" s="258">
        <v>5985.12</v>
      </c>
      <c r="D81" s="666">
        <v>46.65</v>
      </c>
    </row>
    <row r="82" spans="2:6">
      <c r="B82" s="542">
        <v>42948</v>
      </c>
      <c r="C82" s="663">
        <v>6485.63</v>
      </c>
      <c r="D82" s="665">
        <v>48.03</v>
      </c>
    </row>
    <row r="83" spans="2:6">
      <c r="B83" s="542">
        <v>42979</v>
      </c>
      <c r="C83" s="258">
        <v>6577.17</v>
      </c>
      <c r="D83" s="666">
        <v>49.83</v>
      </c>
      <c r="E83" s="258">
        <f>AVERAGE(C78:C83)</f>
        <v>6008.5233333333335</v>
      </c>
      <c r="F83" s="17">
        <f>E83/E71-1</f>
        <v>0.25544413208993832</v>
      </c>
    </row>
    <row r="84" spans="2:6">
      <c r="B84" s="542">
        <v>43009</v>
      </c>
      <c r="C84" s="258">
        <v>6807.6</v>
      </c>
      <c r="D84" s="665">
        <v>51.56</v>
      </c>
    </row>
    <row r="85" spans="2:6">
      <c r="B85" s="542">
        <v>43040</v>
      </c>
    </row>
    <row r="86" spans="2:6">
      <c r="B86" s="542">
        <v>43070</v>
      </c>
    </row>
    <row r="87" spans="2:6">
      <c r="B87" s="542">
        <v>43101</v>
      </c>
    </row>
    <row r="88" spans="2:6">
      <c r="B88" s="542">
        <v>43132</v>
      </c>
    </row>
    <row r="89" spans="2:6">
      <c r="B89" s="542">
        <v>43160</v>
      </c>
    </row>
    <row r="90" spans="2:6">
      <c r="B90" s="542">
        <v>43191</v>
      </c>
    </row>
    <row r="91" spans="2:6">
      <c r="B91" s="542">
        <v>43221</v>
      </c>
    </row>
  </sheetData>
  <pageMargins left="0.7" right="0.7" top="0.75" bottom="0.75" header="0.3" footer="0.3"/>
  <pageSetup orientation="portrait"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FFC000"/>
  </sheetPr>
  <dimension ref="B3:S483"/>
  <sheetViews>
    <sheetView zoomScaleNormal="100" workbookViewId="0">
      <pane xSplit="3" ySplit="8" topLeftCell="D434" activePane="bottomRight" state="frozen"/>
      <selection pane="topRight" activeCell="D1" sqref="D1"/>
      <selection pane="bottomLeft" activeCell="A9" sqref="A9"/>
      <selection pane="bottomRight" activeCell="AQ483" sqref="AQ483"/>
    </sheetView>
  </sheetViews>
  <sheetFormatPr defaultColWidth="12.5546875" defaultRowHeight="13.2"/>
  <cols>
    <col min="1" max="1" width="3.5546875" style="446" customWidth="1"/>
    <col min="2" max="2" width="11.33203125" style="447" customWidth="1"/>
    <col min="3" max="3" width="14.44140625" style="446" customWidth="1"/>
    <col min="4" max="6" width="11.33203125" style="446" customWidth="1"/>
    <col min="7" max="18" width="12.5546875" style="446" customWidth="1"/>
    <col min="19" max="19" width="4" style="446" customWidth="1"/>
    <col min="20" max="16384" width="12.5546875" style="446"/>
  </cols>
  <sheetData>
    <row r="3" spans="2:18" ht="21" customHeight="1">
      <c r="B3" s="541" t="s">
        <v>3859</v>
      </c>
      <c r="C3" s="540"/>
      <c r="D3" s="540"/>
      <c r="E3" s="540"/>
      <c r="F3" s="540"/>
      <c r="G3" s="540"/>
      <c r="H3" s="540"/>
      <c r="I3" s="540"/>
      <c r="J3" s="540"/>
      <c r="K3" s="540"/>
      <c r="L3" s="540"/>
      <c r="M3" s="540"/>
      <c r="N3" s="540"/>
      <c r="O3" s="540"/>
      <c r="P3" s="540"/>
      <c r="Q3" s="540"/>
      <c r="R3" s="540"/>
    </row>
    <row r="4" spans="2:18">
      <c r="B4" s="540" t="s">
        <v>3858</v>
      </c>
      <c r="C4" s="540"/>
      <c r="D4" s="540"/>
      <c r="E4" s="540"/>
      <c r="F4" s="540"/>
      <c r="G4" s="540"/>
      <c r="H4" s="540"/>
      <c r="I4" s="540"/>
      <c r="J4" s="540"/>
      <c r="K4" s="540"/>
      <c r="L4" s="540"/>
      <c r="M4" s="540"/>
      <c r="N4" s="540"/>
      <c r="O4" s="540"/>
      <c r="P4" s="540"/>
      <c r="Q4" s="540"/>
      <c r="R4" s="540"/>
    </row>
    <row r="5" spans="2:18">
      <c r="I5" s="539"/>
      <c r="J5" s="539"/>
      <c r="K5" s="539"/>
      <c r="L5" s="539"/>
      <c r="M5" s="539"/>
      <c r="N5" s="539"/>
      <c r="O5" s="539"/>
      <c r="P5" s="539"/>
      <c r="Q5" s="539"/>
      <c r="R5" s="539"/>
    </row>
    <row r="6" spans="2:18">
      <c r="B6" s="538"/>
      <c r="C6" s="537"/>
      <c r="D6" s="479"/>
      <c r="E6" s="479"/>
      <c r="F6" s="479"/>
      <c r="G6" s="479"/>
      <c r="H6" s="479"/>
      <c r="I6" s="536"/>
      <c r="J6" s="535"/>
      <c r="K6" s="535"/>
      <c r="L6" s="535"/>
      <c r="M6" s="535"/>
      <c r="N6" s="535"/>
      <c r="O6" s="535"/>
      <c r="P6" s="535"/>
      <c r="Q6" s="535"/>
      <c r="R6" s="535"/>
    </row>
    <row r="7" spans="2:18">
      <c r="B7" s="534" t="s">
        <v>2844</v>
      </c>
      <c r="C7" s="533" t="s">
        <v>107</v>
      </c>
      <c r="D7" s="532" t="s">
        <v>3817</v>
      </c>
      <c r="E7" s="532" t="s">
        <v>3848</v>
      </c>
      <c r="F7" s="532" t="s">
        <v>3845</v>
      </c>
      <c r="G7" s="532" t="s">
        <v>3843</v>
      </c>
      <c r="H7" s="532" t="s">
        <v>3841</v>
      </c>
      <c r="I7" s="531" t="s">
        <v>3839</v>
      </c>
      <c r="J7" s="530" t="s">
        <v>3837</v>
      </c>
      <c r="K7" s="530" t="s">
        <v>3835</v>
      </c>
      <c r="L7" s="530" t="s">
        <v>3833</v>
      </c>
      <c r="M7" s="530" t="s">
        <v>3831</v>
      </c>
      <c r="N7" s="530" t="s">
        <v>3829</v>
      </c>
      <c r="O7" s="530" t="s">
        <v>3827</v>
      </c>
      <c r="P7" s="530" t="s">
        <v>3825</v>
      </c>
      <c r="Q7" s="530" t="s">
        <v>3823</v>
      </c>
      <c r="R7" s="530" t="s">
        <v>3821</v>
      </c>
    </row>
    <row r="8" spans="2:18" ht="13.8" thickBot="1">
      <c r="B8" s="529"/>
      <c r="C8" s="528"/>
      <c r="D8" s="527"/>
      <c r="E8" s="527"/>
      <c r="F8" s="527"/>
      <c r="G8" s="527"/>
      <c r="H8" s="527"/>
      <c r="I8" s="526"/>
      <c r="J8" s="525"/>
      <c r="K8" s="525"/>
      <c r="L8" s="525"/>
      <c r="M8" s="525"/>
      <c r="N8" s="525"/>
      <c r="O8" s="525"/>
      <c r="P8" s="525"/>
      <c r="Q8" s="525"/>
      <c r="R8" s="525"/>
    </row>
    <row r="9" spans="2:18">
      <c r="B9" s="493"/>
      <c r="C9" s="475"/>
      <c r="D9" s="511"/>
      <c r="E9" s="511"/>
      <c r="F9" s="511"/>
      <c r="G9" s="511"/>
      <c r="H9" s="511"/>
      <c r="I9" s="496"/>
      <c r="J9" s="487"/>
      <c r="K9" s="487"/>
      <c r="L9" s="487"/>
      <c r="M9" s="487"/>
      <c r="N9" s="487"/>
      <c r="O9" s="487"/>
      <c r="P9" s="487"/>
      <c r="Q9" s="487"/>
      <c r="R9" s="487"/>
    </row>
    <row r="10" spans="2:18">
      <c r="B10" s="493">
        <v>1986</v>
      </c>
      <c r="C10" s="475" t="s">
        <v>3165</v>
      </c>
      <c r="D10" s="477">
        <v>27.505199999999999</v>
      </c>
      <c r="E10" s="477">
        <v>30.204560327999999</v>
      </c>
      <c r="F10" s="477">
        <v>39.247799999999998</v>
      </c>
      <c r="G10" s="477">
        <v>2.2435999999999998</v>
      </c>
      <c r="H10" s="477">
        <v>0.137568</v>
      </c>
      <c r="I10" s="496" t="s">
        <v>3857</v>
      </c>
      <c r="J10" s="487" t="s">
        <v>3857</v>
      </c>
      <c r="K10" s="487" t="s">
        <v>3857</v>
      </c>
      <c r="L10" s="487" t="s">
        <v>3857</v>
      </c>
      <c r="M10" s="487" t="s">
        <v>3857</v>
      </c>
      <c r="N10" s="487" t="s">
        <v>3857</v>
      </c>
      <c r="O10" s="487" t="s">
        <v>3857</v>
      </c>
      <c r="P10" s="487" t="s">
        <v>3857</v>
      </c>
      <c r="Q10" s="487" t="s">
        <v>3857</v>
      </c>
      <c r="R10" s="487" t="s">
        <v>3857</v>
      </c>
    </row>
    <row r="11" spans="2:18">
      <c r="B11" s="493"/>
      <c r="C11" s="475" t="s">
        <v>3160</v>
      </c>
      <c r="D11" s="477">
        <v>27.5822</v>
      </c>
      <c r="E11" s="477">
        <v>31.164851958</v>
      </c>
      <c r="F11" s="477">
        <v>39.369799999999998</v>
      </c>
      <c r="G11" s="477">
        <v>2.2262</v>
      </c>
      <c r="H11" s="477">
        <v>0.14960300000000001</v>
      </c>
      <c r="I11" s="496" t="s">
        <v>3857</v>
      </c>
      <c r="J11" s="487" t="s">
        <v>3857</v>
      </c>
      <c r="K11" s="487" t="s">
        <v>3857</v>
      </c>
      <c r="L11" s="487" t="s">
        <v>3857</v>
      </c>
      <c r="M11" s="487" t="s">
        <v>3857</v>
      </c>
      <c r="N11" s="487" t="s">
        <v>3857</v>
      </c>
      <c r="O11" s="487" t="s">
        <v>3857</v>
      </c>
      <c r="P11" s="487" t="s">
        <v>3857</v>
      </c>
      <c r="Q11" s="487" t="s">
        <v>3857</v>
      </c>
      <c r="R11" s="487" t="s">
        <v>3857</v>
      </c>
    </row>
    <row r="12" spans="2:18">
      <c r="B12" s="493"/>
      <c r="C12" s="475" t="s">
        <v>3154</v>
      </c>
      <c r="D12" s="477">
        <v>27.609300000000001</v>
      </c>
      <c r="E12" s="477">
        <v>31.732472862000002</v>
      </c>
      <c r="F12" s="477">
        <v>40.489600000000003</v>
      </c>
      <c r="G12" s="477">
        <v>2.2494000000000001</v>
      </c>
      <c r="H12" s="477">
        <v>0.15451899999999999</v>
      </c>
      <c r="I12" s="496" t="s">
        <v>3857</v>
      </c>
      <c r="J12" s="487" t="s">
        <v>3857</v>
      </c>
      <c r="K12" s="487" t="s">
        <v>3857</v>
      </c>
      <c r="L12" s="487" t="s">
        <v>3857</v>
      </c>
      <c r="M12" s="487" t="s">
        <v>3857</v>
      </c>
      <c r="N12" s="487" t="s">
        <v>3857</v>
      </c>
      <c r="O12" s="487" t="s">
        <v>3857</v>
      </c>
      <c r="P12" s="487" t="s">
        <v>3857</v>
      </c>
      <c r="Q12" s="487" t="s">
        <v>3857</v>
      </c>
      <c r="R12" s="487" t="s">
        <v>3857</v>
      </c>
    </row>
    <row r="13" spans="2:18">
      <c r="B13" s="493"/>
      <c r="C13" s="475" t="s">
        <v>3148</v>
      </c>
      <c r="D13" s="477">
        <v>27.773299999999999</v>
      </c>
      <c r="E13" s="477">
        <v>31.966512834</v>
      </c>
      <c r="F13" s="477">
        <v>41.472000000000001</v>
      </c>
      <c r="G13" s="477">
        <v>2.2637</v>
      </c>
      <c r="H13" s="477">
        <v>0.15867400000000001</v>
      </c>
      <c r="I13" s="496" t="s">
        <v>3857</v>
      </c>
      <c r="J13" s="487" t="s">
        <v>3857</v>
      </c>
      <c r="K13" s="487" t="s">
        <v>3857</v>
      </c>
      <c r="L13" s="487" t="s">
        <v>3857</v>
      </c>
      <c r="M13" s="487" t="s">
        <v>3857</v>
      </c>
      <c r="N13" s="487" t="s">
        <v>3857</v>
      </c>
      <c r="O13" s="487" t="s">
        <v>3857</v>
      </c>
      <c r="P13" s="487" t="s">
        <v>3857</v>
      </c>
      <c r="Q13" s="487" t="s">
        <v>3857</v>
      </c>
      <c r="R13" s="487" t="s">
        <v>3857</v>
      </c>
    </row>
    <row r="14" spans="2:18">
      <c r="B14" s="493"/>
      <c r="C14" s="475" t="s">
        <v>114</v>
      </c>
      <c r="D14" s="477">
        <v>27.920500000000001</v>
      </c>
      <c r="E14" s="477">
        <v>32.661400899999997</v>
      </c>
      <c r="F14" s="477">
        <v>42.534100000000002</v>
      </c>
      <c r="G14" s="477">
        <v>2.2393000000000001</v>
      </c>
      <c r="H14" s="477">
        <v>0.16764999999999999</v>
      </c>
      <c r="I14" s="496" t="s">
        <v>3857</v>
      </c>
      <c r="J14" s="487" t="s">
        <v>3857</v>
      </c>
      <c r="K14" s="487" t="s">
        <v>3857</v>
      </c>
      <c r="L14" s="487" t="s">
        <v>3857</v>
      </c>
      <c r="M14" s="487" t="s">
        <v>3857</v>
      </c>
      <c r="N14" s="487" t="s">
        <v>3857</v>
      </c>
      <c r="O14" s="487" t="s">
        <v>3857</v>
      </c>
      <c r="P14" s="487" t="s">
        <v>3857</v>
      </c>
      <c r="Q14" s="487" t="s">
        <v>3857</v>
      </c>
      <c r="R14" s="487" t="s">
        <v>3857</v>
      </c>
    </row>
    <row r="15" spans="2:18">
      <c r="B15" s="493"/>
      <c r="C15" s="475" t="s">
        <v>3135</v>
      </c>
      <c r="D15" s="477">
        <v>27.9407</v>
      </c>
      <c r="E15" s="477">
        <v>32.520739544000001</v>
      </c>
      <c r="F15" s="477">
        <v>42.081099999999999</v>
      </c>
      <c r="G15" s="477">
        <v>2.2101999999999999</v>
      </c>
      <c r="H15" s="477">
        <v>0.166271</v>
      </c>
      <c r="I15" s="496" t="s">
        <v>3857</v>
      </c>
      <c r="J15" s="487" t="s">
        <v>3857</v>
      </c>
      <c r="K15" s="487" t="s">
        <v>3857</v>
      </c>
      <c r="L15" s="487" t="s">
        <v>3857</v>
      </c>
      <c r="M15" s="487" t="s">
        <v>3857</v>
      </c>
      <c r="N15" s="487" t="s">
        <v>3857</v>
      </c>
      <c r="O15" s="487" t="s">
        <v>3857</v>
      </c>
      <c r="P15" s="487" t="s">
        <v>3857</v>
      </c>
      <c r="Q15" s="487" t="s">
        <v>3857</v>
      </c>
      <c r="R15" s="487" t="s">
        <v>3857</v>
      </c>
    </row>
    <row r="16" spans="2:18">
      <c r="B16" s="493"/>
      <c r="C16" s="475" t="s">
        <v>3125</v>
      </c>
      <c r="D16" s="477">
        <v>28.049800000000001</v>
      </c>
      <c r="E16" s="477">
        <v>33.361029629999997</v>
      </c>
      <c r="F16" s="477">
        <v>42.401699999999998</v>
      </c>
      <c r="G16" s="477">
        <v>2.2414000000000001</v>
      </c>
      <c r="H16" s="477">
        <v>0.176931</v>
      </c>
      <c r="I16" s="496" t="s">
        <v>3857</v>
      </c>
      <c r="J16" s="487" t="s">
        <v>3857</v>
      </c>
      <c r="K16" s="487" t="s">
        <v>3857</v>
      </c>
      <c r="L16" s="487" t="s">
        <v>3857</v>
      </c>
      <c r="M16" s="487" t="s">
        <v>3857</v>
      </c>
      <c r="N16" s="487" t="s">
        <v>3857</v>
      </c>
      <c r="O16" s="487" t="s">
        <v>3857</v>
      </c>
      <c r="P16" s="487" t="s">
        <v>3857</v>
      </c>
      <c r="Q16" s="487" t="s">
        <v>3857</v>
      </c>
      <c r="R16" s="487" t="s">
        <v>3857</v>
      </c>
    </row>
    <row r="17" spans="2:18">
      <c r="B17" s="493"/>
      <c r="C17" s="475" t="s">
        <v>3117</v>
      </c>
      <c r="D17" s="477">
        <v>28.1739</v>
      </c>
      <c r="E17" s="477">
        <v>34.047876410999997</v>
      </c>
      <c r="F17" s="477">
        <v>41.869599999999998</v>
      </c>
      <c r="G17" s="477">
        <v>2.2416</v>
      </c>
      <c r="H17" s="477">
        <v>0.182947</v>
      </c>
      <c r="I17" s="496" t="s">
        <v>3857</v>
      </c>
      <c r="J17" s="487" t="s">
        <v>3857</v>
      </c>
      <c r="K17" s="487" t="s">
        <v>3857</v>
      </c>
      <c r="L17" s="487" t="s">
        <v>3857</v>
      </c>
      <c r="M17" s="487" t="s">
        <v>3857</v>
      </c>
      <c r="N17" s="487" t="s">
        <v>3857</v>
      </c>
      <c r="O17" s="487" t="s">
        <v>3857</v>
      </c>
      <c r="P17" s="487" t="s">
        <v>3857</v>
      </c>
      <c r="Q17" s="487" t="s">
        <v>3857</v>
      </c>
      <c r="R17" s="487" t="s">
        <v>3857</v>
      </c>
    </row>
    <row r="18" spans="2:18">
      <c r="B18" s="493"/>
      <c r="C18" s="475" t="s">
        <v>3113</v>
      </c>
      <c r="D18" s="477">
        <v>28.2806</v>
      </c>
      <c r="E18" s="477">
        <v>34.233949105999997</v>
      </c>
      <c r="F18" s="477">
        <v>41.627899999999997</v>
      </c>
      <c r="G18" s="477">
        <v>2.2307000000000001</v>
      </c>
      <c r="H18" s="477">
        <v>0.18288299999999999</v>
      </c>
      <c r="I18" s="496" t="s">
        <v>3857</v>
      </c>
      <c r="J18" s="487" t="s">
        <v>3857</v>
      </c>
      <c r="K18" s="487" t="s">
        <v>3857</v>
      </c>
      <c r="L18" s="487" t="s">
        <v>3857</v>
      </c>
      <c r="M18" s="487" t="s">
        <v>3857</v>
      </c>
      <c r="N18" s="487" t="s">
        <v>3857</v>
      </c>
      <c r="O18" s="487" t="s">
        <v>3857</v>
      </c>
      <c r="P18" s="487" t="s">
        <v>3857</v>
      </c>
      <c r="Q18" s="487" t="s">
        <v>3857</v>
      </c>
      <c r="R18" s="487" t="s">
        <v>3857</v>
      </c>
    </row>
    <row r="19" spans="2:18">
      <c r="B19" s="493"/>
      <c r="C19" s="475" t="s">
        <v>3104</v>
      </c>
      <c r="D19" s="477">
        <v>28.394400000000001</v>
      </c>
      <c r="E19" s="477">
        <v>34.406914200000003</v>
      </c>
      <c r="F19" s="477">
        <v>40.561799999999998</v>
      </c>
      <c r="G19" s="477">
        <v>2.2113</v>
      </c>
      <c r="H19" s="477">
        <v>0.182033</v>
      </c>
      <c r="I19" s="496" t="s">
        <v>3857</v>
      </c>
      <c r="J19" s="487" t="s">
        <v>3857</v>
      </c>
      <c r="K19" s="487" t="s">
        <v>3857</v>
      </c>
      <c r="L19" s="487" t="s">
        <v>3857</v>
      </c>
      <c r="M19" s="487" t="s">
        <v>3857</v>
      </c>
      <c r="N19" s="487" t="s">
        <v>3857</v>
      </c>
      <c r="O19" s="487" t="s">
        <v>3857</v>
      </c>
      <c r="P19" s="487" t="s">
        <v>3857</v>
      </c>
      <c r="Q19" s="487" t="s">
        <v>3857</v>
      </c>
      <c r="R19" s="487" t="s">
        <v>3857</v>
      </c>
    </row>
    <row r="20" spans="2:18">
      <c r="B20" s="493"/>
      <c r="C20" s="475" t="s">
        <v>3099</v>
      </c>
      <c r="D20" s="477">
        <v>28.458100000000002</v>
      </c>
      <c r="E20" s="477">
        <v>34.104187039999999</v>
      </c>
      <c r="F20" s="477">
        <v>40.547499999999999</v>
      </c>
      <c r="G20" s="477">
        <v>2.1749999999999998</v>
      </c>
      <c r="H20" s="477">
        <v>0.17480499999999999</v>
      </c>
      <c r="I20" s="496" t="s">
        <v>3857</v>
      </c>
      <c r="J20" s="487" t="s">
        <v>3857</v>
      </c>
      <c r="K20" s="487" t="s">
        <v>3857</v>
      </c>
      <c r="L20" s="487" t="s">
        <v>3857</v>
      </c>
      <c r="M20" s="487" t="s">
        <v>3857</v>
      </c>
      <c r="N20" s="487" t="s">
        <v>3857</v>
      </c>
      <c r="O20" s="487" t="s">
        <v>3857</v>
      </c>
      <c r="P20" s="487" t="s">
        <v>3857</v>
      </c>
      <c r="Q20" s="487" t="s">
        <v>3857</v>
      </c>
      <c r="R20" s="487" t="s">
        <v>3857</v>
      </c>
    </row>
    <row r="21" spans="2:18">
      <c r="B21" s="493"/>
      <c r="C21" s="475" t="s">
        <v>3094</v>
      </c>
      <c r="D21" s="477">
        <v>28.5199</v>
      </c>
      <c r="E21" s="477">
        <v>34.436638453999997</v>
      </c>
      <c r="F21" s="477">
        <v>40.982500000000002</v>
      </c>
      <c r="G21" s="477">
        <v>2.1648000000000001</v>
      </c>
      <c r="H21" s="477">
        <v>0.17575299999999999</v>
      </c>
      <c r="I21" s="496" t="s">
        <v>3857</v>
      </c>
      <c r="J21" s="487" t="s">
        <v>3857</v>
      </c>
      <c r="K21" s="487" t="s">
        <v>3857</v>
      </c>
      <c r="L21" s="487" t="s">
        <v>3857</v>
      </c>
      <c r="M21" s="487" t="s">
        <v>3857</v>
      </c>
      <c r="N21" s="487" t="s">
        <v>3857</v>
      </c>
      <c r="O21" s="487" t="s">
        <v>3857</v>
      </c>
      <c r="P21" s="487" t="s">
        <v>3857</v>
      </c>
      <c r="Q21" s="487" t="s">
        <v>3857</v>
      </c>
      <c r="R21" s="487" t="s">
        <v>3857</v>
      </c>
    </row>
    <row r="22" spans="2:18" ht="13.8" thickBot="1">
      <c r="B22" s="523"/>
      <c r="C22" s="522"/>
      <c r="D22" s="477"/>
      <c r="E22" s="477"/>
      <c r="F22" s="477"/>
      <c r="G22" s="477"/>
      <c r="H22" s="477"/>
      <c r="I22" s="496"/>
      <c r="J22" s="487"/>
      <c r="K22" s="487"/>
      <c r="L22" s="487"/>
      <c r="M22" s="487"/>
      <c r="N22" s="487"/>
      <c r="O22" s="487"/>
      <c r="P22" s="487"/>
      <c r="Q22" s="487"/>
      <c r="R22" s="487"/>
    </row>
    <row r="23" spans="2:18" s="464" customFormat="1" ht="13.8" thickBot="1">
      <c r="B23" s="516" t="s">
        <v>3856</v>
      </c>
      <c r="C23" s="519"/>
      <c r="D23" s="517">
        <v>28.017325</v>
      </c>
      <c r="E23" s="518">
        <v>32.903427772250005</v>
      </c>
      <c r="F23" s="517">
        <v>41.098783333333337</v>
      </c>
      <c r="G23" s="517">
        <v>2.2247666666666666</v>
      </c>
      <c r="H23" s="517">
        <v>0.16746974999999997</v>
      </c>
      <c r="I23" s="513" t="s">
        <v>3857</v>
      </c>
      <c r="J23" s="512" t="s">
        <v>3857</v>
      </c>
      <c r="K23" s="512" t="s">
        <v>3857</v>
      </c>
      <c r="L23" s="512" t="s">
        <v>3857</v>
      </c>
      <c r="M23" s="512" t="s">
        <v>3857</v>
      </c>
      <c r="N23" s="512" t="s">
        <v>3857</v>
      </c>
      <c r="O23" s="512" t="s">
        <v>3857</v>
      </c>
      <c r="P23" s="512" t="s">
        <v>3857</v>
      </c>
      <c r="Q23" s="512" t="s">
        <v>3857</v>
      </c>
      <c r="R23" s="512" t="s">
        <v>3857</v>
      </c>
    </row>
    <row r="24" spans="2:18">
      <c r="B24" s="493"/>
      <c r="C24" s="475"/>
      <c r="D24" s="511"/>
      <c r="E24" s="511"/>
      <c r="F24" s="511"/>
      <c r="G24" s="511"/>
      <c r="H24" s="511"/>
      <c r="I24" s="496"/>
      <c r="J24" s="487"/>
      <c r="K24" s="487"/>
      <c r="L24" s="487"/>
      <c r="M24" s="487"/>
      <c r="N24" s="487"/>
      <c r="O24" s="487"/>
      <c r="P24" s="487"/>
      <c r="Q24" s="487"/>
      <c r="R24" s="487"/>
    </row>
    <row r="25" spans="2:18">
      <c r="B25" s="493">
        <v>1987</v>
      </c>
      <c r="C25" s="475" t="s">
        <v>3165</v>
      </c>
      <c r="D25" s="477">
        <v>28.564299999999999</v>
      </c>
      <c r="E25" s="477">
        <v>35.737367016</v>
      </c>
      <c r="F25" s="477">
        <v>43.0199</v>
      </c>
      <c r="G25" s="477">
        <v>2.1850999999999998</v>
      </c>
      <c r="H25" s="477">
        <v>0.1847</v>
      </c>
      <c r="I25" s="496" t="s">
        <v>3857</v>
      </c>
      <c r="J25" s="487" t="s">
        <v>3857</v>
      </c>
      <c r="K25" s="487" t="s">
        <v>3857</v>
      </c>
      <c r="L25" s="487" t="s">
        <v>3857</v>
      </c>
      <c r="M25" s="487" t="s">
        <v>3857</v>
      </c>
      <c r="N25" s="487" t="s">
        <v>3857</v>
      </c>
      <c r="O25" s="487" t="s">
        <v>3857</v>
      </c>
      <c r="P25" s="487" t="s">
        <v>3857</v>
      </c>
      <c r="Q25" s="487" t="s">
        <v>3857</v>
      </c>
      <c r="R25" s="487" t="s">
        <v>3857</v>
      </c>
    </row>
    <row r="26" spans="2:18">
      <c r="B26" s="493"/>
      <c r="C26" s="475" t="s">
        <v>3160</v>
      </c>
      <c r="D26" s="477">
        <v>28.647400000000001</v>
      </c>
      <c r="E26" s="477">
        <v>36.157602384</v>
      </c>
      <c r="F26" s="477">
        <v>43.703400000000002</v>
      </c>
      <c r="G26" s="477">
        <v>2.1892</v>
      </c>
      <c r="H26" s="477">
        <v>0.18663099999999999</v>
      </c>
      <c r="I26" s="496" t="s">
        <v>3857</v>
      </c>
      <c r="J26" s="487" t="s">
        <v>3857</v>
      </c>
      <c r="K26" s="487" t="s">
        <v>3857</v>
      </c>
      <c r="L26" s="487" t="s">
        <v>3857</v>
      </c>
      <c r="M26" s="487" t="s">
        <v>3857</v>
      </c>
      <c r="N26" s="487" t="s">
        <v>3857</v>
      </c>
      <c r="O26" s="487" t="s">
        <v>3857</v>
      </c>
      <c r="P26" s="487" t="s">
        <v>3857</v>
      </c>
      <c r="Q26" s="487" t="s">
        <v>3857</v>
      </c>
      <c r="R26" s="487" t="s">
        <v>3857</v>
      </c>
    </row>
    <row r="27" spans="2:18">
      <c r="B27" s="493"/>
      <c r="C27" s="475" t="s">
        <v>3154</v>
      </c>
      <c r="D27" s="477">
        <v>28.761700000000001</v>
      </c>
      <c r="E27" s="477">
        <v>36.508088661000002</v>
      </c>
      <c r="F27" s="477">
        <v>45.7746</v>
      </c>
      <c r="G27" s="477">
        <v>2.2198000000000002</v>
      </c>
      <c r="H27" s="477">
        <v>0.18965499999999999</v>
      </c>
      <c r="I27" s="496" t="s">
        <v>3857</v>
      </c>
      <c r="J27" s="487" t="s">
        <v>3857</v>
      </c>
      <c r="K27" s="487" t="s">
        <v>3857</v>
      </c>
      <c r="L27" s="487" t="s">
        <v>3857</v>
      </c>
      <c r="M27" s="487" t="s">
        <v>3857</v>
      </c>
      <c r="N27" s="487" t="s">
        <v>3857</v>
      </c>
      <c r="O27" s="487" t="s">
        <v>3857</v>
      </c>
      <c r="P27" s="487" t="s">
        <v>3857</v>
      </c>
      <c r="Q27" s="487" t="s">
        <v>3857</v>
      </c>
      <c r="R27" s="487" t="s">
        <v>3857</v>
      </c>
    </row>
    <row r="28" spans="2:18">
      <c r="B28" s="493"/>
      <c r="C28" s="475" t="s">
        <v>3148</v>
      </c>
      <c r="D28" s="477">
        <v>28.883099999999999</v>
      </c>
      <c r="E28" s="477">
        <v>37.303390143000001</v>
      </c>
      <c r="F28" s="477">
        <v>46.070500000000003</v>
      </c>
      <c r="G28" s="477">
        <v>2.2513000000000001</v>
      </c>
      <c r="H28" s="477">
        <v>0.20193900000000001</v>
      </c>
      <c r="I28" s="496" t="s">
        <v>3857</v>
      </c>
      <c r="J28" s="487" t="s">
        <v>3857</v>
      </c>
      <c r="K28" s="487" t="s">
        <v>3857</v>
      </c>
      <c r="L28" s="487" t="s">
        <v>3857</v>
      </c>
      <c r="M28" s="487" t="s">
        <v>3857</v>
      </c>
      <c r="N28" s="487" t="s">
        <v>3857</v>
      </c>
      <c r="O28" s="487" t="s">
        <v>3857</v>
      </c>
      <c r="P28" s="487" t="s">
        <v>3857</v>
      </c>
      <c r="Q28" s="487" t="s">
        <v>3857</v>
      </c>
      <c r="R28" s="487" t="s">
        <v>3857</v>
      </c>
    </row>
    <row r="29" spans="2:18">
      <c r="B29" s="493"/>
      <c r="C29" s="475" t="s">
        <v>114</v>
      </c>
      <c r="D29" s="477">
        <v>28.978200000000001</v>
      </c>
      <c r="E29" s="477">
        <v>37.799743644000003</v>
      </c>
      <c r="F29" s="477">
        <v>48.3673</v>
      </c>
      <c r="G29" s="477">
        <v>2.2877000000000001</v>
      </c>
      <c r="H29" s="477">
        <v>0.206512</v>
      </c>
      <c r="I29" s="496" t="s">
        <v>3857</v>
      </c>
      <c r="J29" s="487" t="s">
        <v>3857</v>
      </c>
      <c r="K29" s="487" t="s">
        <v>3857</v>
      </c>
      <c r="L29" s="487" t="s">
        <v>3857</v>
      </c>
      <c r="M29" s="487" t="s">
        <v>3857</v>
      </c>
      <c r="N29" s="487" t="s">
        <v>3857</v>
      </c>
      <c r="O29" s="487" t="s">
        <v>3857</v>
      </c>
      <c r="P29" s="487" t="s">
        <v>3857</v>
      </c>
      <c r="Q29" s="487" t="s">
        <v>3857</v>
      </c>
      <c r="R29" s="487" t="s">
        <v>3857</v>
      </c>
    </row>
    <row r="30" spans="2:18">
      <c r="B30" s="493"/>
      <c r="C30" s="475" t="s">
        <v>3135</v>
      </c>
      <c r="D30" s="477">
        <v>29.1523</v>
      </c>
      <c r="E30" s="477">
        <v>37.506183088</v>
      </c>
      <c r="F30" s="477">
        <v>47.478200000000001</v>
      </c>
      <c r="G30" s="477">
        <v>2.2698</v>
      </c>
      <c r="H30" s="477">
        <v>0.20180000000000001</v>
      </c>
      <c r="I30" s="496" t="s">
        <v>3857</v>
      </c>
      <c r="J30" s="487" t="s">
        <v>3857</v>
      </c>
      <c r="K30" s="487" t="s">
        <v>3857</v>
      </c>
      <c r="L30" s="487" t="s">
        <v>3857</v>
      </c>
      <c r="M30" s="487" t="s">
        <v>3857</v>
      </c>
      <c r="N30" s="487" t="s">
        <v>3857</v>
      </c>
      <c r="O30" s="487" t="s">
        <v>3857</v>
      </c>
      <c r="P30" s="487" t="s">
        <v>3857</v>
      </c>
      <c r="Q30" s="487" t="s">
        <v>3857</v>
      </c>
      <c r="R30" s="487" t="s">
        <v>3857</v>
      </c>
    </row>
    <row r="31" spans="2:18">
      <c r="B31" s="493"/>
      <c r="C31" s="475" t="s">
        <v>3125</v>
      </c>
      <c r="D31" s="477">
        <v>29.3766</v>
      </c>
      <c r="E31" s="477">
        <v>37.288305911999998</v>
      </c>
      <c r="F31" s="477">
        <v>47.356400000000001</v>
      </c>
      <c r="G31" s="477">
        <v>2.2572000000000001</v>
      </c>
      <c r="H31" s="477">
        <v>0.195603</v>
      </c>
      <c r="I31" s="496" t="s">
        <v>3857</v>
      </c>
      <c r="J31" s="487" t="s">
        <v>3857</v>
      </c>
      <c r="K31" s="487" t="s">
        <v>3857</v>
      </c>
      <c r="L31" s="487" t="s">
        <v>3857</v>
      </c>
      <c r="M31" s="487" t="s">
        <v>3857</v>
      </c>
      <c r="N31" s="487" t="s">
        <v>3857</v>
      </c>
      <c r="O31" s="487" t="s">
        <v>3857</v>
      </c>
      <c r="P31" s="487" t="s">
        <v>3857</v>
      </c>
      <c r="Q31" s="487" t="s">
        <v>3857</v>
      </c>
      <c r="R31" s="487" t="s">
        <v>3857</v>
      </c>
    </row>
    <row r="32" spans="2:18">
      <c r="B32" s="493"/>
      <c r="C32" s="475" t="s">
        <v>3117</v>
      </c>
      <c r="D32" s="477">
        <v>29.628799999999998</v>
      </c>
      <c r="E32" s="477">
        <v>37.606946976000003</v>
      </c>
      <c r="F32" s="477">
        <v>47.381500000000003</v>
      </c>
      <c r="G32" s="477">
        <v>2.2593999999999999</v>
      </c>
      <c r="H32" s="477">
        <v>0.20109199999999999</v>
      </c>
      <c r="I32" s="496" t="s">
        <v>3857</v>
      </c>
      <c r="J32" s="487" t="s">
        <v>3857</v>
      </c>
      <c r="K32" s="487" t="s">
        <v>3857</v>
      </c>
      <c r="L32" s="487" t="s">
        <v>3857</v>
      </c>
      <c r="M32" s="487" t="s">
        <v>3857</v>
      </c>
      <c r="N32" s="487" t="s">
        <v>3857</v>
      </c>
      <c r="O32" s="487" t="s">
        <v>3857</v>
      </c>
      <c r="P32" s="487" t="s">
        <v>3857</v>
      </c>
      <c r="Q32" s="487" t="s">
        <v>3857</v>
      </c>
      <c r="R32" s="487" t="s">
        <v>3857</v>
      </c>
    </row>
    <row r="33" spans="2:18">
      <c r="B33" s="493"/>
      <c r="C33" s="475" t="s">
        <v>3113</v>
      </c>
      <c r="D33" s="477">
        <v>29.889900000000001</v>
      </c>
      <c r="E33" s="477">
        <v>38.598920163000003</v>
      </c>
      <c r="F33" s="477">
        <v>49.158700000000003</v>
      </c>
      <c r="G33" s="477">
        <v>2.2951000000000001</v>
      </c>
      <c r="H33" s="477">
        <v>0.20885200000000001</v>
      </c>
      <c r="I33" s="496" t="s">
        <v>3857</v>
      </c>
      <c r="J33" s="487" t="s">
        <v>3857</v>
      </c>
      <c r="K33" s="487" t="s">
        <v>3857</v>
      </c>
      <c r="L33" s="487" t="s">
        <v>3857</v>
      </c>
      <c r="M33" s="487" t="s">
        <v>3857</v>
      </c>
      <c r="N33" s="487" t="s">
        <v>3857</v>
      </c>
      <c r="O33" s="487" t="s">
        <v>3857</v>
      </c>
      <c r="P33" s="487" t="s">
        <v>3857</v>
      </c>
      <c r="Q33" s="487" t="s">
        <v>3857</v>
      </c>
      <c r="R33" s="487" t="s">
        <v>3857</v>
      </c>
    </row>
    <row r="34" spans="2:18">
      <c r="B34" s="493"/>
      <c r="C34" s="475" t="s">
        <v>3104</v>
      </c>
      <c r="D34" s="477">
        <v>30.3293</v>
      </c>
      <c r="E34" s="477">
        <v>39.285542290000002</v>
      </c>
      <c r="F34" s="477">
        <v>50.374600000000001</v>
      </c>
      <c r="G34" s="477">
        <v>2.3195000000000001</v>
      </c>
      <c r="H34" s="477">
        <v>0.211615</v>
      </c>
      <c r="I34" s="496" t="s">
        <v>3857</v>
      </c>
      <c r="J34" s="487" t="s">
        <v>3857</v>
      </c>
      <c r="K34" s="487" t="s">
        <v>3857</v>
      </c>
      <c r="L34" s="487" t="s">
        <v>3857</v>
      </c>
      <c r="M34" s="487" t="s">
        <v>3857</v>
      </c>
      <c r="N34" s="487" t="s">
        <v>3857</v>
      </c>
      <c r="O34" s="487" t="s">
        <v>3857</v>
      </c>
      <c r="P34" s="487" t="s">
        <v>3857</v>
      </c>
      <c r="Q34" s="487" t="s">
        <v>3857</v>
      </c>
      <c r="R34" s="487" t="s">
        <v>3857</v>
      </c>
    </row>
    <row r="35" spans="2:18">
      <c r="B35" s="493"/>
      <c r="C35" s="475" t="s">
        <v>3099</v>
      </c>
      <c r="D35" s="477">
        <v>30.5016</v>
      </c>
      <c r="E35" s="477">
        <v>41.158249007999999</v>
      </c>
      <c r="F35" s="477">
        <v>54.155299999999997</v>
      </c>
      <c r="G35" s="477">
        <v>2.3445999999999998</v>
      </c>
      <c r="H35" s="477">
        <v>0.22548299999999999</v>
      </c>
      <c r="I35" s="496" t="s">
        <v>3857</v>
      </c>
      <c r="J35" s="487" t="s">
        <v>3857</v>
      </c>
      <c r="K35" s="487" t="s">
        <v>3857</v>
      </c>
      <c r="L35" s="487" t="s">
        <v>3857</v>
      </c>
      <c r="M35" s="487" t="s">
        <v>3857</v>
      </c>
      <c r="N35" s="487" t="s">
        <v>3857</v>
      </c>
      <c r="O35" s="487" t="s">
        <v>3857</v>
      </c>
      <c r="P35" s="487" t="s">
        <v>3857</v>
      </c>
      <c r="Q35" s="487" t="s">
        <v>3857</v>
      </c>
      <c r="R35" s="487" t="s">
        <v>3857</v>
      </c>
    </row>
    <row r="36" spans="2:18">
      <c r="B36" s="493"/>
      <c r="C36" s="475" t="s">
        <v>3094</v>
      </c>
      <c r="D36" s="477">
        <v>30.624400000000001</v>
      </c>
      <c r="E36" s="477">
        <v>42.330331904799998</v>
      </c>
      <c r="F36" s="477">
        <v>55.997599999999998</v>
      </c>
      <c r="G36" s="477">
        <v>2.3607999999999998</v>
      </c>
      <c r="H36" s="477">
        <v>0.238175</v>
      </c>
      <c r="I36" s="496" t="s">
        <v>3857</v>
      </c>
      <c r="J36" s="487" t="s">
        <v>3857</v>
      </c>
      <c r="K36" s="487" t="s">
        <v>3857</v>
      </c>
      <c r="L36" s="487" t="s">
        <v>3857</v>
      </c>
      <c r="M36" s="487" t="s">
        <v>3857</v>
      </c>
      <c r="N36" s="487" t="s">
        <v>3857</v>
      </c>
      <c r="O36" s="487" t="s">
        <v>3857</v>
      </c>
      <c r="P36" s="487" t="s">
        <v>3857</v>
      </c>
      <c r="Q36" s="487" t="s">
        <v>3857</v>
      </c>
      <c r="R36" s="487" t="s">
        <v>3857</v>
      </c>
    </row>
    <row r="37" spans="2:18" ht="13.8" thickBot="1">
      <c r="B37" s="523"/>
      <c r="C37" s="522"/>
      <c r="D37" s="477"/>
      <c r="E37" s="477"/>
      <c r="F37" s="477"/>
      <c r="G37" s="477"/>
      <c r="H37" s="477"/>
      <c r="I37" s="496"/>
      <c r="J37" s="487"/>
      <c r="K37" s="487"/>
      <c r="L37" s="487"/>
      <c r="M37" s="487"/>
      <c r="N37" s="487"/>
      <c r="O37" s="487"/>
      <c r="P37" s="487"/>
      <c r="Q37" s="487"/>
      <c r="R37" s="487"/>
    </row>
    <row r="38" spans="2:18" s="464" customFormat="1" ht="13.8" thickBot="1">
      <c r="B38" s="516" t="s">
        <v>3856</v>
      </c>
      <c r="C38" s="519"/>
      <c r="D38" s="517">
        <v>29.444799999999997</v>
      </c>
      <c r="E38" s="518">
        <v>38.106722599150004</v>
      </c>
      <c r="F38" s="517">
        <v>48.236500000000007</v>
      </c>
      <c r="G38" s="517">
        <v>2.2699583333333337</v>
      </c>
      <c r="H38" s="517">
        <v>0.20433808333333336</v>
      </c>
      <c r="I38" s="513" t="s">
        <v>3857</v>
      </c>
      <c r="J38" s="512" t="s">
        <v>3857</v>
      </c>
      <c r="K38" s="512" t="s">
        <v>3857</v>
      </c>
      <c r="L38" s="512" t="s">
        <v>3857</v>
      </c>
      <c r="M38" s="512" t="s">
        <v>3857</v>
      </c>
      <c r="N38" s="512" t="s">
        <v>3857</v>
      </c>
      <c r="O38" s="512" t="s">
        <v>3857</v>
      </c>
      <c r="P38" s="512" t="s">
        <v>3857</v>
      </c>
      <c r="Q38" s="512" t="s">
        <v>3857</v>
      </c>
      <c r="R38" s="512" t="s">
        <v>3857</v>
      </c>
    </row>
    <row r="39" spans="2:18">
      <c r="B39" s="493"/>
      <c r="C39" s="475"/>
      <c r="D39" s="511"/>
      <c r="E39" s="511"/>
      <c r="F39" s="511"/>
      <c r="G39" s="511"/>
      <c r="H39" s="511"/>
      <c r="I39" s="496"/>
      <c r="J39" s="487"/>
      <c r="K39" s="487"/>
      <c r="L39" s="487"/>
      <c r="M39" s="487"/>
      <c r="N39" s="487"/>
      <c r="O39" s="487"/>
      <c r="P39" s="487"/>
      <c r="Q39" s="487"/>
      <c r="R39" s="487"/>
    </row>
    <row r="40" spans="2:18">
      <c r="B40" s="493">
        <v>1988</v>
      </c>
      <c r="C40" s="475" t="s">
        <v>3165</v>
      </c>
      <c r="D40" s="477">
        <v>30.805900000000001</v>
      </c>
      <c r="E40" s="477">
        <v>42.477023273999997</v>
      </c>
      <c r="F40" s="477">
        <v>55.693300000000001</v>
      </c>
      <c r="G40" s="477">
        <v>2.367</v>
      </c>
      <c r="H40" s="477">
        <v>0.242289</v>
      </c>
      <c r="I40" s="496" t="s">
        <v>3857</v>
      </c>
      <c r="J40" s="487" t="s">
        <v>3857</v>
      </c>
      <c r="K40" s="487" t="s">
        <v>3857</v>
      </c>
      <c r="L40" s="487" t="s">
        <v>3857</v>
      </c>
      <c r="M40" s="487" t="s">
        <v>3857</v>
      </c>
      <c r="N40" s="487" t="s">
        <v>3857</v>
      </c>
      <c r="O40" s="487" t="s">
        <v>3857</v>
      </c>
      <c r="P40" s="487" t="s">
        <v>3857</v>
      </c>
      <c r="Q40" s="487" t="s">
        <v>3857</v>
      </c>
      <c r="R40" s="487" t="s">
        <v>3857</v>
      </c>
    </row>
    <row r="41" spans="2:18">
      <c r="B41" s="493"/>
      <c r="C41" s="475" t="s">
        <v>3160</v>
      </c>
      <c r="D41" s="477">
        <v>30.842600000000001</v>
      </c>
      <c r="E41" s="477">
        <v>41.811462263999999</v>
      </c>
      <c r="F41" s="477">
        <v>54.202399999999997</v>
      </c>
      <c r="G41" s="477">
        <v>2.3628</v>
      </c>
      <c r="H41" s="477">
        <v>0.23879800000000001</v>
      </c>
      <c r="I41" s="496" t="s">
        <v>3857</v>
      </c>
      <c r="J41" s="487" t="s">
        <v>3857</v>
      </c>
      <c r="K41" s="487" t="s">
        <v>3857</v>
      </c>
      <c r="L41" s="487" t="s">
        <v>3857</v>
      </c>
      <c r="M41" s="487" t="s">
        <v>3857</v>
      </c>
      <c r="N41" s="487" t="s">
        <v>3857</v>
      </c>
      <c r="O41" s="487" t="s">
        <v>3857</v>
      </c>
      <c r="P41" s="487" t="s">
        <v>3857</v>
      </c>
      <c r="Q41" s="487" t="s">
        <v>3857</v>
      </c>
      <c r="R41" s="487" t="s">
        <v>3857</v>
      </c>
    </row>
    <row r="42" spans="2:18">
      <c r="B42" s="493"/>
      <c r="C42" s="475" t="s">
        <v>3154</v>
      </c>
      <c r="D42" s="477">
        <v>30.8765</v>
      </c>
      <c r="E42" s="477">
        <v>42.365954414999997</v>
      </c>
      <c r="F42" s="477">
        <v>56.561799999999998</v>
      </c>
      <c r="G42" s="477">
        <v>2.3736000000000002</v>
      </c>
      <c r="H42" s="477">
        <v>0.24276500000000001</v>
      </c>
      <c r="I42" s="496" t="s">
        <v>3857</v>
      </c>
      <c r="J42" s="487" t="s">
        <v>3857</v>
      </c>
      <c r="K42" s="487" t="s">
        <v>3857</v>
      </c>
      <c r="L42" s="487" t="s">
        <v>3857</v>
      </c>
      <c r="M42" s="487" t="s">
        <v>3857</v>
      </c>
      <c r="N42" s="487" t="s">
        <v>3857</v>
      </c>
      <c r="O42" s="487" t="s">
        <v>3857</v>
      </c>
      <c r="P42" s="487" t="s">
        <v>3857</v>
      </c>
      <c r="Q42" s="487" t="s">
        <v>3857</v>
      </c>
      <c r="R42" s="487" t="s">
        <v>3857</v>
      </c>
    </row>
    <row r="43" spans="2:18">
      <c r="B43" s="493"/>
      <c r="C43" s="475" t="s">
        <v>3148</v>
      </c>
      <c r="D43" s="477">
        <v>30.922499999999999</v>
      </c>
      <c r="E43" s="477">
        <v>42.757468424999999</v>
      </c>
      <c r="F43" s="477">
        <v>58.142400000000002</v>
      </c>
      <c r="G43" s="477">
        <v>2.3506</v>
      </c>
      <c r="H43" s="477">
        <v>0.24791299999999999</v>
      </c>
      <c r="I43" s="496" t="s">
        <v>3857</v>
      </c>
      <c r="J43" s="487" t="s">
        <v>3857</v>
      </c>
      <c r="K43" s="487" t="s">
        <v>3857</v>
      </c>
      <c r="L43" s="487" t="s">
        <v>3857</v>
      </c>
      <c r="M43" s="487" t="s">
        <v>3857</v>
      </c>
      <c r="N43" s="487" t="s">
        <v>3857</v>
      </c>
      <c r="O43" s="487" t="s">
        <v>3857</v>
      </c>
      <c r="P43" s="487" t="s">
        <v>3857</v>
      </c>
      <c r="Q43" s="487" t="s">
        <v>3857</v>
      </c>
      <c r="R43" s="487" t="s">
        <v>3857</v>
      </c>
    </row>
    <row r="44" spans="2:18">
      <c r="B44" s="493"/>
      <c r="C44" s="475" t="s">
        <v>114</v>
      </c>
      <c r="D44" s="477">
        <v>30.975000000000001</v>
      </c>
      <c r="E44" s="477">
        <v>42.668681999999997</v>
      </c>
      <c r="F44" s="477">
        <v>57.983899999999998</v>
      </c>
      <c r="G44" s="477">
        <v>2.3359999999999999</v>
      </c>
      <c r="H44" s="477">
        <v>0.24841199999999999</v>
      </c>
      <c r="I44" s="496" t="s">
        <v>3857</v>
      </c>
      <c r="J44" s="487" t="s">
        <v>3857</v>
      </c>
      <c r="K44" s="487" t="s">
        <v>3857</v>
      </c>
      <c r="L44" s="487" t="s">
        <v>3857</v>
      </c>
      <c r="M44" s="487" t="s">
        <v>3857</v>
      </c>
      <c r="N44" s="487" t="s">
        <v>3857</v>
      </c>
      <c r="O44" s="487" t="s">
        <v>3857</v>
      </c>
      <c r="P44" s="487" t="s">
        <v>3857</v>
      </c>
      <c r="Q44" s="487" t="s">
        <v>3857</v>
      </c>
      <c r="R44" s="487" t="s">
        <v>3857</v>
      </c>
    </row>
    <row r="45" spans="2:18">
      <c r="B45" s="493"/>
      <c r="C45" s="475" t="s">
        <v>3135</v>
      </c>
      <c r="D45" s="477">
        <v>31.095800000000001</v>
      </c>
      <c r="E45" s="477">
        <v>41.988036823999998</v>
      </c>
      <c r="F45" s="477">
        <v>55.684699999999999</v>
      </c>
      <c r="G45" s="477">
        <v>2.2696000000000001</v>
      </c>
      <c r="H45" s="477">
        <v>0.24568200000000001</v>
      </c>
      <c r="I45" s="496" t="s">
        <v>3857</v>
      </c>
      <c r="J45" s="487" t="s">
        <v>3857</v>
      </c>
      <c r="K45" s="487" t="s">
        <v>3857</v>
      </c>
      <c r="L45" s="487" t="s">
        <v>3857</v>
      </c>
      <c r="M45" s="487" t="s">
        <v>3857</v>
      </c>
      <c r="N45" s="487" t="s">
        <v>3857</v>
      </c>
      <c r="O45" s="487" t="s">
        <v>3857</v>
      </c>
      <c r="P45" s="487" t="s">
        <v>3857</v>
      </c>
      <c r="Q45" s="487" t="s">
        <v>3857</v>
      </c>
      <c r="R45" s="487" t="s">
        <v>3857</v>
      </c>
    </row>
    <row r="46" spans="2:18">
      <c r="B46" s="493"/>
      <c r="C46" s="475" t="s">
        <v>3125</v>
      </c>
      <c r="D46" s="477">
        <v>31.781099999999999</v>
      </c>
      <c r="E46" s="477">
        <v>41.464801170000001</v>
      </c>
      <c r="F46" s="477">
        <v>54.057499999999997</v>
      </c>
      <c r="G46" s="477">
        <v>2.2507999999999999</v>
      </c>
      <c r="H46" s="477">
        <v>0.238431</v>
      </c>
      <c r="I46" s="496" t="s">
        <v>3857</v>
      </c>
      <c r="J46" s="487" t="s">
        <v>3857</v>
      </c>
      <c r="K46" s="487" t="s">
        <v>3857</v>
      </c>
      <c r="L46" s="487" t="s">
        <v>3857</v>
      </c>
      <c r="M46" s="487" t="s">
        <v>3857</v>
      </c>
      <c r="N46" s="487" t="s">
        <v>3857</v>
      </c>
      <c r="O46" s="487" t="s">
        <v>3857</v>
      </c>
      <c r="P46" s="487" t="s">
        <v>3857</v>
      </c>
      <c r="Q46" s="487" t="s">
        <v>3857</v>
      </c>
      <c r="R46" s="487" t="s">
        <v>3857</v>
      </c>
    </row>
    <row r="47" spans="2:18">
      <c r="B47" s="493"/>
      <c r="C47" s="475" t="s">
        <v>3117</v>
      </c>
      <c r="D47" s="477">
        <v>32.466799999999999</v>
      </c>
      <c r="E47" s="477">
        <v>41.943858919999997</v>
      </c>
      <c r="F47" s="477">
        <v>55.129899999999999</v>
      </c>
      <c r="G47" s="477">
        <v>2.2736999999999998</v>
      </c>
      <c r="H47" s="477">
        <v>0.24291699999999999</v>
      </c>
      <c r="I47" s="496" t="s">
        <v>3857</v>
      </c>
      <c r="J47" s="487" t="s">
        <v>3857</v>
      </c>
      <c r="K47" s="487" t="s">
        <v>3857</v>
      </c>
      <c r="L47" s="487" t="s">
        <v>3857</v>
      </c>
      <c r="M47" s="487" t="s">
        <v>3857</v>
      </c>
      <c r="N47" s="487" t="s">
        <v>3857</v>
      </c>
      <c r="O47" s="487" t="s">
        <v>3857</v>
      </c>
      <c r="P47" s="487" t="s">
        <v>3857</v>
      </c>
      <c r="Q47" s="487" t="s">
        <v>3857</v>
      </c>
      <c r="R47" s="487" t="s">
        <v>3857</v>
      </c>
    </row>
    <row r="48" spans="2:18">
      <c r="B48" s="493"/>
      <c r="C48" s="475" t="s">
        <v>3113</v>
      </c>
      <c r="D48" s="477">
        <v>32.967399999999998</v>
      </c>
      <c r="E48" s="477">
        <v>42.650914401999998</v>
      </c>
      <c r="F48" s="477">
        <v>55.518000000000001</v>
      </c>
      <c r="G48" s="477">
        <v>2.2757000000000001</v>
      </c>
      <c r="H48" s="477">
        <v>0.245174</v>
      </c>
      <c r="I48" s="496" t="s">
        <v>3857</v>
      </c>
      <c r="J48" s="487" t="s">
        <v>3857</v>
      </c>
      <c r="K48" s="487" t="s">
        <v>3857</v>
      </c>
      <c r="L48" s="487" t="s">
        <v>3857</v>
      </c>
      <c r="M48" s="487" t="s">
        <v>3857</v>
      </c>
      <c r="N48" s="487" t="s">
        <v>3857</v>
      </c>
      <c r="O48" s="487" t="s">
        <v>3857</v>
      </c>
      <c r="P48" s="487" t="s">
        <v>3857</v>
      </c>
      <c r="Q48" s="487" t="s">
        <v>3857</v>
      </c>
      <c r="R48" s="487" t="s">
        <v>3857</v>
      </c>
    </row>
    <row r="49" spans="2:18">
      <c r="B49" s="493"/>
      <c r="C49" s="475" t="s">
        <v>3104</v>
      </c>
      <c r="D49" s="477">
        <v>32.974600000000002</v>
      </c>
      <c r="E49" s="477">
        <v>43.467447466000003</v>
      </c>
      <c r="F49" s="477">
        <v>57.119199999999999</v>
      </c>
      <c r="G49" s="477">
        <v>2.2429999999999999</v>
      </c>
      <c r="H49" s="477">
        <v>0.25483699999999998</v>
      </c>
      <c r="I49" s="496" t="s">
        <v>3857</v>
      </c>
      <c r="J49" s="487" t="s">
        <v>3857</v>
      </c>
      <c r="K49" s="487" t="s">
        <v>3857</v>
      </c>
      <c r="L49" s="487" t="s">
        <v>3857</v>
      </c>
      <c r="M49" s="487" t="s">
        <v>3857</v>
      </c>
      <c r="N49" s="487" t="s">
        <v>3857</v>
      </c>
      <c r="O49" s="487" t="s">
        <v>3857</v>
      </c>
      <c r="P49" s="487" t="s">
        <v>3857</v>
      </c>
      <c r="Q49" s="487" t="s">
        <v>3857</v>
      </c>
      <c r="R49" s="487" t="s">
        <v>3857</v>
      </c>
    </row>
    <row r="50" spans="2:18">
      <c r="B50" s="493"/>
      <c r="C50" s="475" t="s">
        <v>3099</v>
      </c>
      <c r="D50" s="477">
        <v>32.972499999999997</v>
      </c>
      <c r="E50" s="477">
        <v>44.757201225000003</v>
      </c>
      <c r="F50" s="477">
        <v>59.612900000000003</v>
      </c>
      <c r="G50" s="477">
        <v>2.2014999999999998</v>
      </c>
      <c r="H50" s="477">
        <v>0.26780599999999999</v>
      </c>
      <c r="I50" s="496" t="s">
        <v>3857</v>
      </c>
      <c r="J50" s="487" t="s">
        <v>3857</v>
      </c>
      <c r="K50" s="487" t="s">
        <v>3857</v>
      </c>
      <c r="L50" s="487" t="s">
        <v>3857</v>
      </c>
      <c r="M50" s="487" t="s">
        <v>3857</v>
      </c>
      <c r="N50" s="487" t="s">
        <v>3857</v>
      </c>
      <c r="O50" s="487" t="s">
        <v>3857</v>
      </c>
      <c r="P50" s="487" t="s">
        <v>3857</v>
      </c>
      <c r="Q50" s="487" t="s">
        <v>3857</v>
      </c>
      <c r="R50" s="487" t="s">
        <v>3857</v>
      </c>
    </row>
    <row r="51" spans="2:18">
      <c r="B51" s="493"/>
      <c r="C51" s="475" t="s">
        <v>3094</v>
      </c>
      <c r="D51" s="477">
        <v>32.997900000000001</v>
      </c>
      <c r="E51" s="477">
        <v>44.792669375999999</v>
      </c>
      <c r="F51" s="477">
        <v>60.386099999999999</v>
      </c>
      <c r="G51" s="477">
        <v>2.1932</v>
      </c>
      <c r="H51" s="477">
        <v>0.267482</v>
      </c>
      <c r="I51" s="496" t="s">
        <v>3857</v>
      </c>
      <c r="J51" s="487" t="s">
        <v>3857</v>
      </c>
      <c r="K51" s="487" t="s">
        <v>3857</v>
      </c>
      <c r="L51" s="487" t="s">
        <v>3857</v>
      </c>
      <c r="M51" s="487" t="s">
        <v>3857</v>
      </c>
      <c r="N51" s="487" t="s">
        <v>3857</v>
      </c>
      <c r="O51" s="487" t="s">
        <v>3857</v>
      </c>
      <c r="P51" s="487" t="s">
        <v>3857</v>
      </c>
      <c r="Q51" s="487" t="s">
        <v>3857</v>
      </c>
      <c r="R51" s="487" t="s">
        <v>3857</v>
      </c>
    </row>
    <row r="52" spans="2:18" ht="13.8" thickBot="1">
      <c r="B52" s="523"/>
      <c r="C52" s="522"/>
      <c r="D52" s="477"/>
      <c r="E52" s="477"/>
      <c r="F52" s="477"/>
      <c r="G52" s="477"/>
      <c r="H52" s="477"/>
      <c r="I52" s="496"/>
      <c r="J52" s="487"/>
      <c r="K52" s="487"/>
      <c r="L52" s="487"/>
      <c r="M52" s="487"/>
      <c r="N52" s="487"/>
      <c r="O52" s="487"/>
      <c r="P52" s="487"/>
      <c r="Q52" s="487"/>
      <c r="R52" s="487"/>
    </row>
    <row r="53" spans="2:18" s="464" customFormat="1" ht="13.8" thickBot="1">
      <c r="B53" s="516" t="s">
        <v>3856</v>
      </c>
      <c r="C53" s="519"/>
      <c r="D53" s="517">
        <v>31.806550000000001</v>
      </c>
      <c r="E53" s="518">
        <v>42.762126646750005</v>
      </c>
      <c r="F53" s="517">
        <v>56.67434166666667</v>
      </c>
      <c r="G53" s="517">
        <v>2.2914583333333334</v>
      </c>
      <c r="H53" s="517">
        <v>0.24854216666666673</v>
      </c>
      <c r="I53" s="513" t="s">
        <v>3857</v>
      </c>
      <c r="J53" s="512" t="s">
        <v>3857</v>
      </c>
      <c r="K53" s="512" t="s">
        <v>3857</v>
      </c>
      <c r="L53" s="512" t="s">
        <v>3857</v>
      </c>
      <c r="M53" s="512" t="s">
        <v>3857</v>
      </c>
      <c r="N53" s="512" t="s">
        <v>3857</v>
      </c>
      <c r="O53" s="512" t="s">
        <v>3857</v>
      </c>
      <c r="P53" s="512" t="s">
        <v>3857</v>
      </c>
      <c r="Q53" s="512" t="s">
        <v>3857</v>
      </c>
      <c r="R53" s="512" t="s">
        <v>3857</v>
      </c>
    </row>
    <row r="54" spans="2:18">
      <c r="B54" s="493"/>
      <c r="C54" s="475"/>
      <c r="D54" s="511"/>
      <c r="E54" s="511"/>
      <c r="F54" s="511"/>
      <c r="G54" s="511"/>
      <c r="H54" s="511"/>
      <c r="I54" s="496"/>
      <c r="J54" s="487"/>
      <c r="K54" s="487"/>
      <c r="L54" s="487"/>
      <c r="M54" s="487"/>
      <c r="N54" s="487"/>
      <c r="O54" s="487"/>
      <c r="P54" s="487"/>
      <c r="Q54" s="487"/>
      <c r="R54" s="487"/>
    </row>
    <row r="55" spans="2:18">
      <c r="B55" s="493">
        <v>1989</v>
      </c>
      <c r="C55" s="475" t="s">
        <v>3165</v>
      </c>
      <c r="D55" s="477">
        <v>33.11</v>
      </c>
      <c r="E55" s="477">
        <v>43.882800000000003</v>
      </c>
      <c r="F55" s="477">
        <v>58.89</v>
      </c>
      <c r="G55" s="477">
        <v>2.19</v>
      </c>
      <c r="H55" s="477">
        <v>0.26069999999999999</v>
      </c>
      <c r="I55" s="496" t="s">
        <v>3857</v>
      </c>
      <c r="J55" s="487" t="s">
        <v>3857</v>
      </c>
      <c r="K55" s="487" t="s">
        <v>3857</v>
      </c>
      <c r="L55" s="487" t="s">
        <v>3857</v>
      </c>
      <c r="M55" s="487" t="s">
        <v>3857</v>
      </c>
      <c r="N55" s="487" t="s">
        <v>3857</v>
      </c>
      <c r="O55" s="487" t="s">
        <v>3857</v>
      </c>
      <c r="P55" s="487" t="s">
        <v>3857</v>
      </c>
      <c r="Q55" s="487" t="s">
        <v>3857</v>
      </c>
      <c r="R55" s="487" t="s">
        <v>3857</v>
      </c>
    </row>
    <row r="56" spans="2:18">
      <c r="B56" s="493"/>
      <c r="C56" s="475" t="s">
        <v>3160</v>
      </c>
      <c r="D56" s="477">
        <v>33.1</v>
      </c>
      <c r="E56" s="477">
        <v>43.558500000000002</v>
      </c>
      <c r="F56" s="477">
        <v>58.01</v>
      </c>
      <c r="G56" s="477">
        <v>2.17</v>
      </c>
      <c r="H56" s="477">
        <v>0.25879999999999997</v>
      </c>
      <c r="I56" s="496" t="s">
        <v>3857</v>
      </c>
      <c r="J56" s="487" t="s">
        <v>3857</v>
      </c>
      <c r="K56" s="487" t="s">
        <v>3857</v>
      </c>
      <c r="L56" s="487" t="s">
        <v>3857</v>
      </c>
      <c r="M56" s="487" t="s">
        <v>3857</v>
      </c>
      <c r="N56" s="487" t="s">
        <v>3857</v>
      </c>
      <c r="O56" s="487" t="s">
        <v>3857</v>
      </c>
      <c r="P56" s="487" t="s">
        <v>3857</v>
      </c>
      <c r="Q56" s="487" t="s">
        <v>3857</v>
      </c>
      <c r="R56" s="487" t="s">
        <v>3857</v>
      </c>
    </row>
    <row r="57" spans="2:18">
      <c r="B57" s="493"/>
      <c r="C57" s="475" t="s">
        <v>3154</v>
      </c>
      <c r="D57" s="477">
        <v>33.409999999999997</v>
      </c>
      <c r="E57" s="477">
        <v>43.588799999999999</v>
      </c>
      <c r="F57" s="477">
        <v>57.32</v>
      </c>
      <c r="G57" s="477">
        <v>2.16</v>
      </c>
      <c r="H57" s="477">
        <v>0.25609999999999999</v>
      </c>
      <c r="I57" s="496" t="s">
        <v>3857</v>
      </c>
      <c r="J57" s="487" t="s">
        <v>3857</v>
      </c>
      <c r="K57" s="487" t="s">
        <v>3857</v>
      </c>
      <c r="L57" s="487" t="s">
        <v>3857</v>
      </c>
      <c r="M57" s="487" t="s">
        <v>3857</v>
      </c>
      <c r="N57" s="487" t="s">
        <v>3857</v>
      </c>
      <c r="O57" s="487" t="s">
        <v>3857</v>
      </c>
      <c r="P57" s="487" t="s">
        <v>3857</v>
      </c>
      <c r="Q57" s="487" t="s">
        <v>3857</v>
      </c>
      <c r="R57" s="487" t="s">
        <v>3857</v>
      </c>
    </row>
    <row r="58" spans="2:18">
      <c r="B58" s="493"/>
      <c r="C58" s="475" t="s">
        <v>3148</v>
      </c>
      <c r="D58" s="477">
        <v>34</v>
      </c>
      <c r="E58" s="477">
        <v>44.197000000000003</v>
      </c>
      <c r="F58" s="477">
        <v>57.86</v>
      </c>
      <c r="G58" s="477">
        <v>2.16</v>
      </c>
      <c r="H58" s="477">
        <v>0.25769999999999998</v>
      </c>
      <c r="I58" s="496" t="s">
        <v>3857</v>
      </c>
      <c r="J58" s="487" t="s">
        <v>3857</v>
      </c>
      <c r="K58" s="487" t="s">
        <v>3857</v>
      </c>
      <c r="L58" s="487" t="s">
        <v>3857</v>
      </c>
      <c r="M58" s="487" t="s">
        <v>3857</v>
      </c>
      <c r="N58" s="487" t="s">
        <v>3857</v>
      </c>
      <c r="O58" s="487" t="s">
        <v>3857</v>
      </c>
      <c r="P58" s="487" t="s">
        <v>3857</v>
      </c>
      <c r="Q58" s="487" t="s">
        <v>3857</v>
      </c>
      <c r="R58" s="487" t="s">
        <v>3857</v>
      </c>
    </row>
    <row r="59" spans="2:18">
      <c r="B59" s="493"/>
      <c r="C59" s="475" t="s">
        <v>114</v>
      </c>
      <c r="D59" s="477">
        <v>34.130000000000003</v>
      </c>
      <c r="E59" s="477">
        <v>43.2241</v>
      </c>
      <c r="F59" s="477">
        <v>55.77</v>
      </c>
      <c r="G59" s="477">
        <v>2.13</v>
      </c>
      <c r="H59" s="477">
        <v>0.24790000000000001</v>
      </c>
      <c r="I59" s="496" t="s">
        <v>3857</v>
      </c>
      <c r="J59" s="487" t="s">
        <v>3857</v>
      </c>
      <c r="K59" s="487" t="s">
        <v>3857</v>
      </c>
      <c r="L59" s="487" t="s">
        <v>3857</v>
      </c>
      <c r="M59" s="487" t="s">
        <v>3857</v>
      </c>
      <c r="N59" s="487" t="s">
        <v>3857</v>
      </c>
      <c r="O59" s="487" t="s">
        <v>3857</v>
      </c>
      <c r="P59" s="487" t="s">
        <v>3857</v>
      </c>
      <c r="Q59" s="487" t="s">
        <v>3857</v>
      </c>
      <c r="R59" s="487" t="s">
        <v>3857</v>
      </c>
    </row>
    <row r="60" spans="2:18">
      <c r="B60" s="493"/>
      <c r="C60" s="475" t="s">
        <v>3135</v>
      </c>
      <c r="D60" s="477">
        <v>34.29</v>
      </c>
      <c r="E60" s="477">
        <v>42.509300000000003</v>
      </c>
      <c r="F60" s="477">
        <v>53.34</v>
      </c>
      <c r="G60" s="477">
        <v>2.08</v>
      </c>
      <c r="H60" s="477">
        <v>0.23830000000000001</v>
      </c>
      <c r="I60" s="496" t="s">
        <v>3857</v>
      </c>
      <c r="J60" s="487" t="s">
        <v>3857</v>
      </c>
      <c r="K60" s="487" t="s">
        <v>3857</v>
      </c>
      <c r="L60" s="487" t="s">
        <v>3857</v>
      </c>
      <c r="M60" s="487" t="s">
        <v>3857</v>
      </c>
      <c r="N60" s="487" t="s">
        <v>3857</v>
      </c>
      <c r="O60" s="487" t="s">
        <v>3857</v>
      </c>
      <c r="P60" s="487" t="s">
        <v>3857</v>
      </c>
      <c r="Q60" s="487" t="s">
        <v>3857</v>
      </c>
      <c r="R60" s="487" t="s">
        <v>3857</v>
      </c>
    </row>
    <row r="61" spans="2:18">
      <c r="B61" s="493"/>
      <c r="C61" s="475" t="s">
        <v>3125</v>
      </c>
      <c r="D61" s="477">
        <v>34.74</v>
      </c>
      <c r="E61" s="477">
        <v>44.18</v>
      </c>
      <c r="F61" s="477">
        <v>56.37</v>
      </c>
      <c r="G61" s="477">
        <v>2.11</v>
      </c>
      <c r="H61" s="477">
        <v>0.24690000000000001</v>
      </c>
      <c r="I61" s="496" t="s">
        <v>3857</v>
      </c>
      <c r="J61" s="487" t="s">
        <v>3857</v>
      </c>
      <c r="K61" s="487" t="s">
        <v>3857</v>
      </c>
      <c r="L61" s="487" t="s">
        <v>3857</v>
      </c>
      <c r="M61" s="487" t="s">
        <v>3857</v>
      </c>
      <c r="N61" s="487" t="s">
        <v>3857</v>
      </c>
      <c r="O61" s="487" t="s">
        <v>3857</v>
      </c>
      <c r="P61" s="487" t="s">
        <v>3857</v>
      </c>
      <c r="Q61" s="487" t="s">
        <v>3857</v>
      </c>
      <c r="R61" s="487" t="s">
        <v>3857</v>
      </c>
    </row>
    <row r="62" spans="2:18">
      <c r="B62" s="493"/>
      <c r="C62" s="475" t="s">
        <v>3117</v>
      </c>
      <c r="D62" s="477">
        <v>36.32</v>
      </c>
      <c r="E62" s="477">
        <v>45.81</v>
      </c>
      <c r="F62" s="477">
        <v>58.02</v>
      </c>
      <c r="G62" s="477">
        <v>2.17</v>
      </c>
      <c r="H62" s="477">
        <v>0.25729999999999997</v>
      </c>
      <c r="I62" s="496" t="s">
        <v>3857</v>
      </c>
      <c r="J62" s="487" t="s">
        <v>3857</v>
      </c>
      <c r="K62" s="487" t="s">
        <v>3857</v>
      </c>
      <c r="L62" s="487" t="s">
        <v>3857</v>
      </c>
      <c r="M62" s="487" t="s">
        <v>3857</v>
      </c>
      <c r="N62" s="487" t="s">
        <v>3857</v>
      </c>
      <c r="O62" s="487" t="s">
        <v>3857</v>
      </c>
      <c r="P62" s="487" t="s">
        <v>3857</v>
      </c>
      <c r="Q62" s="487" t="s">
        <v>3857</v>
      </c>
      <c r="R62" s="487" t="s">
        <v>3857</v>
      </c>
    </row>
    <row r="63" spans="2:18">
      <c r="B63" s="493"/>
      <c r="C63" s="475" t="s">
        <v>3113</v>
      </c>
      <c r="D63" s="477">
        <v>39.46</v>
      </c>
      <c r="E63" s="477">
        <v>49.23</v>
      </c>
      <c r="F63" s="477">
        <v>62.07</v>
      </c>
      <c r="G63" s="477">
        <v>2.35</v>
      </c>
      <c r="H63" s="477">
        <v>0.27210000000000001</v>
      </c>
      <c r="I63" s="496" t="s">
        <v>3857</v>
      </c>
      <c r="J63" s="487" t="s">
        <v>3857</v>
      </c>
      <c r="K63" s="487" t="s">
        <v>3857</v>
      </c>
      <c r="L63" s="487" t="s">
        <v>3857</v>
      </c>
      <c r="M63" s="487" t="s">
        <v>3857</v>
      </c>
      <c r="N63" s="487" t="s">
        <v>3857</v>
      </c>
      <c r="O63" s="487" t="s">
        <v>3857</v>
      </c>
      <c r="P63" s="487" t="s">
        <v>3857</v>
      </c>
      <c r="Q63" s="487" t="s">
        <v>3857</v>
      </c>
      <c r="R63" s="487" t="s">
        <v>3857</v>
      </c>
    </row>
    <row r="64" spans="2:18">
      <c r="B64" s="493"/>
      <c r="C64" s="475" t="s">
        <v>3104</v>
      </c>
      <c r="D64" s="477">
        <v>40</v>
      </c>
      <c r="E64" s="477">
        <v>50.92</v>
      </c>
      <c r="F64" s="477">
        <v>63.62</v>
      </c>
      <c r="G64" s="477">
        <v>2.37</v>
      </c>
      <c r="H64" s="477">
        <v>0.28189999999999998</v>
      </c>
      <c r="I64" s="496" t="s">
        <v>3857</v>
      </c>
      <c r="J64" s="487" t="s">
        <v>3857</v>
      </c>
      <c r="K64" s="487" t="s">
        <v>3857</v>
      </c>
      <c r="L64" s="487" t="s">
        <v>3857</v>
      </c>
      <c r="M64" s="487" t="s">
        <v>3857</v>
      </c>
      <c r="N64" s="487" t="s">
        <v>3857</v>
      </c>
      <c r="O64" s="487" t="s">
        <v>3857</v>
      </c>
      <c r="P64" s="487" t="s">
        <v>3857</v>
      </c>
      <c r="Q64" s="487" t="s">
        <v>3857</v>
      </c>
      <c r="R64" s="487" t="s">
        <v>3857</v>
      </c>
    </row>
    <row r="65" spans="2:18">
      <c r="B65" s="493"/>
      <c r="C65" s="475" t="s">
        <v>3099</v>
      </c>
      <c r="D65" s="477">
        <v>40</v>
      </c>
      <c r="E65" s="477">
        <v>51.09</v>
      </c>
      <c r="F65" s="477">
        <v>62.94</v>
      </c>
      <c r="G65" s="477">
        <v>2.36</v>
      </c>
      <c r="H65" s="477">
        <v>0.2787</v>
      </c>
      <c r="I65" s="496" t="s">
        <v>3857</v>
      </c>
      <c r="J65" s="487" t="s">
        <v>3857</v>
      </c>
      <c r="K65" s="487" t="s">
        <v>3857</v>
      </c>
      <c r="L65" s="487" t="s">
        <v>3857</v>
      </c>
      <c r="M65" s="487" t="s">
        <v>3857</v>
      </c>
      <c r="N65" s="487" t="s">
        <v>3857</v>
      </c>
      <c r="O65" s="487" t="s">
        <v>3857</v>
      </c>
      <c r="P65" s="487" t="s">
        <v>3857</v>
      </c>
      <c r="Q65" s="487" t="s">
        <v>3857</v>
      </c>
      <c r="R65" s="487" t="s">
        <v>3857</v>
      </c>
    </row>
    <row r="66" spans="2:18">
      <c r="B66" s="493"/>
      <c r="C66" s="475" t="s">
        <v>3094</v>
      </c>
      <c r="D66" s="477">
        <v>40</v>
      </c>
      <c r="E66" s="477">
        <v>52.06</v>
      </c>
      <c r="F66" s="477">
        <v>63.82</v>
      </c>
      <c r="G66" s="477">
        <v>2.36</v>
      </c>
      <c r="H66" s="477">
        <v>0.27850000000000003</v>
      </c>
      <c r="I66" s="496" t="s">
        <v>3857</v>
      </c>
      <c r="J66" s="487" t="s">
        <v>3857</v>
      </c>
      <c r="K66" s="487" t="s">
        <v>3857</v>
      </c>
      <c r="L66" s="487" t="s">
        <v>3857</v>
      </c>
      <c r="M66" s="487" t="s">
        <v>3857</v>
      </c>
      <c r="N66" s="487" t="s">
        <v>3857</v>
      </c>
      <c r="O66" s="487" t="s">
        <v>3857</v>
      </c>
      <c r="P66" s="487" t="s">
        <v>3857</v>
      </c>
      <c r="Q66" s="487" t="s">
        <v>3857</v>
      </c>
      <c r="R66" s="487" t="s">
        <v>3857</v>
      </c>
    </row>
    <row r="67" spans="2:18" ht="13.8" thickBot="1">
      <c r="B67" s="523"/>
      <c r="C67" s="522"/>
      <c r="D67" s="477"/>
      <c r="E67" s="477"/>
      <c r="F67" s="477"/>
      <c r="G67" s="477"/>
      <c r="H67" s="477"/>
      <c r="I67" s="496"/>
      <c r="J67" s="487"/>
      <c r="K67" s="487"/>
      <c r="L67" s="487"/>
      <c r="M67" s="487"/>
      <c r="N67" s="487"/>
      <c r="O67" s="487"/>
      <c r="P67" s="487"/>
      <c r="Q67" s="487"/>
      <c r="R67" s="487"/>
    </row>
    <row r="68" spans="2:18" s="464" customFormat="1" ht="13.8" thickBot="1">
      <c r="B68" s="516" t="s">
        <v>3856</v>
      </c>
      <c r="C68" s="519"/>
      <c r="D68" s="517">
        <v>36.046666666666667</v>
      </c>
      <c r="E68" s="518">
        <v>46.187541666666675</v>
      </c>
      <c r="F68" s="517">
        <v>59.002500000000005</v>
      </c>
      <c r="G68" s="517">
        <v>2.2174999999999998</v>
      </c>
      <c r="H68" s="517">
        <v>0.26124166666666665</v>
      </c>
      <c r="I68" s="513" t="s">
        <v>3857</v>
      </c>
      <c r="J68" s="512" t="s">
        <v>3857</v>
      </c>
      <c r="K68" s="512" t="s">
        <v>3857</v>
      </c>
      <c r="L68" s="512" t="s">
        <v>3857</v>
      </c>
      <c r="M68" s="512" t="s">
        <v>3857</v>
      </c>
      <c r="N68" s="512" t="s">
        <v>3857</v>
      </c>
      <c r="O68" s="512" t="s">
        <v>3857</v>
      </c>
      <c r="P68" s="512" t="s">
        <v>3857</v>
      </c>
      <c r="Q68" s="512" t="s">
        <v>3857</v>
      </c>
      <c r="R68" s="512" t="s">
        <v>3857</v>
      </c>
    </row>
    <row r="69" spans="2:18">
      <c r="B69" s="493"/>
      <c r="C69" s="475"/>
      <c r="D69" s="511"/>
      <c r="E69" s="511"/>
      <c r="F69" s="511"/>
      <c r="G69" s="511"/>
      <c r="H69" s="511"/>
      <c r="I69" s="496"/>
      <c r="J69" s="487"/>
      <c r="K69" s="487"/>
      <c r="L69" s="487"/>
      <c r="M69" s="487"/>
      <c r="N69" s="487"/>
      <c r="O69" s="487"/>
      <c r="P69" s="487"/>
      <c r="Q69" s="487"/>
      <c r="R69" s="487"/>
    </row>
    <row r="70" spans="2:18">
      <c r="B70" s="493">
        <v>1990</v>
      </c>
      <c r="C70" s="475" t="s">
        <v>3165</v>
      </c>
      <c r="D70" s="477">
        <v>40</v>
      </c>
      <c r="E70" s="477">
        <v>52.715000000000003</v>
      </c>
      <c r="F70" s="477">
        <v>65.83</v>
      </c>
      <c r="G70" s="477">
        <v>2.3569</v>
      </c>
      <c r="H70" s="477">
        <v>0.27593499999999999</v>
      </c>
      <c r="I70" s="496" t="s">
        <v>3857</v>
      </c>
      <c r="J70" s="487" t="s">
        <v>3857</v>
      </c>
      <c r="K70" s="487" t="s">
        <v>3857</v>
      </c>
      <c r="L70" s="487" t="s">
        <v>3857</v>
      </c>
      <c r="M70" s="487" t="s">
        <v>3857</v>
      </c>
      <c r="N70" s="487" t="s">
        <v>3857</v>
      </c>
      <c r="O70" s="487" t="s">
        <v>3857</v>
      </c>
      <c r="P70" s="487" t="s">
        <v>3857</v>
      </c>
      <c r="Q70" s="487" t="s">
        <v>3857</v>
      </c>
      <c r="R70" s="487" t="s">
        <v>3857</v>
      </c>
    </row>
    <row r="71" spans="2:18">
      <c r="B71" s="493"/>
      <c r="C71" s="475" t="s">
        <v>3160</v>
      </c>
      <c r="D71" s="477">
        <v>40</v>
      </c>
      <c r="E71" s="477">
        <v>53.064500000000002</v>
      </c>
      <c r="F71" s="477">
        <v>67.809100000000001</v>
      </c>
      <c r="G71" s="477">
        <v>2.3521999999999998</v>
      </c>
      <c r="H71" s="477">
        <v>0.27496300000000001</v>
      </c>
      <c r="I71" s="496" t="s">
        <v>3857</v>
      </c>
      <c r="J71" s="487" t="s">
        <v>3857</v>
      </c>
      <c r="K71" s="487" t="s">
        <v>3857</v>
      </c>
      <c r="L71" s="487" t="s">
        <v>3857</v>
      </c>
      <c r="M71" s="487" t="s">
        <v>3857</v>
      </c>
      <c r="N71" s="487" t="s">
        <v>3857</v>
      </c>
      <c r="O71" s="487" t="s">
        <v>3857</v>
      </c>
      <c r="P71" s="487" t="s">
        <v>3857</v>
      </c>
      <c r="Q71" s="487" t="s">
        <v>3857</v>
      </c>
      <c r="R71" s="487" t="s">
        <v>3857</v>
      </c>
    </row>
    <row r="72" spans="2:18">
      <c r="B72" s="493"/>
      <c r="C72" s="475" t="s">
        <v>3154</v>
      </c>
      <c r="D72" s="477">
        <v>40</v>
      </c>
      <c r="E72" s="477">
        <v>52.068399999999997</v>
      </c>
      <c r="F72" s="477">
        <v>65.051299999999998</v>
      </c>
      <c r="G72" s="477">
        <v>2.3376999999999999</v>
      </c>
      <c r="H72" s="477">
        <v>0.26140400000000003</v>
      </c>
      <c r="I72" s="496" t="s">
        <v>3857</v>
      </c>
      <c r="J72" s="487" t="s">
        <v>3857</v>
      </c>
      <c r="K72" s="487" t="s">
        <v>3857</v>
      </c>
      <c r="L72" s="487" t="s">
        <v>3857</v>
      </c>
      <c r="M72" s="487" t="s">
        <v>3857</v>
      </c>
      <c r="N72" s="487" t="s">
        <v>3857</v>
      </c>
      <c r="O72" s="487" t="s">
        <v>3857</v>
      </c>
      <c r="P72" s="487" t="s">
        <v>3857</v>
      </c>
      <c r="Q72" s="487" t="s">
        <v>3857</v>
      </c>
      <c r="R72" s="487" t="s">
        <v>3857</v>
      </c>
    </row>
    <row r="73" spans="2:18">
      <c r="B73" s="493"/>
      <c r="C73" s="475" t="s">
        <v>3148</v>
      </c>
      <c r="D73" s="477">
        <v>40</v>
      </c>
      <c r="E73" s="477">
        <v>52.040300000000002</v>
      </c>
      <c r="F73" s="477">
        <v>67.456100000000006</v>
      </c>
      <c r="G73" s="477">
        <v>2.3157000000000001</v>
      </c>
      <c r="H73" s="477">
        <v>0.25225700000000001</v>
      </c>
      <c r="I73" s="496" t="s">
        <v>3857</v>
      </c>
      <c r="J73" s="487" t="s">
        <v>3857</v>
      </c>
      <c r="K73" s="487" t="s">
        <v>3857</v>
      </c>
      <c r="L73" s="487" t="s">
        <v>3857</v>
      </c>
      <c r="M73" s="487" t="s">
        <v>3857</v>
      </c>
      <c r="N73" s="487" t="s">
        <v>3857</v>
      </c>
      <c r="O73" s="487" t="s">
        <v>3857</v>
      </c>
      <c r="P73" s="487" t="s">
        <v>3857</v>
      </c>
      <c r="Q73" s="487" t="s">
        <v>3857</v>
      </c>
      <c r="R73" s="487" t="s">
        <v>3857</v>
      </c>
    </row>
    <row r="74" spans="2:18">
      <c r="B74" s="493"/>
      <c r="C74" s="475" t="s">
        <v>114</v>
      </c>
      <c r="D74" s="477">
        <v>40</v>
      </c>
      <c r="E74" s="477">
        <v>52.758299999999998</v>
      </c>
      <c r="F74" s="477">
        <v>67.124700000000004</v>
      </c>
      <c r="G74" s="477">
        <v>2.3096999999999999</v>
      </c>
      <c r="H74" s="477">
        <v>0.26077099999999998</v>
      </c>
      <c r="I74" s="496" t="s">
        <v>3857</v>
      </c>
      <c r="J74" s="487" t="s">
        <v>3857</v>
      </c>
      <c r="K74" s="487" t="s">
        <v>3857</v>
      </c>
      <c r="L74" s="487" t="s">
        <v>3857</v>
      </c>
      <c r="M74" s="487" t="s">
        <v>3857</v>
      </c>
      <c r="N74" s="487" t="s">
        <v>3857</v>
      </c>
      <c r="O74" s="487" t="s">
        <v>3857</v>
      </c>
      <c r="P74" s="487" t="s">
        <v>3857</v>
      </c>
      <c r="Q74" s="487" t="s">
        <v>3857</v>
      </c>
      <c r="R74" s="487" t="s">
        <v>3857</v>
      </c>
    </row>
    <row r="75" spans="2:18">
      <c r="B75" s="493"/>
      <c r="C75" s="475" t="s">
        <v>3135</v>
      </c>
      <c r="D75" s="477">
        <v>40</v>
      </c>
      <c r="E75" s="477">
        <v>52.579000000000001</v>
      </c>
      <c r="F75" s="477">
        <v>68.3125</v>
      </c>
      <c r="G75" s="477">
        <v>2.2963</v>
      </c>
      <c r="H75" s="477">
        <v>0.26013500000000001</v>
      </c>
      <c r="I75" s="496" t="s">
        <v>3857</v>
      </c>
      <c r="J75" s="487" t="s">
        <v>3857</v>
      </c>
      <c r="K75" s="487" t="s">
        <v>3857</v>
      </c>
      <c r="L75" s="487" t="s">
        <v>3857</v>
      </c>
      <c r="M75" s="487" t="s">
        <v>3857</v>
      </c>
      <c r="N75" s="487" t="s">
        <v>3857</v>
      </c>
      <c r="O75" s="487" t="s">
        <v>3857</v>
      </c>
      <c r="P75" s="487" t="s">
        <v>3857</v>
      </c>
      <c r="Q75" s="487" t="s">
        <v>3857</v>
      </c>
      <c r="R75" s="487" t="s">
        <v>3857</v>
      </c>
    </row>
    <row r="76" spans="2:18">
      <c r="B76" s="493"/>
      <c r="C76" s="475" t="s">
        <v>3125</v>
      </c>
      <c r="D76" s="477">
        <v>40</v>
      </c>
      <c r="E76" s="477">
        <v>53.812600000000003</v>
      </c>
      <c r="F76" s="477">
        <v>72.251900000000006</v>
      </c>
      <c r="G76" s="477">
        <v>2.2968999999999999</v>
      </c>
      <c r="H76" s="477">
        <v>0.26818900000000001</v>
      </c>
      <c r="I76" s="496" t="s">
        <v>3857</v>
      </c>
      <c r="J76" s="487" t="s">
        <v>3857</v>
      </c>
      <c r="K76" s="487" t="s">
        <v>3857</v>
      </c>
      <c r="L76" s="487" t="s">
        <v>3857</v>
      </c>
      <c r="M76" s="487" t="s">
        <v>3857</v>
      </c>
      <c r="N76" s="487" t="s">
        <v>3857</v>
      </c>
      <c r="O76" s="487" t="s">
        <v>3857</v>
      </c>
      <c r="P76" s="487" t="s">
        <v>3857</v>
      </c>
      <c r="Q76" s="487" t="s">
        <v>3857</v>
      </c>
      <c r="R76" s="487" t="s">
        <v>3857</v>
      </c>
    </row>
    <row r="77" spans="2:18">
      <c r="B77" s="493"/>
      <c r="C77" s="475" t="s">
        <v>3117</v>
      </c>
      <c r="D77" s="477">
        <v>39.981400000000001</v>
      </c>
      <c r="E77" s="477">
        <v>55.078099999999999</v>
      </c>
      <c r="F77" s="477">
        <v>76.019499999999994</v>
      </c>
      <c r="G77" s="477">
        <v>2.3056999999999999</v>
      </c>
      <c r="H77" s="477">
        <v>0.27148099999999997</v>
      </c>
      <c r="I77" s="496" t="s">
        <v>3857</v>
      </c>
      <c r="J77" s="487" t="s">
        <v>3857</v>
      </c>
      <c r="K77" s="487" t="s">
        <v>3857</v>
      </c>
      <c r="L77" s="487" t="s">
        <v>3857</v>
      </c>
      <c r="M77" s="487" t="s">
        <v>3857</v>
      </c>
      <c r="N77" s="487" t="s">
        <v>3857</v>
      </c>
      <c r="O77" s="487" t="s">
        <v>3857</v>
      </c>
      <c r="P77" s="487" t="s">
        <v>3857</v>
      </c>
      <c r="Q77" s="487" t="s">
        <v>3857</v>
      </c>
      <c r="R77" s="487" t="s">
        <v>3857</v>
      </c>
    </row>
    <row r="78" spans="2:18">
      <c r="B78" s="493"/>
      <c r="C78" s="475" t="s">
        <v>3113</v>
      </c>
      <c r="D78" s="477">
        <v>39.933900000000001</v>
      </c>
      <c r="E78" s="477">
        <v>55.552900000000001</v>
      </c>
      <c r="F78" s="477">
        <v>75.215500000000006</v>
      </c>
      <c r="G78" s="477">
        <v>2.2372000000000001</v>
      </c>
      <c r="H78" s="477">
        <v>0.28806900000000002</v>
      </c>
      <c r="I78" s="496" t="s">
        <v>3857</v>
      </c>
      <c r="J78" s="487" t="s">
        <v>3857</v>
      </c>
      <c r="K78" s="487" t="s">
        <v>3857</v>
      </c>
      <c r="L78" s="487" t="s">
        <v>3857</v>
      </c>
      <c r="M78" s="487" t="s">
        <v>3857</v>
      </c>
      <c r="N78" s="487" t="s">
        <v>3857</v>
      </c>
      <c r="O78" s="487" t="s">
        <v>3857</v>
      </c>
      <c r="P78" s="487" t="s">
        <v>3857</v>
      </c>
      <c r="Q78" s="487" t="s">
        <v>3857</v>
      </c>
      <c r="R78" s="487" t="s">
        <v>3857</v>
      </c>
    </row>
    <row r="79" spans="2:18">
      <c r="B79" s="493"/>
      <c r="C79" s="475" t="s">
        <v>3104</v>
      </c>
      <c r="D79" s="477">
        <v>40.275500000000001</v>
      </c>
      <c r="E79" s="477">
        <v>57.618200000000002</v>
      </c>
      <c r="F79" s="477">
        <v>78.519000000000005</v>
      </c>
      <c r="G79" s="477">
        <v>2.2269999999999999</v>
      </c>
      <c r="H79" s="477">
        <v>0.31167099999999998</v>
      </c>
      <c r="I79" s="496" t="s">
        <v>3857</v>
      </c>
      <c r="J79" s="487" t="s">
        <v>3857</v>
      </c>
      <c r="K79" s="487" t="s">
        <v>3857</v>
      </c>
      <c r="L79" s="487" t="s">
        <v>3857</v>
      </c>
      <c r="M79" s="487" t="s">
        <v>3857</v>
      </c>
      <c r="N79" s="487" t="s">
        <v>3857</v>
      </c>
      <c r="O79" s="487" t="s">
        <v>3857</v>
      </c>
      <c r="P79" s="487" t="s">
        <v>3857</v>
      </c>
      <c r="Q79" s="487" t="s">
        <v>3857</v>
      </c>
      <c r="R79" s="487" t="s">
        <v>3857</v>
      </c>
    </row>
    <row r="80" spans="2:18">
      <c r="B80" s="493"/>
      <c r="C80" s="475" t="s">
        <v>3099</v>
      </c>
      <c r="D80" s="477">
        <v>40.336199999999998</v>
      </c>
      <c r="E80" s="477">
        <v>58.301900000000003</v>
      </c>
      <c r="F80" s="477">
        <v>79.217600000000004</v>
      </c>
      <c r="G80" s="477">
        <v>2.2319</v>
      </c>
      <c r="H80" s="477">
        <v>0.31345099999999998</v>
      </c>
      <c r="I80" s="496" t="s">
        <v>3857</v>
      </c>
      <c r="J80" s="487" t="s">
        <v>3857</v>
      </c>
      <c r="K80" s="487" t="s">
        <v>3857</v>
      </c>
      <c r="L80" s="487" t="s">
        <v>3857</v>
      </c>
      <c r="M80" s="487" t="s">
        <v>3857</v>
      </c>
      <c r="N80" s="487" t="s">
        <v>3857</v>
      </c>
      <c r="O80" s="487" t="s">
        <v>3857</v>
      </c>
      <c r="P80" s="487" t="s">
        <v>3857</v>
      </c>
      <c r="Q80" s="487" t="s">
        <v>3857</v>
      </c>
      <c r="R80" s="487" t="s">
        <v>3857</v>
      </c>
    </row>
    <row r="81" spans="2:18">
      <c r="B81" s="493"/>
      <c r="C81" s="475" t="s">
        <v>3094</v>
      </c>
      <c r="D81" s="477">
        <v>40.228299999999997</v>
      </c>
      <c r="E81" s="477">
        <v>57.469799999999999</v>
      </c>
      <c r="F81" s="477">
        <v>77.524799999999999</v>
      </c>
      <c r="G81" s="477">
        <v>2.2218</v>
      </c>
      <c r="H81" s="477">
        <v>0.30166700000000002</v>
      </c>
      <c r="I81" s="496" t="s">
        <v>3857</v>
      </c>
      <c r="J81" s="487" t="s">
        <v>3857</v>
      </c>
      <c r="K81" s="487" t="s">
        <v>3857</v>
      </c>
      <c r="L81" s="487" t="s">
        <v>3857</v>
      </c>
      <c r="M81" s="487" t="s">
        <v>3857</v>
      </c>
      <c r="N81" s="487" t="s">
        <v>3857</v>
      </c>
      <c r="O81" s="487" t="s">
        <v>3857</v>
      </c>
      <c r="P81" s="487" t="s">
        <v>3857</v>
      </c>
      <c r="Q81" s="487" t="s">
        <v>3857</v>
      </c>
      <c r="R81" s="487" t="s">
        <v>3857</v>
      </c>
    </row>
    <row r="82" spans="2:18" ht="13.8" thickBot="1">
      <c r="B82" s="523"/>
      <c r="C82" s="522"/>
      <c r="D82" s="477"/>
      <c r="E82" s="477"/>
      <c r="F82" s="477"/>
      <c r="G82" s="477"/>
      <c r="H82" s="477"/>
      <c r="I82" s="496"/>
      <c r="J82" s="487"/>
      <c r="K82" s="487"/>
      <c r="L82" s="487"/>
      <c r="M82" s="487"/>
      <c r="N82" s="487"/>
      <c r="O82" s="487"/>
      <c r="P82" s="487"/>
      <c r="Q82" s="487"/>
      <c r="R82" s="487"/>
    </row>
    <row r="83" spans="2:18" s="464" customFormat="1" ht="13.8" thickBot="1">
      <c r="B83" s="516" t="s">
        <v>3856</v>
      </c>
      <c r="C83" s="519"/>
      <c r="D83" s="517">
        <v>40.062941666666667</v>
      </c>
      <c r="E83" s="518">
        <v>54.421583333333331</v>
      </c>
      <c r="F83" s="517">
        <v>71.694333333333333</v>
      </c>
      <c r="G83" s="517">
        <v>2.2907500000000005</v>
      </c>
      <c r="H83" s="517">
        <v>0.27833275000000007</v>
      </c>
      <c r="I83" s="513" t="s">
        <v>3857</v>
      </c>
      <c r="J83" s="512" t="s">
        <v>3857</v>
      </c>
      <c r="K83" s="512" t="s">
        <v>3857</v>
      </c>
      <c r="L83" s="512" t="s">
        <v>3857</v>
      </c>
      <c r="M83" s="512" t="s">
        <v>3857</v>
      </c>
      <c r="N83" s="512" t="s">
        <v>3857</v>
      </c>
      <c r="O83" s="512" t="s">
        <v>3857</v>
      </c>
      <c r="P83" s="512" t="s">
        <v>3857</v>
      </c>
      <c r="Q83" s="512" t="s">
        <v>3857</v>
      </c>
      <c r="R83" s="512" t="s">
        <v>3857</v>
      </c>
    </row>
    <row r="84" spans="2:18">
      <c r="B84" s="493"/>
      <c r="C84" s="475"/>
      <c r="D84" s="511"/>
      <c r="E84" s="511"/>
      <c r="F84" s="511"/>
      <c r="G84" s="511"/>
      <c r="H84" s="511"/>
      <c r="I84" s="496"/>
      <c r="J84" s="487"/>
      <c r="K84" s="487"/>
      <c r="L84" s="487"/>
      <c r="M84" s="487"/>
      <c r="N84" s="487"/>
      <c r="O84" s="487"/>
      <c r="P84" s="487"/>
      <c r="Q84" s="487"/>
      <c r="R84" s="487"/>
    </row>
    <row r="85" spans="2:18">
      <c r="B85" s="493">
        <v>1991</v>
      </c>
      <c r="C85" s="475" t="s">
        <v>3165</v>
      </c>
      <c r="D85" s="477">
        <v>40.272100000000002</v>
      </c>
      <c r="E85" s="477">
        <v>57.340600000000002</v>
      </c>
      <c r="F85" s="477">
        <v>77.783699999999996</v>
      </c>
      <c r="G85" s="477">
        <v>2.2035</v>
      </c>
      <c r="H85" s="477">
        <v>0.30046800000000001</v>
      </c>
      <c r="I85" s="496" t="s">
        <v>3857</v>
      </c>
      <c r="J85" s="487" t="s">
        <v>3857</v>
      </c>
      <c r="K85" s="487" t="s">
        <v>3857</v>
      </c>
      <c r="L85" s="487" t="s">
        <v>3857</v>
      </c>
      <c r="M85" s="487" t="s">
        <v>3857</v>
      </c>
      <c r="N85" s="487" t="s">
        <v>3857</v>
      </c>
      <c r="O85" s="487" t="s">
        <v>3857</v>
      </c>
      <c r="P85" s="487" t="s">
        <v>3857</v>
      </c>
      <c r="Q85" s="487" t="s">
        <v>3857</v>
      </c>
      <c r="R85" s="487" t="s">
        <v>3857</v>
      </c>
    </row>
    <row r="86" spans="2:18">
      <c r="B86" s="493"/>
      <c r="C86" s="475" t="s">
        <v>3160</v>
      </c>
      <c r="D86" s="477">
        <v>40.564100000000003</v>
      </c>
      <c r="E86" s="477">
        <v>58.438899999999997</v>
      </c>
      <c r="F86" s="477">
        <v>79.8172</v>
      </c>
      <c r="G86" s="477">
        <v>2.1551999999999998</v>
      </c>
      <c r="H86" s="477">
        <v>0.31110599999999999</v>
      </c>
      <c r="I86" s="496" t="s">
        <v>3857</v>
      </c>
      <c r="J86" s="487" t="s">
        <v>3857</v>
      </c>
      <c r="K86" s="487" t="s">
        <v>3857</v>
      </c>
      <c r="L86" s="487" t="s">
        <v>3857</v>
      </c>
      <c r="M86" s="487" t="s">
        <v>3857</v>
      </c>
      <c r="N86" s="487" t="s">
        <v>3857</v>
      </c>
      <c r="O86" s="487" t="s">
        <v>3857</v>
      </c>
      <c r="P86" s="487" t="s">
        <v>3857</v>
      </c>
      <c r="Q86" s="487" t="s">
        <v>3857</v>
      </c>
      <c r="R86" s="487" t="s">
        <v>3857</v>
      </c>
    </row>
    <row r="87" spans="2:18">
      <c r="B87" s="493"/>
      <c r="C87" s="475" t="s">
        <v>3154</v>
      </c>
      <c r="D87" s="477">
        <v>40.728900000000003</v>
      </c>
      <c r="E87" s="477">
        <v>56.322099999999999</v>
      </c>
      <c r="F87" s="477">
        <v>74.546499999999995</v>
      </c>
      <c r="G87" s="477">
        <v>2.1202000000000001</v>
      </c>
      <c r="H87" s="477">
        <v>0.29721900000000001</v>
      </c>
      <c r="I87" s="496" t="s">
        <v>3857</v>
      </c>
      <c r="J87" s="487" t="s">
        <v>3857</v>
      </c>
      <c r="K87" s="487" t="s">
        <v>3857</v>
      </c>
      <c r="L87" s="487" t="s">
        <v>3857</v>
      </c>
      <c r="M87" s="487" t="s">
        <v>3857</v>
      </c>
      <c r="N87" s="487" t="s">
        <v>3857</v>
      </c>
      <c r="O87" s="487" t="s">
        <v>3857</v>
      </c>
      <c r="P87" s="487" t="s">
        <v>3857</v>
      </c>
      <c r="Q87" s="487" t="s">
        <v>3857</v>
      </c>
      <c r="R87" s="487" t="s">
        <v>3857</v>
      </c>
    </row>
    <row r="88" spans="2:18">
      <c r="B88" s="493"/>
      <c r="C88" s="475" t="s">
        <v>3148</v>
      </c>
      <c r="D88" s="477">
        <v>40.807499999999997</v>
      </c>
      <c r="E88" s="477">
        <v>55.089599999999997</v>
      </c>
      <c r="F88" s="477">
        <v>71.206000000000003</v>
      </c>
      <c r="G88" s="477">
        <v>2.0516000000000001</v>
      </c>
      <c r="H88" s="477">
        <v>0.29703600000000002</v>
      </c>
      <c r="I88" s="496" t="s">
        <v>3857</v>
      </c>
      <c r="J88" s="487" t="s">
        <v>3857</v>
      </c>
      <c r="K88" s="487" t="s">
        <v>3857</v>
      </c>
      <c r="L88" s="487" t="s">
        <v>3857</v>
      </c>
      <c r="M88" s="487" t="s">
        <v>3857</v>
      </c>
      <c r="N88" s="487" t="s">
        <v>3857</v>
      </c>
      <c r="O88" s="487" t="s">
        <v>3857</v>
      </c>
      <c r="P88" s="487" t="s">
        <v>3857</v>
      </c>
      <c r="Q88" s="487" t="s">
        <v>3857</v>
      </c>
      <c r="R88" s="487" t="s">
        <v>3857</v>
      </c>
    </row>
    <row r="89" spans="2:18">
      <c r="B89" s="493"/>
      <c r="C89" s="475" t="s">
        <v>114</v>
      </c>
      <c r="D89" s="477">
        <v>40.976799999999997</v>
      </c>
      <c r="E89" s="477">
        <v>55.028799999999997</v>
      </c>
      <c r="F89" s="477">
        <v>70.715299999999999</v>
      </c>
      <c r="G89" s="477">
        <v>2.0007999999999999</v>
      </c>
      <c r="H89" s="477">
        <v>0.296709</v>
      </c>
      <c r="I89" s="496" t="s">
        <v>3857</v>
      </c>
      <c r="J89" s="487" t="s">
        <v>3857</v>
      </c>
      <c r="K89" s="487" t="s">
        <v>3857</v>
      </c>
      <c r="L89" s="487" t="s">
        <v>3857</v>
      </c>
      <c r="M89" s="487" t="s">
        <v>3857</v>
      </c>
      <c r="N89" s="487" t="s">
        <v>3857</v>
      </c>
      <c r="O89" s="487" t="s">
        <v>3857</v>
      </c>
      <c r="P89" s="487" t="s">
        <v>3857</v>
      </c>
      <c r="Q89" s="487" t="s">
        <v>3857</v>
      </c>
      <c r="R89" s="487" t="s">
        <v>3857</v>
      </c>
    </row>
    <row r="90" spans="2:18">
      <c r="B90" s="493"/>
      <c r="C90" s="475" t="s">
        <v>3135</v>
      </c>
      <c r="D90" s="477">
        <v>41.194200000000002</v>
      </c>
      <c r="E90" s="477">
        <v>54.3538</v>
      </c>
      <c r="F90" s="477">
        <v>68.053899999999999</v>
      </c>
      <c r="G90" s="477">
        <v>1.8527</v>
      </c>
      <c r="H90" s="477">
        <v>0.29444900000000002</v>
      </c>
      <c r="I90" s="496" t="s">
        <v>3857</v>
      </c>
      <c r="J90" s="487" t="s">
        <v>3857</v>
      </c>
      <c r="K90" s="487" t="s">
        <v>3857</v>
      </c>
      <c r="L90" s="487" t="s">
        <v>3857</v>
      </c>
      <c r="M90" s="487" t="s">
        <v>3857</v>
      </c>
      <c r="N90" s="487" t="s">
        <v>3857</v>
      </c>
      <c r="O90" s="487" t="s">
        <v>3857</v>
      </c>
      <c r="P90" s="487" t="s">
        <v>3857</v>
      </c>
      <c r="Q90" s="487" t="s">
        <v>3857</v>
      </c>
      <c r="R90" s="487" t="s">
        <v>3857</v>
      </c>
    </row>
    <row r="91" spans="2:18">
      <c r="B91" s="493"/>
      <c r="C91" s="475" t="s">
        <v>3125</v>
      </c>
      <c r="D91" s="477">
        <v>41.231400000000001</v>
      </c>
      <c r="E91" s="477">
        <v>54.472499999999997</v>
      </c>
      <c r="F91" s="477">
        <v>67.752300000000005</v>
      </c>
      <c r="G91" s="477">
        <v>1.6286</v>
      </c>
      <c r="H91" s="477">
        <v>0.298817</v>
      </c>
      <c r="I91" s="496" t="s">
        <v>3857</v>
      </c>
      <c r="J91" s="487" t="s">
        <v>3857</v>
      </c>
      <c r="K91" s="487" t="s">
        <v>3857</v>
      </c>
      <c r="L91" s="487" t="s">
        <v>3857</v>
      </c>
      <c r="M91" s="487" t="s">
        <v>3857</v>
      </c>
      <c r="N91" s="487" t="s">
        <v>3857</v>
      </c>
      <c r="O91" s="487" t="s">
        <v>3857</v>
      </c>
      <c r="P91" s="487" t="s">
        <v>3857</v>
      </c>
      <c r="Q91" s="487" t="s">
        <v>3857</v>
      </c>
      <c r="R91" s="487" t="s">
        <v>3857</v>
      </c>
    </row>
    <row r="92" spans="2:18">
      <c r="B92" s="493"/>
      <c r="C92" s="475" t="s">
        <v>3117</v>
      </c>
      <c r="D92" s="477">
        <v>41.739100000000001</v>
      </c>
      <c r="E92" s="477">
        <v>55.751199999999997</v>
      </c>
      <c r="F92" s="477">
        <v>70.281499999999994</v>
      </c>
      <c r="G92" s="477">
        <v>1.6152</v>
      </c>
      <c r="H92" s="477">
        <v>0.30505700000000002</v>
      </c>
      <c r="I92" s="496" t="s">
        <v>3857</v>
      </c>
      <c r="J92" s="487" t="s">
        <v>3857</v>
      </c>
      <c r="K92" s="487" t="s">
        <v>3857</v>
      </c>
      <c r="L92" s="487" t="s">
        <v>3857</v>
      </c>
      <c r="M92" s="487" t="s">
        <v>3857</v>
      </c>
      <c r="N92" s="487" t="s">
        <v>3857</v>
      </c>
      <c r="O92" s="487" t="s">
        <v>3857</v>
      </c>
      <c r="P92" s="487" t="s">
        <v>3857</v>
      </c>
      <c r="Q92" s="487" t="s">
        <v>3857</v>
      </c>
      <c r="R92" s="487" t="s">
        <v>3857</v>
      </c>
    </row>
    <row r="93" spans="2:18">
      <c r="B93" s="493"/>
      <c r="C93" s="475" t="s">
        <v>3113</v>
      </c>
      <c r="D93" s="477">
        <v>41.912100000000002</v>
      </c>
      <c r="E93" s="477">
        <v>56.627099999999999</v>
      </c>
      <c r="F93" s="477">
        <v>72.137299999999996</v>
      </c>
      <c r="G93" s="477">
        <v>1.619</v>
      </c>
      <c r="H93" s="477">
        <v>0.311274</v>
      </c>
      <c r="I93" s="496" t="s">
        <v>3857</v>
      </c>
      <c r="J93" s="487" t="s">
        <v>3857</v>
      </c>
      <c r="K93" s="487" t="s">
        <v>3857</v>
      </c>
      <c r="L93" s="487" t="s">
        <v>3857</v>
      </c>
      <c r="M93" s="487" t="s">
        <v>3857</v>
      </c>
      <c r="N93" s="487" t="s">
        <v>3857</v>
      </c>
      <c r="O93" s="487" t="s">
        <v>3857</v>
      </c>
      <c r="P93" s="487" t="s">
        <v>3857</v>
      </c>
      <c r="Q93" s="487" t="s">
        <v>3857</v>
      </c>
      <c r="R93" s="487" t="s">
        <v>3857</v>
      </c>
    </row>
    <row r="94" spans="2:18">
      <c r="B94" s="493"/>
      <c r="C94" s="475" t="s">
        <v>3104</v>
      </c>
      <c r="D94" s="477">
        <v>42.153599999999997</v>
      </c>
      <c r="E94" s="477">
        <v>57.421199999999999</v>
      </c>
      <c r="F94" s="477">
        <v>72.577100000000002</v>
      </c>
      <c r="G94" s="477">
        <v>1.6284000000000001</v>
      </c>
      <c r="H94" s="477">
        <v>0.32250899999999999</v>
      </c>
      <c r="I94" s="496" t="s">
        <v>3857</v>
      </c>
      <c r="J94" s="487" t="s">
        <v>3857</v>
      </c>
      <c r="K94" s="487" t="s">
        <v>3857</v>
      </c>
      <c r="L94" s="487" t="s">
        <v>3857</v>
      </c>
      <c r="M94" s="487" t="s">
        <v>3857</v>
      </c>
      <c r="N94" s="487" t="s">
        <v>3857</v>
      </c>
      <c r="O94" s="487" t="s">
        <v>3857</v>
      </c>
      <c r="P94" s="487" t="s">
        <v>3857</v>
      </c>
      <c r="Q94" s="487" t="s">
        <v>3857</v>
      </c>
      <c r="R94" s="487" t="s">
        <v>3857</v>
      </c>
    </row>
    <row r="95" spans="2:18">
      <c r="B95" s="493"/>
      <c r="C95" s="475" t="s">
        <v>3099</v>
      </c>
      <c r="D95" s="477">
        <v>42.364699999999999</v>
      </c>
      <c r="E95" s="477">
        <v>58.670299999999997</v>
      </c>
      <c r="F95" s="477">
        <v>75.271299999999997</v>
      </c>
      <c r="G95" s="477">
        <v>1.6356999999999999</v>
      </c>
      <c r="H95" s="477">
        <v>0.32656800000000002</v>
      </c>
      <c r="I95" s="496" t="s">
        <v>3857</v>
      </c>
      <c r="J95" s="487" t="s">
        <v>3857</v>
      </c>
      <c r="K95" s="487" t="s">
        <v>3857</v>
      </c>
      <c r="L95" s="487" t="s">
        <v>3857</v>
      </c>
      <c r="M95" s="487" t="s">
        <v>3857</v>
      </c>
      <c r="N95" s="487" t="s">
        <v>3857</v>
      </c>
      <c r="O95" s="487" t="s">
        <v>3857</v>
      </c>
      <c r="P95" s="487" t="s">
        <v>3857</v>
      </c>
      <c r="Q95" s="487" t="s">
        <v>3857</v>
      </c>
      <c r="R95" s="487" t="s">
        <v>3857</v>
      </c>
    </row>
    <row r="96" spans="2:18">
      <c r="B96" s="493"/>
      <c r="C96" s="475" t="s">
        <v>3094</v>
      </c>
      <c r="D96" s="477">
        <v>42.512599999999999</v>
      </c>
      <c r="E96" s="477">
        <v>59.805100000000003</v>
      </c>
      <c r="F96" s="477">
        <v>77.4953</v>
      </c>
      <c r="G96" s="477">
        <v>1.643</v>
      </c>
      <c r="H96" s="477">
        <v>0.33149899999999999</v>
      </c>
      <c r="I96" s="496" t="s">
        <v>3857</v>
      </c>
      <c r="J96" s="487" t="s">
        <v>3857</v>
      </c>
      <c r="K96" s="487" t="s">
        <v>3857</v>
      </c>
      <c r="L96" s="487" t="s">
        <v>3857</v>
      </c>
      <c r="M96" s="487" t="s">
        <v>3857</v>
      </c>
      <c r="N96" s="487" t="s">
        <v>3857</v>
      </c>
      <c r="O96" s="487" t="s">
        <v>3857</v>
      </c>
      <c r="P96" s="487" t="s">
        <v>3857</v>
      </c>
      <c r="Q96" s="487" t="s">
        <v>3857</v>
      </c>
      <c r="R96" s="487" t="s">
        <v>3857</v>
      </c>
    </row>
    <row r="97" spans="2:18" ht="13.8" thickBot="1">
      <c r="B97" s="523"/>
      <c r="C97" s="522"/>
      <c r="D97" s="477"/>
      <c r="E97" s="477"/>
      <c r="F97" s="477"/>
      <c r="G97" s="477"/>
      <c r="H97" s="477"/>
      <c r="I97" s="496"/>
      <c r="J97" s="487"/>
      <c r="K97" s="487"/>
      <c r="L97" s="487"/>
      <c r="M97" s="487"/>
      <c r="N97" s="487"/>
      <c r="O97" s="487"/>
      <c r="P97" s="487"/>
      <c r="Q97" s="487"/>
      <c r="R97" s="487"/>
    </row>
    <row r="98" spans="2:18" s="464" customFormat="1" ht="13.8" thickBot="1">
      <c r="B98" s="516" t="s">
        <v>3856</v>
      </c>
      <c r="C98" s="519"/>
      <c r="D98" s="517">
        <v>41.371424999999995</v>
      </c>
      <c r="E98" s="518">
        <v>56.610099999999996</v>
      </c>
      <c r="F98" s="517">
        <v>73.136450000000011</v>
      </c>
      <c r="G98" s="517">
        <v>1.8461583333333333</v>
      </c>
      <c r="H98" s="517">
        <v>0.30772591666666665</v>
      </c>
      <c r="I98" s="513" t="s">
        <v>3857</v>
      </c>
      <c r="J98" s="512" t="s">
        <v>3857</v>
      </c>
      <c r="K98" s="512" t="s">
        <v>3857</v>
      </c>
      <c r="L98" s="512" t="s">
        <v>3857</v>
      </c>
      <c r="M98" s="512" t="s">
        <v>3857</v>
      </c>
      <c r="N98" s="512" t="s">
        <v>3857</v>
      </c>
      <c r="O98" s="512" t="s">
        <v>3857</v>
      </c>
      <c r="P98" s="512" t="s">
        <v>3857</v>
      </c>
      <c r="Q98" s="512" t="s">
        <v>3857</v>
      </c>
      <c r="R98" s="512" t="s">
        <v>3857</v>
      </c>
    </row>
    <row r="99" spans="2:18">
      <c r="B99" s="493"/>
      <c r="C99" s="475"/>
      <c r="D99" s="511"/>
      <c r="E99" s="511"/>
      <c r="F99" s="511"/>
      <c r="G99" s="511"/>
      <c r="H99" s="511"/>
      <c r="I99" s="496"/>
      <c r="J99" s="487"/>
      <c r="K99" s="487"/>
      <c r="L99" s="487"/>
      <c r="M99" s="487"/>
      <c r="N99" s="487"/>
      <c r="O99" s="487"/>
      <c r="P99" s="487"/>
      <c r="Q99" s="487"/>
      <c r="R99" s="487"/>
    </row>
    <row r="100" spans="2:18">
      <c r="B100" s="493">
        <v>1992</v>
      </c>
      <c r="C100" s="475" t="s">
        <v>3165</v>
      </c>
      <c r="D100" s="477">
        <v>42.648600000000002</v>
      </c>
      <c r="E100" s="477">
        <v>60.189700000000002</v>
      </c>
      <c r="F100" s="477">
        <v>77.513499999999993</v>
      </c>
      <c r="G100" s="477">
        <v>1.6435</v>
      </c>
      <c r="H100" s="477">
        <v>0.34126099999999998</v>
      </c>
      <c r="I100" s="496" t="s">
        <v>3857</v>
      </c>
      <c r="J100" s="487" t="s">
        <v>3857</v>
      </c>
      <c r="K100" s="487" t="s">
        <v>3857</v>
      </c>
      <c r="L100" s="487" t="s">
        <v>3857</v>
      </c>
      <c r="M100" s="487" t="s">
        <v>3857</v>
      </c>
      <c r="N100" s="487" t="s">
        <v>3857</v>
      </c>
      <c r="O100" s="487" t="s">
        <v>3857</v>
      </c>
      <c r="P100" s="487" t="s">
        <v>3857</v>
      </c>
      <c r="Q100" s="487" t="s">
        <v>3857</v>
      </c>
      <c r="R100" s="487" t="s">
        <v>3857</v>
      </c>
    </row>
    <row r="101" spans="2:18">
      <c r="B101" s="493"/>
      <c r="C101" s="475" t="s">
        <v>3160</v>
      </c>
      <c r="D101" s="477">
        <v>42.822800000000001</v>
      </c>
      <c r="E101" s="477">
        <v>59.521000000000001</v>
      </c>
      <c r="F101" s="477">
        <v>76.1815</v>
      </c>
      <c r="G101" s="477">
        <v>1.6493</v>
      </c>
      <c r="H101" s="477">
        <v>0.33591900000000002</v>
      </c>
      <c r="I101" s="496" t="s">
        <v>3857</v>
      </c>
      <c r="J101" s="487" t="s">
        <v>3857</v>
      </c>
      <c r="K101" s="487" t="s">
        <v>3857</v>
      </c>
      <c r="L101" s="487" t="s">
        <v>3857</v>
      </c>
      <c r="M101" s="487" t="s">
        <v>3857</v>
      </c>
      <c r="N101" s="487" t="s">
        <v>3857</v>
      </c>
      <c r="O101" s="487" t="s">
        <v>3857</v>
      </c>
      <c r="P101" s="487" t="s">
        <v>3857</v>
      </c>
      <c r="Q101" s="487" t="s">
        <v>3857</v>
      </c>
      <c r="R101" s="487" t="s">
        <v>3857</v>
      </c>
    </row>
    <row r="102" spans="2:18">
      <c r="B102" s="493"/>
      <c r="C102" s="475" t="s">
        <v>3154</v>
      </c>
      <c r="D102" s="477">
        <v>43.111499999999999</v>
      </c>
      <c r="E102" s="477">
        <v>58.8491</v>
      </c>
      <c r="F102" s="477">
        <v>74.305700000000002</v>
      </c>
      <c r="G102" s="477">
        <v>1.6641999999999999</v>
      </c>
      <c r="H102" s="477">
        <v>0.32450099999999998</v>
      </c>
      <c r="I102" s="496" t="s">
        <v>3857</v>
      </c>
      <c r="J102" s="487" t="s">
        <v>3857</v>
      </c>
      <c r="K102" s="487" t="s">
        <v>3857</v>
      </c>
      <c r="L102" s="487" t="s">
        <v>3857</v>
      </c>
      <c r="M102" s="487" t="s">
        <v>3857</v>
      </c>
      <c r="N102" s="487" t="s">
        <v>3857</v>
      </c>
      <c r="O102" s="487" t="s">
        <v>3857</v>
      </c>
      <c r="P102" s="487" t="s">
        <v>3857</v>
      </c>
      <c r="Q102" s="487" t="s">
        <v>3857</v>
      </c>
      <c r="R102" s="487" t="s">
        <v>3857</v>
      </c>
    </row>
    <row r="103" spans="2:18">
      <c r="B103" s="493"/>
      <c r="C103" s="475" t="s">
        <v>3148</v>
      </c>
      <c r="D103" s="477">
        <v>43.386699999999998</v>
      </c>
      <c r="E103" s="477">
        <v>59.484499999999997</v>
      </c>
      <c r="F103" s="477">
        <v>76.094200000000001</v>
      </c>
      <c r="G103" s="477">
        <v>1.6748000000000001</v>
      </c>
      <c r="H103" s="477">
        <v>0.32489800000000002</v>
      </c>
      <c r="I103" s="496" t="s">
        <v>3857</v>
      </c>
      <c r="J103" s="487" t="s">
        <v>3857</v>
      </c>
      <c r="K103" s="487" t="s">
        <v>3857</v>
      </c>
      <c r="L103" s="487" t="s">
        <v>3857</v>
      </c>
      <c r="M103" s="487" t="s">
        <v>3857</v>
      </c>
      <c r="N103" s="487" t="s">
        <v>3857</v>
      </c>
      <c r="O103" s="487" t="s">
        <v>3857</v>
      </c>
      <c r="P103" s="487" t="s">
        <v>3857</v>
      </c>
      <c r="Q103" s="487" t="s">
        <v>3857</v>
      </c>
      <c r="R103" s="487" t="s">
        <v>3857</v>
      </c>
    </row>
    <row r="104" spans="2:18">
      <c r="B104" s="493"/>
      <c r="C104" s="475" t="s">
        <v>114</v>
      </c>
      <c r="D104" s="477">
        <v>43.612200000000001</v>
      </c>
      <c r="E104" s="477">
        <v>60.530299999999997</v>
      </c>
      <c r="F104" s="477">
        <v>78.868200000000002</v>
      </c>
      <c r="G104" s="477">
        <v>1.6838</v>
      </c>
      <c r="H104" s="477">
        <v>0.33341999999999999</v>
      </c>
      <c r="I104" s="496" t="s">
        <v>3857</v>
      </c>
      <c r="J104" s="487" t="s">
        <v>3857</v>
      </c>
      <c r="K104" s="487" t="s">
        <v>3857</v>
      </c>
      <c r="L104" s="487" t="s">
        <v>3857</v>
      </c>
      <c r="M104" s="487" t="s">
        <v>3857</v>
      </c>
      <c r="N104" s="487" t="s">
        <v>3857</v>
      </c>
      <c r="O104" s="487" t="s">
        <v>3857</v>
      </c>
      <c r="P104" s="487" t="s">
        <v>3857</v>
      </c>
      <c r="Q104" s="487" t="s">
        <v>3857</v>
      </c>
      <c r="R104" s="487" t="s">
        <v>3857</v>
      </c>
    </row>
    <row r="105" spans="2:18">
      <c r="B105" s="493"/>
      <c r="C105" s="475" t="s">
        <v>3135</v>
      </c>
      <c r="D105" s="477">
        <v>43.924500000000002</v>
      </c>
      <c r="E105" s="477">
        <v>61.968299999999999</v>
      </c>
      <c r="F105" s="477">
        <v>81.235399999999998</v>
      </c>
      <c r="G105" s="477">
        <v>1.6955</v>
      </c>
      <c r="H105" s="477">
        <v>0.34609299999999998</v>
      </c>
      <c r="I105" s="496" t="s">
        <v>3857</v>
      </c>
      <c r="J105" s="487" t="s">
        <v>3857</v>
      </c>
      <c r="K105" s="487" t="s">
        <v>3857</v>
      </c>
      <c r="L105" s="487" t="s">
        <v>3857</v>
      </c>
      <c r="M105" s="487" t="s">
        <v>3857</v>
      </c>
      <c r="N105" s="487" t="s">
        <v>3857</v>
      </c>
      <c r="O105" s="487" t="s">
        <v>3857</v>
      </c>
      <c r="P105" s="487" t="s">
        <v>3857</v>
      </c>
      <c r="Q105" s="487" t="s">
        <v>3857</v>
      </c>
      <c r="R105" s="487" t="s">
        <v>3857</v>
      </c>
    </row>
    <row r="106" spans="2:18">
      <c r="B106" s="493"/>
      <c r="C106" s="475" t="s">
        <v>3125</v>
      </c>
      <c r="D106" s="477">
        <v>44.0336</v>
      </c>
      <c r="E106" s="477">
        <v>63.553199999999997</v>
      </c>
      <c r="F106" s="477">
        <v>84.4696</v>
      </c>
      <c r="G106" s="477">
        <v>1.7004999999999999</v>
      </c>
      <c r="H106" s="477">
        <v>0.35039399999999998</v>
      </c>
      <c r="I106" s="496" t="s">
        <v>3857</v>
      </c>
      <c r="J106" s="487" t="s">
        <v>3857</v>
      </c>
      <c r="K106" s="487" t="s">
        <v>3857</v>
      </c>
      <c r="L106" s="487" t="s">
        <v>3857</v>
      </c>
      <c r="M106" s="487" t="s">
        <v>3857</v>
      </c>
      <c r="N106" s="487" t="s">
        <v>3857</v>
      </c>
      <c r="O106" s="487" t="s">
        <v>3857</v>
      </c>
      <c r="P106" s="487" t="s">
        <v>3857</v>
      </c>
      <c r="Q106" s="487" t="s">
        <v>3857</v>
      </c>
      <c r="R106" s="487" t="s">
        <v>3857</v>
      </c>
    </row>
    <row r="107" spans="2:18">
      <c r="B107" s="493"/>
      <c r="C107" s="475" t="s">
        <v>3117</v>
      </c>
      <c r="D107" s="477">
        <v>44.142000000000003</v>
      </c>
      <c r="E107" s="477">
        <v>64.315899999999999</v>
      </c>
      <c r="F107" s="477">
        <v>85.696399999999997</v>
      </c>
      <c r="G107" s="477">
        <v>1.7048000000000001</v>
      </c>
      <c r="H107" s="477">
        <v>0.34965200000000002</v>
      </c>
      <c r="I107" s="496" t="s">
        <v>3857</v>
      </c>
      <c r="J107" s="487" t="s">
        <v>3857</v>
      </c>
      <c r="K107" s="487" t="s">
        <v>3857</v>
      </c>
      <c r="L107" s="487" t="s">
        <v>3857</v>
      </c>
      <c r="M107" s="487" t="s">
        <v>3857</v>
      </c>
      <c r="N107" s="487" t="s">
        <v>3857</v>
      </c>
      <c r="O107" s="487" t="s">
        <v>3857</v>
      </c>
      <c r="P107" s="487" t="s">
        <v>3857</v>
      </c>
      <c r="Q107" s="487" t="s">
        <v>3857</v>
      </c>
      <c r="R107" s="487" t="s">
        <v>3857</v>
      </c>
    </row>
    <row r="108" spans="2:18">
      <c r="B108" s="493"/>
      <c r="C108" s="475" t="s">
        <v>3113</v>
      </c>
      <c r="D108" s="477">
        <v>44.246000000000002</v>
      </c>
      <c r="E108" s="477">
        <v>64.444400000000002</v>
      </c>
      <c r="F108" s="477">
        <v>81.754400000000004</v>
      </c>
      <c r="G108" s="477">
        <v>1.7081999999999999</v>
      </c>
      <c r="H108" s="477">
        <v>0.36093999999999998</v>
      </c>
      <c r="I108" s="496" t="s">
        <v>3857</v>
      </c>
      <c r="J108" s="487" t="s">
        <v>3857</v>
      </c>
      <c r="K108" s="487" t="s">
        <v>3857</v>
      </c>
      <c r="L108" s="487" t="s">
        <v>3857</v>
      </c>
      <c r="M108" s="487" t="s">
        <v>3857</v>
      </c>
      <c r="N108" s="487" t="s">
        <v>3857</v>
      </c>
      <c r="O108" s="487" t="s">
        <v>3857</v>
      </c>
      <c r="P108" s="487" t="s">
        <v>3857</v>
      </c>
      <c r="Q108" s="487" t="s">
        <v>3857</v>
      </c>
      <c r="R108" s="487" t="s">
        <v>3857</v>
      </c>
    </row>
    <row r="109" spans="2:18">
      <c r="B109" s="493"/>
      <c r="C109" s="475" t="s">
        <v>3104</v>
      </c>
      <c r="D109" s="477">
        <v>44.434100000000001</v>
      </c>
      <c r="E109" s="477">
        <v>63.758000000000003</v>
      </c>
      <c r="F109" s="477">
        <v>73.945700000000002</v>
      </c>
      <c r="G109" s="477">
        <v>1.7157</v>
      </c>
      <c r="H109" s="477">
        <v>0.367035</v>
      </c>
      <c r="I109" s="496" t="s">
        <v>3857</v>
      </c>
      <c r="J109" s="487" t="s">
        <v>3857</v>
      </c>
      <c r="K109" s="487" t="s">
        <v>3857</v>
      </c>
      <c r="L109" s="487" t="s">
        <v>3857</v>
      </c>
      <c r="M109" s="487" t="s">
        <v>3857</v>
      </c>
      <c r="N109" s="487" t="s">
        <v>3857</v>
      </c>
      <c r="O109" s="487" t="s">
        <v>3857</v>
      </c>
      <c r="P109" s="487" t="s">
        <v>3857</v>
      </c>
      <c r="Q109" s="487" t="s">
        <v>3857</v>
      </c>
      <c r="R109" s="487" t="s">
        <v>3857</v>
      </c>
    </row>
    <row r="110" spans="2:18">
      <c r="B110" s="493"/>
      <c r="C110" s="475" t="s">
        <v>3099</v>
      </c>
      <c r="D110" s="477">
        <v>44.583500000000001</v>
      </c>
      <c r="E110" s="477">
        <v>61.859900000000003</v>
      </c>
      <c r="F110" s="477">
        <v>68.108999999999995</v>
      </c>
      <c r="G110" s="477">
        <v>1.7217</v>
      </c>
      <c r="H110" s="477">
        <v>0.359929</v>
      </c>
      <c r="I110" s="496" t="s">
        <v>3857</v>
      </c>
      <c r="J110" s="487" t="s">
        <v>3857</v>
      </c>
      <c r="K110" s="487" t="s">
        <v>3857</v>
      </c>
      <c r="L110" s="487" t="s">
        <v>3857</v>
      </c>
      <c r="M110" s="487" t="s">
        <v>3857</v>
      </c>
      <c r="N110" s="487" t="s">
        <v>3857</v>
      </c>
      <c r="O110" s="487" t="s">
        <v>3857</v>
      </c>
      <c r="P110" s="487" t="s">
        <v>3857</v>
      </c>
      <c r="Q110" s="487" t="s">
        <v>3857</v>
      </c>
      <c r="R110" s="487" t="s">
        <v>3857</v>
      </c>
    </row>
    <row r="111" spans="2:18">
      <c r="B111" s="493"/>
      <c r="C111" s="475" t="s">
        <v>3094</v>
      </c>
      <c r="D111" s="477">
        <v>45.040500000000002</v>
      </c>
      <c r="E111" s="477">
        <v>62.575299999999999</v>
      </c>
      <c r="F111" s="477">
        <v>69.813000000000002</v>
      </c>
      <c r="G111" s="477">
        <v>1.7181999999999999</v>
      </c>
      <c r="H111" s="477">
        <v>0.36332999999999999</v>
      </c>
      <c r="I111" s="496" t="s">
        <v>3857</v>
      </c>
      <c r="J111" s="487" t="s">
        <v>3857</v>
      </c>
      <c r="K111" s="487" t="s">
        <v>3857</v>
      </c>
      <c r="L111" s="487" t="s">
        <v>3857</v>
      </c>
      <c r="M111" s="487" t="s">
        <v>3857</v>
      </c>
      <c r="N111" s="487" t="s">
        <v>3857</v>
      </c>
      <c r="O111" s="487" t="s">
        <v>3857</v>
      </c>
      <c r="P111" s="487" t="s">
        <v>3857</v>
      </c>
      <c r="Q111" s="487" t="s">
        <v>3857</v>
      </c>
      <c r="R111" s="487" t="s">
        <v>3857</v>
      </c>
    </row>
    <row r="112" spans="2:18" ht="13.8" thickBot="1">
      <c r="B112" s="523"/>
      <c r="C112" s="522"/>
      <c r="D112" s="477"/>
      <c r="E112" s="477"/>
      <c r="F112" s="477"/>
      <c r="G112" s="477"/>
      <c r="H112" s="477"/>
      <c r="I112" s="496"/>
      <c r="J112" s="487"/>
      <c r="K112" s="487"/>
      <c r="L112" s="487"/>
      <c r="M112" s="487"/>
      <c r="N112" s="487"/>
      <c r="O112" s="487"/>
      <c r="P112" s="487"/>
      <c r="Q112" s="487"/>
      <c r="R112" s="487"/>
    </row>
    <row r="113" spans="2:18" s="464" customFormat="1" ht="13.8" thickBot="1">
      <c r="B113" s="516" t="s">
        <v>3856</v>
      </c>
      <c r="C113" s="519"/>
      <c r="D113" s="517">
        <v>43.832166666666666</v>
      </c>
      <c r="E113" s="518">
        <v>61.754133333333336</v>
      </c>
      <c r="F113" s="517">
        <v>77.332216666666667</v>
      </c>
      <c r="G113" s="517">
        <v>1.6900166666666665</v>
      </c>
      <c r="H113" s="517">
        <v>0.34644766666666671</v>
      </c>
      <c r="I113" s="513" t="s">
        <v>3857</v>
      </c>
      <c r="J113" s="512" t="s">
        <v>3857</v>
      </c>
      <c r="K113" s="512" t="s">
        <v>3857</v>
      </c>
      <c r="L113" s="512" t="s">
        <v>3857</v>
      </c>
      <c r="M113" s="512" t="s">
        <v>3857</v>
      </c>
      <c r="N113" s="512" t="s">
        <v>3857</v>
      </c>
      <c r="O113" s="512" t="s">
        <v>3857</v>
      </c>
      <c r="P113" s="512" t="s">
        <v>3857</v>
      </c>
      <c r="Q113" s="512" t="s">
        <v>3857</v>
      </c>
      <c r="R113" s="512" t="s">
        <v>3857</v>
      </c>
    </row>
    <row r="114" spans="2:18">
      <c r="B114" s="493"/>
      <c r="C114" s="475"/>
      <c r="D114" s="511"/>
      <c r="E114" s="511"/>
      <c r="F114" s="511"/>
      <c r="G114" s="511"/>
      <c r="H114" s="511"/>
      <c r="I114" s="496"/>
      <c r="J114" s="487"/>
      <c r="K114" s="487"/>
      <c r="L114" s="487"/>
      <c r="M114" s="487"/>
      <c r="N114" s="487"/>
      <c r="O114" s="487"/>
      <c r="P114" s="487"/>
      <c r="Q114" s="487"/>
      <c r="R114" s="487"/>
    </row>
    <row r="115" spans="2:18">
      <c r="B115" s="493">
        <v>1993</v>
      </c>
      <c r="C115" s="475" t="s">
        <v>3165</v>
      </c>
      <c r="D115" s="477">
        <v>46.342100000000002</v>
      </c>
      <c r="E115" s="477">
        <v>63.840400000000002</v>
      </c>
      <c r="F115" s="477">
        <v>71.118899999999996</v>
      </c>
      <c r="G115" s="477">
        <v>1.7675000000000001</v>
      </c>
      <c r="H115" s="477">
        <v>0.37076700000000001</v>
      </c>
      <c r="I115" s="496" t="s">
        <v>3857</v>
      </c>
      <c r="J115" s="487" t="s">
        <v>3857</v>
      </c>
      <c r="K115" s="487" t="s">
        <v>3857</v>
      </c>
      <c r="L115" s="487" t="s">
        <v>3857</v>
      </c>
      <c r="M115" s="487" t="s">
        <v>3857</v>
      </c>
      <c r="N115" s="487" t="s">
        <v>3857</v>
      </c>
      <c r="O115" s="487" t="s">
        <v>3857</v>
      </c>
      <c r="P115" s="487" t="s">
        <v>3857</v>
      </c>
      <c r="Q115" s="487" t="s">
        <v>3857</v>
      </c>
      <c r="R115" s="487" t="s">
        <v>3857</v>
      </c>
    </row>
    <row r="116" spans="2:18">
      <c r="B116" s="493"/>
      <c r="C116" s="475" t="s">
        <v>3160</v>
      </c>
      <c r="D116" s="477">
        <v>46.533299999999997</v>
      </c>
      <c r="E116" s="477">
        <v>63.860700000000001</v>
      </c>
      <c r="F116" s="477">
        <v>67.058499999999995</v>
      </c>
      <c r="G116" s="477">
        <v>1.7749999999999999</v>
      </c>
      <c r="H116" s="477">
        <v>0.38477499999999998</v>
      </c>
      <c r="I116" s="496" t="s">
        <v>3857</v>
      </c>
      <c r="J116" s="487" t="s">
        <v>3857</v>
      </c>
      <c r="K116" s="487" t="s">
        <v>3857</v>
      </c>
      <c r="L116" s="487" t="s">
        <v>3857</v>
      </c>
      <c r="M116" s="487" t="s">
        <v>3857</v>
      </c>
      <c r="N116" s="487" t="s">
        <v>3857</v>
      </c>
      <c r="O116" s="487" t="s">
        <v>3857</v>
      </c>
      <c r="P116" s="487" t="s">
        <v>3857</v>
      </c>
      <c r="Q116" s="487" t="s">
        <v>3857</v>
      </c>
      <c r="R116" s="487" t="s">
        <v>3857</v>
      </c>
    </row>
    <row r="117" spans="2:18">
      <c r="B117" s="493"/>
      <c r="C117" s="475" t="s">
        <v>3154</v>
      </c>
      <c r="D117" s="477">
        <v>47.045000000000002</v>
      </c>
      <c r="E117" s="477">
        <v>64.936599999999999</v>
      </c>
      <c r="F117" s="477">
        <v>68.539400000000001</v>
      </c>
      <c r="G117" s="477">
        <v>1.5304</v>
      </c>
      <c r="H117" s="477">
        <v>0.401814</v>
      </c>
      <c r="I117" s="496" t="s">
        <v>3857</v>
      </c>
      <c r="J117" s="487" t="s">
        <v>3857</v>
      </c>
      <c r="K117" s="487" t="s">
        <v>3857</v>
      </c>
      <c r="L117" s="487" t="s">
        <v>3857</v>
      </c>
      <c r="M117" s="487" t="s">
        <v>3857</v>
      </c>
      <c r="N117" s="487" t="s">
        <v>3857</v>
      </c>
      <c r="O117" s="487" t="s">
        <v>3857</v>
      </c>
      <c r="P117" s="487" t="s">
        <v>3857</v>
      </c>
      <c r="Q117" s="487" t="s">
        <v>3857</v>
      </c>
      <c r="R117" s="487" t="s">
        <v>3857</v>
      </c>
    </row>
    <row r="118" spans="2:18">
      <c r="B118" s="493"/>
      <c r="C118" s="475" t="s">
        <v>3148</v>
      </c>
      <c r="D118" s="477">
        <v>47.845599999999997</v>
      </c>
      <c r="E118" s="477">
        <v>67.634399999999999</v>
      </c>
      <c r="F118" s="477">
        <v>73.891300000000001</v>
      </c>
      <c r="G118" s="477">
        <v>1.5267999999999999</v>
      </c>
      <c r="H118" s="477">
        <v>0.42631400000000003</v>
      </c>
      <c r="I118" s="496" t="s">
        <v>3857</v>
      </c>
      <c r="J118" s="487" t="s">
        <v>3857</v>
      </c>
      <c r="K118" s="487" t="s">
        <v>3857</v>
      </c>
      <c r="L118" s="487" t="s">
        <v>3857</v>
      </c>
      <c r="M118" s="487" t="s">
        <v>3857</v>
      </c>
      <c r="N118" s="487" t="s">
        <v>3857</v>
      </c>
      <c r="O118" s="487" t="s">
        <v>3857</v>
      </c>
      <c r="P118" s="487" t="s">
        <v>3857</v>
      </c>
      <c r="Q118" s="487" t="s">
        <v>3857</v>
      </c>
      <c r="R118" s="487" t="s">
        <v>3857</v>
      </c>
    </row>
    <row r="119" spans="2:18">
      <c r="B119" s="493"/>
      <c r="C119" s="475" t="s">
        <v>114</v>
      </c>
      <c r="D119" s="477">
        <v>48.071800000000003</v>
      </c>
      <c r="E119" s="477">
        <v>68.000399999999999</v>
      </c>
      <c r="F119" s="477">
        <v>74.370800000000003</v>
      </c>
      <c r="G119" s="477">
        <v>1.5343</v>
      </c>
      <c r="H119" s="477">
        <v>0.43587399999999998</v>
      </c>
      <c r="I119" s="496" t="s">
        <v>3857</v>
      </c>
      <c r="J119" s="487" t="s">
        <v>3857</v>
      </c>
      <c r="K119" s="487" t="s">
        <v>3857</v>
      </c>
      <c r="L119" s="487" t="s">
        <v>3857</v>
      </c>
      <c r="M119" s="487" t="s">
        <v>3857</v>
      </c>
      <c r="N119" s="487" t="s">
        <v>3857</v>
      </c>
      <c r="O119" s="487" t="s">
        <v>3857</v>
      </c>
      <c r="P119" s="487" t="s">
        <v>3857</v>
      </c>
      <c r="Q119" s="487" t="s">
        <v>3857</v>
      </c>
      <c r="R119" s="487" t="s">
        <v>3857</v>
      </c>
    </row>
    <row r="120" spans="2:18">
      <c r="B120" s="493"/>
      <c r="C120" s="475" t="s">
        <v>3135</v>
      </c>
      <c r="D120" s="477">
        <v>48.244700000000002</v>
      </c>
      <c r="E120" s="477">
        <v>67.942800000000005</v>
      </c>
      <c r="F120" s="477">
        <v>72.744500000000002</v>
      </c>
      <c r="G120" s="477">
        <v>1.5349999999999999</v>
      </c>
      <c r="H120" s="477">
        <v>0.44946199999999997</v>
      </c>
      <c r="I120" s="496" t="s">
        <v>3857</v>
      </c>
      <c r="J120" s="487" t="s">
        <v>3857</v>
      </c>
      <c r="K120" s="487" t="s">
        <v>3857</v>
      </c>
      <c r="L120" s="487" t="s">
        <v>3857</v>
      </c>
      <c r="M120" s="487" t="s">
        <v>3857</v>
      </c>
      <c r="N120" s="487" t="s">
        <v>3857</v>
      </c>
      <c r="O120" s="487" t="s">
        <v>3857</v>
      </c>
      <c r="P120" s="487" t="s">
        <v>3857</v>
      </c>
      <c r="Q120" s="487" t="s">
        <v>3857</v>
      </c>
      <c r="R120" s="487" t="s">
        <v>3857</v>
      </c>
    </row>
    <row r="121" spans="2:18">
      <c r="B121" s="493"/>
      <c r="C121" s="475" t="s">
        <v>3125</v>
      </c>
      <c r="D121" s="477">
        <v>48.830500000000001</v>
      </c>
      <c r="E121" s="477">
        <v>67.886600000000001</v>
      </c>
      <c r="F121" s="477">
        <v>73.078199999999995</v>
      </c>
      <c r="G121" s="477">
        <v>1.5548999999999999</v>
      </c>
      <c r="H121" s="477">
        <v>0.45329799999999998</v>
      </c>
      <c r="I121" s="496" t="s">
        <v>3857</v>
      </c>
      <c r="J121" s="487" t="s">
        <v>3857</v>
      </c>
      <c r="K121" s="487" t="s">
        <v>3857</v>
      </c>
      <c r="L121" s="487" t="s">
        <v>3857</v>
      </c>
      <c r="M121" s="487" t="s">
        <v>3857</v>
      </c>
      <c r="N121" s="487" t="s">
        <v>3857</v>
      </c>
      <c r="O121" s="487" t="s">
        <v>3857</v>
      </c>
      <c r="P121" s="487" t="s">
        <v>3857</v>
      </c>
      <c r="Q121" s="487" t="s">
        <v>3857</v>
      </c>
      <c r="R121" s="487" t="s">
        <v>3857</v>
      </c>
    </row>
    <row r="122" spans="2:18">
      <c r="B122" s="493"/>
      <c r="C122" s="475" t="s">
        <v>3117</v>
      </c>
      <c r="D122" s="477">
        <v>49.0306</v>
      </c>
      <c r="E122" s="477">
        <v>68.6905</v>
      </c>
      <c r="F122" s="477">
        <v>73.100099999999998</v>
      </c>
      <c r="G122" s="477">
        <v>1.5625</v>
      </c>
      <c r="H122" s="477">
        <v>0.47311799999999998</v>
      </c>
      <c r="I122" s="496" t="s">
        <v>3857</v>
      </c>
      <c r="J122" s="487" t="s">
        <v>3857</v>
      </c>
      <c r="K122" s="487" t="s">
        <v>3857</v>
      </c>
      <c r="L122" s="487" t="s">
        <v>3857</v>
      </c>
      <c r="M122" s="487" t="s">
        <v>3857</v>
      </c>
      <c r="N122" s="487" t="s">
        <v>3857</v>
      </c>
      <c r="O122" s="487" t="s">
        <v>3857</v>
      </c>
      <c r="P122" s="487" t="s">
        <v>3857</v>
      </c>
      <c r="Q122" s="487" t="s">
        <v>3857</v>
      </c>
      <c r="R122" s="487" t="s">
        <v>3857</v>
      </c>
    </row>
    <row r="123" spans="2:18">
      <c r="B123" s="493"/>
      <c r="C123" s="475" t="s">
        <v>3113</v>
      </c>
      <c r="D123" s="477">
        <v>49.089199999999998</v>
      </c>
      <c r="E123" s="477">
        <v>69.585499999999996</v>
      </c>
      <c r="F123" s="477">
        <v>74.895099999999999</v>
      </c>
      <c r="G123" s="477">
        <v>1.5646</v>
      </c>
      <c r="H123" s="477">
        <v>0.46602399999999999</v>
      </c>
      <c r="I123" s="496" t="s">
        <v>3857</v>
      </c>
      <c r="J123" s="487" t="s">
        <v>3857</v>
      </c>
      <c r="K123" s="487" t="s">
        <v>3857</v>
      </c>
      <c r="L123" s="487" t="s">
        <v>3857</v>
      </c>
      <c r="M123" s="487" t="s">
        <v>3857</v>
      </c>
      <c r="N123" s="487" t="s">
        <v>3857</v>
      </c>
      <c r="O123" s="487" t="s">
        <v>3857</v>
      </c>
      <c r="P123" s="487" t="s">
        <v>3857</v>
      </c>
      <c r="Q123" s="487" t="s">
        <v>3857</v>
      </c>
      <c r="R123" s="487" t="s">
        <v>3857</v>
      </c>
    </row>
    <row r="124" spans="2:18">
      <c r="B124" s="493"/>
      <c r="C124" s="475" t="s">
        <v>3104</v>
      </c>
      <c r="D124" s="477">
        <v>49.180599999999998</v>
      </c>
      <c r="E124" s="477">
        <v>69.821200000000005</v>
      </c>
      <c r="F124" s="477">
        <v>73.953500000000005</v>
      </c>
      <c r="G124" s="477">
        <v>1.5676000000000001</v>
      </c>
      <c r="H124" s="477">
        <v>0.46021400000000001</v>
      </c>
      <c r="I124" s="496" t="s">
        <v>3857</v>
      </c>
      <c r="J124" s="487" t="s">
        <v>3857</v>
      </c>
      <c r="K124" s="487" t="s">
        <v>3857</v>
      </c>
      <c r="L124" s="487" t="s">
        <v>3857</v>
      </c>
      <c r="M124" s="487" t="s">
        <v>3857</v>
      </c>
      <c r="N124" s="487" t="s">
        <v>3857</v>
      </c>
      <c r="O124" s="487" t="s">
        <v>3857</v>
      </c>
      <c r="P124" s="487" t="s">
        <v>3857</v>
      </c>
      <c r="Q124" s="487" t="s">
        <v>3857</v>
      </c>
      <c r="R124" s="487" t="s">
        <v>3857</v>
      </c>
    </row>
    <row r="125" spans="2:18">
      <c r="B125" s="493"/>
      <c r="C125" s="475" t="s">
        <v>3099</v>
      </c>
      <c r="D125" s="477">
        <v>49.317900000000002</v>
      </c>
      <c r="E125" s="477">
        <v>68.518600000000006</v>
      </c>
      <c r="F125" s="477">
        <v>73.062700000000007</v>
      </c>
      <c r="G125" s="477">
        <v>1.5718000000000001</v>
      </c>
      <c r="H125" s="477">
        <v>0.45733400000000002</v>
      </c>
      <c r="I125" s="496" t="s">
        <v>3857</v>
      </c>
      <c r="J125" s="487" t="s">
        <v>3857</v>
      </c>
      <c r="K125" s="487" t="s">
        <v>3857</v>
      </c>
      <c r="L125" s="487" t="s">
        <v>3857</v>
      </c>
      <c r="M125" s="487" t="s">
        <v>3857</v>
      </c>
      <c r="N125" s="487" t="s">
        <v>3857</v>
      </c>
      <c r="O125" s="487" t="s">
        <v>3857</v>
      </c>
      <c r="P125" s="487" t="s">
        <v>3857</v>
      </c>
      <c r="Q125" s="487" t="s">
        <v>3857</v>
      </c>
      <c r="R125" s="487" t="s">
        <v>3857</v>
      </c>
    </row>
    <row r="126" spans="2:18">
      <c r="B126" s="493"/>
      <c r="C126" s="475" t="s">
        <v>3094</v>
      </c>
      <c r="D126" s="477">
        <v>49.485700000000001</v>
      </c>
      <c r="E126" s="477">
        <v>68.513999999999996</v>
      </c>
      <c r="F126" s="477">
        <v>73.799800000000005</v>
      </c>
      <c r="G126" s="477">
        <v>1.577</v>
      </c>
      <c r="H126" s="477">
        <v>0.45139099999999999</v>
      </c>
      <c r="I126" s="496" t="s">
        <v>3857</v>
      </c>
      <c r="J126" s="487" t="s">
        <v>3857</v>
      </c>
      <c r="K126" s="487" t="s">
        <v>3857</v>
      </c>
      <c r="L126" s="487" t="s">
        <v>3857</v>
      </c>
      <c r="M126" s="487" t="s">
        <v>3857</v>
      </c>
      <c r="N126" s="487" t="s">
        <v>3857</v>
      </c>
      <c r="O126" s="487" t="s">
        <v>3857</v>
      </c>
      <c r="P126" s="487" t="s">
        <v>3857</v>
      </c>
      <c r="Q126" s="487" t="s">
        <v>3857</v>
      </c>
      <c r="R126" s="487" t="s">
        <v>3857</v>
      </c>
    </row>
    <row r="127" spans="2:18" ht="13.8" thickBot="1">
      <c r="B127" s="523"/>
      <c r="C127" s="522"/>
      <c r="D127" s="477"/>
      <c r="E127" s="477"/>
      <c r="F127" s="477"/>
      <c r="G127" s="477"/>
      <c r="H127" s="477"/>
      <c r="I127" s="496"/>
      <c r="J127" s="487"/>
      <c r="K127" s="487"/>
      <c r="L127" s="487"/>
      <c r="M127" s="487"/>
      <c r="N127" s="487"/>
      <c r="O127" s="487"/>
      <c r="P127" s="487"/>
      <c r="Q127" s="487"/>
      <c r="R127" s="487"/>
    </row>
    <row r="128" spans="2:18" s="464" customFormat="1" ht="13.8" thickBot="1">
      <c r="B128" s="516" t="s">
        <v>3856</v>
      </c>
      <c r="C128" s="519"/>
      <c r="D128" s="517">
        <v>48.251416666666664</v>
      </c>
      <c r="E128" s="518">
        <v>67.435974999999999</v>
      </c>
      <c r="F128" s="517">
        <v>72.467733333333328</v>
      </c>
      <c r="G128" s="517">
        <v>1.5889499999999999</v>
      </c>
      <c r="H128" s="517">
        <v>0.43586541666666673</v>
      </c>
      <c r="I128" s="513" t="s">
        <v>3857</v>
      </c>
      <c r="J128" s="512" t="s">
        <v>3857</v>
      </c>
      <c r="K128" s="512" t="s">
        <v>3857</v>
      </c>
      <c r="L128" s="512" t="s">
        <v>3857</v>
      </c>
      <c r="M128" s="512" t="s">
        <v>3857</v>
      </c>
      <c r="N128" s="512" t="s">
        <v>3857</v>
      </c>
      <c r="O128" s="512" t="s">
        <v>3857</v>
      </c>
      <c r="P128" s="512" t="s">
        <v>3857</v>
      </c>
      <c r="Q128" s="512" t="s">
        <v>3857</v>
      </c>
      <c r="R128" s="512" t="s">
        <v>3857</v>
      </c>
    </row>
    <row r="129" spans="2:18">
      <c r="B129" s="493"/>
      <c r="C129" s="475"/>
      <c r="D129" s="511"/>
      <c r="E129" s="511"/>
      <c r="F129" s="511"/>
      <c r="G129" s="511"/>
      <c r="H129" s="511"/>
      <c r="I129" s="496"/>
      <c r="J129" s="487"/>
      <c r="K129" s="487"/>
      <c r="L129" s="487"/>
      <c r="M129" s="487"/>
      <c r="N129" s="487"/>
      <c r="O129" s="487"/>
      <c r="P129" s="487"/>
      <c r="Q129" s="487"/>
      <c r="R129" s="487"/>
    </row>
    <row r="130" spans="2:18">
      <c r="B130" s="493">
        <v>1994</v>
      </c>
      <c r="C130" s="475" t="s">
        <v>3165</v>
      </c>
      <c r="D130" s="477">
        <v>49.671999999999997</v>
      </c>
      <c r="E130" s="477">
        <v>68.212500000000006</v>
      </c>
      <c r="F130" s="477">
        <v>74.102099999999993</v>
      </c>
      <c r="G130" s="477">
        <v>1.5831999999999999</v>
      </c>
      <c r="H130" s="477">
        <v>0.44505800000000001</v>
      </c>
      <c r="I130" s="496" t="s">
        <v>3857</v>
      </c>
      <c r="J130" s="487" t="s">
        <v>3857</v>
      </c>
      <c r="K130" s="487" t="s">
        <v>3857</v>
      </c>
      <c r="L130" s="487" t="s">
        <v>3857</v>
      </c>
      <c r="M130" s="487" t="s">
        <v>3857</v>
      </c>
      <c r="N130" s="487" t="s">
        <v>3857</v>
      </c>
      <c r="O130" s="487" t="s">
        <v>3857</v>
      </c>
      <c r="P130" s="487" t="s">
        <v>3857</v>
      </c>
      <c r="Q130" s="487" t="s">
        <v>3857</v>
      </c>
      <c r="R130" s="487" t="s">
        <v>3857</v>
      </c>
    </row>
    <row r="131" spans="2:18">
      <c r="B131" s="493"/>
      <c r="C131" s="475" t="s">
        <v>3160</v>
      </c>
      <c r="D131" s="477">
        <v>49.366999999999997</v>
      </c>
      <c r="E131" s="477">
        <v>68.477699999999999</v>
      </c>
      <c r="F131" s="477">
        <v>73.044499999999999</v>
      </c>
      <c r="G131" s="477">
        <v>1.5745</v>
      </c>
      <c r="H131" s="477">
        <v>0.46406700000000001</v>
      </c>
      <c r="I131" s="496" t="s">
        <v>3857</v>
      </c>
      <c r="J131" s="487" t="s">
        <v>3857</v>
      </c>
      <c r="K131" s="487" t="s">
        <v>3857</v>
      </c>
      <c r="L131" s="487" t="s">
        <v>3857</v>
      </c>
      <c r="M131" s="487" t="s">
        <v>3857</v>
      </c>
      <c r="N131" s="487" t="s">
        <v>3857</v>
      </c>
      <c r="O131" s="487" t="s">
        <v>3857</v>
      </c>
      <c r="P131" s="487" t="s">
        <v>3857</v>
      </c>
      <c r="Q131" s="487" t="s">
        <v>3857</v>
      </c>
      <c r="R131" s="487" t="s">
        <v>3857</v>
      </c>
    </row>
    <row r="132" spans="2:18">
      <c r="B132" s="493"/>
      <c r="C132" s="475" t="s">
        <v>3154</v>
      </c>
      <c r="D132" s="477">
        <v>49.182200000000002</v>
      </c>
      <c r="E132" s="477">
        <v>68.955399999999997</v>
      </c>
      <c r="F132" s="477">
        <v>73.342500000000001</v>
      </c>
      <c r="G132" s="477">
        <v>1.5683</v>
      </c>
      <c r="H132" s="477">
        <v>0.46805600000000003</v>
      </c>
      <c r="I132" s="496" t="s">
        <v>3857</v>
      </c>
      <c r="J132" s="487" t="s">
        <v>3857</v>
      </c>
      <c r="K132" s="487" t="s">
        <v>3857</v>
      </c>
      <c r="L132" s="487" t="s">
        <v>3857</v>
      </c>
      <c r="M132" s="487" t="s">
        <v>3857</v>
      </c>
      <c r="N132" s="487" t="s">
        <v>3857</v>
      </c>
      <c r="O132" s="487" t="s">
        <v>3857</v>
      </c>
      <c r="P132" s="487" t="s">
        <v>3857</v>
      </c>
      <c r="Q132" s="487" t="s">
        <v>3857</v>
      </c>
      <c r="R132" s="487" t="s">
        <v>3857</v>
      </c>
    </row>
    <row r="133" spans="2:18">
      <c r="B133" s="493"/>
      <c r="C133" s="475" t="s">
        <v>3148</v>
      </c>
      <c r="D133" s="477">
        <v>49.168399999999998</v>
      </c>
      <c r="E133" s="477">
        <v>69.059799999999996</v>
      </c>
      <c r="F133" s="477">
        <v>72.863</v>
      </c>
      <c r="G133" s="477">
        <v>1.5667</v>
      </c>
      <c r="H133" s="477">
        <v>0.47509499999999999</v>
      </c>
      <c r="I133" s="496" t="s">
        <v>3857</v>
      </c>
      <c r="J133" s="487" t="s">
        <v>3857</v>
      </c>
      <c r="K133" s="487" t="s">
        <v>3857</v>
      </c>
      <c r="L133" s="487" t="s">
        <v>3857</v>
      </c>
      <c r="M133" s="487" t="s">
        <v>3857</v>
      </c>
      <c r="N133" s="487" t="s">
        <v>3857</v>
      </c>
      <c r="O133" s="487" t="s">
        <v>3857</v>
      </c>
      <c r="P133" s="487" t="s">
        <v>3857</v>
      </c>
      <c r="Q133" s="487" t="s">
        <v>3857</v>
      </c>
      <c r="R133" s="487" t="s">
        <v>3857</v>
      </c>
    </row>
    <row r="134" spans="2:18">
      <c r="B134" s="493"/>
      <c r="C134" s="475" t="s">
        <v>114</v>
      </c>
      <c r="D134" s="477">
        <v>49.292200000000001</v>
      </c>
      <c r="E134" s="477">
        <v>69.714399999999998</v>
      </c>
      <c r="F134" s="477">
        <v>74.045100000000005</v>
      </c>
      <c r="G134" s="477">
        <v>1.57</v>
      </c>
      <c r="H134" s="477">
        <v>0.47581200000000001</v>
      </c>
      <c r="I134" s="496" t="s">
        <v>3857</v>
      </c>
      <c r="J134" s="487" t="s">
        <v>3857</v>
      </c>
      <c r="K134" s="487" t="s">
        <v>3857</v>
      </c>
      <c r="L134" s="487" t="s">
        <v>3857</v>
      </c>
      <c r="M134" s="487" t="s">
        <v>3857</v>
      </c>
      <c r="N134" s="487" t="s">
        <v>3857</v>
      </c>
      <c r="O134" s="487" t="s">
        <v>3857</v>
      </c>
      <c r="P134" s="487" t="s">
        <v>3857</v>
      </c>
      <c r="Q134" s="487" t="s">
        <v>3857</v>
      </c>
      <c r="R134" s="487" t="s">
        <v>3857</v>
      </c>
    </row>
    <row r="135" spans="2:18">
      <c r="B135" s="493"/>
      <c r="C135" s="475" t="s">
        <v>3135</v>
      </c>
      <c r="D135" s="477">
        <v>49.555700000000002</v>
      </c>
      <c r="E135" s="477">
        <v>70.646799999999999</v>
      </c>
      <c r="F135" s="477">
        <v>75.488500000000002</v>
      </c>
      <c r="G135" s="477">
        <v>1.5799000000000001</v>
      </c>
      <c r="H135" s="477">
        <v>0.48141200000000001</v>
      </c>
      <c r="I135" s="496" t="s">
        <v>3857</v>
      </c>
      <c r="J135" s="487" t="s">
        <v>3857</v>
      </c>
      <c r="K135" s="487" t="s">
        <v>3857</v>
      </c>
      <c r="L135" s="487" t="s">
        <v>3857</v>
      </c>
      <c r="M135" s="487" t="s">
        <v>3857</v>
      </c>
      <c r="N135" s="487" t="s">
        <v>3857</v>
      </c>
      <c r="O135" s="487" t="s">
        <v>3857</v>
      </c>
      <c r="P135" s="487" t="s">
        <v>3857</v>
      </c>
      <c r="Q135" s="487" t="s">
        <v>3857</v>
      </c>
      <c r="R135" s="487" t="s">
        <v>3857</v>
      </c>
    </row>
    <row r="136" spans="2:18">
      <c r="B136" s="493"/>
      <c r="C136" s="475" t="s">
        <v>3125</v>
      </c>
      <c r="D136" s="477">
        <v>49.283799999999999</v>
      </c>
      <c r="E136" s="477">
        <v>71.832300000000004</v>
      </c>
      <c r="F136" s="477">
        <v>76.222200000000001</v>
      </c>
      <c r="G136" s="477">
        <v>1.5709</v>
      </c>
      <c r="H136" s="477">
        <v>0.50053000000000003</v>
      </c>
      <c r="I136" s="496" t="s">
        <v>3857</v>
      </c>
      <c r="J136" s="487" t="s">
        <v>3857</v>
      </c>
      <c r="K136" s="487" t="s">
        <v>3857</v>
      </c>
      <c r="L136" s="487" t="s">
        <v>3857</v>
      </c>
      <c r="M136" s="487" t="s">
        <v>3857</v>
      </c>
      <c r="N136" s="487" t="s">
        <v>3857</v>
      </c>
      <c r="O136" s="487" t="s">
        <v>3857</v>
      </c>
      <c r="P136" s="487" t="s">
        <v>3857</v>
      </c>
      <c r="Q136" s="487" t="s">
        <v>3857</v>
      </c>
      <c r="R136" s="487" t="s">
        <v>3857</v>
      </c>
    </row>
    <row r="137" spans="2:18">
      <c r="B137" s="493"/>
      <c r="C137" s="475" t="s">
        <v>3117</v>
      </c>
      <c r="D137" s="477">
        <v>49.494700000000002</v>
      </c>
      <c r="E137" s="477">
        <v>71.979299999999995</v>
      </c>
      <c r="F137" s="477">
        <v>76.363500000000002</v>
      </c>
      <c r="G137" s="477">
        <v>1.5772999999999999</v>
      </c>
      <c r="H137" s="477">
        <v>0.49577700000000002</v>
      </c>
      <c r="I137" s="496" t="s">
        <v>3857</v>
      </c>
      <c r="J137" s="487" t="s">
        <v>3857</v>
      </c>
      <c r="K137" s="487" t="s">
        <v>3857</v>
      </c>
      <c r="L137" s="487" t="s">
        <v>3857</v>
      </c>
      <c r="M137" s="487" t="s">
        <v>3857</v>
      </c>
      <c r="N137" s="487" t="s">
        <v>3857</v>
      </c>
      <c r="O137" s="487" t="s">
        <v>3857</v>
      </c>
      <c r="P137" s="487" t="s">
        <v>3857</v>
      </c>
      <c r="Q137" s="487" t="s">
        <v>3857</v>
      </c>
      <c r="R137" s="487" t="s">
        <v>3857</v>
      </c>
    </row>
    <row r="138" spans="2:18">
      <c r="B138" s="493"/>
      <c r="C138" s="475" t="s">
        <v>3113</v>
      </c>
      <c r="D138" s="477">
        <v>49.518000000000001</v>
      </c>
      <c r="E138" s="477">
        <v>72.469499999999996</v>
      </c>
      <c r="F138" s="477">
        <v>77.308899999999994</v>
      </c>
      <c r="G138" s="477">
        <v>1.5785</v>
      </c>
      <c r="H138" s="477">
        <v>0.50099499999999997</v>
      </c>
      <c r="I138" s="496" t="s">
        <v>3857</v>
      </c>
      <c r="J138" s="487" t="s">
        <v>3857</v>
      </c>
      <c r="K138" s="487" t="s">
        <v>3857</v>
      </c>
      <c r="L138" s="487" t="s">
        <v>3857</v>
      </c>
      <c r="M138" s="487" t="s">
        <v>3857</v>
      </c>
      <c r="N138" s="487" t="s">
        <v>3857</v>
      </c>
      <c r="O138" s="487" t="s">
        <v>3857</v>
      </c>
      <c r="P138" s="487" t="s">
        <v>3857</v>
      </c>
      <c r="Q138" s="487" t="s">
        <v>3857</v>
      </c>
      <c r="R138" s="487" t="s">
        <v>3857</v>
      </c>
    </row>
    <row r="139" spans="2:18">
      <c r="B139" s="493"/>
      <c r="C139" s="475" t="s">
        <v>3104</v>
      </c>
      <c r="D139" s="477">
        <v>49.380299999999998</v>
      </c>
      <c r="E139" s="477">
        <v>72.896900000000002</v>
      </c>
      <c r="F139" s="477">
        <v>79.164699999999996</v>
      </c>
      <c r="G139" s="477">
        <v>1.5748</v>
      </c>
      <c r="H139" s="477">
        <v>0.500888</v>
      </c>
      <c r="I139" s="496" t="s">
        <v>3857</v>
      </c>
      <c r="J139" s="487" t="s">
        <v>3857</v>
      </c>
      <c r="K139" s="487" t="s">
        <v>3857</v>
      </c>
      <c r="L139" s="487" t="s">
        <v>3857</v>
      </c>
      <c r="M139" s="487" t="s">
        <v>3857</v>
      </c>
      <c r="N139" s="487" t="s">
        <v>3857</v>
      </c>
      <c r="O139" s="487" t="s">
        <v>3857</v>
      </c>
      <c r="P139" s="487" t="s">
        <v>3857</v>
      </c>
      <c r="Q139" s="487" t="s">
        <v>3857</v>
      </c>
      <c r="R139" s="487" t="s">
        <v>3857</v>
      </c>
    </row>
    <row r="140" spans="2:18">
      <c r="B140" s="493"/>
      <c r="C140" s="475" t="s">
        <v>3099</v>
      </c>
      <c r="D140" s="477">
        <v>49.328200000000002</v>
      </c>
      <c r="E140" s="477">
        <v>72.5124</v>
      </c>
      <c r="F140" s="477">
        <v>78.388499999999993</v>
      </c>
      <c r="G140" s="477">
        <v>1.571</v>
      </c>
      <c r="H140" s="477">
        <v>0.50328899999999999</v>
      </c>
      <c r="I140" s="496" t="s">
        <v>3857</v>
      </c>
      <c r="J140" s="487" t="s">
        <v>3857</v>
      </c>
      <c r="K140" s="487" t="s">
        <v>3857</v>
      </c>
      <c r="L140" s="487" t="s">
        <v>3857</v>
      </c>
      <c r="M140" s="487" t="s">
        <v>3857</v>
      </c>
      <c r="N140" s="487" t="s">
        <v>3857</v>
      </c>
      <c r="O140" s="487" t="s">
        <v>3857</v>
      </c>
      <c r="P140" s="487" t="s">
        <v>3857</v>
      </c>
      <c r="Q140" s="487" t="s">
        <v>3857</v>
      </c>
      <c r="R140" s="487" t="s">
        <v>3857</v>
      </c>
    </row>
    <row r="141" spans="2:18">
      <c r="B141" s="493"/>
      <c r="C141" s="475" t="s">
        <v>3094</v>
      </c>
      <c r="D141" s="477">
        <v>49.737499999999997</v>
      </c>
      <c r="E141" s="477">
        <v>72.199600000000004</v>
      </c>
      <c r="F141" s="477">
        <v>77.5077</v>
      </c>
      <c r="G141" s="477">
        <v>1.5831</v>
      </c>
      <c r="H141" s="477">
        <v>0.49654399999999999</v>
      </c>
      <c r="I141" s="496" t="s">
        <v>3857</v>
      </c>
      <c r="J141" s="487" t="s">
        <v>3857</v>
      </c>
      <c r="K141" s="487" t="s">
        <v>3857</v>
      </c>
      <c r="L141" s="487" t="s">
        <v>3857</v>
      </c>
      <c r="M141" s="487" t="s">
        <v>3857</v>
      </c>
      <c r="N141" s="487" t="s">
        <v>3857</v>
      </c>
      <c r="O141" s="487" t="s">
        <v>3857</v>
      </c>
      <c r="P141" s="487" t="s">
        <v>3857</v>
      </c>
      <c r="Q141" s="487" t="s">
        <v>3857</v>
      </c>
      <c r="R141" s="487" t="s">
        <v>3857</v>
      </c>
    </row>
    <row r="142" spans="2:18" ht="13.8" thickBot="1">
      <c r="B142" s="523"/>
      <c r="C142" s="522"/>
      <c r="D142" s="477"/>
      <c r="E142" s="477"/>
      <c r="F142" s="477"/>
      <c r="G142" s="477"/>
      <c r="H142" s="477"/>
      <c r="I142" s="496"/>
      <c r="J142" s="487"/>
      <c r="K142" s="487"/>
      <c r="L142" s="487"/>
      <c r="M142" s="487"/>
      <c r="N142" s="487"/>
      <c r="O142" s="487"/>
      <c r="P142" s="487"/>
      <c r="Q142" s="487"/>
      <c r="R142" s="487"/>
    </row>
    <row r="143" spans="2:18" s="464" customFormat="1" ht="13.8" thickBot="1">
      <c r="B143" s="516" t="s">
        <v>3856</v>
      </c>
      <c r="C143" s="519"/>
      <c r="D143" s="517">
        <v>49.414999999999992</v>
      </c>
      <c r="E143" s="518">
        <v>70.746383333333327</v>
      </c>
      <c r="F143" s="517">
        <v>75.653433333333339</v>
      </c>
      <c r="G143" s="517">
        <v>1.5748500000000003</v>
      </c>
      <c r="H143" s="517">
        <v>0.48396024999999998</v>
      </c>
      <c r="I143" s="513" t="s">
        <v>3857</v>
      </c>
      <c r="J143" s="512" t="s">
        <v>3857</v>
      </c>
      <c r="K143" s="512" t="s">
        <v>3857</v>
      </c>
      <c r="L143" s="512" t="s">
        <v>3857</v>
      </c>
      <c r="M143" s="512" t="s">
        <v>3857</v>
      </c>
      <c r="N143" s="512" t="s">
        <v>3857</v>
      </c>
      <c r="O143" s="512" t="s">
        <v>3857</v>
      </c>
      <c r="P143" s="512" t="s">
        <v>3857</v>
      </c>
      <c r="Q143" s="512" t="s">
        <v>3857</v>
      </c>
      <c r="R143" s="512" t="s">
        <v>3857</v>
      </c>
    </row>
    <row r="144" spans="2:18">
      <c r="B144" s="493"/>
      <c r="C144" s="475"/>
      <c r="D144" s="511"/>
      <c r="E144" s="511"/>
      <c r="F144" s="511"/>
      <c r="G144" s="511"/>
      <c r="H144" s="511"/>
      <c r="I144" s="496"/>
      <c r="J144" s="487"/>
      <c r="K144" s="487"/>
      <c r="L144" s="487"/>
      <c r="M144" s="487"/>
      <c r="N144" s="487"/>
      <c r="O144" s="487"/>
      <c r="P144" s="487"/>
      <c r="Q144" s="487"/>
      <c r="R144" s="487"/>
    </row>
    <row r="145" spans="2:18">
      <c r="B145" s="493">
        <v>1995</v>
      </c>
      <c r="C145" s="475" t="s">
        <v>3165</v>
      </c>
      <c r="D145" s="477">
        <v>50.115000000000002</v>
      </c>
      <c r="E145" s="477">
        <v>73.405000000000001</v>
      </c>
      <c r="F145" s="477">
        <v>78.824399999999997</v>
      </c>
      <c r="G145" s="477">
        <v>1.5967</v>
      </c>
      <c r="H145" s="477">
        <v>0.50219999999999998</v>
      </c>
      <c r="I145" s="496" t="s">
        <v>3857</v>
      </c>
      <c r="J145" s="487" t="s">
        <v>3857</v>
      </c>
      <c r="K145" s="487" t="s">
        <v>3857</v>
      </c>
      <c r="L145" s="487" t="s">
        <v>3857</v>
      </c>
      <c r="M145" s="487" t="s">
        <v>3857</v>
      </c>
      <c r="N145" s="487" t="s">
        <v>3857</v>
      </c>
      <c r="O145" s="487" t="s">
        <v>3857</v>
      </c>
      <c r="P145" s="487" t="s">
        <v>3857</v>
      </c>
      <c r="Q145" s="487" t="s">
        <v>3857</v>
      </c>
      <c r="R145" s="487" t="s">
        <v>3857</v>
      </c>
    </row>
    <row r="146" spans="2:18">
      <c r="B146" s="493"/>
      <c r="C146" s="475" t="s">
        <v>3160</v>
      </c>
      <c r="D146" s="477">
        <v>50.2089</v>
      </c>
      <c r="E146" s="477">
        <v>74.198499999999996</v>
      </c>
      <c r="F146" s="477">
        <v>78.944000000000003</v>
      </c>
      <c r="G146" s="477">
        <v>1.5996999999999999</v>
      </c>
      <c r="H146" s="477">
        <v>0.51080000000000003</v>
      </c>
      <c r="I146" s="496" t="s">
        <v>3857</v>
      </c>
      <c r="J146" s="487" t="s">
        <v>3857</v>
      </c>
      <c r="K146" s="487" t="s">
        <v>3857</v>
      </c>
      <c r="L146" s="487" t="s">
        <v>3857</v>
      </c>
      <c r="M146" s="487" t="s">
        <v>3857</v>
      </c>
      <c r="N146" s="487" t="s">
        <v>3857</v>
      </c>
      <c r="O146" s="487" t="s">
        <v>3857</v>
      </c>
      <c r="P146" s="487" t="s">
        <v>3857</v>
      </c>
      <c r="Q146" s="487" t="s">
        <v>3857</v>
      </c>
      <c r="R146" s="487" t="s">
        <v>3857</v>
      </c>
    </row>
    <row r="147" spans="2:18">
      <c r="B147" s="493"/>
      <c r="C147" s="475" t="s">
        <v>3154</v>
      </c>
      <c r="D147" s="477">
        <v>49.959800000000001</v>
      </c>
      <c r="E147" s="477">
        <v>76.799499999999995</v>
      </c>
      <c r="F147" s="477">
        <v>79.956299999999999</v>
      </c>
      <c r="G147" s="477">
        <v>1.5786</v>
      </c>
      <c r="H147" s="477">
        <v>0.55179999999999996</v>
      </c>
      <c r="I147" s="496" t="s">
        <v>3857</v>
      </c>
      <c r="J147" s="487" t="s">
        <v>3857</v>
      </c>
      <c r="K147" s="487" t="s">
        <v>3857</v>
      </c>
      <c r="L147" s="487" t="s">
        <v>3857</v>
      </c>
      <c r="M147" s="487" t="s">
        <v>3857</v>
      </c>
      <c r="N147" s="487" t="s">
        <v>3857</v>
      </c>
      <c r="O147" s="487" t="s">
        <v>3857</v>
      </c>
      <c r="P147" s="487" t="s">
        <v>3857</v>
      </c>
      <c r="Q147" s="487" t="s">
        <v>3857</v>
      </c>
      <c r="R147" s="487" t="s">
        <v>3857</v>
      </c>
    </row>
    <row r="148" spans="2:18">
      <c r="B148" s="493"/>
      <c r="C148" s="475" t="s">
        <v>3148</v>
      </c>
      <c r="D148" s="477">
        <v>49.738300000000002</v>
      </c>
      <c r="E148" s="477">
        <v>78.420500000000004</v>
      </c>
      <c r="F148" s="477">
        <v>80.085800000000006</v>
      </c>
      <c r="G148" s="477">
        <v>1.5833999999999999</v>
      </c>
      <c r="H148" s="477">
        <v>0.59530000000000005</v>
      </c>
      <c r="I148" s="496" t="s">
        <v>3857</v>
      </c>
      <c r="J148" s="487" t="s">
        <v>3857</v>
      </c>
      <c r="K148" s="487" t="s">
        <v>3857</v>
      </c>
      <c r="L148" s="487" t="s">
        <v>3857</v>
      </c>
      <c r="M148" s="487" t="s">
        <v>3857</v>
      </c>
      <c r="N148" s="487" t="s">
        <v>3857</v>
      </c>
      <c r="O148" s="487" t="s">
        <v>3857</v>
      </c>
      <c r="P148" s="487" t="s">
        <v>3857</v>
      </c>
      <c r="Q148" s="487" t="s">
        <v>3857</v>
      </c>
      <c r="R148" s="487" t="s">
        <v>3857</v>
      </c>
    </row>
    <row r="149" spans="2:18">
      <c r="B149" s="493"/>
      <c r="C149" s="475" t="s">
        <v>114</v>
      </c>
      <c r="D149" s="477">
        <v>49.956800000000001</v>
      </c>
      <c r="E149" s="477">
        <v>77.941000000000003</v>
      </c>
      <c r="F149" s="477">
        <v>79.463800000000006</v>
      </c>
      <c r="G149" s="477">
        <v>1.5893999999999999</v>
      </c>
      <c r="H149" s="477">
        <v>0.5897</v>
      </c>
      <c r="I149" s="496" t="s">
        <v>3857</v>
      </c>
      <c r="J149" s="487" t="s">
        <v>3857</v>
      </c>
      <c r="K149" s="487" t="s">
        <v>3857</v>
      </c>
      <c r="L149" s="487" t="s">
        <v>3857</v>
      </c>
      <c r="M149" s="487" t="s">
        <v>3857</v>
      </c>
      <c r="N149" s="487" t="s">
        <v>3857</v>
      </c>
      <c r="O149" s="487" t="s">
        <v>3857</v>
      </c>
      <c r="P149" s="487" t="s">
        <v>3857</v>
      </c>
      <c r="Q149" s="487" t="s">
        <v>3857</v>
      </c>
      <c r="R149" s="487" t="s">
        <v>3857</v>
      </c>
    </row>
    <row r="150" spans="2:18">
      <c r="B150" s="493"/>
      <c r="C150" s="475" t="s">
        <v>3135</v>
      </c>
      <c r="D150" s="477">
        <v>50.268000000000001</v>
      </c>
      <c r="E150" s="477">
        <v>78.592200000000005</v>
      </c>
      <c r="F150" s="477">
        <v>80.193899999999999</v>
      </c>
      <c r="G150" s="477">
        <v>1.5995999999999999</v>
      </c>
      <c r="H150" s="477">
        <v>0.5948</v>
      </c>
      <c r="I150" s="496" t="s">
        <v>3857</v>
      </c>
      <c r="J150" s="487" t="s">
        <v>3857</v>
      </c>
      <c r="K150" s="487" t="s">
        <v>3857</v>
      </c>
      <c r="L150" s="487" t="s">
        <v>3857</v>
      </c>
      <c r="M150" s="487" t="s">
        <v>3857</v>
      </c>
      <c r="N150" s="487" t="s">
        <v>3857</v>
      </c>
      <c r="O150" s="487" t="s">
        <v>3857</v>
      </c>
      <c r="P150" s="487" t="s">
        <v>3857</v>
      </c>
      <c r="Q150" s="487" t="s">
        <v>3857</v>
      </c>
      <c r="R150" s="487" t="s">
        <v>3857</v>
      </c>
    </row>
    <row r="151" spans="2:18">
      <c r="B151" s="493"/>
      <c r="C151" s="475" t="s">
        <v>3125</v>
      </c>
      <c r="D151" s="477">
        <v>50.802300000000002</v>
      </c>
      <c r="E151" s="477">
        <v>79.149699999999996</v>
      </c>
      <c r="F151" s="477">
        <v>81.053200000000004</v>
      </c>
      <c r="G151" s="477">
        <v>1.6177999999999999</v>
      </c>
      <c r="H151" s="477">
        <v>0.5827</v>
      </c>
      <c r="I151" s="496" t="s">
        <v>3857</v>
      </c>
      <c r="J151" s="487" t="s">
        <v>3857</v>
      </c>
      <c r="K151" s="487" t="s">
        <v>3857</v>
      </c>
      <c r="L151" s="487" t="s">
        <v>3857</v>
      </c>
      <c r="M151" s="487" t="s">
        <v>3857</v>
      </c>
      <c r="N151" s="487" t="s">
        <v>3857</v>
      </c>
      <c r="O151" s="487" t="s">
        <v>3857</v>
      </c>
      <c r="P151" s="487" t="s">
        <v>3857</v>
      </c>
      <c r="Q151" s="487" t="s">
        <v>3857</v>
      </c>
      <c r="R151" s="487" t="s">
        <v>3857</v>
      </c>
    </row>
    <row r="152" spans="2:18">
      <c r="B152" s="493"/>
      <c r="C152" s="475" t="s">
        <v>3117</v>
      </c>
      <c r="D152" s="477">
        <v>51.4709</v>
      </c>
      <c r="E152" s="477">
        <v>77.708799999999997</v>
      </c>
      <c r="F152" s="477">
        <v>80.639700000000005</v>
      </c>
      <c r="G152" s="477">
        <v>1.6281000000000001</v>
      </c>
      <c r="H152" s="477">
        <v>0.54430000000000001</v>
      </c>
      <c r="I152" s="496" t="s">
        <v>3857</v>
      </c>
      <c r="J152" s="487" t="s">
        <v>3857</v>
      </c>
      <c r="K152" s="487" t="s">
        <v>3857</v>
      </c>
      <c r="L152" s="487" t="s">
        <v>3857</v>
      </c>
      <c r="M152" s="487" t="s">
        <v>3857</v>
      </c>
      <c r="N152" s="487" t="s">
        <v>3857</v>
      </c>
      <c r="O152" s="487" t="s">
        <v>3857</v>
      </c>
      <c r="P152" s="487" t="s">
        <v>3857</v>
      </c>
      <c r="Q152" s="487" t="s">
        <v>3857</v>
      </c>
      <c r="R152" s="487" t="s">
        <v>3857</v>
      </c>
    </row>
    <row r="153" spans="2:18">
      <c r="B153" s="493"/>
      <c r="C153" s="475" t="s">
        <v>3113</v>
      </c>
      <c r="D153" s="477">
        <v>52.361699999999999</v>
      </c>
      <c r="E153" s="477">
        <v>77.7042</v>
      </c>
      <c r="F153" s="477">
        <v>81.529700000000005</v>
      </c>
      <c r="G153" s="477">
        <v>1.5835999999999999</v>
      </c>
      <c r="H153" s="477">
        <v>0.52039999999999997</v>
      </c>
      <c r="I153" s="496" t="s">
        <v>3857</v>
      </c>
      <c r="J153" s="487" t="s">
        <v>3857</v>
      </c>
      <c r="K153" s="487" t="s">
        <v>3857</v>
      </c>
      <c r="L153" s="487" t="s">
        <v>3857</v>
      </c>
      <c r="M153" s="487" t="s">
        <v>3857</v>
      </c>
      <c r="N153" s="487" t="s">
        <v>3857</v>
      </c>
      <c r="O153" s="487" t="s">
        <v>3857</v>
      </c>
      <c r="P153" s="487" t="s">
        <v>3857</v>
      </c>
      <c r="Q153" s="487" t="s">
        <v>3857</v>
      </c>
      <c r="R153" s="487" t="s">
        <v>3857</v>
      </c>
    </row>
    <row r="154" spans="2:18">
      <c r="B154" s="493"/>
      <c r="C154" s="475" t="s">
        <v>3104</v>
      </c>
      <c r="D154" s="477">
        <v>52.716500000000003</v>
      </c>
      <c r="E154" s="477">
        <v>78.957499999999996</v>
      </c>
      <c r="F154" s="477">
        <v>83.249099999999999</v>
      </c>
      <c r="G154" s="477">
        <v>1.5273000000000001</v>
      </c>
      <c r="H154" s="477">
        <v>0.52339999999999998</v>
      </c>
      <c r="I154" s="496" t="s">
        <v>3857</v>
      </c>
      <c r="J154" s="487" t="s">
        <v>3857</v>
      </c>
      <c r="K154" s="487" t="s">
        <v>3857</v>
      </c>
      <c r="L154" s="487" t="s">
        <v>3857</v>
      </c>
      <c r="M154" s="487" t="s">
        <v>3857</v>
      </c>
      <c r="N154" s="487" t="s">
        <v>3857</v>
      </c>
      <c r="O154" s="487" t="s">
        <v>3857</v>
      </c>
      <c r="P154" s="487" t="s">
        <v>3857</v>
      </c>
      <c r="Q154" s="487" t="s">
        <v>3857</v>
      </c>
      <c r="R154" s="487" t="s">
        <v>3857</v>
      </c>
    </row>
    <row r="155" spans="2:18">
      <c r="B155" s="493"/>
      <c r="C155" s="475" t="s">
        <v>3099</v>
      </c>
      <c r="D155" s="477">
        <v>53.411499999999997</v>
      </c>
      <c r="E155" s="477">
        <v>79.837599999999995</v>
      </c>
      <c r="F155" s="477">
        <v>83.483800000000002</v>
      </c>
      <c r="G155" s="477">
        <v>1.5361</v>
      </c>
      <c r="H155" s="477">
        <v>0.52439999999999998</v>
      </c>
      <c r="I155" s="496" t="s">
        <v>3857</v>
      </c>
      <c r="J155" s="487" t="s">
        <v>3857</v>
      </c>
      <c r="K155" s="487" t="s">
        <v>3857</v>
      </c>
      <c r="L155" s="487" t="s">
        <v>3857</v>
      </c>
      <c r="M155" s="487" t="s">
        <v>3857</v>
      </c>
      <c r="N155" s="487" t="s">
        <v>3857</v>
      </c>
      <c r="O155" s="487" t="s">
        <v>3857</v>
      </c>
      <c r="P155" s="487" t="s">
        <v>3857</v>
      </c>
      <c r="Q155" s="487" t="s">
        <v>3857</v>
      </c>
      <c r="R155" s="487" t="s">
        <v>3857</v>
      </c>
    </row>
    <row r="156" spans="2:18">
      <c r="B156" s="493"/>
      <c r="C156" s="475" t="s">
        <v>3094</v>
      </c>
      <c r="D156" s="477">
        <v>54.0092</v>
      </c>
      <c r="E156" s="477">
        <v>80.212900000000005</v>
      </c>
      <c r="F156" s="477">
        <v>83.159400000000005</v>
      </c>
      <c r="G156" s="477">
        <v>1.5457000000000001</v>
      </c>
      <c r="H156" s="477">
        <v>0.53069999999999995</v>
      </c>
      <c r="I156" s="496" t="s">
        <v>3857</v>
      </c>
      <c r="J156" s="487" t="s">
        <v>3857</v>
      </c>
      <c r="K156" s="487" t="s">
        <v>3857</v>
      </c>
      <c r="L156" s="487" t="s">
        <v>3857</v>
      </c>
      <c r="M156" s="487" t="s">
        <v>3857</v>
      </c>
      <c r="N156" s="487" t="s">
        <v>3857</v>
      </c>
      <c r="O156" s="487" t="s">
        <v>3857</v>
      </c>
      <c r="P156" s="487" t="s">
        <v>3857</v>
      </c>
      <c r="Q156" s="487" t="s">
        <v>3857</v>
      </c>
      <c r="R156" s="487" t="s">
        <v>3857</v>
      </c>
    </row>
    <row r="157" spans="2:18" ht="13.8" thickBot="1">
      <c r="B157" s="523"/>
      <c r="C157" s="522"/>
      <c r="D157" s="477"/>
      <c r="E157" s="477"/>
      <c r="F157" s="477"/>
      <c r="G157" s="477"/>
      <c r="H157" s="477"/>
      <c r="I157" s="496"/>
      <c r="J157" s="487"/>
      <c r="K157" s="487"/>
      <c r="L157" s="487"/>
      <c r="M157" s="487"/>
      <c r="N157" s="487"/>
      <c r="O157" s="487"/>
      <c r="P157" s="487"/>
      <c r="Q157" s="487"/>
      <c r="R157" s="487"/>
    </row>
    <row r="158" spans="2:18" s="464" customFormat="1" ht="13.8" thickBot="1">
      <c r="B158" s="516" t="s">
        <v>3856</v>
      </c>
      <c r="C158" s="519"/>
      <c r="D158" s="517">
        <v>51.251574999999995</v>
      </c>
      <c r="E158" s="518">
        <v>77.743949999999998</v>
      </c>
      <c r="F158" s="517">
        <v>80.88192500000001</v>
      </c>
      <c r="G158" s="517">
        <v>1.5821666666666667</v>
      </c>
      <c r="H158" s="517">
        <v>0.54754166666666659</v>
      </c>
      <c r="I158" s="513" t="s">
        <v>3857</v>
      </c>
      <c r="J158" s="512" t="s">
        <v>3857</v>
      </c>
      <c r="K158" s="512" t="s">
        <v>3857</v>
      </c>
      <c r="L158" s="512" t="s">
        <v>3857</v>
      </c>
      <c r="M158" s="512" t="s">
        <v>3857</v>
      </c>
      <c r="N158" s="512" t="s">
        <v>3857</v>
      </c>
      <c r="O158" s="512" t="s">
        <v>3857</v>
      </c>
      <c r="P158" s="512" t="s">
        <v>3857</v>
      </c>
      <c r="Q158" s="512" t="s">
        <v>3857</v>
      </c>
      <c r="R158" s="512" t="s">
        <v>3857</v>
      </c>
    </row>
    <row r="159" spans="2:18">
      <c r="B159" s="493"/>
      <c r="C159" s="475"/>
      <c r="D159" s="511"/>
      <c r="E159" s="511"/>
      <c r="F159" s="511"/>
      <c r="G159" s="511"/>
      <c r="H159" s="511"/>
      <c r="I159" s="496"/>
      <c r="J159" s="487"/>
      <c r="K159" s="487"/>
      <c r="L159" s="487"/>
      <c r="M159" s="487"/>
      <c r="N159" s="487"/>
      <c r="O159" s="487"/>
      <c r="P159" s="487"/>
      <c r="Q159" s="487"/>
      <c r="R159" s="487"/>
    </row>
    <row r="160" spans="2:18">
      <c r="B160" s="493">
        <v>1996</v>
      </c>
      <c r="C160" s="475" t="s">
        <v>3165</v>
      </c>
      <c r="D160" s="477">
        <v>54.154499999999999</v>
      </c>
      <c r="E160" s="477">
        <v>79.460599999999999</v>
      </c>
      <c r="F160" s="477">
        <v>82.8476</v>
      </c>
      <c r="G160" s="477">
        <v>1.5364</v>
      </c>
      <c r="H160" s="477">
        <v>0.51311700000000005</v>
      </c>
      <c r="I160" s="496" t="s">
        <v>3857</v>
      </c>
      <c r="J160" s="487" t="s">
        <v>3857</v>
      </c>
      <c r="K160" s="487" t="s">
        <v>3857</v>
      </c>
      <c r="L160" s="487" t="s">
        <v>3857</v>
      </c>
      <c r="M160" s="487" t="s">
        <v>3857</v>
      </c>
      <c r="N160" s="487" t="s">
        <v>3857</v>
      </c>
      <c r="O160" s="487" t="s">
        <v>3857</v>
      </c>
      <c r="P160" s="487" t="s">
        <v>3857</v>
      </c>
      <c r="Q160" s="487" t="s">
        <v>3857</v>
      </c>
      <c r="R160" s="487" t="s">
        <v>3857</v>
      </c>
    </row>
    <row r="161" spans="2:18">
      <c r="B161" s="493"/>
      <c r="C161" s="475" t="s">
        <v>3160</v>
      </c>
      <c r="D161" s="477">
        <v>54.184199999999997</v>
      </c>
      <c r="E161" s="477">
        <v>79.441199999999995</v>
      </c>
      <c r="F161" s="477">
        <v>83.236800000000002</v>
      </c>
      <c r="G161" s="477">
        <v>1.4988999999999999</v>
      </c>
      <c r="H161" s="477">
        <v>0.51228200000000002</v>
      </c>
      <c r="I161" s="496" t="s">
        <v>3857</v>
      </c>
      <c r="J161" s="487" t="s">
        <v>3857</v>
      </c>
      <c r="K161" s="487" t="s">
        <v>3857</v>
      </c>
      <c r="L161" s="487" t="s">
        <v>3857</v>
      </c>
      <c r="M161" s="487" t="s">
        <v>3857</v>
      </c>
      <c r="N161" s="487" t="s">
        <v>3857</v>
      </c>
      <c r="O161" s="487" t="s">
        <v>3857</v>
      </c>
      <c r="P161" s="487" t="s">
        <v>3857</v>
      </c>
      <c r="Q161" s="487" t="s">
        <v>3857</v>
      </c>
      <c r="R161" s="487" t="s">
        <v>3857</v>
      </c>
    </row>
    <row r="162" spans="2:18">
      <c r="B162" s="493"/>
      <c r="C162" s="475" t="s">
        <v>3154</v>
      </c>
      <c r="D162" s="477">
        <v>54.160899999999998</v>
      </c>
      <c r="E162" s="477">
        <v>79.165099999999995</v>
      </c>
      <c r="F162" s="477">
        <v>82.731999999999999</v>
      </c>
      <c r="G162" s="477">
        <v>1.4861</v>
      </c>
      <c r="H162" s="477">
        <v>0.51135600000000003</v>
      </c>
      <c r="I162" s="496" t="s">
        <v>3857</v>
      </c>
      <c r="J162" s="487" t="s">
        <v>3857</v>
      </c>
      <c r="K162" s="487" t="s">
        <v>3857</v>
      </c>
      <c r="L162" s="487" t="s">
        <v>3857</v>
      </c>
      <c r="M162" s="487" t="s">
        <v>3857</v>
      </c>
      <c r="N162" s="487" t="s">
        <v>3857</v>
      </c>
      <c r="O162" s="487" t="s">
        <v>3857</v>
      </c>
      <c r="P162" s="487" t="s">
        <v>3857</v>
      </c>
      <c r="Q162" s="487" t="s">
        <v>3857</v>
      </c>
      <c r="R162" s="487" t="s">
        <v>3857</v>
      </c>
    </row>
    <row r="163" spans="2:18">
      <c r="B163" s="493"/>
      <c r="C163" s="475" t="s">
        <v>3148</v>
      </c>
      <c r="D163" s="477">
        <v>54.197400000000002</v>
      </c>
      <c r="E163" s="477">
        <v>78.594499999999996</v>
      </c>
      <c r="F163" s="477">
        <v>82.177000000000007</v>
      </c>
      <c r="G163" s="477">
        <v>1.5645</v>
      </c>
      <c r="H163" s="477">
        <v>0.50463400000000003</v>
      </c>
      <c r="I163" s="496" t="s">
        <v>3857</v>
      </c>
      <c r="J163" s="487" t="s">
        <v>3857</v>
      </c>
      <c r="K163" s="487" t="s">
        <v>3857</v>
      </c>
      <c r="L163" s="487" t="s">
        <v>3857</v>
      </c>
      <c r="M163" s="487" t="s">
        <v>3857</v>
      </c>
      <c r="N163" s="487" t="s">
        <v>3857</v>
      </c>
      <c r="O163" s="487" t="s">
        <v>3857</v>
      </c>
      <c r="P163" s="487" t="s">
        <v>3857</v>
      </c>
      <c r="Q163" s="487" t="s">
        <v>3857</v>
      </c>
      <c r="R163" s="487" t="s">
        <v>3857</v>
      </c>
    </row>
    <row r="164" spans="2:18">
      <c r="B164" s="493"/>
      <c r="C164" s="475" t="s">
        <v>114</v>
      </c>
      <c r="D164" s="477">
        <v>54.413800000000002</v>
      </c>
      <c r="E164" s="477">
        <v>78.591300000000004</v>
      </c>
      <c r="F164" s="477">
        <v>82.405600000000007</v>
      </c>
      <c r="G164" s="477">
        <v>1.5788</v>
      </c>
      <c r="H164" s="477">
        <v>0.51118600000000003</v>
      </c>
      <c r="I164" s="496" t="s">
        <v>3857</v>
      </c>
      <c r="J164" s="487" t="s">
        <v>3857</v>
      </c>
      <c r="K164" s="487" t="s">
        <v>3857</v>
      </c>
      <c r="L164" s="487" t="s">
        <v>3857</v>
      </c>
      <c r="M164" s="487" t="s">
        <v>3857</v>
      </c>
      <c r="N164" s="487" t="s">
        <v>3857</v>
      </c>
      <c r="O164" s="487" t="s">
        <v>3857</v>
      </c>
      <c r="P164" s="487" t="s">
        <v>3857</v>
      </c>
      <c r="Q164" s="487" t="s">
        <v>3857</v>
      </c>
      <c r="R164" s="487" t="s">
        <v>3857</v>
      </c>
    </row>
    <row r="165" spans="2:18">
      <c r="B165" s="493"/>
      <c r="C165" s="475" t="s">
        <v>3135</v>
      </c>
      <c r="D165" s="477">
        <v>54.969000000000001</v>
      </c>
      <c r="E165" s="477">
        <v>79.315200000000004</v>
      </c>
      <c r="F165" s="477">
        <v>84.774500000000003</v>
      </c>
      <c r="G165" s="477">
        <v>1.5749</v>
      </c>
      <c r="H165" s="477">
        <v>0.50482400000000005</v>
      </c>
      <c r="I165" s="496" t="s">
        <v>3857</v>
      </c>
      <c r="J165" s="487" t="s">
        <v>3857</v>
      </c>
      <c r="K165" s="487" t="s">
        <v>3857</v>
      </c>
      <c r="L165" s="487" t="s">
        <v>3857</v>
      </c>
      <c r="M165" s="487" t="s">
        <v>3857</v>
      </c>
      <c r="N165" s="487" t="s">
        <v>3857</v>
      </c>
      <c r="O165" s="487" t="s">
        <v>3857</v>
      </c>
      <c r="P165" s="487" t="s">
        <v>3857</v>
      </c>
      <c r="Q165" s="487" t="s">
        <v>3857</v>
      </c>
      <c r="R165" s="487" t="s">
        <v>3857</v>
      </c>
    </row>
    <row r="166" spans="2:18">
      <c r="B166" s="493"/>
      <c r="C166" s="475" t="s">
        <v>3125</v>
      </c>
      <c r="D166" s="477">
        <v>55.508200000000002</v>
      </c>
      <c r="E166" s="477">
        <v>80.437899999999999</v>
      </c>
      <c r="F166" s="477">
        <v>86.215999999999994</v>
      </c>
      <c r="G166" s="477">
        <v>1.5845</v>
      </c>
      <c r="H166" s="477">
        <v>0.50738799999999995</v>
      </c>
      <c r="I166" s="496" t="s">
        <v>3857</v>
      </c>
      <c r="J166" s="487" t="s">
        <v>3857</v>
      </c>
      <c r="K166" s="487" t="s">
        <v>3857</v>
      </c>
      <c r="L166" s="487" t="s">
        <v>3857</v>
      </c>
      <c r="M166" s="487" t="s">
        <v>3857</v>
      </c>
      <c r="N166" s="487" t="s">
        <v>3857</v>
      </c>
      <c r="O166" s="487" t="s">
        <v>3857</v>
      </c>
      <c r="P166" s="487" t="s">
        <v>3857</v>
      </c>
      <c r="Q166" s="487" t="s">
        <v>3857</v>
      </c>
      <c r="R166" s="487" t="s">
        <v>3857</v>
      </c>
    </row>
    <row r="167" spans="2:18">
      <c r="B167" s="493"/>
      <c r="C167" s="475" t="s">
        <v>3117</v>
      </c>
      <c r="D167" s="477">
        <v>55.796799999999998</v>
      </c>
      <c r="E167" s="477">
        <v>81.367900000000006</v>
      </c>
      <c r="F167" s="477">
        <v>86.485299999999995</v>
      </c>
      <c r="G167" s="477">
        <v>1.5687</v>
      </c>
      <c r="H167" s="477">
        <v>0.51766000000000001</v>
      </c>
      <c r="I167" s="496" t="s">
        <v>3857</v>
      </c>
      <c r="J167" s="487" t="s">
        <v>3857</v>
      </c>
      <c r="K167" s="487" t="s">
        <v>3857</v>
      </c>
      <c r="L167" s="487" t="s">
        <v>3857</v>
      </c>
      <c r="M167" s="487" t="s">
        <v>3857</v>
      </c>
      <c r="N167" s="487" t="s">
        <v>3857</v>
      </c>
      <c r="O167" s="487" t="s">
        <v>3857</v>
      </c>
      <c r="P167" s="487" t="s">
        <v>3857</v>
      </c>
      <c r="Q167" s="487" t="s">
        <v>3857</v>
      </c>
      <c r="R167" s="487" t="s">
        <v>3857</v>
      </c>
    </row>
    <row r="168" spans="2:18">
      <c r="B168" s="493"/>
      <c r="C168" s="475" t="s">
        <v>3113</v>
      </c>
      <c r="D168" s="477">
        <v>56.195500000000003</v>
      </c>
      <c r="E168" s="477">
        <v>81.391000000000005</v>
      </c>
      <c r="F168" s="477">
        <v>87.627700000000004</v>
      </c>
      <c r="G168" s="477">
        <v>1.5771999999999999</v>
      </c>
      <c r="H168" s="477">
        <v>0.51209300000000002</v>
      </c>
      <c r="I168" s="496" t="s">
        <v>3857</v>
      </c>
      <c r="J168" s="487" t="s">
        <v>3857</v>
      </c>
      <c r="K168" s="487" t="s">
        <v>3857</v>
      </c>
      <c r="L168" s="487" t="s">
        <v>3857</v>
      </c>
      <c r="M168" s="487" t="s">
        <v>3857</v>
      </c>
      <c r="N168" s="487" t="s">
        <v>3857</v>
      </c>
      <c r="O168" s="487" t="s">
        <v>3857</v>
      </c>
      <c r="P168" s="487" t="s">
        <v>3857</v>
      </c>
      <c r="Q168" s="487" t="s">
        <v>3857</v>
      </c>
      <c r="R168" s="487" t="s">
        <v>3857</v>
      </c>
    </row>
    <row r="169" spans="2:18">
      <c r="B169" s="493"/>
      <c r="C169" s="475" t="s">
        <v>3104</v>
      </c>
      <c r="D169" s="477">
        <v>56.526000000000003</v>
      </c>
      <c r="E169" s="477">
        <v>81.379800000000003</v>
      </c>
      <c r="F169" s="477">
        <v>89.532200000000003</v>
      </c>
      <c r="G169" s="477">
        <v>1.585</v>
      </c>
      <c r="H169" s="477">
        <v>0.50330200000000003</v>
      </c>
      <c r="I169" s="496" t="s">
        <v>3857</v>
      </c>
      <c r="J169" s="487" t="s">
        <v>3857</v>
      </c>
      <c r="K169" s="487" t="s">
        <v>3857</v>
      </c>
      <c r="L169" s="487" t="s">
        <v>3857</v>
      </c>
      <c r="M169" s="487" t="s">
        <v>3857</v>
      </c>
      <c r="N169" s="487" t="s">
        <v>3857</v>
      </c>
      <c r="O169" s="487" t="s">
        <v>3857</v>
      </c>
      <c r="P169" s="487" t="s">
        <v>3857</v>
      </c>
      <c r="Q169" s="487" t="s">
        <v>3857</v>
      </c>
      <c r="R169" s="487" t="s">
        <v>3857</v>
      </c>
    </row>
    <row r="170" spans="2:18">
      <c r="B170" s="493"/>
      <c r="C170" s="475" t="s">
        <v>3099</v>
      </c>
      <c r="D170" s="477">
        <v>56.512999999999998</v>
      </c>
      <c r="E170" s="477">
        <v>82.110900000000001</v>
      </c>
      <c r="F170" s="477">
        <v>93.900700000000001</v>
      </c>
      <c r="G170" s="477">
        <v>1.5868</v>
      </c>
      <c r="H170" s="477">
        <v>0.50333300000000003</v>
      </c>
      <c r="I170" s="496" t="s">
        <v>3857</v>
      </c>
      <c r="J170" s="487" t="s">
        <v>3857</v>
      </c>
      <c r="K170" s="487" t="s">
        <v>3857</v>
      </c>
      <c r="L170" s="487" t="s">
        <v>3857</v>
      </c>
      <c r="M170" s="487" t="s">
        <v>3857</v>
      </c>
      <c r="N170" s="487" t="s">
        <v>3857</v>
      </c>
      <c r="O170" s="487" t="s">
        <v>3857</v>
      </c>
      <c r="P170" s="487" t="s">
        <v>3857</v>
      </c>
      <c r="Q170" s="487" t="s">
        <v>3857</v>
      </c>
      <c r="R170" s="487" t="s">
        <v>3857</v>
      </c>
    </row>
    <row r="171" spans="2:18">
      <c r="B171" s="493"/>
      <c r="C171" s="475" t="s">
        <v>3094</v>
      </c>
      <c r="D171" s="477">
        <v>56.642899999999997</v>
      </c>
      <c r="E171" s="477">
        <v>81.465999999999994</v>
      </c>
      <c r="F171" s="477">
        <v>94.183800000000005</v>
      </c>
      <c r="G171" s="477">
        <v>1.5855999999999999</v>
      </c>
      <c r="H171" s="477">
        <v>0.49793399999999999</v>
      </c>
      <c r="I171" s="496" t="s">
        <v>3857</v>
      </c>
      <c r="J171" s="487" t="s">
        <v>3857</v>
      </c>
      <c r="K171" s="487" t="s">
        <v>3857</v>
      </c>
      <c r="L171" s="487" t="s">
        <v>3857</v>
      </c>
      <c r="M171" s="487" t="s">
        <v>3857</v>
      </c>
      <c r="N171" s="487" t="s">
        <v>3857</v>
      </c>
      <c r="O171" s="487" t="s">
        <v>3857</v>
      </c>
      <c r="P171" s="487" t="s">
        <v>3857</v>
      </c>
      <c r="Q171" s="487" t="s">
        <v>3857</v>
      </c>
      <c r="R171" s="487" t="s">
        <v>3857</v>
      </c>
    </row>
    <row r="172" spans="2:18" ht="13.8" thickBot="1">
      <c r="B172" s="523"/>
      <c r="C172" s="522"/>
      <c r="D172" s="477"/>
      <c r="E172" s="477"/>
      <c r="F172" s="477"/>
      <c r="G172" s="477"/>
      <c r="H172" s="477"/>
      <c r="I172" s="496"/>
      <c r="J172" s="487"/>
      <c r="K172" s="487"/>
      <c r="L172" s="487"/>
      <c r="M172" s="487"/>
      <c r="N172" s="487"/>
      <c r="O172" s="487"/>
      <c r="P172" s="487"/>
      <c r="Q172" s="487"/>
      <c r="R172" s="487"/>
    </row>
    <row r="173" spans="2:18" s="464" customFormat="1" ht="13.8" thickBot="1">
      <c r="B173" s="516" t="s">
        <v>3856</v>
      </c>
      <c r="C173" s="519"/>
      <c r="D173" s="517">
        <v>55.271849999999993</v>
      </c>
      <c r="E173" s="518">
        <v>80.22678333333333</v>
      </c>
      <c r="F173" s="517">
        <v>86.343266666666679</v>
      </c>
      <c r="G173" s="517">
        <v>1.5606166666666665</v>
      </c>
      <c r="H173" s="517">
        <v>0.50825908333333347</v>
      </c>
      <c r="I173" s="513" t="s">
        <v>3857</v>
      </c>
      <c r="J173" s="512" t="s">
        <v>3857</v>
      </c>
      <c r="K173" s="512" t="s">
        <v>3857</v>
      </c>
      <c r="L173" s="512" t="s">
        <v>3857</v>
      </c>
      <c r="M173" s="512" t="s">
        <v>3857</v>
      </c>
      <c r="N173" s="512" t="s">
        <v>3857</v>
      </c>
      <c r="O173" s="512" t="s">
        <v>3857</v>
      </c>
      <c r="P173" s="512" t="s">
        <v>3857</v>
      </c>
      <c r="Q173" s="512" t="s">
        <v>3857</v>
      </c>
      <c r="R173" s="512" t="s">
        <v>3857</v>
      </c>
    </row>
    <row r="174" spans="2:18">
      <c r="B174" s="493"/>
      <c r="C174" s="475"/>
      <c r="D174" s="511"/>
      <c r="E174" s="511"/>
      <c r="F174" s="511"/>
      <c r="G174" s="511"/>
      <c r="H174" s="511"/>
      <c r="I174" s="496"/>
      <c r="J174" s="487"/>
      <c r="K174" s="487"/>
      <c r="L174" s="487"/>
      <c r="M174" s="487"/>
      <c r="N174" s="487"/>
      <c r="O174" s="487"/>
      <c r="P174" s="487"/>
      <c r="Q174" s="487"/>
      <c r="R174" s="487"/>
    </row>
    <row r="175" spans="2:18">
      <c r="B175" s="493">
        <v>1997</v>
      </c>
      <c r="C175" s="475" t="s">
        <v>3165</v>
      </c>
      <c r="D175" s="477">
        <v>56.9099</v>
      </c>
      <c r="E175" s="477">
        <v>80.615899999999996</v>
      </c>
      <c r="F175" s="477">
        <v>94.906000000000006</v>
      </c>
      <c r="G175" s="477">
        <v>1.5886</v>
      </c>
      <c r="H175" s="477">
        <v>0.483788</v>
      </c>
      <c r="I175" s="496" t="s">
        <v>3857</v>
      </c>
      <c r="J175" s="487" t="s">
        <v>3857</v>
      </c>
      <c r="K175" s="487" t="s">
        <v>3857</v>
      </c>
      <c r="L175" s="487" t="s">
        <v>3857</v>
      </c>
      <c r="M175" s="487" t="s">
        <v>3857</v>
      </c>
      <c r="N175" s="487" t="s">
        <v>3857</v>
      </c>
      <c r="O175" s="487" t="s">
        <v>3857</v>
      </c>
      <c r="P175" s="487" t="s">
        <v>3857</v>
      </c>
      <c r="Q175" s="487" t="s">
        <v>3857</v>
      </c>
      <c r="R175" s="487" t="s">
        <v>3857</v>
      </c>
    </row>
    <row r="176" spans="2:18">
      <c r="B176" s="493"/>
      <c r="C176" s="475" t="s">
        <v>3160</v>
      </c>
      <c r="D176" s="477">
        <v>57.3934</v>
      </c>
      <c r="E176" s="477">
        <v>79.4345</v>
      </c>
      <c r="F176" s="477">
        <v>93.357299999999995</v>
      </c>
      <c r="G176" s="477">
        <v>1.6008</v>
      </c>
      <c r="H176" s="477">
        <v>0.466308</v>
      </c>
      <c r="I176" s="496" t="s">
        <v>3857</v>
      </c>
      <c r="J176" s="487" t="s">
        <v>3857</v>
      </c>
      <c r="K176" s="487" t="s">
        <v>3857</v>
      </c>
      <c r="L176" s="487" t="s">
        <v>3857</v>
      </c>
      <c r="M176" s="487" t="s">
        <v>3857</v>
      </c>
      <c r="N176" s="487" t="s">
        <v>3857</v>
      </c>
      <c r="O176" s="487" t="s">
        <v>3857</v>
      </c>
      <c r="P176" s="487" t="s">
        <v>3857</v>
      </c>
      <c r="Q176" s="487" t="s">
        <v>3857</v>
      </c>
      <c r="R176" s="487" t="s">
        <v>3857</v>
      </c>
    </row>
    <row r="177" spans="2:18">
      <c r="B177" s="493"/>
      <c r="C177" s="475" t="s">
        <v>3154</v>
      </c>
      <c r="D177" s="477">
        <v>57.782299999999999</v>
      </c>
      <c r="E177" s="477">
        <v>79.618099999999998</v>
      </c>
      <c r="F177" s="477">
        <v>92.937700000000007</v>
      </c>
      <c r="G177" s="477">
        <v>1.6109</v>
      </c>
      <c r="H177" s="477">
        <v>0.47125299999999998</v>
      </c>
      <c r="I177" s="496" t="s">
        <v>3857</v>
      </c>
      <c r="J177" s="487" t="s">
        <v>3857</v>
      </c>
      <c r="K177" s="487" t="s">
        <v>3857</v>
      </c>
      <c r="L177" s="487" t="s">
        <v>3857</v>
      </c>
      <c r="M177" s="487" t="s">
        <v>3857</v>
      </c>
      <c r="N177" s="487" t="s">
        <v>3857</v>
      </c>
      <c r="O177" s="487" t="s">
        <v>3857</v>
      </c>
      <c r="P177" s="487" t="s">
        <v>3857</v>
      </c>
      <c r="Q177" s="487" t="s">
        <v>3857</v>
      </c>
      <c r="R177" s="487" t="s">
        <v>3857</v>
      </c>
    </row>
    <row r="178" spans="2:18">
      <c r="B178" s="493"/>
      <c r="C178" s="475" t="s">
        <v>3148</v>
      </c>
      <c r="D178" s="477">
        <v>58.411700000000003</v>
      </c>
      <c r="E178" s="477">
        <v>80.144800000000004</v>
      </c>
      <c r="F178" s="477">
        <v>95.279499999999999</v>
      </c>
      <c r="G178" s="477">
        <v>1.6291</v>
      </c>
      <c r="H178" s="477">
        <v>0.46529599999999999</v>
      </c>
      <c r="I178" s="496" t="s">
        <v>3857</v>
      </c>
      <c r="J178" s="487" t="s">
        <v>3857</v>
      </c>
      <c r="K178" s="487" t="s">
        <v>3857</v>
      </c>
      <c r="L178" s="487" t="s">
        <v>3857</v>
      </c>
      <c r="M178" s="487" t="s">
        <v>3857</v>
      </c>
      <c r="N178" s="487" t="s">
        <v>3857</v>
      </c>
      <c r="O178" s="487" t="s">
        <v>3857</v>
      </c>
      <c r="P178" s="487" t="s">
        <v>3857</v>
      </c>
      <c r="Q178" s="487" t="s">
        <v>3857</v>
      </c>
      <c r="R178" s="487" t="s">
        <v>3857</v>
      </c>
    </row>
    <row r="179" spans="2:18">
      <c r="B179" s="493"/>
      <c r="C179" s="475" t="s">
        <v>114</v>
      </c>
      <c r="D179" s="477">
        <v>58.797199999999997</v>
      </c>
      <c r="E179" s="477">
        <v>81.428100000000001</v>
      </c>
      <c r="F179" s="477">
        <v>95.904300000000006</v>
      </c>
      <c r="G179" s="477">
        <v>1.6445000000000001</v>
      </c>
      <c r="H179" s="477">
        <v>0.49296299999999998</v>
      </c>
      <c r="I179" s="496" t="s">
        <v>3857</v>
      </c>
      <c r="J179" s="487" t="s">
        <v>3857</v>
      </c>
      <c r="K179" s="487" t="s">
        <v>3857</v>
      </c>
      <c r="L179" s="487" t="s">
        <v>3857</v>
      </c>
      <c r="M179" s="487" t="s">
        <v>3857</v>
      </c>
      <c r="N179" s="487" t="s">
        <v>3857</v>
      </c>
      <c r="O179" s="487" t="s">
        <v>3857</v>
      </c>
      <c r="P179" s="487" t="s">
        <v>3857</v>
      </c>
      <c r="Q179" s="487" t="s">
        <v>3857</v>
      </c>
      <c r="R179" s="487" t="s">
        <v>3857</v>
      </c>
    </row>
    <row r="180" spans="2:18">
      <c r="B180" s="493"/>
      <c r="C180" s="475" t="s">
        <v>3135</v>
      </c>
      <c r="D180" s="477">
        <v>58.968400000000003</v>
      </c>
      <c r="E180" s="477">
        <v>81.987700000000004</v>
      </c>
      <c r="F180" s="477">
        <v>96.954899999999995</v>
      </c>
      <c r="G180" s="477">
        <v>1.6486000000000001</v>
      </c>
      <c r="H180" s="477">
        <v>0.51629700000000001</v>
      </c>
      <c r="I180" s="496" t="s">
        <v>3857</v>
      </c>
      <c r="J180" s="487" t="s">
        <v>3857</v>
      </c>
      <c r="K180" s="487" t="s">
        <v>3857</v>
      </c>
      <c r="L180" s="487" t="s">
        <v>3857</v>
      </c>
      <c r="M180" s="487" t="s">
        <v>3857</v>
      </c>
      <c r="N180" s="487" t="s">
        <v>3857</v>
      </c>
      <c r="O180" s="487" t="s">
        <v>3857</v>
      </c>
      <c r="P180" s="487" t="s">
        <v>3857</v>
      </c>
      <c r="Q180" s="487" t="s">
        <v>3857</v>
      </c>
      <c r="R180" s="487" t="s">
        <v>3857</v>
      </c>
    </row>
    <row r="181" spans="2:18">
      <c r="B181" s="493"/>
      <c r="C181" s="475" t="s">
        <v>3125</v>
      </c>
      <c r="D181" s="477">
        <v>59.194000000000003</v>
      </c>
      <c r="E181" s="477">
        <v>81.535200000000003</v>
      </c>
      <c r="F181" s="477">
        <v>98.977000000000004</v>
      </c>
      <c r="G181" s="477">
        <v>1.6546000000000001</v>
      </c>
      <c r="H181" s="477">
        <v>0.51449800000000001</v>
      </c>
      <c r="I181" s="496" t="s">
        <v>3857</v>
      </c>
      <c r="J181" s="487" t="s">
        <v>3857</v>
      </c>
      <c r="K181" s="487" t="s">
        <v>3857</v>
      </c>
      <c r="L181" s="487" t="s">
        <v>3857</v>
      </c>
      <c r="M181" s="487" t="s">
        <v>3857</v>
      </c>
      <c r="N181" s="487" t="s">
        <v>3857</v>
      </c>
      <c r="O181" s="487" t="s">
        <v>3857</v>
      </c>
      <c r="P181" s="487" t="s">
        <v>3857</v>
      </c>
      <c r="Q181" s="487" t="s">
        <v>3857</v>
      </c>
      <c r="R181" s="487" t="s">
        <v>3857</v>
      </c>
    </row>
    <row r="182" spans="2:18">
      <c r="B182" s="493"/>
      <c r="C182" s="475" t="s">
        <v>3117</v>
      </c>
      <c r="D182" s="477">
        <v>59.503599999999999</v>
      </c>
      <c r="E182" s="477">
        <v>80.548299999999998</v>
      </c>
      <c r="F182" s="477">
        <v>95.485900000000001</v>
      </c>
      <c r="G182" s="477">
        <v>1.667</v>
      </c>
      <c r="H182" s="477">
        <v>0.50482499999999997</v>
      </c>
      <c r="I182" s="496" t="s">
        <v>3857</v>
      </c>
      <c r="J182" s="487" t="s">
        <v>3857</v>
      </c>
      <c r="K182" s="487" t="s">
        <v>3857</v>
      </c>
      <c r="L182" s="487" t="s">
        <v>3857</v>
      </c>
      <c r="M182" s="487" t="s">
        <v>3857</v>
      </c>
      <c r="N182" s="487" t="s">
        <v>3857</v>
      </c>
      <c r="O182" s="487" t="s">
        <v>3857</v>
      </c>
      <c r="P182" s="487" t="s">
        <v>3857</v>
      </c>
      <c r="Q182" s="487" t="s">
        <v>3857</v>
      </c>
      <c r="R182" s="487" t="s">
        <v>3857</v>
      </c>
    </row>
    <row r="183" spans="2:18">
      <c r="B183" s="493"/>
      <c r="C183" s="475" t="s">
        <v>3113</v>
      </c>
      <c r="D183" s="477">
        <v>59.672400000000003</v>
      </c>
      <c r="E183" s="477">
        <v>81.108199999999997</v>
      </c>
      <c r="F183" s="477">
        <v>95.536500000000004</v>
      </c>
      <c r="G183" s="477">
        <v>1.65</v>
      </c>
      <c r="H183" s="477">
        <v>0.494056</v>
      </c>
      <c r="I183" s="496" t="s">
        <v>3857</v>
      </c>
      <c r="J183" s="487" t="s">
        <v>3857</v>
      </c>
      <c r="K183" s="487" t="s">
        <v>3857</v>
      </c>
      <c r="L183" s="487" t="s">
        <v>3857</v>
      </c>
      <c r="M183" s="487" t="s">
        <v>3857</v>
      </c>
      <c r="N183" s="487" t="s">
        <v>3857</v>
      </c>
      <c r="O183" s="487" t="s">
        <v>3857</v>
      </c>
      <c r="P183" s="487" t="s">
        <v>3857</v>
      </c>
      <c r="Q183" s="487" t="s">
        <v>3857</v>
      </c>
      <c r="R183" s="487" t="s">
        <v>3857</v>
      </c>
    </row>
    <row r="184" spans="2:18">
      <c r="B184" s="493"/>
      <c r="C184" s="475" t="s">
        <v>3104</v>
      </c>
      <c r="D184" s="477">
        <v>59.939300000000003</v>
      </c>
      <c r="E184" s="477">
        <v>82.083799999999997</v>
      </c>
      <c r="F184" s="477">
        <v>97.738100000000003</v>
      </c>
      <c r="G184" s="477">
        <v>1.6554</v>
      </c>
      <c r="H184" s="477">
        <v>0.49486999999999998</v>
      </c>
      <c r="I184" s="496" t="s">
        <v>3857</v>
      </c>
      <c r="J184" s="487" t="s">
        <v>3857</v>
      </c>
      <c r="K184" s="487" t="s">
        <v>3857</v>
      </c>
      <c r="L184" s="487" t="s">
        <v>3857</v>
      </c>
      <c r="M184" s="487" t="s">
        <v>3857</v>
      </c>
      <c r="N184" s="487" t="s">
        <v>3857</v>
      </c>
      <c r="O184" s="487" t="s">
        <v>3857</v>
      </c>
      <c r="P184" s="487" t="s">
        <v>3857</v>
      </c>
      <c r="Q184" s="487" t="s">
        <v>3857</v>
      </c>
      <c r="R184" s="487" t="s">
        <v>3857</v>
      </c>
    </row>
    <row r="185" spans="2:18">
      <c r="B185" s="493"/>
      <c r="C185" s="475" t="s">
        <v>3099</v>
      </c>
      <c r="D185" s="477">
        <v>60.329099999999997</v>
      </c>
      <c r="E185" s="477">
        <v>82.888800000000003</v>
      </c>
      <c r="F185" s="477">
        <v>101.7482</v>
      </c>
      <c r="G185" s="477">
        <v>1.6591</v>
      </c>
      <c r="H185" s="477">
        <v>0.482491</v>
      </c>
      <c r="I185" s="496" t="s">
        <v>3857</v>
      </c>
      <c r="J185" s="487" t="s">
        <v>3857</v>
      </c>
      <c r="K185" s="487" t="s">
        <v>3857</v>
      </c>
      <c r="L185" s="487" t="s">
        <v>3857</v>
      </c>
      <c r="M185" s="487" t="s">
        <v>3857</v>
      </c>
      <c r="N185" s="487" t="s">
        <v>3857</v>
      </c>
      <c r="O185" s="487" t="s">
        <v>3857</v>
      </c>
      <c r="P185" s="487" t="s">
        <v>3857</v>
      </c>
      <c r="Q185" s="487" t="s">
        <v>3857</v>
      </c>
      <c r="R185" s="487" t="s">
        <v>3857</v>
      </c>
    </row>
    <row r="186" spans="2:18">
      <c r="B186" s="493"/>
      <c r="C186" s="475" t="s">
        <v>3094</v>
      </c>
      <c r="D186" s="477">
        <v>61.023499999999999</v>
      </c>
      <c r="E186" s="477">
        <v>82.6404</v>
      </c>
      <c r="F186" s="477">
        <v>101.4423</v>
      </c>
      <c r="G186" s="477">
        <v>1.5936999999999999</v>
      </c>
      <c r="H186" s="477">
        <v>0.47078500000000001</v>
      </c>
      <c r="I186" s="496" t="s">
        <v>3857</v>
      </c>
      <c r="J186" s="487" t="s">
        <v>3857</v>
      </c>
      <c r="K186" s="487" t="s">
        <v>3857</v>
      </c>
      <c r="L186" s="487" t="s">
        <v>3857</v>
      </c>
      <c r="M186" s="487" t="s">
        <v>3857</v>
      </c>
      <c r="N186" s="487" t="s">
        <v>3857</v>
      </c>
      <c r="O186" s="487" t="s">
        <v>3857</v>
      </c>
      <c r="P186" s="487" t="s">
        <v>3857</v>
      </c>
      <c r="Q186" s="487" t="s">
        <v>3857</v>
      </c>
      <c r="R186" s="487" t="s">
        <v>3857</v>
      </c>
    </row>
    <row r="187" spans="2:18" ht="13.8" thickBot="1">
      <c r="B187" s="523"/>
      <c r="C187" s="522"/>
      <c r="D187" s="477"/>
      <c r="E187" s="477"/>
      <c r="F187" s="477"/>
      <c r="G187" s="477"/>
      <c r="H187" s="477"/>
      <c r="I187" s="496"/>
      <c r="J187" s="487"/>
      <c r="K187" s="487"/>
      <c r="L187" s="487"/>
      <c r="M187" s="487"/>
      <c r="N187" s="487"/>
      <c r="O187" s="487"/>
      <c r="P187" s="487"/>
      <c r="Q187" s="487"/>
      <c r="R187" s="487"/>
    </row>
    <row r="188" spans="2:18" s="464" customFormat="1" ht="13.8" thickBot="1">
      <c r="B188" s="516" t="s">
        <v>3856</v>
      </c>
      <c r="C188" s="519"/>
      <c r="D188" s="517">
        <v>58.993733333333331</v>
      </c>
      <c r="E188" s="518">
        <v>81.169483333333346</v>
      </c>
      <c r="F188" s="517">
        <v>96.688975000000013</v>
      </c>
      <c r="G188" s="517">
        <v>1.6335249999999997</v>
      </c>
      <c r="H188" s="517">
        <v>0.48811916666666666</v>
      </c>
      <c r="I188" s="513" t="s">
        <v>3857</v>
      </c>
      <c r="J188" s="512" t="s">
        <v>3857</v>
      </c>
      <c r="K188" s="512" t="s">
        <v>3857</v>
      </c>
      <c r="L188" s="512" t="s">
        <v>3857</v>
      </c>
      <c r="M188" s="512" t="s">
        <v>3857</v>
      </c>
      <c r="N188" s="512" t="s">
        <v>3857</v>
      </c>
      <c r="O188" s="512" t="s">
        <v>3857</v>
      </c>
      <c r="P188" s="512" t="s">
        <v>3857</v>
      </c>
      <c r="Q188" s="512" t="s">
        <v>3857</v>
      </c>
      <c r="R188" s="512" t="s">
        <v>3857</v>
      </c>
    </row>
    <row r="189" spans="2:18">
      <c r="B189" s="493"/>
      <c r="C189" s="475"/>
      <c r="D189" s="511"/>
      <c r="E189" s="511"/>
      <c r="F189" s="511"/>
      <c r="G189" s="511"/>
      <c r="H189" s="511"/>
      <c r="I189" s="496"/>
      <c r="J189" s="487"/>
      <c r="K189" s="487"/>
      <c r="L189" s="487"/>
      <c r="M189" s="487"/>
      <c r="N189" s="487"/>
      <c r="O189" s="487"/>
      <c r="P189" s="487"/>
      <c r="Q189" s="487"/>
      <c r="R189" s="487"/>
    </row>
    <row r="190" spans="2:18">
      <c r="B190" s="493">
        <v>1998</v>
      </c>
      <c r="C190" s="475" t="s">
        <v>3165</v>
      </c>
      <c r="D190" s="477">
        <v>61.471699999999998</v>
      </c>
      <c r="E190" s="477">
        <v>82.613799999999998</v>
      </c>
      <c r="F190" s="477">
        <v>100.6564</v>
      </c>
      <c r="G190" s="477">
        <v>1.5672999999999999</v>
      </c>
      <c r="H190" s="477">
        <v>0.474742</v>
      </c>
      <c r="I190" s="496" t="s">
        <v>3857</v>
      </c>
      <c r="J190" s="487" t="s">
        <v>3857</v>
      </c>
      <c r="K190" s="487" t="s">
        <v>3857</v>
      </c>
      <c r="L190" s="487" t="s">
        <v>3857</v>
      </c>
      <c r="M190" s="487" t="s">
        <v>3857</v>
      </c>
      <c r="N190" s="487" t="s">
        <v>3857</v>
      </c>
      <c r="O190" s="487" t="s">
        <v>3857</v>
      </c>
      <c r="P190" s="487" t="s">
        <v>3857</v>
      </c>
      <c r="Q190" s="487" t="s">
        <v>3857</v>
      </c>
      <c r="R190" s="487" t="s">
        <v>3857</v>
      </c>
    </row>
    <row r="191" spans="2:18">
      <c r="B191" s="493"/>
      <c r="C191" s="475" t="s">
        <v>3160</v>
      </c>
      <c r="D191" s="477">
        <v>61.825699999999998</v>
      </c>
      <c r="E191" s="477">
        <v>83.410700000000006</v>
      </c>
      <c r="F191" s="477">
        <v>101.33150000000001</v>
      </c>
      <c r="G191" s="477">
        <v>1.5669</v>
      </c>
      <c r="H191" s="477">
        <v>0.49047800000000003</v>
      </c>
      <c r="I191" s="496" t="s">
        <v>3857</v>
      </c>
      <c r="J191" s="487" t="s">
        <v>3857</v>
      </c>
      <c r="K191" s="487" t="s">
        <v>3857</v>
      </c>
      <c r="L191" s="487" t="s">
        <v>3857</v>
      </c>
      <c r="M191" s="487" t="s">
        <v>3857</v>
      </c>
      <c r="N191" s="487" t="s">
        <v>3857</v>
      </c>
      <c r="O191" s="487" t="s">
        <v>3857</v>
      </c>
      <c r="P191" s="487" t="s">
        <v>3857</v>
      </c>
      <c r="Q191" s="487" t="s">
        <v>3857</v>
      </c>
      <c r="R191" s="487" t="s">
        <v>3857</v>
      </c>
    </row>
    <row r="192" spans="2:18">
      <c r="B192" s="493"/>
      <c r="C192" s="475" t="s">
        <v>3154</v>
      </c>
      <c r="D192" s="477">
        <v>62.3001</v>
      </c>
      <c r="E192" s="477">
        <v>83.753699999999995</v>
      </c>
      <c r="F192" s="477">
        <v>103.4941</v>
      </c>
      <c r="G192" s="477">
        <v>1.5866</v>
      </c>
      <c r="H192" s="477">
        <v>0.48413800000000001</v>
      </c>
      <c r="I192" s="496" t="s">
        <v>3857</v>
      </c>
      <c r="J192" s="487" t="s">
        <v>3857</v>
      </c>
      <c r="K192" s="487" t="s">
        <v>3857</v>
      </c>
      <c r="L192" s="487" t="s">
        <v>3857</v>
      </c>
      <c r="M192" s="487" t="s">
        <v>3857</v>
      </c>
      <c r="N192" s="487" t="s">
        <v>3857</v>
      </c>
      <c r="O192" s="487" t="s">
        <v>3857</v>
      </c>
      <c r="P192" s="487" t="s">
        <v>3857</v>
      </c>
      <c r="Q192" s="487" t="s">
        <v>3857</v>
      </c>
      <c r="R192" s="487" t="s">
        <v>3857</v>
      </c>
    </row>
    <row r="193" spans="2:18">
      <c r="B193" s="493"/>
      <c r="C193" s="475" t="s">
        <v>3148</v>
      </c>
      <c r="D193" s="477">
        <v>63.094200000000001</v>
      </c>
      <c r="E193" s="477">
        <v>84.721699999999998</v>
      </c>
      <c r="F193" s="477">
        <v>105.56019999999999</v>
      </c>
      <c r="G193" s="477">
        <v>1.5972</v>
      </c>
      <c r="H193" s="477">
        <v>0.47773300000000002</v>
      </c>
      <c r="I193" s="496" t="s">
        <v>3857</v>
      </c>
      <c r="J193" s="487" t="s">
        <v>3857</v>
      </c>
      <c r="K193" s="487" t="s">
        <v>3857</v>
      </c>
      <c r="L193" s="487" t="s">
        <v>3857</v>
      </c>
      <c r="M193" s="487" t="s">
        <v>3857</v>
      </c>
      <c r="N193" s="487" t="s">
        <v>3857</v>
      </c>
      <c r="O193" s="487" t="s">
        <v>3857</v>
      </c>
      <c r="P193" s="487" t="s">
        <v>3857</v>
      </c>
      <c r="Q193" s="487" t="s">
        <v>3857</v>
      </c>
      <c r="R193" s="487" t="s">
        <v>3857</v>
      </c>
    </row>
    <row r="194" spans="2:18">
      <c r="B194" s="493"/>
      <c r="C194" s="475" t="s">
        <v>114</v>
      </c>
      <c r="D194" s="477">
        <v>63.863500000000002</v>
      </c>
      <c r="E194" s="477">
        <v>85.7928</v>
      </c>
      <c r="F194" s="477">
        <v>104.6117</v>
      </c>
      <c r="G194" s="477">
        <v>1.6220000000000001</v>
      </c>
      <c r="H194" s="477">
        <v>0.472854</v>
      </c>
      <c r="I194" s="496" t="s">
        <v>3857</v>
      </c>
      <c r="J194" s="487" t="s">
        <v>3857</v>
      </c>
      <c r="K194" s="487" t="s">
        <v>3857</v>
      </c>
      <c r="L194" s="487" t="s">
        <v>3857</v>
      </c>
      <c r="M194" s="487" t="s">
        <v>3857</v>
      </c>
      <c r="N194" s="487" t="s">
        <v>3857</v>
      </c>
      <c r="O194" s="487" t="s">
        <v>3857</v>
      </c>
      <c r="P194" s="487" t="s">
        <v>3857</v>
      </c>
      <c r="Q194" s="487" t="s">
        <v>3857</v>
      </c>
      <c r="R194" s="487" t="s">
        <v>3857</v>
      </c>
    </row>
    <row r="195" spans="2:18">
      <c r="B195" s="493"/>
      <c r="C195" s="475" t="s">
        <v>3135</v>
      </c>
      <c r="D195" s="477">
        <v>64.509299999999996</v>
      </c>
      <c r="E195" s="477">
        <v>86.022499999999994</v>
      </c>
      <c r="F195" s="477">
        <v>106.4096</v>
      </c>
      <c r="G195" s="477">
        <v>1.5837000000000001</v>
      </c>
      <c r="H195" s="477">
        <v>0.45967599999999997</v>
      </c>
      <c r="I195" s="496" t="s">
        <v>3857</v>
      </c>
      <c r="J195" s="487" t="s">
        <v>3857</v>
      </c>
      <c r="K195" s="487" t="s">
        <v>3857</v>
      </c>
      <c r="L195" s="487" t="s">
        <v>3857</v>
      </c>
      <c r="M195" s="487" t="s">
        <v>3857</v>
      </c>
      <c r="N195" s="487" t="s">
        <v>3857</v>
      </c>
      <c r="O195" s="487" t="s">
        <v>3857</v>
      </c>
      <c r="P195" s="487" t="s">
        <v>3857</v>
      </c>
      <c r="Q195" s="487" t="s">
        <v>3857</v>
      </c>
      <c r="R195" s="487" t="s">
        <v>3857</v>
      </c>
    </row>
    <row r="196" spans="2:18">
      <c r="B196" s="493"/>
      <c r="C196" s="475" t="s">
        <v>3125</v>
      </c>
      <c r="D196" s="477">
        <v>65.246799999999993</v>
      </c>
      <c r="E196" s="477">
        <v>86.858800000000002</v>
      </c>
      <c r="F196" s="477">
        <v>107.3674</v>
      </c>
      <c r="G196" s="477">
        <v>1.5358000000000001</v>
      </c>
      <c r="H196" s="477">
        <v>0.46388000000000001</v>
      </c>
      <c r="I196" s="496" t="s">
        <v>3857</v>
      </c>
      <c r="J196" s="487" t="s">
        <v>3857</v>
      </c>
      <c r="K196" s="487" t="s">
        <v>3857</v>
      </c>
      <c r="L196" s="487" t="s">
        <v>3857</v>
      </c>
      <c r="M196" s="487" t="s">
        <v>3857</v>
      </c>
      <c r="N196" s="487" t="s">
        <v>3857</v>
      </c>
      <c r="O196" s="487" t="s">
        <v>3857</v>
      </c>
      <c r="P196" s="487" t="s">
        <v>3857</v>
      </c>
      <c r="Q196" s="487" t="s">
        <v>3857</v>
      </c>
      <c r="R196" s="487" t="s">
        <v>3857</v>
      </c>
    </row>
    <row r="197" spans="2:18">
      <c r="B197" s="493"/>
      <c r="C197" s="475" t="s">
        <v>3117</v>
      </c>
      <c r="D197" s="477">
        <v>65.984399999999994</v>
      </c>
      <c r="E197" s="477">
        <v>87.533500000000004</v>
      </c>
      <c r="F197" s="477">
        <v>107.79049999999999</v>
      </c>
      <c r="G197" s="477">
        <v>1.5517000000000001</v>
      </c>
      <c r="H197" s="477">
        <v>0.45662700000000001</v>
      </c>
      <c r="I197" s="496" t="s">
        <v>3857</v>
      </c>
      <c r="J197" s="487" t="s">
        <v>3857</v>
      </c>
      <c r="K197" s="487" t="s">
        <v>3857</v>
      </c>
      <c r="L197" s="487" t="s">
        <v>3857</v>
      </c>
      <c r="M197" s="487" t="s">
        <v>3857</v>
      </c>
      <c r="N197" s="487" t="s">
        <v>3857</v>
      </c>
      <c r="O197" s="487" t="s">
        <v>3857</v>
      </c>
      <c r="P197" s="487" t="s">
        <v>3857</v>
      </c>
      <c r="Q197" s="487" t="s">
        <v>3857</v>
      </c>
      <c r="R197" s="487" t="s">
        <v>3857</v>
      </c>
    </row>
    <row r="198" spans="2:18">
      <c r="B198" s="493"/>
      <c r="C198" s="475" t="s">
        <v>3113</v>
      </c>
      <c r="D198" s="477">
        <v>66.0642</v>
      </c>
      <c r="E198" s="477">
        <v>90.167900000000003</v>
      </c>
      <c r="F198" s="477">
        <v>111.0153</v>
      </c>
      <c r="G198" s="477">
        <v>1.5535000000000001</v>
      </c>
      <c r="H198" s="477">
        <v>0.49105500000000002</v>
      </c>
      <c r="I198" s="496" t="s">
        <v>3857</v>
      </c>
      <c r="J198" s="487" t="s">
        <v>3857</v>
      </c>
      <c r="K198" s="487" t="s">
        <v>3857</v>
      </c>
      <c r="L198" s="487" t="s">
        <v>3857</v>
      </c>
      <c r="M198" s="487" t="s">
        <v>3857</v>
      </c>
      <c r="N198" s="487" t="s">
        <v>3857</v>
      </c>
      <c r="O198" s="487" t="s">
        <v>3857</v>
      </c>
      <c r="P198" s="487" t="s">
        <v>3857</v>
      </c>
      <c r="Q198" s="487" t="s">
        <v>3857</v>
      </c>
      <c r="R198" s="487" t="s">
        <v>3857</v>
      </c>
    </row>
    <row r="199" spans="2:18">
      <c r="B199" s="493"/>
      <c r="C199" s="475" t="s">
        <v>3104</v>
      </c>
      <c r="D199" s="477">
        <v>66.266800000000003</v>
      </c>
      <c r="E199" s="477">
        <v>93.244900000000001</v>
      </c>
      <c r="F199" s="477">
        <v>112.24679999999999</v>
      </c>
      <c r="G199" s="477">
        <v>1.5616000000000001</v>
      </c>
      <c r="H199" s="477">
        <v>0.54930000000000001</v>
      </c>
      <c r="I199" s="496" t="s">
        <v>3857</v>
      </c>
      <c r="J199" s="487" t="s">
        <v>3857</v>
      </c>
      <c r="K199" s="487" t="s">
        <v>3857</v>
      </c>
      <c r="L199" s="487" t="s">
        <v>3857</v>
      </c>
      <c r="M199" s="487" t="s">
        <v>3857</v>
      </c>
      <c r="N199" s="487" t="s">
        <v>3857</v>
      </c>
      <c r="O199" s="487" t="s">
        <v>3857</v>
      </c>
      <c r="P199" s="487" t="s">
        <v>3857</v>
      </c>
      <c r="Q199" s="487" t="s">
        <v>3857</v>
      </c>
      <c r="R199" s="487" t="s">
        <v>3857</v>
      </c>
    </row>
    <row r="200" spans="2:18">
      <c r="B200" s="493"/>
      <c r="C200" s="475" t="s">
        <v>3099</v>
      </c>
      <c r="D200" s="477">
        <v>66.942899999999995</v>
      </c>
      <c r="E200" s="477">
        <v>93.137100000000004</v>
      </c>
      <c r="F200" s="477">
        <v>111.2633</v>
      </c>
      <c r="G200" s="477">
        <v>1.58</v>
      </c>
      <c r="H200" s="477">
        <v>0.555566</v>
      </c>
      <c r="I200" s="496" t="s">
        <v>3857</v>
      </c>
      <c r="J200" s="487" t="s">
        <v>3857</v>
      </c>
      <c r="K200" s="487" t="s">
        <v>3857</v>
      </c>
      <c r="L200" s="487" t="s">
        <v>3857</v>
      </c>
      <c r="M200" s="487" t="s">
        <v>3857</v>
      </c>
      <c r="N200" s="487" t="s">
        <v>3857</v>
      </c>
      <c r="O200" s="487" t="s">
        <v>3857</v>
      </c>
      <c r="P200" s="487" t="s">
        <v>3857</v>
      </c>
      <c r="Q200" s="487" t="s">
        <v>3857</v>
      </c>
      <c r="R200" s="487" t="s">
        <v>3857</v>
      </c>
    </row>
    <row r="201" spans="2:18">
      <c r="B201" s="493"/>
      <c r="C201" s="475" t="s">
        <v>3094</v>
      </c>
      <c r="D201" s="477">
        <v>67.526300000000006</v>
      </c>
      <c r="E201" s="477">
        <v>94.692700000000002</v>
      </c>
      <c r="F201" s="477">
        <v>112.85039999999999</v>
      </c>
      <c r="G201" s="477">
        <v>1.5867</v>
      </c>
      <c r="H201" s="477">
        <v>0.57597600000000004</v>
      </c>
      <c r="I201" s="496" t="s">
        <v>3857</v>
      </c>
      <c r="J201" s="487" t="s">
        <v>3857</v>
      </c>
      <c r="K201" s="487" t="s">
        <v>3857</v>
      </c>
      <c r="L201" s="487" t="s">
        <v>3857</v>
      </c>
      <c r="M201" s="487" t="s">
        <v>3857</v>
      </c>
      <c r="N201" s="487" t="s">
        <v>3857</v>
      </c>
      <c r="O201" s="487" t="s">
        <v>3857</v>
      </c>
      <c r="P201" s="487" t="s">
        <v>3857</v>
      </c>
      <c r="Q201" s="487" t="s">
        <v>3857</v>
      </c>
      <c r="R201" s="487" t="s">
        <v>3857</v>
      </c>
    </row>
    <row r="202" spans="2:18" ht="13.8" thickBot="1">
      <c r="B202" s="523"/>
      <c r="C202" s="522"/>
      <c r="D202" s="477"/>
      <c r="E202" s="477"/>
      <c r="F202" s="477"/>
      <c r="G202" s="477"/>
      <c r="H202" s="477"/>
      <c r="I202" s="496"/>
      <c r="J202" s="487"/>
      <c r="K202" s="487"/>
      <c r="L202" s="487"/>
      <c r="M202" s="487"/>
      <c r="N202" s="487"/>
      <c r="O202" s="487"/>
      <c r="P202" s="487"/>
      <c r="Q202" s="487"/>
      <c r="R202" s="487"/>
    </row>
    <row r="203" spans="2:18" s="464" customFormat="1" ht="13.8" thickBot="1">
      <c r="B203" s="516" t="s">
        <v>3856</v>
      </c>
      <c r="C203" s="519"/>
      <c r="D203" s="517">
        <v>64.591324999999998</v>
      </c>
      <c r="E203" s="518">
        <v>87.662508333333335</v>
      </c>
      <c r="F203" s="517">
        <v>107.04976666666666</v>
      </c>
      <c r="G203" s="517">
        <v>1.5744166666666668</v>
      </c>
      <c r="H203" s="517">
        <v>0.49600208333333323</v>
      </c>
      <c r="I203" s="524" t="s">
        <v>3857</v>
      </c>
      <c r="J203" s="512" t="s">
        <v>3857</v>
      </c>
      <c r="K203" s="512" t="s">
        <v>3857</v>
      </c>
      <c r="L203" s="512" t="s">
        <v>3857</v>
      </c>
      <c r="M203" s="512" t="s">
        <v>3857</v>
      </c>
      <c r="N203" s="512" t="s">
        <v>3857</v>
      </c>
      <c r="O203" s="512" t="s">
        <v>3857</v>
      </c>
      <c r="P203" s="512" t="s">
        <v>3857</v>
      </c>
      <c r="Q203" s="512" t="s">
        <v>3857</v>
      </c>
      <c r="R203" s="512" t="s">
        <v>3857</v>
      </c>
    </row>
    <row r="204" spans="2:18">
      <c r="B204" s="493"/>
      <c r="C204" s="475"/>
      <c r="D204" s="511"/>
      <c r="E204" s="511"/>
      <c r="F204" s="511"/>
      <c r="G204" s="511"/>
      <c r="H204" s="511"/>
      <c r="I204" s="496"/>
      <c r="J204" s="487"/>
      <c r="K204" s="487"/>
      <c r="L204" s="487"/>
      <c r="M204" s="487"/>
      <c r="N204" s="487"/>
      <c r="O204" s="487"/>
      <c r="P204" s="487"/>
      <c r="Q204" s="487"/>
      <c r="R204" s="487"/>
    </row>
    <row r="205" spans="2:18">
      <c r="B205" s="493">
        <v>1999</v>
      </c>
      <c r="C205" s="475" t="s">
        <v>3165</v>
      </c>
      <c r="D205" s="477">
        <v>67.947800000000001</v>
      </c>
      <c r="E205" s="477">
        <v>95.416300000000007</v>
      </c>
      <c r="F205" s="477">
        <v>112.13039999999999</v>
      </c>
      <c r="G205" s="477">
        <v>1.5984</v>
      </c>
      <c r="H205" s="477">
        <v>0.60095699999999996</v>
      </c>
      <c r="I205" s="496">
        <v>78.603099999999998</v>
      </c>
      <c r="J205" s="487" t="s">
        <v>88</v>
      </c>
      <c r="K205" s="487" t="s">
        <v>88</v>
      </c>
      <c r="L205" s="487" t="s">
        <v>88</v>
      </c>
      <c r="M205" s="487" t="s">
        <v>88</v>
      </c>
      <c r="N205" s="487" t="s">
        <v>88</v>
      </c>
      <c r="O205" s="487" t="s">
        <v>88</v>
      </c>
      <c r="P205" s="487" t="s">
        <v>88</v>
      </c>
      <c r="Q205" s="487" t="s">
        <v>88</v>
      </c>
      <c r="R205" s="487" t="s">
        <v>88</v>
      </c>
    </row>
    <row r="206" spans="2:18">
      <c r="B206" s="493"/>
      <c r="C206" s="475" t="s">
        <v>3160</v>
      </c>
      <c r="D206" s="477">
        <v>68.477400000000003</v>
      </c>
      <c r="E206" s="477">
        <v>94.515900000000002</v>
      </c>
      <c r="F206" s="477">
        <v>111.57980000000001</v>
      </c>
      <c r="G206" s="477">
        <v>1.6129</v>
      </c>
      <c r="H206" s="477">
        <v>0.58698700000000004</v>
      </c>
      <c r="I206" s="496">
        <v>76.791600000000003</v>
      </c>
      <c r="J206" s="487" t="s">
        <v>88</v>
      </c>
      <c r="K206" s="487" t="s">
        <v>88</v>
      </c>
      <c r="L206" s="487" t="s">
        <v>88</v>
      </c>
      <c r="M206" s="487" t="s">
        <v>88</v>
      </c>
      <c r="N206" s="487" t="s">
        <v>88</v>
      </c>
      <c r="O206" s="487" t="s">
        <v>88</v>
      </c>
      <c r="P206" s="487" t="s">
        <v>88</v>
      </c>
      <c r="Q206" s="487" t="s">
        <v>88</v>
      </c>
      <c r="R206" s="487" t="s">
        <v>88</v>
      </c>
    </row>
    <row r="207" spans="2:18">
      <c r="B207" s="493"/>
      <c r="C207" s="475" t="s">
        <v>3154</v>
      </c>
      <c r="D207" s="477">
        <v>69.120699999999999</v>
      </c>
      <c r="E207" s="477">
        <v>94.249399999999994</v>
      </c>
      <c r="F207" s="477">
        <v>112.14</v>
      </c>
      <c r="G207" s="477">
        <v>1.6293</v>
      </c>
      <c r="H207" s="477">
        <v>0.57786599999999999</v>
      </c>
      <c r="I207" s="496">
        <v>75.286600000000007</v>
      </c>
      <c r="J207" s="487" t="s">
        <v>88</v>
      </c>
      <c r="K207" s="487" t="s">
        <v>88</v>
      </c>
      <c r="L207" s="487" t="s">
        <v>88</v>
      </c>
      <c r="M207" s="487" t="s">
        <v>88</v>
      </c>
      <c r="N207" s="487" t="s">
        <v>88</v>
      </c>
      <c r="O207" s="487" t="s">
        <v>88</v>
      </c>
      <c r="P207" s="487" t="s">
        <v>88</v>
      </c>
      <c r="Q207" s="487" t="s">
        <v>88</v>
      </c>
      <c r="R207" s="487" t="s">
        <v>88</v>
      </c>
    </row>
    <row r="208" spans="2:18">
      <c r="B208" s="493"/>
      <c r="C208" s="475" t="s">
        <v>3148</v>
      </c>
      <c r="D208" s="477">
        <v>69.684700000000007</v>
      </c>
      <c r="E208" s="477">
        <v>94.395600000000002</v>
      </c>
      <c r="F208" s="477">
        <v>112.1279</v>
      </c>
      <c r="G208" s="477">
        <v>1.6313</v>
      </c>
      <c r="H208" s="477">
        <v>0.58195600000000003</v>
      </c>
      <c r="I208" s="496">
        <v>74.573800000000006</v>
      </c>
      <c r="J208" s="487" t="s">
        <v>88</v>
      </c>
      <c r="K208" s="487" t="s">
        <v>88</v>
      </c>
      <c r="L208" s="487" t="s">
        <v>88</v>
      </c>
      <c r="M208" s="487" t="s">
        <v>88</v>
      </c>
      <c r="N208" s="487" t="s">
        <v>88</v>
      </c>
      <c r="O208" s="487" t="s">
        <v>88</v>
      </c>
      <c r="P208" s="487" t="s">
        <v>88</v>
      </c>
      <c r="Q208" s="487" t="s">
        <v>88</v>
      </c>
      <c r="R208" s="487" t="s">
        <v>88</v>
      </c>
    </row>
    <row r="209" spans="2:18">
      <c r="B209" s="493"/>
      <c r="C209" s="475" t="s">
        <v>114</v>
      </c>
      <c r="D209" s="477">
        <v>70.195300000000003</v>
      </c>
      <c r="E209" s="477">
        <v>94.695499999999996</v>
      </c>
      <c r="F209" s="477">
        <v>113.392</v>
      </c>
      <c r="G209" s="477">
        <v>1.6413</v>
      </c>
      <c r="H209" s="477">
        <v>0.57589000000000001</v>
      </c>
      <c r="I209" s="496">
        <v>74.696899999999999</v>
      </c>
      <c r="J209" s="487" t="s">
        <v>88</v>
      </c>
      <c r="K209" s="487" t="s">
        <v>88</v>
      </c>
      <c r="L209" s="487" t="s">
        <v>88</v>
      </c>
      <c r="M209" s="487" t="s">
        <v>88</v>
      </c>
      <c r="N209" s="487" t="s">
        <v>88</v>
      </c>
      <c r="O209" s="487" t="s">
        <v>88</v>
      </c>
      <c r="P209" s="487" t="s">
        <v>88</v>
      </c>
      <c r="Q209" s="487" t="s">
        <v>88</v>
      </c>
      <c r="R209" s="487" t="s">
        <v>88</v>
      </c>
    </row>
    <row r="210" spans="2:18">
      <c r="B210" s="493"/>
      <c r="C210" s="475" t="s">
        <v>3135</v>
      </c>
      <c r="D210" s="477">
        <v>70.627099999999999</v>
      </c>
      <c r="E210" s="477">
        <v>94.649600000000007</v>
      </c>
      <c r="F210" s="477">
        <v>112.7864</v>
      </c>
      <c r="G210" s="477">
        <v>1.6376999999999999</v>
      </c>
      <c r="H210" s="477">
        <v>0.58434900000000001</v>
      </c>
      <c r="I210" s="496">
        <v>73.331199999999995</v>
      </c>
      <c r="J210" s="487" t="s">
        <v>88</v>
      </c>
      <c r="K210" s="487" t="s">
        <v>88</v>
      </c>
      <c r="L210" s="487" t="s">
        <v>88</v>
      </c>
      <c r="M210" s="487" t="s">
        <v>88</v>
      </c>
      <c r="N210" s="487" t="s">
        <v>88</v>
      </c>
      <c r="O210" s="487" t="s">
        <v>88</v>
      </c>
      <c r="P210" s="487" t="s">
        <v>88</v>
      </c>
      <c r="Q210" s="487" t="s">
        <v>88</v>
      </c>
      <c r="R210" s="487" t="s">
        <v>88</v>
      </c>
    </row>
    <row r="211" spans="2:18">
      <c r="B211" s="493"/>
      <c r="C211" s="475" t="s">
        <v>3125</v>
      </c>
      <c r="D211" s="477">
        <v>71.096500000000006</v>
      </c>
      <c r="E211" s="477">
        <v>95.186999999999998</v>
      </c>
      <c r="F211" s="477">
        <v>111.83329999999999</v>
      </c>
      <c r="G211" s="477">
        <v>1.6427</v>
      </c>
      <c r="H211" s="477">
        <v>0.59320700000000004</v>
      </c>
      <c r="I211" s="496">
        <v>73.543099999999995</v>
      </c>
      <c r="J211" s="487" t="s">
        <v>88</v>
      </c>
      <c r="K211" s="487" t="s">
        <v>88</v>
      </c>
      <c r="L211" s="487" t="s">
        <v>88</v>
      </c>
      <c r="M211" s="487" t="s">
        <v>88</v>
      </c>
      <c r="N211" s="487" t="s">
        <v>88</v>
      </c>
      <c r="O211" s="487" t="s">
        <v>88</v>
      </c>
      <c r="P211" s="487" t="s">
        <v>88</v>
      </c>
      <c r="Q211" s="487" t="s">
        <v>88</v>
      </c>
      <c r="R211" s="487" t="s">
        <v>88</v>
      </c>
    </row>
    <row r="212" spans="2:18">
      <c r="B212" s="493"/>
      <c r="C212" s="475" t="s">
        <v>3117</v>
      </c>
      <c r="D212" s="477">
        <v>71.062399999999997</v>
      </c>
      <c r="E212" s="477">
        <v>96.922600000000003</v>
      </c>
      <c r="F212" s="477">
        <v>114.19450000000001</v>
      </c>
      <c r="G212" s="477">
        <v>1.6355</v>
      </c>
      <c r="H212" s="477">
        <v>0.625911</v>
      </c>
      <c r="I212" s="496">
        <v>75.436700000000002</v>
      </c>
      <c r="J212" s="487" t="s">
        <v>88</v>
      </c>
      <c r="K212" s="487" t="s">
        <v>88</v>
      </c>
      <c r="L212" s="487" t="s">
        <v>88</v>
      </c>
      <c r="M212" s="487" t="s">
        <v>88</v>
      </c>
      <c r="N212" s="487" t="s">
        <v>88</v>
      </c>
      <c r="O212" s="487" t="s">
        <v>88</v>
      </c>
      <c r="P212" s="487" t="s">
        <v>88</v>
      </c>
      <c r="Q212" s="487" t="s">
        <v>88</v>
      </c>
      <c r="R212" s="487" t="s">
        <v>88</v>
      </c>
    </row>
    <row r="213" spans="2:18">
      <c r="B213" s="493"/>
      <c r="C213" s="475" t="s">
        <v>3113</v>
      </c>
      <c r="D213" s="477">
        <v>71.211600000000004</v>
      </c>
      <c r="E213" s="477">
        <v>97.997100000000003</v>
      </c>
      <c r="F213" s="477">
        <v>115.5176</v>
      </c>
      <c r="G213" s="477">
        <v>1.6355999999999999</v>
      </c>
      <c r="H213" s="477">
        <v>0.66220000000000001</v>
      </c>
      <c r="I213" s="496">
        <v>74.750600000000006</v>
      </c>
      <c r="J213" s="487" t="s">
        <v>88</v>
      </c>
      <c r="K213" s="487" t="s">
        <v>88</v>
      </c>
      <c r="L213" s="487" t="s">
        <v>88</v>
      </c>
      <c r="M213" s="487" t="s">
        <v>88</v>
      </c>
      <c r="N213" s="487" t="s">
        <v>88</v>
      </c>
      <c r="O213" s="487" t="s">
        <v>88</v>
      </c>
      <c r="P213" s="487" t="s">
        <v>88</v>
      </c>
      <c r="Q213" s="487" t="s">
        <v>88</v>
      </c>
      <c r="R213" s="487" t="s">
        <v>88</v>
      </c>
    </row>
    <row r="214" spans="2:18">
      <c r="B214" s="493"/>
      <c r="C214" s="475" t="s">
        <v>3104</v>
      </c>
      <c r="D214" s="477">
        <v>71.404300000000006</v>
      </c>
      <c r="E214" s="477">
        <v>99.211699999999993</v>
      </c>
      <c r="F214" s="477">
        <v>118.32129999999999</v>
      </c>
      <c r="G214" s="477">
        <v>1.6435</v>
      </c>
      <c r="H214" s="477">
        <v>0.67409200000000002</v>
      </c>
      <c r="I214" s="496">
        <v>76.5154</v>
      </c>
      <c r="J214" s="487" t="s">
        <v>88</v>
      </c>
      <c r="K214" s="487" t="s">
        <v>88</v>
      </c>
      <c r="L214" s="487" t="s">
        <v>88</v>
      </c>
      <c r="M214" s="487" t="s">
        <v>88</v>
      </c>
      <c r="N214" s="487" t="s">
        <v>88</v>
      </c>
      <c r="O214" s="487" t="s">
        <v>88</v>
      </c>
      <c r="P214" s="487" t="s">
        <v>88</v>
      </c>
      <c r="Q214" s="487" t="s">
        <v>88</v>
      </c>
      <c r="R214" s="487" t="s">
        <v>88</v>
      </c>
    </row>
    <row r="215" spans="2:18">
      <c r="B215" s="493"/>
      <c r="C215" s="475" t="s">
        <v>3099</v>
      </c>
      <c r="D215" s="477">
        <v>71.821399999999997</v>
      </c>
      <c r="E215" s="477">
        <v>98.866100000000003</v>
      </c>
      <c r="F215" s="477">
        <v>116.61360000000001</v>
      </c>
      <c r="G215" s="477">
        <v>1.655</v>
      </c>
      <c r="H215" s="477">
        <v>0.68559499999999995</v>
      </c>
      <c r="I215" s="496">
        <v>74.360600000000005</v>
      </c>
      <c r="J215" s="487" t="s">
        <v>88</v>
      </c>
      <c r="K215" s="487" t="s">
        <v>88</v>
      </c>
      <c r="L215" s="487" t="s">
        <v>88</v>
      </c>
      <c r="M215" s="487" t="s">
        <v>88</v>
      </c>
      <c r="N215" s="487" t="s">
        <v>88</v>
      </c>
      <c r="O215" s="487" t="s">
        <v>88</v>
      </c>
      <c r="P215" s="487" t="s">
        <v>88</v>
      </c>
      <c r="Q215" s="487" t="s">
        <v>88</v>
      </c>
      <c r="R215" s="487" t="s">
        <v>88</v>
      </c>
    </row>
    <row r="216" spans="2:18">
      <c r="B216" s="493"/>
      <c r="C216" s="475" t="s">
        <v>3094</v>
      </c>
      <c r="D216" s="477">
        <v>72.057599999999994</v>
      </c>
      <c r="E216" s="477">
        <v>98.920599999999993</v>
      </c>
      <c r="F216" s="477">
        <v>116.25579999999999</v>
      </c>
      <c r="G216" s="477">
        <v>1.6571</v>
      </c>
      <c r="H216" s="477">
        <v>0.70212600000000003</v>
      </c>
      <c r="I216" s="496">
        <v>72.928100000000001</v>
      </c>
      <c r="J216" s="487" t="s">
        <v>88</v>
      </c>
      <c r="K216" s="487" t="s">
        <v>88</v>
      </c>
      <c r="L216" s="487" t="s">
        <v>88</v>
      </c>
      <c r="M216" s="487" t="s">
        <v>88</v>
      </c>
      <c r="N216" s="487" t="s">
        <v>88</v>
      </c>
      <c r="O216" s="487" t="s">
        <v>88</v>
      </c>
      <c r="P216" s="487" t="s">
        <v>88</v>
      </c>
      <c r="Q216" s="487" t="s">
        <v>88</v>
      </c>
      <c r="R216" s="487" t="s">
        <v>88</v>
      </c>
    </row>
    <row r="217" spans="2:18" ht="13.8" thickBot="1">
      <c r="B217" s="523"/>
      <c r="C217" s="522"/>
      <c r="D217" s="477"/>
      <c r="E217" s="477"/>
      <c r="F217" s="477"/>
      <c r="G217" s="477"/>
      <c r="H217" s="477"/>
      <c r="I217" s="496"/>
      <c r="J217" s="487"/>
      <c r="K217" s="487"/>
      <c r="L217" s="487"/>
      <c r="M217" s="487"/>
      <c r="N217" s="487"/>
      <c r="O217" s="487"/>
      <c r="P217" s="487"/>
      <c r="Q217" s="487"/>
      <c r="R217" s="487"/>
    </row>
    <row r="218" spans="2:18" s="464" customFormat="1" ht="13.8" thickBot="1">
      <c r="B218" s="516" t="s">
        <v>3856</v>
      </c>
      <c r="C218" s="519"/>
      <c r="D218" s="517">
        <v>70.392233333333337</v>
      </c>
      <c r="E218" s="518">
        <v>96.252283333333324</v>
      </c>
      <c r="F218" s="517">
        <v>113.90771666666664</v>
      </c>
      <c r="G218" s="517">
        <v>1.635025</v>
      </c>
      <c r="H218" s="517">
        <v>0.62092800000000004</v>
      </c>
      <c r="I218" s="513">
        <v>75.068141666666648</v>
      </c>
      <c r="J218" s="512" t="s">
        <v>88</v>
      </c>
      <c r="K218" s="512" t="s">
        <v>88</v>
      </c>
      <c r="L218" s="512" t="s">
        <v>88</v>
      </c>
      <c r="M218" s="512" t="s">
        <v>88</v>
      </c>
      <c r="N218" s="512" t="s">
        <v>88</v>
      </c>
      <c r="O218" s="512" t="s">
        <v>88</v>
      </c>
      <c r="P218" s="512" t="s">
        <v>88</v>
      </c>
      <c r="Q218" s="512" t="s">
        <v>88</v>
      </c>
      <c r="R218" s="512" t="s">
        <v>88</v>
      </c>
    </row>
    <row r="219" spans="2:18">
      <c r="B219" s="493"/>
      <c r="C219" s="475"/>
      <c r="D219" s="511"/>
      <c r="E219" s="511"/>
      <c r="F219" s="511"/>
      <c r="G219" s="511"/>
      <c r="H219" s="511"/>
      <c r="I219" s="496"/>
      <c r="J219" s="487"/>
      <c r="K219" s="487"/>
      <c r="L219" s="487"/>
      <c r="M219" s="487"/>
      <c r="N219" s="487"/>
      <c r="O219" s="487"/>
      <c r="P219" s="487"/>
      <c r="Q219" s="487"/>
      <c r="R219" s="487"/>
    </row>
    <row r="220" spans="2:18">
      <c r="B220" s="493">
        <v>2000</v>
      </c>
      <c r="C220" s="475" t="s">
        <v>3165</v>
      </c>
      <c r="D220" s="477">
        <v>72.3583</v>
      </c>
      <c r="E220" s="477">
        <v>99.183700000000002</v>
      </c>
      <c r="F220" s="477">
        <v>118.67740000000001</v>
      </c>
      <c r="G220" s="477">
        <v>1.6612</v>
      </c>
      <c r="H220" s="477">
        <v>0.68935999999999997</v>
      </c>
      <c r="I220" s="496">
        <v>73.480699999999999</v>
      </c>
      <c r="J220" s="487" t="s">
        <v>88</v>
      </c>
      <c r="K220" s="487" t="s">
        <v>88</v>
      </c>
      <c r="L220" s="487" t="s">
        <v>88</v>
      </c>
      <c r="M220" s="487" t="s">
        <v>88</v>
      </c>
      <c r="N220" s="487" t="s">
        <v>88</v>
      </c>
      <c r="O220" s="487" t="s">
        <v>88</v>
      </c>
      <c r="P220" s="487" t="s">
        <v>88</v>
      </c>
      <c r="Q220" s="487" t="s">
        <v>88</v>
      </c>
      <c r="R220" s="487" t="s">
        <v>88</v>
      </c>
    </row>
    <row r="221" spans="2:18">
      <c r="B221" s="493"/>
      <c r="C221" s="475" t="s">
        <v>3160</v>
      </c>
      <c r="D221" s="477">
        <v>72.833500000000001</v>
      </c>
      <c r="E221" s="477">
        <v>97.939400000000006</v>
      </c>
      <c r="F221" s="477">
        <v>116.7539</v>
      </c>
      <c r="G221" s="477">
        <v>1.6698999999999999</v>
      </c>
      <c r="H221" s="477">
        <v>0.66557500000000003</v>
      </c>
      <c r="I221" s="496">
        <v>71.685224999999988</v>
      </c>
      <c r="J221" s="487" t="s">
        <v>88</v>
      </c>
      <c r="K221" s="487" t="s">
        <v>88</v>
      </c>
      <c r="L221" s="487" t="s">
        <v>88</v>
      </c>
      <c r="M221" s="487" t="s">
        <v>88</v>
      </c>
      <c r="N221" s="487" t="s">
        <v>88</v>
      </c>
      <c r="O221" s="487" t="s">
        <v>88</v>
      </c>
      <c r="P221" s="487" t="s">
        <v>88</v>
      </c>
      <c r="Q221" s="487" t="s">
        <v>88</v>
      </c>
      <c r="R221" s="487" t="s">
        <v>88</v>
      </c>
    </row>
    <row r="222" spans="2:18">
      <c r="B222" s="493"/>
      <c r="C222" s="475" t="s">
        <v>3154</v>
      </c>
      <c r="D222" s="477">
        <v>73.085499999999996</v>
      </c>
      <c r="E222" s="477">
        <v>98.137500000000003</v>
      </c>
      <c r="F222" s="477">
        <v>115.5335</v>
      </c>
      <c r="G222" s="477">
        <v>1.6767000000000001</v>
      </c>
      <c r="H222" s="477">
        <v>0.68459999999999999</v>
      </c>
      <c r="I222" s="496">
        <v>70.510413636363637</v>
      </c>
      <c r="J222" s="487" t="s">
        <v>88</v>
      </c>
      <c r="K222" s="487" t="s">
        <v>88</v>
      </c>
      <c r="L222" s="487" t="s">
        <v>88</v>
      </c>
      <c r="M222" s="487" t="s">
        <v>88</v>
      </c>
      <c r="N222" s="487" t="s">
        <v>88</v>
      </c>
      <c r="O222" s="487" t="s">
        <v>88</v>
      </c>
      <c r="P222" s="487" t="s">
        <v>88</v>
      </c>
      <c r="Q222" s="487" t="s">
        <v>88</v>
      </c>
      <c r="R222" s="487" t="s">
        <v>88</v>
      </c>
    </row>
    <row r="223" spans="2:18">
      <c r="B223" s="493"/>
      <c r="C223" s="475" t="s">
        <v>3148</v>
      </c>
      <c r="D223" s="477">
        <v>73.262500000000003</v>
      </c>
      <c r="E223" s="477">
        <v>98.077699999999993</v>
      </c>
      <c r="F223" s="477">
        <v>115.9699</v>
      </c>
      <c r="G223" s="477">
        <v>1.6792</v>
      </c>
      <c r="H223" s="477">
        <v>0.69469999999999998</v>
      </c>
      <c r="I223" s="496">
        <v>69.322512500000016</v>
      </c>
      <c r="J223" s="487" t="s">
        <v>88</v>
      </c>
      <c r="K223" s="487" t="s">
        <v>88</v>
      </c>
      <c r="L223" s="487" t="s">
        <v>88</v>
      </c>
      <c r="M223" s="487" t="s">
        <v>88</v>
      </c>
      <c r="N223" s="487" t="s">
        <v>88</v>
      </c>
      <c r="O223" s="487" t="s">
        <v>88</v>
      </c>
      <c r="P223" s="487" t="s">
        <v>88</v>
      </c>
      <c r="Q223" s="487" t="s">
        <v>88</v>
      </c>
      <c r="R223" s="487" t="s">
        <v>88</v>
      </c>
    </row>
    <row r="224" spans="2:18">
      <c r="B224" s="493"/>
      <c r="C224" s="475" t="s">
        <v>114</v>
      </c>
      <c r="D224" s="477">
        <v>73.802800000000005</v>
      </c>
      <c r="E224" s="477">
        <v>96.7971</v>
      </c>
      <c r="F224" s="477">
        <v>111.49590000000001</v>
      </c>
      <c r="G224" s="477">
        <v>1.6778999999999999</v>
      </c>
      <c r="H224" s="477">
        <v>0.68289999999999995</v>
      </c>
      <c r="I224" s="496">
        <v>66.987565000000004</v>
      </c>
      <c r="J224" s="487" t="s">
        <v>88</v>
      </c>
      <c r="K224" s="487" t="s">
        <v>88</v>
      </c>
      <c r="L224" s="487" t="s">
        <v>88</v>
      </c>
      <c r="M224" s="487" t="s">
        <v>88</v>
      </c>
      <c r="N224" s="487" t="s">
        <v>88</v>
      </c>
      <c r="O224" s="487" t="s">
        <v>88</v>
      </c>
      <c r="P224" s="487" t="s">
        <v>88</v>
      </c>
      <c r="Q224" s="487" t="s">
        <v>88</v>
      </c>
      <c r="R224" s="487" t="s">
        <v>88</v>
      </c>
    </row>
    <row r="225" spans="2:18">
      <c r="B225" s="493"/>
      <c r="C225" s="475" t="s">
        <v>3135</v>
      </c>
      <c r="D225" s="477">
        <v>75.747799999999998</v>
      </c>
      <c r="E225" s="477">
        <v>100.7697</v>
      </c>
      <c r="F225" s="477">
        <v>114.36499999999999</v>
      </c>
      <c r="G225" s="477">
        <v>1.6949000000000001</v>
      </c>
      <c r="H225" s="477">
        <v>0.71319999999999995</v>
      </c>
      <c r="I225" s="496">
        <v>71.811480000000003</v>
      </c>
      <c r="J225" s="487" t="s">
        <v>88</v>
      </c>
      <c r="K225" s="487" t="s">
        <v>88</v>
      </c>
      <c r="L225" s="487" t="s">
        <v>88</v>
      </c>
      <c r="M225" s="487" t="s">
        <v>88</v>
      </c>
      <c r="N225" s="487" t="s">
        <v>88</v>
      </c>
      <c r="O225" s="487" t="s">
        <v>88</v>
      </c>
      <c r="P225" s="487" t="s">
        <v>88</v>
      </c>
      <c r="Q225" s="487" t="s">
        <v>88</v>
      </c>
      <c r="R225" s="487" t="s">
        <v>88</v>
      </c>
    </row>
    <row r="226" spans="2:18">
      <c r="B226" s="493"/>
      <c r="C226" s="475" t="s">
        <v>3125</v>
      </c>
      <c r="D226" s="477">
        <v>77.540000000000006</v>
      </c>
      <c r="E226" s="477">
        <v>102.62350000000001</v>
      </c>
      <c r="F226" s="477">
        <v>117.0213</v>
      </c>
      <c r="G226" s="477">
        <v>1.7317</v>
      </c>
      <c r="H226" s="477">
        <v>0.71870000000000001</v>
      </c>
      <c r="I226" s="496">
        <v>72.921947619047614</v>
      </c>
      <c r="J226" s="487" t="s">
        <v>88</v>
      </c>
      <c r="K226" s="487" t="s">
        <v>88</v>
      </c>
      <c r="L226" s="487" t="s">
        <v>88</v>
      </c>
      <c r="M226" s="487" t="s">
        <v>88</v>
      </c>
      <c r="N226" s="487" t="s">
        <v>88</v>
      </c>
      <c r="O226" s="487" t="s">
        <v>88</v>
      </c>
      <c r="P226" s="487" t="s">
        <v>88</v>
      </c>
      <c r="Q226" s="487" t="s">
        <v>88</v>
      </c>
      <c r="R226" s="487" t="s">
        <v>88</v>
      </c>
    </row>
    <row r="227" spans="2:18">
      <c r="B227" s="493"/>
      <c r="C227" s="475" t="s">
        <v>3117</v>
      </c>
      <c r="D227" s="477">
        <v>77.540000000000006</v>
      </c>
      <c r="E227" s="477">
        <v>101.4534</v>
      </c>
      <c r="F227" s="477">
        <v>115.50839999999999</v>
      </c>
      <c r="G227" s="477">
        <v>1.6972</v>
      </c>
      <c r="H227" s="477">
        <v>0.71740000000000004</v>
      </c>
      <c r="I227" s="496">
        <v>70.266922727272728</v>
      </c>
      <c r="J227" s="487" t="s">
        <v>88</v>
      </c>
      <c r="K227" s="487" t="s">
        <v>88</v>
      </c>
      <c r="L227" s="487" t="s">
        <v>88</v>
      </c>
      <c r="M227" s="487" t="s">
        <v>88</v>
      </c>
      <c r="N227" s="487" t="s">
        <v>88</v>
      </c>
      <c r="O227" s="487" t="s">
        <v>88</v>
      </c>
      <c r="P227" s="487" t="s">
        <v>88</v>
      </c>
      <c r="Q227" s="487" t="s">
        <v>88</v>
      </c>
      <c r="R227" s="487" t="s">
        <v>88</v>
      </c>
    </row>
    <row r="228" spans="2:18">
      <c r="B228" s="493"/>
      <c r="C228" s="475" t="s">
        <v>3113</v>
      </c>
      <c r="D228" s="477">
        <v>77.540000000000006</v>
      </c>
      <c r="E228" s="477">
        <v>100.3673</v>
      </c>
      <c r="F228" s="477">
        <v>111.23869999999999</v>
      </c>
      <c r="G228" s="477">
        <v>1.6890000000000001</v>
      </c>
      <c r="H228" s="477">
        <v>0.72609999999999997</v>
      </c>
      <c r="I228" s="496">
        <v>67.584834999999998</v>
      </c>
      <c r="J228" s="487" t="s">
        <v>88</v>
      </c>
      <c r="K228" s="487" t="s">
        <v>88</v>
      </c>
      <c r="L228" s="487" t="s">
        <v>88</v>
      </c>
      <c r="M228" s="487" t="s">
        <v>88</v>
      </c>
      <c r="N228" s="487" t="s">
        <v>88</v>
      </c>
      <c r="O228" s="487" t="s">
        <v>88</v>
      </c>
      <c r="P228" s="487" t="s">
        <v>88</v>
      </c>
      <c r="Q228" s="487" t="s">
        <v>88</v>
      </c>
      <c r="R228" s="487" t="s">
        <v>88</v>
      </c>
    </row>
    <row r="229" spans="2:18">
      <c r="B229" s="493"/>
      <c r="C229" s="475" t="s">
        <v>3104</v>
      </c>
      <c r="D229" s="477">
        <v>77.540000000000006</v>
      </c>
      <c r="E229" s="477">
        <v>99.775859999999994</v>
      </c>
      <c r="F229" s="477">
        <v>112.69238</v>
      </c>
      <c r="G229" s="477">
        <v>1.5892999999999999</v>
      </c>
      <c r="H229" s="477">
        <v>0.71538000000000002</v>
      </c>
      <c r="I229" s="496">
        <v>66.37384999999999</v>
      </c>
      <c r="J229" s="487" t="s">
        <v>88</v>
      </c>
      <c r="K229" s="487" t="s">
        <v>88</v>
      </c>
      <c r="L229" s="487" t="s">
        <v>88</v>
      </c>
      <c r="M229" s="487" t="s">
        <v>88</v>
      </c>
      <c r="N229" s="487" t="s">
        <v>88</v>
      </c>
      <c r="O229" s="487" t="s">
        <v>88</v>
      </c>
      <c r="P229" s="487" t="s">
        <v>88</v>
      </c>
      <c r="Q229" s="487" t="s">
        <v>88</v>
      </c>
      <c r="R229" s="487" t="s">
        <v>88</v>
      </c>
    </row>
    <row r="230" spans="2:18">
      <c r="B230" s="493"/>
      <c r="C230" s="475" t="s">
        <v>3099</v>
      </c>
      <c r="D230" s="477">
        <v>78.372699999999995</v>
      </c>
      <c r="E230" s="477">
        <v>100.53149999999999</v>
      </c>
      <c r="F230" s="477">
        <v>111.7813</v>
      </c>
      <c r="G230" s="477">
        <v>1.6753</v>
      </c>
      <c r="H230" s="477">
        <v>0.71970000000000001</v>
      </c>
      <c r="I230" s="496">
        <v>66.972899999999996</v>
      </c>
      <c r="J230" s="487" t="s">
        <v>88</v>
      </c>
      <c r="K230" s="487" t="s">
        <v>88</v>
      </c>
      <c r="L230" s="487" t="s">
        <v>88</v>
      </c>
      <c r="M230" s="487" t="s">
        <v>88</v>
      </c>
      <c r="N230" s="487" t="s">
        <v>88</v>
      </c>
      <c r="O230" s="487" t="s">
        <v>88</v>
      </c>
      <c r="P230" s="487" t="s">
        <v>88</v>
      </c>
      <c r="Q230" s="487" t="s">
        <v>88</v>
      </c>
      <c r="R230" s="487" t="s">
        <v>88</v>
      </c>
    </row>
    <row r="231" spans="2:18">
      <c r="B231" s="493"/>
      <c r="C231" s="475" t="s">
        <v>3094</v>
      </c>
      <c r="D231" s="477">
        <v>79.703500000000005</v>
      </c>
      <c r="E231" s="477">
        <v>103.1373</v>
      </c>
      <c r="F231" s="477">
        <v>116.345</v>
      </c>
      <c r="G231" s="477">
        <v>1.7049000000000001</v>
      </c>
      <c r="H231" s="477">
        <v>0.7117</v>
      </c>
      <c r="I231" s="496">
        <v>71.317384210526313</v>
      </c>
      <c r="J231" s="487" t="s">
        <v>88</v>
      </c>
      <c r="K231" s="487" t="s">
        <v>88</v>
      </c>
      <c r="L231" s="487" t="s">
        <v>88</v>
      </c>
      <c r="M231" s="487" t="s">
        <v>88</v>
      </c>
      <c r="N231" s="487" t="s">
        <v>88</v>
      </c>
      <c r="O231" s="487" t="s">
        <v>88</v>
      </c>
      <c r="P231" s="487" t="s">
        <v>88</v>
      </c>
      <c r="Q231" s="487" t="s">
        <v>88</v>
      </c>
      <c r="R231" s="487" t="s">
        <v>88</v>
      </c>
    </row>
    <row r="232" spans="2:18" ht="13.8" thickBot="1">
      <c r="B232" s="523"/>
      <c r="C232" s="522"/>
      <c r="D232" s="477"/>
      <c r="E232" s="477"/>
      <c r="F232" s="477"/>
      <c r="G232" s="477"/>
      <c r="H232" s="477"/>
      <c r="I232" s="496"/>
      <c r="J232" s="487"/>
      <c r="K232" s="487"/>
      <c r="L232" s="487"/>
      <c r="M232" s="487"/>
      <c r="N232" s="487"/>
      <c r="O232" s="487"/>
      <c r="P232" s="487"/>
      <c r="Q232" s="487"/>
      <c r="R232" s="487"/>
    </row>
    <row r="233" spans="2:18" s="464" customFormat="1" ht="13.8" thickBot="1">
      <c r="B233" s="516" t="s">
        <v>3856</v>
      </c>
      <c r="C233" s="519"/>
      <c r="D233" s="517">
        <v>75.777216666666661</v>
      </c>
      <c r="E233" s="518">
        <v>99.899496666666664</v>
      </c>
      <c r="F233" s="517">
        <v>114.78188999999999</v>
      </c>
      <c r="G233" s="517">
        <v>1.6789333333333334</v>
      </c>
      <c r="H233" s="517">
        <v>0.70327625000000005</v>
      </c>
      <c r="I233" s="513">
        <v>69.936311307767525</v>
      </c>
      <c r="J233" s="512" t="s">
        <v>88</v>
      </c>
      <c r="K233" s="512" t="s">
        <v>88</v>
      </c>
      <c r="L233" s="512" t="s">
        <v>88</v>
      </c>
      <c r="M233" s="512" t="s">
        <v>88</v>
      </c>
      <c r="N233" s="512" t="s">
        <v>88</v>
      </c>
      <c r="O233" s="512" t="s">
        <v>88</v>
      </c>
      <c r="P233" s="512" t="s">
        <v>88</v>
      </c>
      <c r="Q233" s="512" t="s">
        <v>88</v>
      </c>
      <c r="R233" s="512" t="s">
        <v>88</v>
      </c>
    </row>
    <row r="234" spans="2:18">
      <c r="B234" s="493"/>
      <c r="C234" s="475"/>
      <c r="D234" s="511"/>
      <c r="E234" s="511"/>
      <c r="F234" s="511"/>
      <c r="G234" s="511"/>
      <c r="H234" s="511"/>
      <c r="I234" s="496"/>
      <c r="J234" s="487"/>
      <c r="K234" s="487"/>
      <c r="L234" s="487"/>
      <c r="M234" s="487"/>
      <c r="N234" s="487"/>
      <c r="O234" s="487"/>
      <c r="P234" s="487"/>
      <c r="Q234" s="487"/>
      <c r="R234" s="487"/>
    </row>
    <row r="235" spans="2:18">
      <c r="B235" s="493">
        <v>2001</v>
      </c>
      <c r="C235" s="475" t="s">
        <v>3165</v>
      </c>
      <c r="D235" s="477">
        <v>83.662199999999999</v>
      </c>
      <c r="E235" s="477">
        <v>109.1328</v>
      </c>
      <c r="F235" s="477">
        <v>123.61879999999999</v>
      </c>
      <c r="G235" s="477">
        <v>1.7976000000000001</v>
      </c>
      <c r="H235" s="477">
        <v>0.71740000000000004</v>
      </c>
      <c r="I235" s="496">
        <v>78.380419047619043</v>
      </c>
      <c r="J235" s="487" t="s">
        <v>88</v>
      </c>
      <c r="K235" s="487" t="s">
        <v>88</v>
      </c>
      <c r="L235" s="487" t="s">
        <v>88</v>
      </c>
      <c r="M235" s="487" t="s">
        <v>88</v>
      </c>
      <c r="N235" s="487" t="s">
        <v>88</v>
      </c>
      <c r="O235" s="487" t="s">
        <v>88</v>
      </c>
      <c r="P235" s="487" t="s">
        <v>88</v>
      </c>
      <c r="Q235" s="487" t="s">
        <v>88</v>
      </c>
      <c r="R235" s="487" t="s">
        <v>88</v>
      </c>
    </row>
    <row r="236" spans="2:18">
      <c r="B236" s="493"/>
      <c r="C236" s="475" t="s">
        <v>3160</v>
      </c>
      <c r="D236" s="477">
        <v>86.975800000000007</v>
      </c>
      <c r="E236" s="477">
        <v>112.4526</v>
      </c>
      <c r="F236" s="477">
        <v>126.3528</v>
      </c>
      <c r="G236" s="477">
        <v>1.8693</v>
      </c>
      <c r="H236" s="477">
        <v>0.74760000000000004</v>
      </c>
      <c r="I236" s="496">
        <v>80.116911764705875</v>
      </c>
      <c r="J236" s="487" t="s">
        <v>88</v>
      </c>
      <c r="K236" s="487" t="s">
        <v>88</v>
      </c>
      <c r="L236" s="487" t="s">
        <v>88</v>
      </c>
      <c r="M236" s="487" t="s">
        <v>88</v>
      </c>
      <c r="N236" s="487" t="s">
        <v>88</v>
      </c>
      <c r="O236" s="487" t="s">
        <v>88</v>
      </c>
      <c r="P236" s="487" t="s">
        <v>88</v>
      </c>
      <c r="Q236" s="487" t="s">
        <v>88</v>
      </c>
      <c r="R236" s="487" t="s">
        <v>88</v>
      </c>
    </row>
    <row r="237" spans="2:18">
      <c r="B237" s="493"/>
      <c r="C237" s="475" t="s">
        <v>3154</v>
      </c>
      <c r="D237" s="477">
        <v>85.810900000000004</v>
      </c>
      <c r="E237" s="477">
        <v>109.7094</v>
      </c>
      <c r="F237" s="477">
        <v>123.86920000000001</v>
      </c>
      <c r="G237" s="477">
        <v>1.8404</v>
      </c>
      <c r="H237" s="477">
        <v>0.7077</v>
      </c>
      <c r="I237" s="496">
        <v>77.968519999999984</v>
      </c>
      <c r="J237" s="487" t="s">
        <v>88</v>
      </c>
      <c r="K237" s="487" t="s">
        <v>88</v>
      </c>
      <c r="L237" s="487" t="s">
        <v>88</v>
      </c>
      <c r="M237" s="487" t="s">
        <v>88</v>
      </c>
      <c r="N237" s="487" t="s">
        <v>88</v>
      </c>
      <c r="O237" s="487" t="s">
        <v>88</v>
      </c>
      <c r="P237" s="487" t="s">
        <v>88</v>
      </c>
      <c r="Q237" s="487" t="s">
        <v>88</v>
      </c>
      <c r="R237" s="487" t="s">
        <v>88</v>
      </c>
    </row>
    <row r="238" spans="2:18">
      <c r="B238" s="493"/>
      <c r="C238" s="475" t="s">
        <v>3148</v>
      </c>
      <c r="D238" s="477">
        <v>87.883399999999995</v>
      </c>
      <c r="E238" s="477">
        <v>111.4134</v>
      </c>
      <c r="F238" s="477">
        <v>126.1122</v>
      </c>
      <c r="G238" s="477">
        <v>1.8782000000000001</v>
      </c>
      <c r="H238" s="477">
        <v>0.70950000000000002</v>
      </c>
      <c r="I238" s="496">
        <v>78.493309999999994</v>
      </c>
      <c r="J238" s="487" t="s">
        <v>88</v>
      </c>
      <c r="K238" s="487" t="s">
        <v>88</v>
      </c>
      <c r="L238" s="487" t="s">
        <v>88</v>
      </c>
      <c r="M238" s="487" t="s">
        <v>88</v>
      </c>
      <c r="N238" s="487" t="s">
        <v>88</v>
      </c>
      <c r="O238" s="487" t="s">
        <v>88</v>
      </c>
      <c r="P238" s="487" t="s">
        <v>88</v>
      </c>
      <c r="Q238" s="487" t="s">
        <v>88</v>
      </c>
      <c r="R238" s="487" t="s">
        <v>88</v>
      </c>
    </row>
    <row r="239" spans="2:18">
      <c r="B239" s="493"/>
      <c r="C239" s="475" t="s">
        <v>114</v>
      </c>
      <c r="D239" s="477">
        <v>90.681600000000003</v>
      </c>
      <c r="E239" s="477">
        <v>114.3703</v>
      </c>
      <c r="F239" s="477">
        <v>129.34729999999999</v>
      </c>
      <c r="G239" s="477">
        <v>1.9325000000000001</v>
      </c>
      <c r="H239" s="477">
        <v>0.74439999999999995</v>
      </c>
      <c r="I239" s="496">
        <v>79.295949999999991</v>
      </c>
      <c r="J239" s="487" t="s">
        <v>88</v>
      </c>
      <c r="K239" s="487" t="s">
        <v>88</v>
      </c>
      <c r="L239" s="487" t="s">
        <v>88</v>
      </c>
      <c r="M239" s="487" t="s">
        <v>88</v>
      </c>
      <c r="N239" s="487" t="s">
        <v>88</v>
      </c>
      <c r="O239" s="487" t="s">
        <v>88</v>
      </c>
      <c r="P239" s="487" t="s">
        <v>88</v>
      </c>
      <c r="Q239" s="487" t="s">
        <v>88</v>
      </c>
      <c r="R239" s="487" t="s">
        <v>88</v>
      </c>
    </row>
    <row r="240" spans="2:18">
      <c r="B240" s="493"/>
      <c r="C240" s="475" t="s">
        <v>3135</v>
      </c>
      <c r="D240" s="477">
        <v>90.439300000000003</v>
      </c>
      <c r="E240" s="477">
        <v>113.0745</v>
      </c>
      <c r="F240" s="477">
        <v>126.8051</v>
      </c>
      <c r="G240" s="477">
        <v>1.9238</v>
      </c>
      <c r="H240" s="477">
        <v>0.73980000000000001</v>
      </c>
      <c r="I240" s="496">
        <v>77.196039999999996</v>
      </c>
      <c r="J240" s="487" t="s">
        <v>88</v>
      </c>
      <c r="K240" s="487" t="s">
        <v>88</v>
      </c>
      <c r="L240" s="487" t="s">
        <v>88</v>
      </c>
      <c r="M240" s="487" t="s">
        <v>88</v>
      </c>
      <c r="N240" s="487" t="s">
        <v>88</v>
      </c>
      <c r="O240" s="487" t="s">
        <v>88</v>
      </c>
      <c r="P240" s="487" t="s">
        <v>88</v>
      </c>
      <c r="Q240" s="487" t="s">
        <v>88</v>
      </c>
      <c r="R240" s="487" t="s">
        <v>88</v>
      </c>
    </row>
    <row r="241" spans="2:18">
      <c r="B241" s="493"/>
      <c r="C241" s="475" t="s">
        <v>3125</v>
      </c>
      <c r="D241" s="477">
        <v>90.263999999999996</v>
      </c>
      <c r="E241" s="477">
        <v>112.98560000000001</v>
      </c>
      <c r="F241" s="477">
        <v>127.6769</v>
      </c>
      <c r="G241" s="477">
        <v>1.9147000000000001</v>
      </c>
      <c r="H241" s="477">
        <v>0.72499999999999998</v>
      </c>
      <c r="I241" s="496">
        <v>77.671095238095234</v>
      </c>
      <c r="J241" s="487" t="s">
        <v>88</v>
      </c>
      <c r="K241" s="487" t="s">
        <v>88</v>
      </c>
      <c r="L241" s="487" t="s">
        <v>88</v>
      </c>
      <c r="M241" s="487" t="s">
        <v>88</v>
      </c>
      <c r="N241" s="487" t="s">
        <v>88</v>
      </c>
      <c r="O241" s="487" t="s">
        <v>88</v>
      </c>
      <c r="P241" s="487" t="s">
        <v>88</v>
      </c>
      <c r="Q241" s="487" t="s">
        <v>88</v>
      </c>
      <c r="R241" s="487" t="s">
        <v>88</v>
      </c>
    </row>
    <row r="242" spans="2:18">
      <c r="B242" s="493"/>
      <c r="C242" s="475" t="s">
        <v>3117</v>
      </c>
      <c r="D242" s="477">
        <v>89.926199999999994</v>
      </c>
      <c r="E242" s="477">
        <v>114.70610000000001</v>
      </c>
      <c r="F242" s="477">
        <v>129.1781</v>
      </c>
      <c r="G242" s="477">
        <v>1.9081999999999999</v>
      </c>
      <c r="H242" s="477">
        <v>0.74009999999999998</v>
      </c>
      <c r="I242" s="496">
        <v>81.026445454545453</v>
      </c>
      <c r="J242" s="487" t="s">
        <v>88</v>
      </c>
      <c r="K242" s="487" t="s">
        <v>88</v>
      </c>
      <c r="L242" s="487" t="s">
        <v>88</v>
      </c>
      <c r="M242" s="487" t="s">
        <v>88</v>
      </c>
      <c r="N242" s="487" t="s">
        <v>88</v>
      </c>
      <c r="O242" s="487" t="s">
        <v>88</v>
      </c>
      <c r="P242" s="487" t="s">
        <v>88</v>
      </c>
      <c r="Q242" s="487" t="s">
        <v>88</v>
      </c>
      <c r="R242" s="487" t="s">
        <v>88</v>
      </c>
    </row>
    <row r="243" spans="2:18">
      <c r="B243" s="493"/>
      <c r="C243" s="475" t="s">
        <v>3113</v>
      </c>
      <c r="D243" s="477">
        <v>90.175399999999996</v>
      </c>
      <c r="E243" s="477">
        <v>115.96080000000001</v>
      </c>
      <c r="F243" s="477">
        <v>131.94579999999999</v>
      </c>
      <c r="G243" s="477">
        <v>1.8927</v>
      </c>
      <c r="H243" s="477">
        <v>0.75990000000000002</v>
      </c>
      <c r="I243" s="496">
        <v>82.200244999999995</v>
      </c>
      <c r="J243" s="487" t="s">
        <v>88</v>
      </c>
      <c r="K243" s="487" t="s">
        <v>88</v>
      </c>
      <c r="L243" s="487" t="s">
        <v>88</v>
      </c>
      <c r="M243" s="487" t="s">
        <v>88</v>
      </c>
      <c r="N243" s="487" t="s">
        <v>88</v>
      </c>
      <c r="O243" s="487" t="s">
        <v>88</v>
      </c>
      <c r="P243" s="487" t="s">
        <v>88</v>
      </c>
      <c r="Q243" s="487" t="s">
        <v>88</v>
      </c>
      <c r="R243" s="487" t="s">
        <v>88</v>
      </c>
    </row>
    <row r="244" spans="2:18">
      <c r="B244" s="493"/>
      <c r="C244" s="475" t="s">
        <v>3104</v>
      </c>
      <c r="D244" s="477">
        <v>90.849599999999995</v>
      </c>
      <c r="E244" s="477">
        <v>116.1397</v>
      </c>
      <c r="F244" s="477">
        <v>131.84129999999999</v>
      </c>
      <c r="G244" s="477">
        <v>1.8920999999999999</v>
      </c>
      <c r="H244" s="477">
        <v>0.74950000000000006</v>
      </c>
      <c r="I244" s="496">
        <v>82.291652380952371</v>
      </c>
      <c r="J244" s="487" t="s">
        <v>88</v>
      </c>
      <c r="K244" s="487" t="s">
        <v>88</v>
      </c>
      <c r="L244" s="487" t="s">
        <v>88</v>
      </c>
      <c r="M244" s="487" t="s">
        <v>88</v>
      </c>
      <c r="N244" s="487" t="s">
        <v>88</v>
      </c>
      <c r="O244" s="487" t="s">
        <v>88</v>
      </c>
      <c r="P244" s="487" t="s">
        <v>88</v>
      </c>
      <c r="Q244" s="487" t="s">
        <v>88</v>
      </c>
      <c r="R244" s="487" t="s">
        <v>88</v>
      </c>
    </row>
    <row r="245" spans="2:18">
      <c r="B245" s="493"/>
      <c r="C245" s="475" t="s">
        <v>3099</v>
      </c>
      <c r="D245" s="477">
        <v>92.553799999999995</v>
      </c>
      <c r="E245" s="477">
        <v>117.4204</v>
      </c>
      <c r="F245" s="477">
        <v>133.0343</v>
      </c>
      <c r="G245" s="477">
        <v>1.9282999999999999</v>
      </c>
      <c r="H245" s="477">
        <v>0.75670000000000004</v>
      </c>
      <c r="I245" s="496">
        <v>82.213114999999988</v>
      </c>
      <c r="J245" s="487" t="s">
        <v>88</v>
      </c>
      <c r="K245" s="487" t="s">
        <v>88</v>
      </c>
      <c r="L245" s="487" t="s">
        <v>88</v>
      </c>
      <c r="M245" s="487" t="s">
        <v>88</v>
      </c>
      <c r="N245" s="487" t="s">
        <v>88</v>
      </c>
      <c r="O245" s="487" t="s">
        <v>88</v>
      </c>
      <c r="P245" s="487" t="s">
        <v>88</v>
      </c>
      <c r="Q245" s="487" t="s">
        <v>88</v>
      </c>
      <c r="R245" s="487" t="s">
        <v>88</v>
      </c>
    </row>
    <row r="246" spans="2:18">
      <c r="B246" s="493"/>
      <c r="C246" s="475" t="s">
        <v>3094</v>
      </c>
      <c r="D246" s="477">
        <v>93.131699999999995</v>
      </c>
      <c r="E246" s="477">
        <v>117.6443</v>
      </c>
      <c r="F246" s="477">
        <v>134.19120000000001</v>
      </c>
      <c r="G246" s="477">
        <v>1.9436</v>
      </c>
      <c r="H246" s="477">
        <v>0.73070000000000002</v>
      </c>
      <c r="I246" s="496">
        <v>83.057083333333338</v>
      </c>
      <c r="J246" s="487" t="s">
        <v>88</v>
      </c>
      <c r="K246" s="487" t="s">
        <v>88</v>
      </c>
      <c r="L246" s="487" t="s">
        <v>88</v>
      </c>
      <c r="M246" s="487" t="s">
        <v>88</v>
      </c>
      <c r="N246" s="487" t="s">
        <v>88</v>
      </c>
      <c r="O246" s="487" t="s">
        <v>88</v>
      </c>
      <c r="P246" s="487" t="s">
        <v>88</v>
      </c>
      <c r="Q246" s="487" t="s">
        <v>88</v>
      </c>
      <c r="R246" s="487" t="s">
        <v>88</v>
      </c>
    </row>
    <row r="247" spans="2:18" ht="13.8" thickBot="1">
      <c r="B247" s="523"/>
      <c r="C247" s="522"/>
      <c r="D247" s="477"/>
      <c r="E247" s="477"/>
      <c r="F247" s="477"/>
      <c r="G247" s="477"/>
      <c r="H247" s="477"/>
      <c r="I247" s="496"/>
      <c r="J247" s="487"/>
      <c r="K247" s="487"/>
      <c r="L247" s="487"/>
      <c r="M247" s="487"/>
      <c r="N247" s="487"/>
      <c r="O247" s="487"/>
      <c r="P247" s="487"/>
      <c r="Q247" s="487"/>
      <c r="R247" s="487"/>
    </row>
    <row r="248" spans="2:18" s="464" customFormat="1" ht="13.8" thickBot="1">
      <c r="B248" s="516" t="s">
        <v>3856</v>
      </c>
      <c r="C248" s="519"/>
      <c r="D248" s="517">
        <v>89.362824999999987</v>
      </c>
      <c r="E248" s="518">
        <v>113.75082499999998</v>
      </c>
      <c r="F248" s="517">
        <v>128.66441666666668</v>
      </c>
      <c r="G248" s="517">
        <v>1.8934500000000003</v>
      </c>
      <c r="H248" s="517">
        <v>0.73569166666666674</v>
      </c>
      <c r="I248" s="513">
        <v>79.992565601604269</v>
      </c>
      <c r="J248" s="512" t="s">
        <v>88</v>
      </c>
      <c r="K248" s="512" t="s">
        <v>88</v>
      </c>
      <c r="L248" s="512" t="s">
        <v>88</v>
      </c>
      <c r="M248" s="512" t="s">
        <v>88</v>
      </c>
      <c r="N248" s="512" t="s">
        <v>88</v>
      </c>
      <c r="O248" s="512" t="s">
        <v>88</v>
      </c>
      <c r="P248" s="512" t="s">
        <v>88</v>
      </c>
      <c r="Q248" s="512" t="s">
        <v>88</v>
      </c>
      <c r="R248" s="512" t="s">
        <v>88</v>
      </c>
    </row>
    <row r="249" spans="2:18">
      <c r="B249" s="493"/>
      <c r="C249" s="475"/>
      <c r="D249" s="511"/>
      <c r="E249" s="511"/>
      <c r="F249" s="511"/>
      <c r="G249" s="511"/>
      <c r="H249" s="511"/>
      <c r="I249" s="496"/>
      <c r="J249" s="487"/>
      <c r="K249" s="487"/>
      <c r="L249" s="487"/>
      <c r="M249" s="487"/>
      <c r="N249" s="487"/>
      <c r="O249" s="487"/>
      <c r="P249" s="487"/>
      <c r="Q249" s="487"/>
      <c r="R249" s="487"/>
    </row>
    <row r="250" spans="2:18">
      <c r="B250" s="493">
        <v>2002</v>
      </c>
      <c r="C250" s="475" t="s">
        <v>3165</v>
      </c>
      <c r="D250" s="477">
        <v>93.388000000000005</v>
      </c>
      <c r="E250" s="477">
        <v>117.0192</v>
      </c>
      <c r="F250" s="477">
        <v>134.07679999999999</v>
      </c>
      <c r="G250" s="477">
        <v>1.9319999999999999</v>
      </c>
      <c r="H250" s="477">
        <v>0.70440000000000003</v>
      </c>
      <c r="I250" s="496">
        <v>82.667138095238101</v>
      </c>
      <c r="J250" s="487" t="s">
        <v>88</v>
      </c>
      <c r="K250" s="487" t="s">
        <v>88</v>
      </c>
      <c r="L250" s="487" t="s">
        <v>88</v>
      </c>
      <c r="M250" s="487" t="s">
        <v>88</v>
      </c>
      <c r="N250" s="487" t="s">
        <v>88</v>
      </c>
      <c r="O250" s="487" t="s">
        <v>88</v>
      </c>
      <c r="P250" s="487" t="s">
        <v>88</v>
      </c>
      <c r="Q250" s="487" t="s">
        <v>88</v>
      </c>
      <c r="R250" s="487" t="s">
        <v>88</v>
      </c>
    </row>
    <row r="251" spans="2:18">
      <c r="B251" s="493"/>
      <c r="C251" s="475" t="s">
        <v>3160</v>
      </c>
      <c r="D251" s="477">
        <v>93.537300000000002</v>
      </c>
      <c r="E251" s="477">
        <v>116.4504</v>
      </c>
      <c r="F251" s="477">
        <v>133.19990000000001</v>
      </c>
      <c r="G251" s="477">
        <v>1.9207000000000001</v>
      </c>
      <c r="H251" s="477">
        <v>0.7006</v>
      </c>
      <c r="I251" s="496">
        <v>81.464449999999999</v>
      </c>
      <c r="J251" s="487" t="s">
        <v>88</v>
      </c>
      <c r="K251" s="487" t="s">
        <v>88</v>
      </c>
      <c r="L251" s="487" t="s">
        <v>88</v>
      </c>
      <c r="M251" s="487" t="s">
        <v>88</v>
      </c>
      <c r="N251" s="487" t="s">
        <v>88</v>
      </c>
      <c r="O251" s="487" t="s">
        <v>88</v>
      </c>
      <c r="P251" s="487" t="s">
        <v>88</v>
      </c>
      <c r="Q251" s="487" t="s">
        <v>88</v>
      </c>
      <c r="R251" s="487" t="s">
        <v>88</v>
      </c>
    </row>
    <row r="252" spans="2:18">
      <c r="B252" s="493"/>
      <c r="C252" s="475" t="s">
        <v>3154</v>
      </c>
      <c r="D252" s="477">
        <v>94.654499999999999</v>
      </c>
      <c r="E252" s="477">
        <v>118.2441</v>
      </c>
      <c r="F252" s="477">
        <v>134.67529999999999</v>
      </c>
      <c r="G252" s="477">
        <v>1.9403999999999999</v>
      </c>
      <c r="H252" s="477">
        <v>0.72160000000000002</v>
      </c>
      <c r="I252" s="496">
        <v>82.995194444444451</v>
      </c>
      <c r="J252" s="487" t="s">
        <v>88</v>
      </c>
      <c r="K252" s="487" t="s">
        <v>88</v>
      </c>
      <c r="L252" s="487" t="s">
        <v>88</v>
      </c>
      <c r="M252" s="487" t="s">
        <v>88</v>
      </c>
      <c r="N252" s="487" t="s">
        <v>88</v>
      </c>
      <c r="O252" s="487" t="s">
        <v>88</v>
      </c>
      <c r="P252" s="487" t="s">
        <v>88</v>
      </c>
      <c r="Q252" s="487" t="s">
        <v>88</v>
      </c>
      <c r="R252" s="487" t="s">
        <v>88</v>
      </c>
    </row>
    <row r="253" spans="2:18">
      <c r="B253" s="493"/>
      <c r="C253" s="475" t="s">
        <v>3148</v>
      </c>
      <c r="D253" s="477">
        <v>95.930499999999995</v>
      </c>
      <c r="E253" s="477">
        <v>120.532</v>
      </c>
      <c r="F253" s="477">
        <v>138.26910000000001</v>
      </c>
      <c r="G253" s="477">
        <v>1.9608000000000001</v>
      </c>
      <c r="H253" s="477">
        <v>0.73219999999999996</v>
      </c>
      <c r="I253" s="496">
        <v>84.87364500000001</v>
      </c>
      <c r="J253" s="487" t="s">
        <v>88</v>
      </c>
      <c r="K253" s="487" t="s">
        <v>88</v>
      </c>
      <c r="L253" s="487" t="s">
        <v>88</v>
      </c>
      <c r="M253" s="487" t="s">
        <v>88</v>
      </c>
      <c r="N253" s="487" t="s">
        <v>88</v>
      </c>
      <c r="O253" s="487" t="s">
        <v>88</v>
      </c>
      <c r="P253" s="487" t="s">
        <v>88</v>
      </c>
      <c r="Q253" s="487" t="s">
        <v>88</v>
      </c>
      <c r="R253" s="487" t="s">
        <v>88</v>
      </c>
    </row>
    <row r="254" spans="2:18">
      <c r="B254" s="493"/>
      <c r="C254" s="475" t="s">
        <v>114</v>
      </c>
      <c r="D254" s="477">
        <v>96.163600000000002</v>
      </c>
      <c r="E254" s="477">
        <v>122.84059999999999</v>
      </c>
      <c r="F254" s="477">
        <v>140.3974</v>
      </c>
      <c r="G254" s="477">
        <v>1.9623999999999999</v>
      </c>
      <c r="H254" s="477">
        <v>0.76039999999999996</v>
      </c>
      <c r="I254" s="496">
        <v>88.143957142857133</v>
      </c>
      <c r="J254" s="487" t="s">
        <v>88</v>
      </c>
      <c r="K254" s="487" t="s">
        <v>88</v>
      </c>
      <c r="L254" s="487" t="s">
        <v>88</v>
      </c>
      <c r="M254" s="487" t="s">
        <v>88</v>
      </c>
      <c r="N254" s="487" t="s">
        <v>88</v>
      </c>
      <c r="O254" s="487" t="s">
        <v>88</v>
      </c>
      <c r="P254" s="487" t="s">
        <v>88</v>
      </c>
      <c r="Q254" s="487" t="s">
        <v>88</v>
      </c>
      <c r="R254" s="487" t="s">
        <v>88</v>
      </c>
    </row>
    <row r="255" spans="2:18">
      <c r="B255" s="493"/>
      <c r="C255" s="475" t="s">
        <v>3135</v>
      </c>
      <c r="D255" s="477">
        <v>96.217600000000004</v>
      </c>
      <c r="E255" s="477">
        <v>125.0753</v>
      </c>
      <c r="F255" s="477">
        <v>142.4255</v>
      </c>
      <c r="G255" s="477">
        <v>1.9646999999999999</v>
      </c>
      <c r="H255" s="477">
        <v>0.7782</v>
      </c>
      <c r="I255" s="496">
        <v>91.702126315789442</v>
      </c>
      <c r="J255" s="487" t="s">
        <v>88</v>
      </c>
      <c r="K255" s="487" t="s">
        <v>88</v>
      </c>
      <c r="L255" s="487" t="s">
        <v>88</v>
      </c>
      <c r="M255" s="487" t="s">
        <v>88</v>
      </c>
      <c r="N255" s="487" t="s">
        <v>88</v>
      </c>
      <c r="O255" s="487" t="s">
        <v>88</v>
      </c>
      <c r="P255" s="487" t="s">
        <v>88</v>
      </c>
      <c r="Q255" s="487" t="s">
        <v>88</v>
      </c>
      <c r="R255" s="487" t="s">
        <v>88</v>
      </c>
    </row>
    <row r="256" spans="2:18">
      <c r="B256" s="493"/>
      <c r="C256" s="475" t="s">
        <v>3125</v>
      </c>
      <c r="D256" s="477">
        <v>96.125299999999996</v>
      </c>
      <c r="E256" s="477">
        <v>127.8772</v>
      </c>
      <c r="F256" s="477">
        <v>149.4127</v>
      </c>
      <c r="G256" s="477">
        <v>1.9710000000000001</v>
      </c>
      <c r="H256" s="477">
        <v>0.81379999999999997</v>
      </c>
      <c r="I256" s="496">
        <v>95.395722727272741</v>
      </c>
      <c r="J256" s="487" t="s">
        <v>88</v>
      </c>
      <c r="K256" s="487" t="s">
        <v>88</v>
      </c>
      <c r="L256" s="487" t="s">
        <v>88</v>
      </c>
      <c r="M256" s="487" t="s">
        <v>88</v>
      </c>
      <c r="N256" s="487" t="s">
        <v>88</v>
      </c>
      <c r="O256" s="487" t="s">
        <v>88</v>
      </c>
      <c r="P256" s="487" t="s">
        <v>88</v>
      </c>
      <c r="Q256" s="487" t="s">
        <v>88</v>
      </c>
      <c r="R256" s="487" t="s">
        <v>88</v>
      </c>
    </row>
    <row r="257" spans="2:18">
      <c r="B257" s="493"/>
      <c r="C257" s="475" t="s">
        <v>3117</v>
      </c>
      <c r="D257" s="477">
        <v>96.26</v>
      </c>
      <c r="E257" s="477">
        <v>127.1315</v>
      </c>
      <c r="F257" s="477">
        <v>148.0205</v>
      </c>
      <c r="G257" s="477">
        <v>1.9802</v>
      </c>
      <c r="H257" s="477">
        <v>0.80810000000000004</v>
      </c>
      <c r="I257" s="496">
        <v>94.090029999999999</v>
      </c>
      <c r="J257" s="487" t="s">
        <v>88</v>
      </c>
      <c r="K257" s="487" t="s">
        <v>88</v>
      </c>
      <c r="L257" s="487" t="s">
        <v>88</v>
      </c>
      <c r="M257" s="487" t="s">
        <v>88</v>
      </c>
      <c r="N257" s="487" t="s">
        <v>88</v>
      </c>
      <c r="O257" s="487" t="s">
        <v>88</v>
      </c>
      <c r="P257" s="487" t="s">
        <v>88</v>
      </c>
      <c r="Q257" s="487" t="s">
        <v>88</v>
      </c>
      <c r="R257" s="487" t="s">
        <v>88</v>
      </c>
    </row>
    <row r="258" spans="2:18">
      <c r="B258" s="493"/>
      <c r="C258" s="475" t="s">
        <v>3113</v>
      </c>
      <c r="D258" s="477">
        <v>96.172700000000006</v>
      </c>
      <c r="E258" s="477">
        <v>127.1281</v>
      </c>
      <c r="F258" s="477">
        <v>149.55680000000001</v>
      </c>
      <c r="G258" s="477">
        <v>1.9857</v>
      </c>
      <c r="H258" s="477">
        <v>0.79710000000000003</v>
      </c>
      <c r="I258" s="496">
        <v>94.258949999999999</v>
      </c>
      <c r="J258" s="487" t="s">
        <v>88</v>
      </c>
      <c r="K258" s="487" t="s">
        <v>88</v>
      </c>
      <c r="L258" s="487" t="s">
        <v>88</v>
      </c>
      <c r="M258" s="487" t="s">
        <v>88</v>
      </c>
      <c r="N258" s="487" t="s">
        <v>88</v>
      </c>
      <c r="O258" s="487" t="s">
        <v>88</v>
      </c>
      <c r="P258" s="487" t="s">
        <v>88</v>
      </c>
      <c r="Q258" s="487" t="s">
        <v>88</v>
      </c>
      <c r="R258" s="487" t="s">
        <v>88</v>
      </c>
    </row>
    <row r="259" spans="2:18">
      <c r="B259" s="493"/>
      <c r="C259" s="475" t="s">
        <v>3104</v>
      </c>
      <c r="D259" s="477">
        <v>96.289400000000001</v>
      </c>
      <c r="E259" s="477">
        <v>126.88209999999999</v>
      </c>
      <c r="F259" s="477">
        <v>149.92359999999999</v>
      </c>
      <c r="G259" s="477">
        <v>1.9908999999999999</v>
      </c>
      <c r="H259" s="477">
        <v>0.7772</v>
      </c>
      <c r="I259" s="496">
        <v>94.476626086956514</v>
      </c>
      <c r="J259" s="487" t="s">
        <v>88</v>
      </c>
      <c r="K259" s="487" t="s">
        <v>88</v>
      </c>
      <c r="L259" s="487" t="s">
        <v>88</v>
      </c>
      <c r="M259" s="487" t="s">
        <v>88</v>
      </c>
      <c r="N259" s="487" t="s">
        <v>88</v>
      </c>
      <c r="O259" s="487" t="s">
        <v>88</v>
      </c>
      <c r="P259" s="487" t="s">
        <v>88</v>
      </c>
      <c r="Q259" s="487" t="s">
        <v>88</v>
      </c>
      <c r="R259" s="487" t="s">
        <v>88</v>
      </c>
    </row>
    <row r="260" spans="2:18">
      <c r="B260" s="493"/>
      <c r="C260" s="475" t="s">
        <v>3099</v>
      </c>
      <c r="D260" s="477">
        <v>96.499899999999997</v>
      </c>
      <c r="E260" s="477">
        <v>128.4442</v>
      </c>
      <c r="F260" s="477">
        <v>151.62700000000001</v>
      </c>
      <c r="G260" s="477">
        <v>1.9998</v>
      </c>
      <c r="H260" s="477">
        <v>0.79400000000000004</v>
      </c>
      <c r="I260" s="496">
        <v>96.580421052631593</v>
      </c>
      <c r="J260" s="487" t="s">
        <v>88</v>
      </c>
      <c r="K260" s="487" t="s">
        <v>88</v>
      </c>
      <c r="L260" s="487" t="s">
        <v>88</v>
      </c>
      <c r="M260" s="487" t="s">
        <v>88</v>
      </c>
      <c r="N260" s="487" t="s">
        <v>88</v>
      </c>
      <c r="O260" s="487" t="s">
        <v>88</v>
      </c>
      <c r="P260" s="487" t="s">
        <v>88</v>
      </c>
      <c r="Q260" s="487" t="s">
        <v>88</v>
      </c>
      <c r="R260" s="487" t="s">
        <v>88</v>
      </c>
    </row>
    <row r="261" spans="2:18">
      <c r="B261" s="493"/>
      <c r="C261" s="475" t="s">
        <v>3094</v>
      </c>
      <c r="D261" s="477">
        <v>96.702500000000001</v>
      </c>
      <c r="E261" s="477">
        <v>129.58760000000001</v>
      </c>
      <c r="F261" s="477">
        <v>153.2818</v>
      </c>
      <c r="G261" s="477">
        <v>2.0087999999999999</v>
      </c>
      <c r="H261" s="477">
        <v>0.79320000000000002</v>
      </c>
      <c r="I261" s="496">
        <v>98.523421052631576</v>
      </c>
      <c r="J261" s="487" t="s">
        <v>88</v>
      </c>
      <c r="K261" s="487" t="s">
        <v>88</v>
      </c>
      <c r="L261" s="487" t="s">
        <v>88</v>
      </c>
      <c r="M261" s="487" t="s">
        <v>88</v>
      </c>
      <c r="N261" s="487" t="s">
        <v>88</v>
      </c>
      <c r="O261" s="487" t="s">
        <v>88</v>
      </c>
      <c r="P261" s="487" t="s">
        <v>88</v>
      </c>
      <c r="Q261" s="487" t="s">
        <v>88</v>
      </c>
      <c r="R261" s="487" t="s">
        <v>88</v>
      </c>
    </row>
    <row r="262" spans="2:18" ht="13.8" thickBot="1">
      <c r="B262" s="523"/>
      <c r="C262" s="522"/>
      <c r="D262" s="477"/>
      <c r="E262" s="477"/>
      <c r="F262" s="477"/>
      <c r="G262" s="477"/>
      <c r="H262" s="477"/>
      <c r="I262" s="496"/>
      <c r="J262" s="487"/>
      <c r="K262" s="487"/>
      <c r="L262" s="487"/>
      <c r="M262" s="487"/>
      <c r="N262" s="487"/>
      <c r="O262" s="487"/>
      <c r="P262" s="487"/>
      <c r="Q262" s="487"/>
      <c r="R262" s="487"/>
    </row>
    <row r="263" spans="2:18" s="464" customFormat="1" ht="13.8" thickBot="1">
      <c r="B263" s="516" t="s">
        <v>3856</v>
      </c>
      <c r="C263" s="519"/>
      <c r="D263" s="517">
        <v>95.661774999999992</v>
      </c>
      <c r="E263" s="518">
        <v>123.93435833333332</v>
      </c>
      <c r="F263" s="517">
        <v>143.73886666666667</v>
      </c>
      <c r="G263" s="517">
        <v>1.968116666666667</v>
      </c>
      <c r="H263" s="517">
        <v>0.76506666666666667</v>
      </c>
      <c r="I263" s="513">
        <v>90.430973493151782</v>
      </c>
      <c r="J263" s="512" t="s">
        <v>88</v>
      </c>
      <c r="K263" s="512" t="s">
        <v>88</v>
      </c>
      <c r="L263" s="512" t="s">
        <v>88</v>
      </c>
      <c r="M263" s="512" t="s">
        <v>88</v>
      </c>
      <c r="N263" s="512" t="s">
        <v>88</v>
      </c>
      <c r="O263" s="512" t="s">
        <v>88</v>
      </c>
      <c r="P263" s="512" t="s">
        <v>88</v>
      </c>
      <c r="Q263" s="512" t="s">
        <v>88</v>
      </c>
      <c r="R263" s="512" t="s">
        <v>88</v>
      </c>
    </row>
    <row r="264" spans="2:18">
      <c r="B264" s="493"/>
      <c r="C264" s="475"/>
      <c r="D264" s="511"/>
      <c r="E264" s="511"/>
      <c r="F264" s="511"/>
      <c r="G264" s="511"/>
      <c r="H264" s="511"/>
      <c r="I264" s="496"/>
      <c r="J264" s="487"/>
      <c r="K264" s="487"/>
      <c r="L264" s="487"/>
      <c r="M264" s="487"/>
      <c r="N264" s="487"/>
      <c r="O264" s="487"/>
      <c r="P264" s="487"/>
      <c r="Q264" s="487"/>
      <c r="R264" s="487"/>
    </row>
    <row r="265" spans="2:18">
      <c r="B265" s="493">
        <v>2003</v>
      </c>
      <c r="C265" s="475" t="s">
        <v>3165</v>
      </c>
      <c r="D265" s="477">
        <v>96.767899999999997</v>
      </c>
      <c r="E265" s="477">
        <v>132.1388</v>
      </c>
      <c r="F265" s="477">
        <v>156.4522</v>
      </c>
      <c r="G265" s="477">
        <v>2.0190000000000001</v>
      </c>
      <c r="H265" s="477">
        <v>0.81410000000000005</v>
      </c>
      <c r="I265" s="496">
        <v>102.74484285714286</v>
      </c>
      <c r="J265" s="487" t="s">
        <v>88</v>
      </c>
      <c r="K265" s="487" t="s">
        <v>88</v>
      </c>
      <c r="L265" s="487" t="s">
        <v>88</v>
      </c>
      <c r="M265" s="487" t="s">
        <v>88</v>
      </c>
      <c r="N265" s="487" t="s">
        <v>88</v>
      </c>
      <c r="O265" s="487" t="s">
        <v>88</v>
      </c>
      <c r="P265" s="487" t="s">
        <v>88</v>
      </c>
      <c r="Q265" s="487" t="s">
        <v>88</v>
      </c>
      <c r="R265" s="487" t="s">
        <v>88</v>
      </c>
    </row>
    <row r="266" spans="2:18">
      <c r="B266" s="493"/>
      <c r="C266" s="475" t="s">
        <v>3160</v>
      </c>
      <c r="D266" s="477">
        <v>96.861500000000007</v>
      </c>
      <c r="E266" s="477">
        <v>132.73990000000001</v>
      </c>
      <c r="F266" s="477">
        <v>155.80940000000001</v>
      </c>
      <c r="G266" s="477">
        <v>2.0297000000000001</v>
      </c>
      <c r="H266" s="477">
        <v>0.81179999999999997</v>
      </c>
      <c r="I266" s="496">
        <v>104.32112222222221</v>
      </c>
      <c r="J266" s="487" t="s">
        <v>88</v>
      </c>
      <c r="K266" s="487" t="s">
        <v>88</v>
      </c>
      <c r="L266" s="487" t="s">
        <v>88</v>
      </c>
      <c r="M266" s="487" t="s">
        <v>88</v>
      </c>
      <c r="N266" s="487" t="s">
        <v>88</v>
      </c>
      <c r="O266" s="487" t="s">
        <v>88</v>
      </c>
      <c r="P266" s="487" t="s">
        <v>88</v>
      </c>
      <c r="Q266" s="487" t="s">
        <v>88</v>
      </c>
      <c r="R266" s="487" t="s">
        <v>88</v>
      </c>
    </row>
    <row r="267" spans="2:18">
      <c r="B267" s="493"/>
      <c r="C267" s="475" t="s">
        <v>3154</v>
      </c>
      <c r="D267" s="477">
        <v>96.930499999999995</v>
      </c>
      <c r="E267" s="477">
        <v>132.86449999999999</v>
      </c>
      <c r="F267" s="477">
        <v>153.49019999999999</v>
      </c>
      <c r="G267" s="477">
        <v>2.0348000000000002</v>
      </c>
      <c r="H267" s="477">
        <v>0.81659999999999999</v>
      </c>
      <c r="I267" s="496">
        <v>104.72101999999998</v>
      </c>
      <c r="J267" s="487" t="s">
        <v>88</v>
      </c>
      <c r="K267" s="487" t="s">
        <v>88</v>
      </c>
      <c r="L267" s="487" t="s">
        <v>88</v>
      </c>
      <c r="M267" s="487" t="s">
        <v>88</v>
      </c>
      <c r="N267" s="487" t="s">
        <v>88</v>
      </c>
      <c r="O267" s="487" t="s">
        <v>88</v>
      </c>
      <c r="P267" s="487" t="s">
        <v>88</v>
      </c>
      <c r="Q267" s="487" t="s">
        <v>88</v>
      </c>
      <c r="R267" s="487" t="s">
        <v>88</v>
      </c>
    </row>
    <row r="268" spans="2:18">
      <c r="B268" s="493"/>
      <c r="C268" s="475" t="s">
        <v>3148</v>
      </c>
      <c r="D268" s="477">
        <v>96.980800000000002</v>
      </c>
      <c r="E268" s="477">
        <v>132.815</v>
      </c>
      <c r="F268" s="477">
        <v>152.75290000000001</v>
      </c>
      <c r="G268" s="477">
        <v>2.0461</v>
      </c>
      <c r="H268" s="477">
        <v>0.80959999999999999</v>
      </c>
      <c r="I268" s="496">
        <v>105.39476111111111</v>
      </c>
      <c r="J268" s="487" t="s">
        <v>88</v>
      </c>
      <c r="K268" s="487" t="s">
        <v>88</v>
      </c>
      <c r="L268" s="487" t="s">
        <v>88</v>
      </c>
      <c r="M268" s="487" t="s">
        <v>88</v>
      </c>
      <c r="N268" s="487" t="s">
        <v>88</v>
      </c>
      <c r="O268" s="487" t="s">
        <v>88</v>
      </c>
      <c r="P268" s="487" t="s">
        <v>88</v>
      </c>
      <c r="Q268" s="487" t="s">
        <v>88</v>
      </c>
      <c r="R268" s="487" t="s">
        <v>88</v>
      </c>
    </row>
    <row r="269" spans="2:18">
      <c r="B269" s="493"/>
      <c r="C269" s="475" t="s">
        <v>114</v>
      </c>
      <c r="D269" s="477">
        <v>97.212800000000001</v>
      </c>
      <c r="E269" s="477">
        <v>137.06190000000001</v>
      </c>
      <c r="F269" s="477">
        <v>157.8527</v>
      </c>
      <c r="G269" s="477">
        <v>2.0647000000000002</v>
      </c>
      <c r="H269" s="477">
        <v>0.82809999999999995</v>
      </c>
      <c r="I269" s="496">
        <v>112.67137777777778</v>
      </c>
      <c r="J269" s="487" t="s">
        <v>88</v>
      </c>
      <c r="K269" s="487" t="s">
        <v>88</v>
      </c>
      <c r="L269" s="487" t="s">
        <v>88</v>
      </c>
      <c r="M269" s="487" t="s">
        <v>88</v>
      </c>
      <c r="N269" s="487" t="s">
        <v>88</v>
      </c>
      <c r="O269" s="487" t="s">
        <v>88</v>
      </c>
      <c r="P269" s="487" t="s">
        <v>88</v>
      </c>
      <c r="Q269" s="487" t="s">
        <v>88</v>
      </c>
      <c r="R269" s="487" t="s">
        <v>88</v>
      </c>
    </row>
    <row r="270" spans="2:18">
      <c r="B270" s="493"/>
      <c r="C270" s="475" t="s">
        <v>3135</v>
      </c>
      <c r="D270" s="477">
        <v>97.2303</v>
      </c>
      <c r="E270" s="477">
        <v>137.70240000000001</v>
      </c>
      <c r="F270" s="477">
        <v>161.39709999999999</v>
      </c>
      <c r="G270" s="477">
        <v>2.0798999999999999</v>
      </c>
      <c r="H270" s="477">
        <v>0.82320000000000004</v>
      </c>
      <c r="I270" s="496">
        <v>113.75656842105263</v>
      </c>
      <c r="J270" s="487" t="s">
        <v>88</v>
      </c>
      <c r="K270" s="487" t="s">
        <v>88</v>
      </c>
      <c r="L270" s="487" t="s">
        <v>88</v>
      </c>
      <c r="M270" s="487" t="s">
        <v>88</v>
      </c>
      <c r="N270" s="487" t="s">
        <v>88</v>
      </c>
      <c r="O270" s="487" t="s">
        <v>88</v>
      </c>
      <c r="P270" s="487" t="s">
        <v>88</v>
      </c>
      <c r="Q270" s="487" t="s">
        <v>88</v>
      </c>
      <c r="R270" s="487" t="s">
        <v>88</v>
      </c>
    </row>
    <row r="271" spans="2:18">
      <c r="B271" s="493"/>
      <c r="C271" s="475" t="s">
        <v>3125</v>
      </c>
      <c r="D271" s="477">
        <v>97.140199999999993</v>
      </c>
      <c r="E271" s="477">
        <v>135.8622</v>
      </c>
      <c r="F271" s="477">
        <v>157.88800000000001</v>
      </c>
      <c r="G271" s="477">
        <v>2.1009000000000002</v>
      </c>
      <c r="H271" s="477">
        <v>0.81889999999999996</v>
      </c>
      <c r="I271" s="496">
        <v>110.50163636363636</v>
      </c>
      <c r="J271" s="487" t="s">
        <v>88</v>
      </c>
      <c r="K271" s="487" t="s">
        <v>88</v>
      </c>
      <c r="L271" s="487" t="s">
        <v>88</v>
      </c>
      <c r="M271" s="487" t="s">
        <v>88</v>
      </c>
      <c r="N271" s="487" t="s">
        <v>88</v>
      </c>
      <c r="O271" s="487" t="s">
        <v>88</v>
      </c>
      <c r="P271" s="487" t="s">
        <v>88</v>
      </c>
      <c r="Q271" s="487" t="s">
        <v>88</v>
      </c>
      <c r="R271" s="487" t="s">
        <v>88</v>
      </c>
    </row>
    <row r="272" spans="2:18">
      <c r="B272" s="493"/>
      <c r="C272" s="475" t="s">
        <v>3117</v>
      </c>
      <c r="D272" s="477">
        <v>96.9679</v>
      </c>
      <c r="E272" s="477">
        <v>134.2672</v>
      </c>
      <c r="F272" s="477">
        <v>154.57560000000001</v>
      </c>
      <c r="G272" s="477">
        <v>2.1110000000000002</v>
      </c>
      <c r="H272" s="477">
        <v>0.81620000000000004</v>
      </c>
      <c r="I272" s="496">
        <v>108.11107</v>
      </c>
      <c r="J272" s="487" t="s">
        <v>88</v>
      </c>
      <c r="K272" s="487" t="s">
        <v>88</v>
      </c>
      <c r="L272" s="487" t="s">
        <v>88</v>
      </c>
      <c r="M272" s="487" t="s">
        <v>88</v>
      </c>
      <c r="N272" s="487" t="s">
        <v>88</v>
      </c>
      <c r="O272" s="487" t="s">
        <v>88</v>
      </c>
      <c r="P272" s="487" t="s">
        <v>88</v>
      </c>
      <c r="Q272" s="487" t="s">
        <v>88</v>
      </c>
      <c r="R272" s="487" t="s">
        <v>88</v>
      </c>
    </row>
    <row r="273" spans="2:18">
      <c r="B273" s="493"/>
      <c r="C273" s="475" t="s">
        <v>3113</v>
      </c>
      <c r="D273" s="477">
        <v>95.455699999999993</v>
      </c>
      <c r="E273" s="477">
        <v>133.30869999999999</v>
      </c>
      <c r="F273" s="477">
        <v>153.7372</v>
      </c>
      <c r="G273" s="477">
        <v>2.0829</v>
      </c>
      <c r="H273" s="477">
        <v>0.82989999999999997</v>
      </c>
      <c r="I273" s="496">
        <v>107.10109999999999</v>
      </c>
      <c r="J273" s="487" t="s">
        <v>88</v>
      </c>
      <c r="K273" s="487" t="s">
        <v>88</v>
      </c>
      <c r="L273" s="487" t="s">
        <v>88</v>
      </c>
      <c r="M273" s="487" t="s">
        <v>88</v>
      </c>
      <c r="N273" s="487" t="s">
        <v>88</v>
      </c>
      <c r="O273" s="487" t="s">
        <v>88</v>
      </c>
      <c r="P273" s="487" t="s">
        <v>88</v>
      </c>
      <c r="Q273" s="487" t="s">
        <v>88</v>
      </c>
      <c r="R273" s="487" t="s">
        <v>88</v>
      </c>
    </row>
    <row r="274" spans="2:18">
      <c r="B274" s="493"/>
      <c r="C274" s="475" t="s">
        <v>3104</v>
      </c>
      <c r="D274" s="477">
        <v>94.512100000000004</v>
      </c>
      <c r="E274" s="477">
        <v>135.30000000000001</v>
      </c>
      <c r="F274" s="477">
        <v>158.3965</v>
      </c>
      <c r="G274" s="477">
        <v>2.0813999999999999</v>
      </c>
      <c r="H274" s="477">
        <v>0.86280000000000001</v>
      </c>
      <c r="I274" s="496">
        <v>110.48782380952382</v>
      </c>
      <c r="J274" s="487" t="s">
        <v>88</v>
      </c>
      <c r="K274" s="487" t="s">
        <v>88</v>
      </c>
      <c r="L274" s="487" t="s">
        <v>88</v>
      </c>
      <c r="M274" s="487" t="s">
        <v>88</v>
      </c>
      <c r="N274" s="487" t="s">
        <v>88</v>
      </c>
      <c r="O274" s="487" t="s">
        <v>88</v>
      </c>
      <c r="P274" s="487" t="s">
        <v>88</v>
      </c>
      <c r="Q274" s="487" t="s">
        <v>88</v>
      </c>
      <c r="R274" s="487" t="s">
        <v>88</v>
      </c>
    </row>
    <row r="275" spans="2:18">
      <c r="B275" s="493"/>
      <c r="C275" s="475" t="s">
        <v>3099</v>
      </c>
      <c r="D275" s="477">
        <v>95.776899999999998</v>
      </c>
      <c r="E275" s="477">
        <v>137.31559999999999</v>
      </c>
      <c r="F275" s="477">
        <v>161.74760000000001</v>
      </c>
      <c r="G275" s="477">
        <v>2.1046999999999998</v>
      </c>
      <c r="H275" s="477">
        <v>0.877</v>
      </c>
      <c r="I275" s="496">
        <v>111.9856157894737</v>
      </c>
      <c r="J275" s="487" t="s">
        <v>88</v>
      </c>
      <c r="K275" s="487" t="s">
        <v>88</v>
      </c>
      <c r="L275" s="487" t="s">
        <v>88</v>
      </c>
      <c r="M275" s="487" t="s">
        <v>88</v>
      </c>
      <c r="N275" s="487" t="s">
        <v>88</v>
      </c>
      <c r="O275" s="487" t="s">
        <v>88</v>
      </c>
      <c r="P275" s="487" t="s">
        <v>88</v>
      </c>
      <c r="Q275" s="487" t="s">
        <v>88</v>
      </c>
      <c r="R275" s="487" t="s">
        <v>88</v>
      </c>
    </row>
    <row r="276" spans="2:18">
      <c r="B276" s="493"/>
      <c r="C276" s="475" t="s">
        <v>3094</v>
      </c>
      <c r="D276" s="477">
        <v>96.414400000000001</v>
      </c>
      <c r="E276" s="477">
        <v>141.35239999999999</v>
      </c>
      <c r="F276" s="477">
        <v>168.4529</v>
      </c>
      <c r="G276" s="477">
        <v>2.1150000000000002</v>
      </c>
      <c r="H276" s="477">
        <v>0.89929999999999999</v>
      </c>
      <c r="I276" s="496">
        <v>118.14785263157896</v>
      </c>
      <c r="J276" s="487" t="s">
        <v>88</v>
      </c>
      <c r="K276" s="487" t="s">
        <v>88</v>
      </c>
      <c r="L276" s="487" t="s">
        <v>88</v>
      </c>
      <c r="M276" s="487" t="s">
        <v>88</v>
      </c>
      <c r="N276" s="487" t="s">
        <v>88</v>
      </c>
      <c r="O276" s="487" t="s">
        <v>88</v>
      </c>
      <c r="P276" s="487" t="s">
        <v>88</v>
      </c>
      <c r="Q276" s="487" t="s">
        <v>88</v>
      </c>
      <c r="R276" s="487" t="s">
        <v>88</v>
      </c>
    </row>
    <row r="277" spans="2:18" ht="13.8" thickBot="1">
      <c r="B277" s="523"/>
      <c r="C277" s="522"/>
      <c r="D277" s="477"/>
      <c r="E277" s="477"/>
      <c r="F277" s="477"/>
      <c r="G277" s="477"/>
      <c r="H277" s="477"/>
      <c r="I277" s="496"/>
      <c r="J277" s="487"/>
      <c r="K277" s="487"/>
      <c r="L277" s="487"/>
      <c r="M277" s="487"/>
      <c r="N277" s="487"/>
      <c r="O277" s="487"/>
      <c r="P277" s="487"/>
      <c r="Q277" s="487"/>
      <c r="R277" s="487"/>
    </row>
    <row r="278" spans="2:18" s="464" customFormat="1" ht="13.8" thickBot="1">
      <c r="B278" s="516" t="s">
        <v>3856</v>
      </c>
      <c r="C278" s="519"/>
      <c r="D278" s="517">
        <v>96.520916666666679</v>
      </c>
      <c r="E278" s="518">
        <v>135.22738333333334</v>
      </c>
      <c r="F278" s="517">
        <v>157.71269166666667</v>
      </c>
      <c r="G278" s="517">
        <v>2.0725083333333334</v>
      </c>
      <c r="H278" s="517">
        <v>0.83395833333333347</v>
      </c>
      <c r="I278" s="513">
        <v>109.16206591529328</v>
      </c>
      <c r="J278" s="512" t="s">
        <v>88</v>
      </c>
      <c r="K278" s="512" t="s">
        <v>88</v>
      </c>
      <c r="L278" s="512" t="s">
        <v>88</v>
      </c>
      <c r="M278" s="512" t="s">
        <v>88</v>
      </c>
      <c r="N278" s="512" t="s">
        <v>88</v>
      </c>
      <c r="O278" s="512" t="s">
        <v>88</v>
      </c>
      <c r="P278" s="512" t="s">
        <v>88</v>
      </c>
      <c r="Q278" s="512" t="s">
        <v>88</v>
      </c>
      <c r="R278" s="512" t="s">
        <v>88</v>
      </c>
    </row>
    <row r="279" spans="2:18">
      <c r="B279" s="493"/>
      <c r="C279" s="475"/>
      <c r="D279" s="511"/>
      <c r="E279" s="511"/>
      <c r="F279" s="511"/>
      <c r="G279" s="511"/>
      <c r="H279" s="511"/>
      <c r="I279" s="496"/>
      <c r="J279" s="487"/>
      <c r="K279" s="487"/>
      <c r="L279" s="487"/>
      <c r="M279" s="487"/>
      <c r="N279" s="487"/>
      <c r="O279" s="487"/>
      <c r="P279" s="487"/>
      <c r="Q279" s="487"/>
      <c r="R279" s="487"/>
    </row>
    <row r="280" spans="2:18">
      <c r="B280" s="493">
        <v>2004</v>
      </c>
      <c r="C280" s="475" t="s">
        <v>3165</v>
      </c>
      <c r="D280" s="477">
        <v>97.854600000000005</v>
      </c>
      <c r="E280" s="477">
        <v>145.892</v>
      </c>
      <c r="F280" s="477">
        <v>177.88210000000001</v>
      </c>
      <c r="G280" s="477">
        <v>2.1528999999999998</v>
      </c>
      <c r="H280" s="477">
        <v>0.91889399999999999</v>
      </c>
      <c r="I280" s="496">
        <v>123.2988</v>
      </c>
      <c r="J280" s="487" t="s">
        <v>88</v>
      </c>
      <c r="K280" s="487" t="s">
        <v>88</v>
      </c>
      <c r="L280" s="487" t="s">
        <v>88</v>
      </c>
      <c r="M280" s="487" t="s">
        <v>88</v>
      </c>
      <c r="N280" s="487" t="s">
        <v>88</v>
      </c>
      <c r="O280" s="487" t="s">
        <v>88</v>
      </c>
      <c r="P280" s="487" t="s">
        <v>88</v>
      </c>
      <c r="Q280" s="487" t="s">
        <v>88</v>
      </c>
      <c r="R280" s="487" t="s">
        <v>88</v>
      </c>
    </row>
    <row r="281" spans="2:18">
      <c r="B281" s="493"/>
      <c r="C281" s="475" t="s">
        <v>3160</v>
      </c>
      <c r="D281" s="477">
        <v>98.545900000000003</v>
      </c>
      <c r="E281" s="477">
        <v>147.5498</v>
      </c>
      <c r="F281" s="477">
        <v>184.31460000000001</v>
      </c>
      <c r="G281" s="477">
        <v>2.1768000000000001</v>
      </c>
      <c r="H281" s="477">
        <v>0.92281400000000002</v>
      </c>
      <c r="I281" s="496">
        <v>124.5834</v>
      </c>
      <c r="J281" s="487" t="s">
        <v>88</v>
      </c>
      <c r="K281" s="487" t="s">
        <v>88</v>
      </c>
      <c r="L281" s="487" t="s">
        <v>88</v>
      </c>
      <c r="M281" s="487" t="s">
        <v>88</v>
      </c>
      <c r="N281" s="487" t="s">
        <v>88</v>
      </c>
      <c r="O281" s="487" t="s">
        <v>88</v>
      </c>
      <c r="P281" s="487" t="s">
        <v>88</v>
      </c>
      <c r="Q281" s="487" t="s">
        <v>88</v>
      </c>
      <c r="R281" s="487" t="s">
        <v>88</v>
      </c>
    </row>
    <row r="282" spans="2:18">
      <c r="B282" s="493"/>
      <c r="C282" s="475" t="s">
        <v>3154</v>
      </c>
      <c r="D282" s="477">
        <v>97.452299999999994</v>
      </c>
      <c r="E282" s="477">
        <v>143.5505</v>
      </c>
      <c r="F282" s="477">
        <v>178.2038</v>
      </c>
      <c r="G282" s="477">
        <v>2.1665000000000001</v>
      </c>
      <c r="H282" s="477">
        <v>0.89719899999999997</v>
      </c>
      <c r="I282" s="496">
        <v>119.5818</v>
      </c>
      <c r="J282" s="487" t="s">
        <v>88</v>
      </c>
      <c r="K282" s="487" t="s">
        <v>88</v>
      </c>
      <c r="L282" s="487" t="s">
        <v>88</v>
      </c>
      <c r="M282" s="487" t="s">
        <v>88</v>
      </c>
      <c r="N282" s="487" t="s">
        <v>88</v>
      </c>
      <c r="O282" s="487" t="s">
        <v>88</v>
      </c>
      <c r="P282" s="487" t="s">
        <v>88</v>
      </c>
      <c r="Q282" s="487" t="s">
        <v>88</v>
      </c>
      <c r="R282" s="487" t="s">
        <v>88</v>
      </c>
    </row>
    <row r="283" spans="2:18">
      <c r="B283" s="493"/>
      <c r="C283" s="475" t="s">
        <v>3148</v>
      </c>
      <c r="D283" s="477">
        <v>98.026300000000006</v>
      </c>
      <c r="E283" s="477">
        <v>143.03540000000001</v>
      </c>
      <c r="F283" s="477">
        <v>176.5179</v>
      </c>
      <c r="G283" s="477">
        <v>2.2303999999999999</v>
      </c>
      <c r="H283" s="477">
        <v>0.90914300000000003</v>
      </c>
      <c r="I283" s="496">
        <v>117.4354</v>
      </c>
      <c r="J283" s="487" t="s">
        <v>88</v>
      </c>
      <c r="K283" s="487" t="s">
        <v>88</v>
      </c>
      <c r="L283" s="487" t="s">
        <v>88</v>
      </c>
      <c r="M283" s="487" t="s">
        <v>88</v>
      </c>
      <c r="N283" s="487" t="s">
        <v>88</v>
      </c>
      <c r="O283" s="487" t="s">
        <v>88</v>
      </c>
      <c r="P283" s="487" t="s">
        <v>88</v>
      </c>
      <c r="Q283" s="487" t="s">
        <v>88</v>
      </c>
      <c r="R283" s="487" t="s">
        <v>88</v>
      </c>
    </row>
    <row r="284" spans="2:18">
      <c r="B284" s="493"/>
      <c r="C284" s="475" t="s">
        <v>114</v>
      </c>
      <c r="D284" s="477">
        <v>98.855500000000006</v>
      </c>
      <c r="E284" s="477">
        <v>143.44810000000001</v>
      </c>
      <c r="F284" s="477">
        <v>176.5728</v>
      </c>
      <c r="G284" s="477">
        <v>2.1819999999999999</v>
      </c>
      <c r="H284" s="477">
        <v>0.87983199999999995</v>
      </c>
      <c r="I284" s="496">
        <v>118.5928</v>
      </c>
      <c r="J284" s="487" t="s">
        <v>88</v>
      </c>
      <c r="K284" s="487" t="s">
        <v>88</v>
      </c>
      <c r="L284" s="487" t="s">
        <v>88</v>
      </c>
      <c r="M284" s="487" t="s">
        <v>88</v>
      </c>
      <c r="N284" s="487" t="s">
        <v>88</v>
      </c>
      <c r="O284" s="487" t="s">
        <v>88</v>
      </c>
      <c r="P284" s="487" t="s">
        <v>88</v>
      </c>
      <c r="Q284" s="487" t="s">
        <v>88</v>
      </c>
      <c r="R284" s="487" t="s">
        <v>88</v>
      </c>
    </row>
    <row r="285" spans="2:18">
      <c r="B285" s="493"/>
      <c r="C285" s="475" t="s">
        <v>3135</v>
      </c>
      <c r="D285" s="477">
        <v>100.72450000000001</v>
      </c>
      <c r="E285" s="477">
        <v>147.59889999999999</v>
      </c>
      <c r="F285" s="477">
        <v>184.13550000000001</v>
      </c>
      <c r="G285" s="477">
        <v>2.2124000000000001</v>
      </c>
      <c r="H285" s="477">
        <v>0.92100300000000002</v>
      </c>
      <c r="I285" s="496">
        <v>122.2002</v>
      </c>
      <c r="J285" s="487" t="s">
        <v>88</v>
      </c>
      <c r="K285" s="487" t="s">
        <v>88</v>
      </c>
      <c r="L285" s="487" t="s">
        <v>88</v>
      </c>
      <c r="M285" s="487" t="s">
        <v>88</v>
      </c>
      <c r="N285" s="487" t="s">
        <v>88</v>
      </c>
      <c r="O285" s="487" t="s">
        <v>88</v>
      </c>
      <c r="P285" s="487" t="s">
        <v>88</v>
      </c>
      <c r="Q285" s="487" t="s">
        <v>88</v>
      </c>
      <c r="R285" s="487" t="s">
        <v>88</v>
      </c>
    </row>
    <row r="286" spans="2:18">
      <c r="B286" s="493"/>
      <c r="C286" s="475" t="s">
        <v>3125</v>
      </c>
      <c r="D286" s="477">
        <v>102.84610000000001</v>
      </c>
      <c r="E286" s="477">
        <v>151.49780000000001</v>
      </c>
      <c r="F286" s="477">
        <v>189.67850000000001</v>
      </c>
      <c r="G286" s="477">
        <v>2.2334999999999998</v>
      </c>
      <c r="H286" s="477">
        <v>0.94054099999999996</v>
      </c>
      <c r="I286" s="496">
        <v>126.2752</v>
      </c>
      <c r="J286" s="487" t="s">
        <v>88</v>
      </c>
      <c r="K286" s="487" t="s">
        <v>88</v>
      </c>
      <c r="L286" s="487" t="s">
        <v>88</v>
      </c>
      <c r="M286" s="487" t="s">
        <v>88</v>
      </c>
      <c r="N286" s="487" t="s">
        <v>88</v>
      </c>
      <c r="O286" s="487" t="s">
        <v>88</v>
      </c>
      <c r="P286" s="487" t="s">
        <v>88</v>
      </c>
      <c r="Q286" s="487" t="s">
        <v>88</v>
      </c>
      <c r="R286" s="487" t="s">
        <v>88</v>
      </c>
    </row>
    <row r="287" spans="2:18">
      <c r="B287" s="493"/>
      <c r="C287" s="475" t="s">
        <v>3117</v>
      </c>
      <c r="D287" s="477">
        <v>103.4041</v>
      </c>
      <c r="E287" s="477">
        <v>151.48259999999999</v>
      </c>
      <c r="F287" s="477">
        <v>188.2407</v>
      </c>
      <c r="G287" s="477">
        <v>2.2311999999999999</v>
      </c>
      <c r="H287" s="477">
        <v>0.93698300000000001</v>
      </c>
      <c r="I287" s="496">
        <v>125.9905</v>
      </c>
      <c r="J287" s="487" t="s">
        <v>88</v>
      </c>
      <c r="K287" s="487" t="s">
        <v>88</v>
      </c>
      <c r="L287" s="487" t="s">
        <v>88</v>
      </c>
      <c r="M287" s="487" t="s">
        <v>88</v>
      </c>
      <c r="N287" s="487" t="s">
        <v>88</v>
      </c>
      <c r="O287" s="487" t="s">
        <v>88</v>
      </c>
      <c r="P287" s="487" t="s">
        <v>88</v>
      </c>
      <c r="Q287" s="487" t="s">
        <v>88</v>
      </c>
      <c r="R287" s="487" t="s">
        <v>88</v>
      </c>
    </row>
    <row r="288" spans="2:18">
      <c r="B288" s="493"/>
      <c r="C288" s="475" t="s">
        <v>3113</v>
      </c>
      <c r="D288" s="477">
        <v>103.2441</v>
      </c>
      <c r="E288" s="477">
        <v>151.20939999999999</v>
      </c>
      <c r="F288" s="477">
        <v>185.04939999999999</v>
      </c>
      <c r="G288" s="477">
        <v>2.2404999999999999</v>
      </c>
      <c r="H288" s="477">
        <v>0.938608</v>
      </c>
      <c r="I288" s="496">
        <v>126.0574</v>
      </c>
      <c r="J288" s="487" t="s">
        <v>88</v>
      </c>
      <c r="K288" s="487" t="s">
        <v>88</v>
      </c>
      <c r="L288" s="487" t="s">
        <v>88</v>
      </c>
      <c r="M288" s="487" t="s">
        <v>88</v>
      </c>
      <c r="N288" s="487" t="s">
        <v>88</v>
      </c>
      <c r="O288" s="487" t="s">
        <v>88</v>
      </c>
      <c r="P288" s="487" t="s">
        <v>88</v>
      </c>
      <c r="Q288" s="487" t="s">
        <v>88</v>
      </c>
      <c r="R288" s="487" t="s">
        <v>88</v>
      </c>
    </row>
    <row r="289" spans="2:18">
      <c r="B289" s="493"/>
      <c r="C289" s="475" t="s">
        <v>3104</v>
      </c>
      <c r="D289" s="477">
        <v>103.8214</v>
      </c>
      <c r="E289" s="477">
        <v>153.50640000000001</v>
      </c>
      <c r="F289" s="477">
        <v>187.3733</v>
      </c>
      <c r="G289" s="477">
        <v>2.2679</v>
      </c>
      <c r="H289" s="477">
        <v>0.95174000000000003</v>
      </c>
      <c r="I289" s="496">
        <v>129.50700000000001</v>
      </c>
      <c r="J289" s="487" t="s">
        <v>88</v>
      </c>
      <c r="K289" s="487" t="s">
        <v>88</v>
      </c>
      <c r="L289" s="487" t="s">
        <v>88</v>
      </c>
      <c r="M289" s="487" t="s">
        <v>88</v>
      </c>
      <c r="N289" s="487" t="s">
        <v>88</v>
      </c>
      <c r="O289" s="487" t="s">
        <v>88</v>
      </c>
      <c r="P289" s="487" t="s">
        <v>88</v>
      </c>
      <c r="Q289" s="487" t="s">
        <v>88</v>
      </c>
      <c r="R289" s="487" t="s">
        <v>88</v>
      </c>
    </row>
    <row r="290" spans="2:18">
      <c r="B290" s="493"/>
      <c r="C290" s="475" t="s">
        <v>3099</v>
      </c>
      <c r="D290" s="477">
        <v>104.66500000000001</v>
      </c>
      <c r="E290" s="477">
        <v>158.41120000000001</v>
      </c>
      <c r="F290" s="477">
        <v>194.19880000000001</v>
      </c>
      <c r="G290" s="477">
        <v>2.3157000000000001</v>
      </c>
      <c r="H290" s="477">
        <v>0.99814499999999995</v>
      </c>
      <c r="I290" s="496">
        <v>135.66249999999999</v>
      </c>
      <c r="J290" s="487" t="s">
        <v>88</v>
      </c>
      <c r="K290" s="487" t="s">
        <v>88</v>
      </c>
      <c r="L290" s="487" t="s">
        <v>88</v>
      </c>
      <c r="M290" s="487" t="s">
        <v>88</v>
      </c>
      <c r="N290" s="487" t="s">
        <v>88</v>
      </c>
      <c r="O290" s="487" t="s">
        <v>88</v>
      </c>
      <c r="P290" s="487" t="s">
        <v>88</v>
      </c>
      <c r="Q290" s="487" t="s">
        <v>88</v>
      </c>
      <c r="R290" s="487" t="s">
        <v>88</v>
      </c>
    </row>
    <row r="291" spans="2:18">
      <c r="B291" s="493"/>
      <c r="C291" s="475" t="s">
        <v>3094</v>
      </c>
      <c r="D291" s="477">
        <v>104.821</v>
      </c>
      <c r="E291" s="477">
        <v>161.37</v>
      </c>
      <c r="F291" s="477">
        <v>201.97800000000001</v>
      </c>
      <c r="G291" s="477">
        <v>2.3837000000000002</v>
      </c>
      <c r="H291" s="477">
        <v>1.00962</v>
      </c>
      <c r="I291" s="496">
        <v>140.28550000000001</v>
      </c>
      <c r="J291" s="487" t="s">
        <v>88</v>
      </c>
      <c r="K291" s="487" t="s">
        <v>88</v>
      </c>
      <c r="L291" s="487" t="s">
        <v>88</v>
      </c>
      <c r="M291" s="487" t="s">
        <v>88</v>
      </c>
      <c r="N291" s="487" t="s">
        <v>88</v>
      </c>
      <c r="O291" s="487" t="s">
        <v>88</v>
      </c>
      <c r="P291" s="487" t="s">
        <v>88</v>
      </c>
      <c r="Q291" s="487" t="s">
        <v>88</v>
      </c>
      <c r="R291" s="487" t="s">
        <v>88</v>
      </c>
    </row>
    <row r="292" spans="2:18" ht="13.8" thickBot="1">
      <c r="B292" s="493"/>
      <c r="C292" s="475"/>
      <c r="D292" s="477"/>
      <c r="E292" s="477"/>
      <c r="F292" s="477"/>
      <c r="G292" s="477"/>
      <c r="H292" s="477"/>
      <c r="I292" s="496"/>
      <c r="J292" s="487"/>
      <c r="K292" s="487"/>
      <c r="L292" s="487"/>
      <c r="M292" s="487"/>
      <c r="N292" s="487"/>
      <c r="O292" s="487"/>
      <c r="P292" s="487"/>
      <c r="Q292" s="487"/>
      <c r="R292" s="487"/>
    </row>
    <row r="293" spans="2:18" s="464" customFormat="1" ht="13.8" thickBot="1">
      <c r="B293" s="516" t="s">
        <v>3856</v>
      </c>
      <c r="C293" s="519"/>
      <c r="D293" s="517">
        <v>101.1884</v>
      </c>
      <c r="E293" s="518">
        <v>149.87934166666665</v>
      </c>
      <c r="F293" s="517">
        <v>185.34545</v>
      </c>
      <c r="G293" s="517">
        <v>2.232791666666667</v>
      </c>
      <c r="H293" s="517">
        <v>0.9353768333333331</v>
      </c>
      <c r="I293" s="513">
        <v>125.78920833333332</v>
      </c>
      <c r="J293" s="512" t="s">
        <v>88</v>
      </c>
      <c r="K293" s="512" t="s">
        <v>88</v>
      </c>
      <c r="L293" s="512" t="s">
        <v>88</v>
      </c>
      <c r="M293" s="512" t="s">
        <v>88</v>
      </c>
      <c r="N293" s="512" t="s">
        <v>88</v>
      </c>
      <c r="O293" s="512" t="s">
        <v>88</v>
      </c>
      <c r="P293" s="512" t="s">
        <v>88</v>
      </c>
      <c r="Q293" s="512" t="s">
        <v>88</v>
      </c>
      <c r="R293" s="512" t="s">
        <v>88</v>
      </c>
    </row>
    <row r="294" spans="2:18">
      <c r="B294" s="493"/>
      <c r="C294" s="475"/>
      <c r="D294" s="511"/>
      <c r="E294" s="511"/>
      <c r="F294" s="511"/>
      <c r="G294" s="511"/>
      <c r="H294" s="511"/>
      <c r="I294" s="496"/>
      <c r="J294" s="487"/>
      <c r="K294" s="487"/>
      <c r="L294" s="487"/>
      <c r="M294" s="487"/>
      <c r="N294" s="487"/>
      <c r="O294" s="487"/>
      <c r="P294" s="487"/>
      <c r="Q294" s="487"/>
      <c r="R294" s="487"/>
    </row>
    <row r="295" spans="2:18">
      <c r="B295" s="493">
        <v>2005</v>
      </c>
      <c r="C295" s="475" t="s">
        <v>3165</v>
      </c>
      <c r="D295" s="477">
        <v>99.642200000000003</v>
      </c>
      <c r="E295" s="477">
        <v>151.90299999999999</v>
      </c>
      <c r="F295" s="477">
        <v>187.4152</v>
      </c>
      <c r="G295" s="477">
        <v>2.2833999999999999</v>
      </c>
      <c r="H295" s="477">
        <v>0.96465199999999995</v>
      </c>
      <c r="I295" s="496">
        <v>130.9915</v>
      </c>
      <c r="J295" s="487">
        <v>84.681844444444437</v>
      </c>
      <c r="K295" s="487">
        <v>76.335988888888863</v>
      </c>
      <c r="L295" s="487">
        <v>81.418833333333325</v>
      </c>
      <c r="M295" s="487">
        <v>60.818518331130434</v>
      </c>
      <c r="N295" s="510"/>
      <c r="O295" s="487" t="s">
        <v>88</v>
      </c>
      <c r="P295" s="487" t="s">
        <v>88</v>
      </c>
      <c r="Q295" s="487" t="s">
        <v>88</v>
      </c>
      <c r="R295" s="487">
        <v>14.469200000000001</v>
      </c>
    </row>
    <row r="296" spans="2:18">
      <c r="B296" s="493"/>
      <c r="C296" s="475" t="s">
        <v>3160</v>
      </c>
      <c r="D296" s="477">
        <v>99.392700000000005</v>
      </c>
      <c r="E296" s="477">
        <v>150.72470000000001</v>
      </c>
      <c r="F296" s="477">
        <v>187.33070000000001</v>
      </c>
      <c r="G296" s="477">
        <v>2.278</v>
      </c>
      <c r="H296" s="477">
        <v>0.94697200000000004</v>
      </c>
      <c r="I296" s="496">
        <v>129.1987</v>
      </c>
      <c r="J296" s="487">
        <v>83.306127777777775</v>
      </c>
      <c r="K296" s="487">
        <v>77.541399999999996</v>
      </c>
      <c r="L296" s="487">
        <v>80.174433333333326</v>
      </c>
      <c r="M296" s="487">
        <v>60.60919297831348</v>
      </c>
      <c r="N296" s="510"/>
      <c r="O296" s="487" t="s">
        <v>88</v>
      </c>
      <c r="P296" s="487" t="s">
        <v>88</v>
      </c>
      <c r="Q296" s="487" t="s">
        <v>88</v>
      </c>
      <c r="R296" s="487">
        <v>14.218455555555556</v>
      </c>
    </row>
    <row r="297" spans="2:18">
      <c r="B297" s="493"/>
      <c r="C297" s="475" t="s">
        <v>3154</v>
      </c>
      <c r="D297" s="477">
        <v>99.442999999999998</v>
      </c>
      <c r="E297" s="477">
        <v>151.74719999999999</v>
      </c>
      <c r="F297" s="477">
        <v>189.46270000000001</v>
      </c>
      <c r="G297" s="477">
        <v>2.2814999999999999</v>
      </c>
      <c r="H297" s="477">
        <v>0.945048</v>
      </c>
      <c r="I297" s="496">
        <v>131.21979999999999</v>
      </c>
      <c r="J297" s="487">
        <v>84.716180952380952</v>
      </c>
      <c r="K297" s="487">
        <v>77.985576190476209</v>
      </c>
      <c r="L297" s="487">
        <v>81.727166666666676</v>
      </c>
      <c r="M297" s="487">
        <v>60.967887935825111</v>
      </c>
      <c r="N297" s="510"/>
      <c r="O297" s="487" t="s">
        <v>88</v>
      </c>
      <c r="P297" s="487" t="s">
        <v>88</v>
      </c>
      <c r="Q297" s="487" t="s">
        <v>88</v>
      </c>
      <c r="R297" s="487">
        <v>14.436533333333333</v>
      </c>
    </row>
    <row r="298" spans="2:18">
      <c r="B298" s="493"/>
      <c r="C298" s="475" t="s">
        <v>3148</v>
      </c>
      <c r="D298" s="477">
        <v>99.724199999999996</v>
      </c>
      <c r="E298" s="477">
        <v>150.60849999999999</v>
      </c>
      <c r="F298" s="477">
        <v>188.92150000000001</v>
      </c>
      <c r="G298" s="477">
        <v>2.2852999999999999</v>
      </c>
      <c r="H298" s="477">
        <v>0.92941099999999999</v>
      </c>
      <c r="I298" s="496">
        <v>129.0231</v>
      </c>
      <c r="J298" s="487">
        <v>83.385249999999999</v>
      </c>
      <c r="K298" s="487">
        <v>76.979877777777787</v>
      </c>
      <c r="L298" s="487">
        <v>80.814666666666653</v>
      </c>
      <c r="M298" s="487">
        <v>60.31380093829781</v>
      </c>
      <c r="N298" s="510"/>
      <c r="O298" s="487" t="s">
        <v>88</v>
      </c>
      <c r="P298" s="487" t="s">
        <v>88</v>
      </c>
      <c r="Q298" s="487" t="s">
        <v>88</v>
      </c>
      <c r="R298" s="487">
        <v>14.074405555555556</v>
      </c>
    </row>
    <row r="299" spans="2:18">
      <c r="B299" s="493"/>
      <c r="C299" s="475" t="s">
        <v>114</v>
      </c>
      <c r="D299" s="477">
        <v>99.860200000000006</v>
      </c>
      <c r="E299" s="477">
        <v>149.5651</v>
      </c>
      <c r="F299" s="477">
        <v>185.51900000000001</v>
      </c>
      <c r="G299" s="477">
        <v>2.3001</v>
      </c>
      <c r="H299" s="477">
        <v>0.93724200000000002</v>
      </c>
      <c r="I299" s="496">
        <v>126.91200000000001</v>
      </c>
      <c r="J299" s="487">
        <v>82.149742105263172</v>
      </c>
      <c r="K299" s="487">
        <v>76.545221052631575</v>
      </c>
      <c r="L299" s="487">
        <v>79.53996842105262</v>
      </c>
      <c r="M299" s="487">
        <v>60.483738890902544</v>
      </c>
      <c r="N299" s="510"/>
      <c r="O299" s="487" t="s">
        <v>88</v>
      </c>
      <c r="P299" s="487" t="s">
        <v>88</v>
      </c>
      <c r="Q299" s="487" t="s">
        <v>88</v>
      </c>
      <c r="R299" s="487">
        <v>13.804415789473685</v>
      </c>
    </row>
    <row r="300" spans="2:18">
      <c r="B300" s="493"/>
      <c r="C300" s="475" t="s">
        <v>3135</v>
      </c>
      <c r="D300" s="477">
        <v>99.994</v>
      </c>
      <c r="E300" s="477">
        <v>146.75139999999999</v>
      </c>
      <c r="F300" s="477">
        <v>181.93219999999999</v>
      </c>
      <c r="G300" s="477">
        <v>2.298</v>
      </c>
      <c r="H300" s="477">
        <v>0.92113299999999998</v>
      </c>
      <c r="I300" s="496">
        <v>121.7032</v>
      </c>
      <c r="J300" s="487">
        <v>79.114423809523828</v>
      </c>
      <c r="K300" s="487">
        <v>76.603333333333325</v>
      </c>
      <c r="L300" s="487">
        <v>80.471461904761895</v>
      </c>
      <c r="M300" s="487">
        <v>59.844489458675547</v>
      </c>
      <c r="N300" s="510"/>
      <c r="O300" s="487" t="s">
        <v>88</v>
      </c>
      <c r="P300" s="487" t="s">
        <v>88</v>
      </c>
      <c r="Q300" s="487" t="s">
        <v>88</v>
      </c>
      <c r="R300" s="487">
        <v>13.145361904761904</v>
      </c>
    </row>
    <row r="301" spans="2:18">
      <c r="B301" s="493"/>
      <c r="C301" s="475" t="s">
        <v>3125</v>
      </c>
      <c r="D301" s="477">
        <v>100.3005</v>
      </c>
      <c r="E301" s="477">
        <v>145.4408</v>
      </c>
      <c r="F301" s="477">
        <v>175.87440000000001</v>
      </c>
      <c r="G301" s="477">
        <v>2.3001999999999998</v>
      </c>
      <c r="H301" s="477">
        <v>0.89649500000000004</v>
      </c>
      <c r="I301" s="496">
        <v>120.77930000000001</v>
      </c>
      <c r="J301" s="487">
        <v>77.53488999999999</v>
      </c>
      <c r="K301" s="487">
        <v>75.457714999999993</v>
      </c>
      <c r="L301" s="487">
        <v>81.917815000000019</v>
      </c>
      <c r="M301" s="487">
        <v>59.592581693695124</v>
      </c>
      <c r="N301" s="510"/>
      <c r="O301" s="487" t="s">
        <v>88</v>
      </c>
      <c r="P301" s="487" t="s">
        <v>88</v>
      </c>
      <c r="Q301" s="487" t="s">
        <v>88</v>
      </c>
      <c r="R301" s="487">
        <v>12.81259</v>
      </c>
    </row>
    <row r="302" spans="2:18">
      <c r="B302" s="493"/>
      <c r="C302" s="475" t="s">
        <v>3117</v>
      </c>
      <c r="D302" s="477">
        <v>100.77839090909092</v>
      </c>
      <c r="E302" s="477">
        <v>147.85281818181818</v>
      </c>
      <c r="F302" s="477">
        <v>180.62301818181814</v>
      </c>
      <c r="G302" s="477">
        <v>2.3140136363636361</v>
      </c>
      <c r="H302" s="477">
        <v>0.91015909090909086</v>
      </c>
      <c r="I302" s="496">
        <v>123.91619545454542</v>
      </c>
      <c r="J302" s="487">
        <v>79.747213636363639</v>
      </c>
      <c r="K302" s="487">
        <v>76.775295454545457</v>
      </c>
      <c r="L302" s="487">
        <v>83.571890909090911</v>
      </c>
      <c r="M302" s="487">
        <v>60.649005038934668</v>
      </c>
      <c r="N302" s="510"/>
      <c r="O302" s="487" t="s">
        <v>88</v>
      </c>
      <c r="P302" s="487" t="s">
        <v>88</v>
      </c>
      <c r="Q302" s="487" t="s">
        <v>88</v>
      </c>
      <c r="R302" s="487">
        <v>13.260254545454547</v>
      </c>
    </row>
    <row r="303" spans="2:18">
      <c r="B303" s="493"/>
      <c r="C303" s="475" t="s">
        <v>3113</v>
      </c>
      <c r="D303" s="477">
        <v>101.39109999999999</v>
      </c>
      <c r="E303" s="477">
        <v>148.77250000000001</v>
      </c>
      <c r="F303" s="477">
        <v>183.6729</v>
      </c>
      <c r="G303" s="477">
        <v>2.3130999999999999</v>
      </c>
      <c r="H303" s="477">
        <v>0.91379999999999995</v>
      </c>
      <c r="I303" s="496">
        <v>124.38500000000001</v>
      </c>
      <c r="J303" s="487">
        <v>80.22301818181819</v>
      </c>
      <c r="K303" s="487">
        <v>77.565540909090899</v>
      </c>
      <c r="L303" s="487">
        <v>85.95</v>
      </c>
      <c r="M303" s="487">
        <v>60.335452680269533</v>
      </c>
      <c r="N303" s="510"/>
      <c r="O303" s="487" t="s">
        <v>88</v>
      </c>
      <c r="P303" s="487" t="s">
        <v>88</v>
      </c>
      <c r="Q303" s="487" t="s">
        <v>88</v>
      </c>
      <c r="R303" s="487">
        <v>13.317054545454546</v>
      </c>
    </row>
    <row r="304" spans="2:18">
      <c r="B304" s="493"/>
      <c r="C304" s="475" t="s">
        <v>3104</v>
      </c>
      <c r="D304" s="477">
        <v>101.52500000000001</v>
      </c>
      <c r="E304" s="477">
        <v>146.75960000000001</v>
      </c>
      <c r="F304" s="477">
        <v>179.04169999999999</v>
      </c>
      <c r="G304" s="477">
        <v>2.2724000000000002</v>
      </c>
      <c r="H304" s="477">
        <v>0.88439999999999996</v>
      </c>
      <c r="I304" s="496">
        <v>122.02809999999999</v>
      </c>
      <c r="J304" s="487">
        <v>78.83133500000001</v>
      </c>
      <c r="K304" s="487">
        <v>76.564980000000006</v>
      </c>
      <c r="L304" s="487">
        <v>86.326300000000003</v>
      </c>
      <c r="M304" s="487">
        <v>60.049000231339662</v>
      </c>
      <c r="N304" s="510"/>
      <c r="O304" s="487" t="s">
        <v>88</v>
      </c>
      <c r="P304" s="487" t="s">
        <v>88</v>
      </c>
      <c r="Q304" s="487" t="s">
        <v>88</v>
      </c>
      <c r="R304" s="487">
        <v>12.958710000000002</v>
      </c>
    </row>
    <row r="305" spans="2:18">
      <c r="B305" s="493"/>
      <c r="C305" s="475" t="s">
        <v>3099</v>
      </c>
      <c r="D305" s="477">
        <v>101.8997</v>
      </c>
      <c r="E305" s="477">
        <v>145.32820000000001</v>
      </c>
      <c r="F305" s="477">
        <v>176.5583</v>
      </c>
      <c r="G305" s="477">
        <v>2.2347999999999999</v>
      </c>
      <c r="H305" s="477">
        <v>0.86040000000000005</v>
      </c>
      <c r="I305" s="496">
        <v>120.0796</v>
      </c>
      <c r="J305" s="487">
        <v>77.703947368421069</v>
      </c>
      <c r="K305" s="487">
        <v>74.910289473684202</v>
      </c>
      <c r="L305" s="487">
        <v>86.196378947368416</v>
      </c>
      <c r="M305" s="487">
        <v>60.007478147890055</v>
      </c>
      <c r="N305" s="510"/>
      <c r="O305" s="487" t="s">
        <v>88</v>
      </c>
      <c r="P305" s="487" t="s">
        <v>88</v>
      </c>
      <c r="Q305" s="487" t="s">
        <v>88</v>
      </c>
      <c r="R305" s="487">
        <v>12.549642105263157</v>
      </c>
    </row>
    <row r="306" spans="2:18">
      <c r="B306" s="493"/>
      <c r="C306" s="489" t="s">
        <v>3094</v>
      </c>
      <c r="D306" s="477">
        <v>102.0373</v>
      </c>
      <c r="E306" s="477">
        <v>145.95269999999999</v>
      </c>
      <c r="F306" s="477">
        <v>178.0727</v>
      </c>
      <c r="G306" s="477">
        <v>2.2402000000000002</v>
      </c>
      <c r="H306" s="477">
        <v>0.85950000000000004</v>
      </c>
      <c r="I306" s="496">
        <v>120.9064</v>
      </c>
      <c r="J306" s="487">
        <v>78.110200000000006</v>
      </c>
      <c r="K306" s="487">
        <v>75.674295000000001</v>
      </c>
      <c r="L306" s="487">
        <v>87.798230000000018</v>
      </c>
      <c r="M306" s="487">
        <v>60.892924261977349</v>
      </c>
      <c r="N306" s="510"/>
      <c r="O306" s="487" t="s">
        <v>88</v>
      </c>
      <c r="P306" s="487" t="s">
        <v>88</v>
      </c>
      <c r="Q306" s="487" t="s">
        <v>88</v>
      </c>
      <c r="R306" s="487">
        <v>12.806909999999998</v>
      </c>
    </row>
    <row r="307" spans="2:18" ht="13.8" thickBot="1">
      <c r="B307" s="493"/>
      <c r="C307" s="521"/>
      <c r="D307" s="477"/>
      <c r="E307" s="520"/>
      <c r="F307" s="477"/>
      <c r="G307" s="477"/>
      <c r="H307" s="477"/>
      <c r="I307" s="496"/>
      <c r="J307" s="487"/>
      <c r="K307" s="487"/>
      <c r="L307" s="487"/>
      <c r="M307" s="487"/>
      <c r="N307" s="510"/>
      <c r="O307" s="487"/>
      <c r="P307" s="487"/>
      <c r="Q307" s="487"/>
      <c r="R307" s="487"/>
    </row>
    <row r="308" spans="2:18" s="464" customFormat="1" ht="13.8" thickBot="1">
      <c r="B308" s="516" t="s">
        <v>3856</v>
      </c>
      <c r="C308" s="519"/>
      <c r="D308" s="517">
        <v>100.499</v>
      </c>
      <c r="E308" s="518">
        <v>148.45050000000001</v>
      </c>
      <c r="F308" s="517">
        <v>182.86869999999999</v>
      </c>
      <c r="G308" s="517">
        <v>2.2833999999999999</v>
      </c>
      <c r="H308" s="517">
        <v>0.91410000000000002</v>
      </c>
      <c r="I308" s="513">
        <v>125.09520000000001</v>
      </c>
      <c r="J308" s="512">
        <v>80.79201443966609</v>
      </c>
      <c r="K308" s="512">
        <v>76.578292756702368</v>
      </c>
      <c r="L308" s="512">
        <v>82.992262098522829</v>
      </c>
      <c r="M308" s="512">
        <v>60.380339215604273</v>
      </c>
      <c r="N308" s="512"/>
      <c r="O308" s="512"/>
      <c r="P308" s="512"/>
      <c r="Q308" s="512"/>
      <c r="R308" s="512">
        <v>13.487794444571023</v>
      </c>
    </row>
    <row r="309" spans="2:18">
      <c r="B309" s="493"/>
      <c r="C309" s="475"/>
      <c r="D309" s="511"/>
      <c r="E309" s="511"/>
      <c r="F309" s="511"/>
      <c r="G309" s="511"/>
      <c r="H309" s="511"/>
      <c r="I309" s="496"/>
      <c r="J309" s="487"/>
      <c r="K309" s="487"/>
      <c r="L309" s="487"/>
      <c r="M309" s="487"/>
      <c r="N309" s="510"/>
      <c r="O309" s="487"/>
      <c r="P309" s="487"/>
      <c r="Q309" s="487"/>
      <c r="R309" s="487"/>
    </row>
    <row r="310" spans="2:18">
      <c r="B310" s="493">
        <v>2006</v>
      </c>
      <c r="C310" s="475" t="s">
        <v>3165</v>
      </c>
      <c r="D310" s="477">
        <v>102.1459</v>
      </c>
      <c r="E310" s="477">
        <v>147.78530000000001</v>
      </c>
      <c r="F310" s="477">
        <v>180.16990000000001</v>
      </c>
      <c r="G310" s="477">
        <v>2.3052000000000001</v>
      </c>
      <c r="H310" s="477">
        <v>0.8831</v>
      </c>
      <c r="I310" s="496">
        <v>123.7247</v>
      </c>
      <c r="J310" s="487">
        <v>79.842685000000003</v>
      </c>
      <c r="K310" s="487">
        <v>76.523615000000007</v>
      </c>
      <c r="L310" s="487">
        <v>88.225009999999983</v>
      </c>
      <c r="M310" s="487">
        <v>62.472171747522189</v>
      </c>
      <c r="N310" s="510"/>
      <c r="O310" s="487" t="s">
        <v>88</v>
      </c>
      <c r="P310" s="487" t="s">
        <v>88</v>
      </c>
      <c r="Q310" s="487" t="s">
        <v>88</v>
      </c>
      <c r="R310" s="487">
        <v>13.282675000000001</v>
      </c>
    </row>
    <row r="311" spans="2:18">
      <c r="B311" s="493"/>
      <c r="C311" s="475" t="s">
        <v>3160</v>
      </c>
      <c r="D311" s="477">
        <v>102.19110000000001</v>
      </c>
      <c r="E311" s="477">
        <v>146.6772</v>
      </c>
      <c r="F311" s="477">
        <v>178.74870000000001</v>
      </c>
      <c r="G311" s="477">
        <v>2.3136000000000001</v>
      </c>
      <c r="H311" s="477">
        <v>0.86699999999999999</v>
      </c>
      <c r="I311" s="496">
        <v>122.1331</v>
      </c>
      <c r="J311" s="487">
        <v>78.378700000000009</v>
      </c>
      <c r="K311" s="487">
        <v>75.776869999999988</v>
      </c>
      <c r="L311" s="487">
        <v>88.924340000000015</v>
      </c>
      <c r="M311" s="487">
        <v>62.726993665154659</v>
      </c>
      <c r="N311" s="510"/>
      <c r="O311" s="487" t="s">
        <v>88</v>
      </c>
      <c r="P311" s="487" t="s">
        <v>88</v>
      </c>
      <c r="Q311" s="487" t="s">
        <v>88</v>
      </c>
      <c r="R311" s="487">
        <v>13.08671</v>
      </c>
    </row>
    <row r="312" spans="2:18">
      <c r="B312" s="493"/>
      <c r="C312" s="475" t="s">
        <v>3154</v>
      </c>
      <c r="D312" s="477">
        <v>102.679</v>
      </c>
      <c r="E312" s="477">
        <v>147.738</v>
      </c>
      <c r="F312" s="477">
        <v>179.20740000000001</v>
      </c>
      <c r="G312" s="477">
        <v>2.3157000000000001</v>
      </c>
      <c r="H312" s="477">
        <v>0.87619999999999998</v>
      </c>
      <c r="I312" s="496">
        <v>123.47580000000001</v>
      </c>
      <c r="J312" s="487">
        <v>78.70986363636365</v>
      </c>
      <c r="K312" s="487">
        <v>74.700700000000012</v>
      </c>
      <c r="L312" s="487">
        <v>88.847754545454549</v>
      </c>
      <c r="M312" s="487">
        <v>63.335940940424159</v>
      </c>
      <c r="N312" s="510"/>
      <c r="O312" s="487" t="s">
        <v>88</v>
      </c>
      <c r="P312" s="487" t="s">
        <v>88</v>
      </c>
      <c r="Q312" s="487" t="s">
        <v>88</v>
      </c>
      <c r="R312" s="487">
        <v>13.143340909090909</v>
      </c>
    </row>
    <row r="313" spans="2:18">
      <c r="B313" s="493"/>
      <c r="C313" s="475" t="s">
        <v>3148</v>
      </c>
      <c r="D313" s="477">
        <v>102.6631</v>
      </c>
      <c r="E313" s="477">
        <v>149.19659999999999</v>
      </c>
      <c r="F313" s="477">
        <v>181.4648</v>
      </c>
      <c r="G313" s="477">
        <v>2.2938000000000001</v>
      </c>
      <c r="H313" s="477">
        <v>0.87849999999999995</v>
      </c>
      <c r="I313" s="496">
        <v>126.09650000000001</v>
      </c>
      <c r="J313" s="487">
        <v>80.641952941176484</v>
      </c>
      <c r="K313" s="487">
        <v>75.546623529411761</v>
      </c>
      <c r="L313" s="487">
        <v>89.588676470588226</v>
      </c>
      <c r="M313" s="487">
        <v>64.14501301838834</v>
      </c>
      <c r="N313" s="510"/>
      <c r="O313" s="487" t="s">
        <v>88</v>
      </c>
      <c r="P313" s="487" t="s">
        <v>88</v>
      </c>
      <c r="Q313" s="487" t="s">
        <v>88</v>
      </c>
      <c r="R313" s="487">
        <v>13.513464705882352</v>
      </c>
    </row>
    <row r="314" spans="2:18">
      <c r="B314" s="493"/>
      <c r="C314" s="505" t="s">
        <v>114</v>
      </c>
      <c r="D314" s="496">
        <v>102.9003</v>
      </c>
      <c r="E314" s="496">
        <v>153.19229999999999</v>
      </c>
      <c r="F314" s="496">
        <v>192.18680000000001</v>
      </c>
      <c r="G314" s="496">
        <v>2.278</v>
      </c>
      <c r="H314" s="496">
        <v>0.92012400000000005</v>
      </c>
      <c r="I314" s="496">
        <v>131.30619999999999</v>
      </c>
      <c r="J314" s="487">
        <v>84.396999999999991</v>
      </c>
      <c r="K314" s="487">
        <v>78.493852380952404</v>
      </c>
      <c r="L314" s="487">
        <v>92.64467619047619</v>
      </c>
      <c r="M314" s="487">
        <v>65.236655063019015</v>
      </c>
      <c r="N314" s="510"/>
      <c r="O314" s="487" t="s">
        <v>88</v>
      </c>
      <c r="P314" s="487" t="s">
        <v>88</v>
      </c>
      <c r="Q314" s="487" t="s">
        <v>88</v>
      </c>
      <c r="R314" s="487">
        <v>14.071280952380951</v>
      </c>
    </row>
    <row r="315" spans="2:18">
      <c r="B315" s="493"/>
      <c r="C315" s="505" t="s">
        <v>3135</v>
      </c>
      <c r="D315" s="496">
        <v>103.51179999999999</v>
      </c>
      <c r="E315" s="496">
        <v>152.97929999999999</v>
      </c>
      <c r="F315" s="496">
        <v>191.00069999999999</v>
      </c>
      <c r="G315" s="496">
        <v>2.2562000000000002</v>
      </c>
      <c r="H315" s="496">
        <v>0.90369100000000002</v>
      </c>
      <c r="I315" s="496">
        <v>131.13290000000001</v>
      </c>
      <c r="J315" s="487">
        <v>84.049831818181815</v>
      </c>
      <c r="K315" s="487">
        <v>76.634309090909071</v>
      </c>
      <c r="L315" s="487">
        <v>92.974486363636359</v>
      </c>
      <c r="M315" s="487">
        <v>65.092875686194105</v>
      </c>
      <c r="N315" s="510"/>
      <c r="O315" s="487" t="s">
        <v>88</v>
      </c>
      <c r="P315" s="487" t="s">
        <v>88</v>
      </c>
      <c r="Q315" s="487" t="s">
        <v>88</v>
      </c>
      <c r="R315" s="487">
        <v>14.191631818181817</v>
      </c>
    </row>
    <row r="316" spans="2:18">
      <c r="B316" s="493"/>
      <c r="C316" s="505" t="s">
        <v>3125</v>
      </c>
      <c r="D316" s="496">
        <v>103.98309999999999</v>
      </c>
      <c r="E316" s="496">
        <v>153.57310000000001</v>
      </c>
      <c r="F316" s="496">
        <v>191.7139</v>
      </c>
      <c r="G316" s="496">
        <v>2.2431000000000001</v>
      </c>
      <c r="H316" s="496">
        <v>0.89756000000000002</v>
      </c>
      <c r="I316" s="496">
        <v>131.8331</v>
      </c>
      <c r="J316" s="487">
        <v>84.07012499999999</v>
      </c>
      <c r="K316" s="487">
        <v>78.119320000000002</v>
      </c>
      <c r="L316" s="487">
        <v>92.139735000000002</v>
      </c>
      <c r="M316" s="487">
        <v>65.637895525029791</v>
      </c>
      <c r="N316" s="510"/>
      <c r="O316" s="487" t="s">
        <v>88</v>
      </c>
      <c r="P316" s="487" t="s">
        <v>88</v>
      </c>
      <c r="Q316" s="487" t="s">
        <v>88</v>
      </c>
      <c r="R316" s="487">
        <v>14.310345000000002</v>
      </c>
    </row>
    <row r="317" spans="2:18">
      <c r="B317" s="493"/>
      <c r="C317" s="505" t="s">
        <v>3117</v>
      </c>
      <c r="D317" s="496">
        <v>103.7816</v>
      </c>
      <c r="E317" s="496">
        <v>154.29480000000001</v>
      </c>
      <c r="F317" s="496">
        <v>196.30019999999999</v>
      </c>
      <c r="G317" s="496">
        <v>2.2368000000000001</v>
      </c>
      <c r="H317" s="496">
        <v>0.89590000000000003</v>
      </c>
      <c r="I317" s="496">
        <v>132.90530000000001</v>
      </c>
      <c r="J317" s="487">
        <v>84.233586363636348</v>
      </c>
      <c r="K317" s="487">
        <v>79.221772727272722</v>
      </c>
      <c r="L317" s="487">
        <v>92.677513636363642</v>
      </c>
      <c r="M317" s="487">
        <v>65.854876186899389</v>
      </c>
      <c r="N317" s="510"/>
      <c r="O317" s="487" t="s">
        <v>88</v>
      </c>
      <c r="P317" s="487" t="s">
        <v>88</v>
      </c>
      <c r="Q317" s="487" t="s">
        <v>88</v>
      </c>
      <c r="R317" s="487">
        <v>14.432881818181817</v>
      </c>
    </row>
    <row r="318" spans="2:18">
      <c r="B318" s="493"/>
      <c r="C318" s="505" t="s">
        <v>3113</v>
      </c>
      <c r="D318" s="496">
        <v>102.4928</v>
      </c>
      <c r="E318" s="496">
        <v>151.83410000000001</v>
      </c>
      <c r="F318" s="496">
        <v>191.9982</v>
      </c>
      <c r="G318" s="496">
        <v>2.2288000000000001</v>
      </c>
      <c r="H318" s="496">
        <v>0.87539999999999996</v>
      </c>
      <c r="I318" s="496">
        <v>130.52070000000001</v>
      </c>
      <c r="J318" s="487">
        <v>82.431120000000007</v>
      </c>
      <c r="K318" s="487">
        <v>77.494050000000001</v>
      </c>
      <c r="L318" s="487">
        <v>91.827939999999998</v>
      </c>
      <c r="M318" s="487">
        <v>64.90275900567498</v>
      </c>
      <c r="N318" s="510"/>
      <c r="O318" s="487" t="s">
        <v>88</v>
      </c>
      <c r="P318" s="487" t="s">
        <v>88</v>
      </c>
      <c r="Q318" s="487" t="s">
        <v>88</v>
      </c>
      <c r="R318" s="487">
        <v>14.084804999999999</v>
      </c>
    </row>
    <row r="319" spans="2:18">
      <c r="B319" s="493"/>
      <c r="C319" s="505" t="s">
        <v>3104</v>
      </c>
      <c r="D319" s="496">
        <v>105.5861</v>
      </c>
      <c r="E319" s="496">
        <v>155.5583</v>
      </c>
      <c r="F319" s="496">
        <v>197.99809999999999</v>
      </c>
      <c r="G319" s="496">
        <v>2.3288000000000002</v>
      </c>
      <c r="H319" s="496">
        <v>0.89022000000000001</v>
      </c>
      <c r="I319" s="496">
        <v>133.2567</v>
      </c>
      <c r="J319" s="487">
        <v>83.773444999999995</v>
      </c>
      <c r="K319" s="487">
        <v>79.516599999999997</v>
      </c>
      <c r="L319" s="487">
        <v>93.572645000000023</v>
      </c>
      <c r="M319" s="487">
        <v>66.870128258719959</v>
      </c>
      <c r="N319" s="510"/>
      <c r="O319" s="487" t="s">
        <v>88</v>
      </c>
      <c r="P319" s="487" t="s">
        <v>88</v>
      </c>
      <c r="Q319" s="487" t="s">
        <v>88</v>
      </c>
      <c r="R319" s="487">
        <v>14.384724999999998</v>
      </c>
    </row>
    <row r="320" spans="2:18">
      <c r="B320" s="493"/>
      <c r="C320" s="505" t="s">
        <v>3099</v>
      </c>
      <c r="D320" s="496">
        <v>107.74</v>
      </c>
      <c r="E320" s="496">
        <v>160.49270000000001</v>
      </c>
      <c r="F320" s="496">
        <v>205.88220000000001</v>
      </c>
      <c r="G320" s="496">
        <v>2.4108999999999998</v>
      </c>
      <c r="H320" s="496">
        <v>0.91900899999999996</v>
      </c>
      <c r="I320" s="496">
        <v>138.74449999999999</v>
      </c>
      <c r="J320" s="487">
        <v>87.157309090909081</v>
      </c>
      <c r="K320" s="487">
        <v>83.183981818181806</v>
      </c>
      <c r="L320" s="487">
        <v>94.883654545454547</v>
      </c>
      <c r="M320" s="487">
        <v>69.215962159025878</v>
      </c>
      <c r="N320" s="510"/>
      <c r="O320" s="487" t="s">
        <v>88</v>
      </c>
      <c r="P320" s="487" t="s">
        <v>88</v>
      </c>
      <c r="Q320" s="487" t="s">
        <v>88</v>
      </c>
      <c r="R320" s="487">
        <v>15.238100000000001</v>
      </c>
    </row>
    <row r="321" spans="2:18" ht="13.8" thickBot="1">
      <c r="B321" s="493"/>
      <c r="C321" s="505" t="s">
        <v>3094</v>
      </c>
      <c r="D321" s="496">
        <v>107.87309999999999</v>
      </c>
      <c r="E321" s="496">
        <v>162.6705</v>
      </c>
      <c r="F321" s="496">
        <v>211.6951</v>
      </c>
      <c r="G321" s="496">
        <v>2.4266000000000001</v>
      </c>
      <c r="H321" s="496">
        <v>0.92010000000000003</v>
      </c>
      <c r="I321" s="496">
        <v>142.41309999999999</v>
      </c>
      <c r="J321" s="487">
        <v>89.190936842105259</v>
      </c>
      <c r="K321" s="487">
        <v>84.750342105263158</v>
      </c>
      <c r="L321" s="487">
        <v>93.622999999999976</v>
      </c>
      <c r="M321" s="487">
        <v>70.020108665385337</v>
      </c>
      <c r="N321" s="510"/>
      <c r="O321" s="487" t="s">
        <v>88</v>
      </c>
      <c r="P321" s="487" t="s">
        <v>88</v>
      </c>
      <c r="Q321" s="487" t="s">
        <v>88</v>
      </c>
      <c r="R321" s="487">
        <v>15.760089473684213</v>
      </c>
    </row>
    <row r="322" spans="2:18" s="464" customFormat="1" ht="13.8" thickBot="1">
      <c r="B322" s="516" t="s">
        <v>3856</v>
      </c>
      <c r="C322" s="515"/>
      <c r="D322" s="514">
        <v>103.96232500000001</v>
      </c>
      <c r="E322" s="514">
        <v>152.99934999999999</v>
      </c>
      <c r="F322" s="514">
        <v>191.53049999999999</v>
      </c>
      <c r="G322" s="514">
        <v>2.3031250000000001</v>
      </c>
      <c r="H322" s="514">
        <v>0.8939003333333333</v>
      </c>
      <c r="I322" s="513">
        <v>130.62854999999999</v>
      </c>
      <c r="J322" s="512">
        <v>83.073046307697723</v>
      </c>
      <c r="K322" s="512">
        <v>78.330169720999251</v>
      </c>
      <c r="L322" s="512">
        <v>91.660785979331123</v>
      </c>
      <c r="M322" s="512">
        <v>65.459281660119814</v>
      </c>
      <c r="N322" s="512"/>
      <c r="O322" s="512"/>
      <c r="P322" s="512"/>
      <c r="Q322" s="512"/>
      <c r="R322" s="512">
        <v>14.125004139783504</v>
      </c>
    </row>
    <row r="323" spans="2:18">
      <c r="B323" s="493"/>
      <c r="C323" s="475"/>
      <c r="D323" s="511"/>
      <c r="E323" s="511"/>
      <c r="F323" s="511"/>
      <c r="G323" s="511"/>
      <c r="H323" s="511"/>
      <c r="I323" s="496"/>
      <c r="J323" s="487"/>
      <c r="K323" s="487"/>
      <c r="L323" s="487"/>
      <c r="M323" s="487"/>
      <c r="N323" s="510"/>
      <c r="O323" s="487"/>
      <c r="P323" s="487"/>
      <c r="Q323" s="487"/>
      <c r="R323" s="487"/>
    </row>
    <row r="324" spans="2:18">
      <c r="B324" s="493">
        <v>2007</v>
      </c>
      <c r="C324" s="475" t="s">
        <v>3165</v>
      </c>
      <c r="D324" s="477">
        <v>108.46080000000001</v>
      </c>
      <c r="E324" s="477">
        <v>162.11660000000001</v>
      </c>
      <c r="F324" s="477">
        <v>212.4759</v>
      </c>
      <c r="G324" s="477">
        <v>2.4561999999999999</v>
      </c>
      <c r="H324" s="477">
        <v>0.90125500000000003</v>
      </c>
      <c r="I324" s="496">
        <v>140.90989999999999</v>
      </c>
      <c r="J324" s="487">
        <v>87.307709523809507</v>
      </c>
      <c r="K324" s="487">
        <v>84.885366666666656</v>
      </c>
      <c r="L324" s="487">
        <v>92.25395238095237</v>
      </c>
      <c r="M324" s="487">
        <v>70.554966814962995</v>
      </c>
      <c r="N324" s="487">
        <v>18.911471428571428</v>
      </c>
      <c r="O324" s="487">
        <v>13.905457142857145</v>
      </c>
      <c r="P324" s="487">
        <v>75.415204761904775</v>
      </c>
      <c r="Q324" s="487">
        <v>17.035614285714285</v>
      </c>
      <c r="R324" s="487">
        <v>15.518314285714283</v>
      </c>
    </row>
    <row r="325" spans="2:18">
      <c r="B325" s="493"/>
      <c r="C325" s="475" t="s">
        <v>3160</v>
      </c>
      <c r="D325" s="467">
        <v>108.6992</v>
      </c>
      <c r="E325" s="477">
        <v>162.7422</v>
      </c>
      <c r="F325" s="477">
        <v>212.91990000000001</v>
      </c>
      <c r="G325" s="467">
        <v>2.4714</v>
      </c>
      <c r="H325" s="477">
        <v>0.90159999999999996</v>
      </c>
      <c r="I325" s="496">
        <v>142.22229999999999</v>
      </c>
      <c r="J325" s="487">
        <v>87.721129411764707</v>
      </c>
      <c r="K325" s="487">
        <v>85.112288235294145</v>
      </c>
      <c r="L325" s="487">
        <v>92.844523529411774</v>
      </c>
      <c r="M325" s="487">
        <v>70.901064705882348</v>
      </c>
      <c r="N325" s="487">
        <v>19.080317647058827</v>
      </c>
      <c r="O325" s="487">
        <v>13.915547058823531</v>
      </c>
      <c r="P325" s="487">
        <v>75.465558823529406</v>
      </c>
      <c r="Q325" s="487">
        <v>17.594164705882353</v>
      </c>
      <c r="R325" s="487">
        <v>15.486076470588232</v>
      </c>
    </row>
    <row r="326" spans="2:18">
      <c r="B326" s="493"/>
      <c r="C326" s="505" t="s">
        <v>3154</v>
      </c>
      <c r="D326" s="467">
        <v>109.3437</v>
      </c>
      <c r="E326" s="477">
        <v>164.7859</v>
      </c>
      <c r="F326" s="477">
        <v>212.7561</v>
      </c>
      <c r="G326" s="467">
        <v>2.4961000000000002</v>
      </c>
      <c r="H326" s="477">
        <v>0.93330000000000002</v>
      </c>
      <c r="I326" s="496">
        <v>144.75899999999999</v>
      </c>
      <c r="J326" s="487">
        <v>89.774954545454548</v>
      </c>
      <c r="K326" s="487">
        <v>86.576222727272736</v>
      </c>
      <c r="L326" s="487">
        <v>93.47111363636364</v>
      </c>
      <c r="M326" s="487">
        <v>71.700840909090914</v>
      </c>
      <c r="N326" s="487">
        <v>19.430431818181816</v>
      </c>
      <c r="O326" s="487">
        <v>13.992677272727276</v>
      </c>
      <c r="P326" s="487">
        <v>76.314431818181802</v>
      </c>
      <c r="Q326" s="487">
        <v>17.798218181818182</v>
      </c>
      <c r="R326" s="487">
        <v>15.578368181818179</v>
      </c>
    </row>
    <row r="327" spans="2:18">
      <c r="B327" s="493"/>
      <c r="C327" s="505" t="s">
        <v>3148</v>
      </c>
      <c r="D327" s="496">
        <v>109.4028</v>
      </c>
      <c r="E327" s="496">
        <v>166.40129999999999</v>
      </c>
      <c r="F327" s="496">
        <v>217.50810000000001</v>
      </c>
      <c r="G327" s="496">
        <v>2.6091000000000002</v>
      </c>
      <c r="H327" s="496">
        <v>0.920512</v>
      </c>
      <c r="I327" s="496">
        <v>147.8373</v>
      </c>
      <c r="J327" s="487">
        <v>90.242305882352966</v>
      </c>
      <c r="K327" s="487">
        <v>90.405188235294119</v>
      </c>
      <c r="L327" s="487">
        <v>96.327194117647082</v>
      </c>
      <c r="M327" s="487">
        <v>72.237317647058831</v>
      </c>
      <c r="N327" s="487">
        <v>19.849193750000001</v>
      </c>
      <c r="O327" s="487">
        <v>14.0009625</v>
      </c>
      <c r="P327" s="487">
        <v>80.429950000000005</v>
      </c>
      <c r="Q327" s="487">
        <v>18.203975</v>
      </c>
      <c r="R327" s="487">
        <v>16.002029411764706</v>
      </c>
    </row>
    <row r="328" spans="2:18">
      <c r="B328" s="493"/>
      <c r="C328" s="505" t="s">
        <v>114</v>
      </c>
      <c r="D328" s="496">
        <v>110.85169999999999</v>
      </c>
      <c r="E328" s="496">
        <v>168.16059999999999</v>
      </c>
      <c r="F328" s="496">
        <v>219.88669999999999</v>
      </c>
      <c r="G328" s="496">
        <v>2.7320000000000002</v>
      </c>
      <c r="H328" s="496">
        <v>0.91808000000000001</v>
      </c>
      <c r="I328" s="496">
        <v>149.83680000000001</v>
      </c>
      <c r="J328" s="487">
        <v>90.737249999999989</v>
      </c>
      <c r="K328" s="487">
        <v>91.418730000000011</v>
      </c>
      <c r="L328" s="487">
        <v>101.111265</v>
      </c>
      <c r="M328" s="487">
        <v>72.828054999999978</v>
      </c>
      <c r="N328" s="487">
        <v>20.099830000000001</v>
      </c>
      <c r="O328" s="487">
        <v>14.175690000000003</v>
      </c>
      <c r="P328" s="487">
        <v>81.166250000000005</v>
      </c>
      <c r="Q328" s="487">
        <v>18.401035</v>
      </c>
      <c r="R328" s="487">
        <v>16.277925000000003</v>
      </c>
    </row>
    <row r="329" spans="2:18">
      <c r="B329" s="493"/>
      <c r="C329" s="505" t="s">
        <v>3135</v>
      </c>
      <c r="D329" s="496">
        <v>110.9666</v>
      </c>
      <c r="E329" s="496">
        <v>167.7501</v>
      </c>
      <c r="F329" s="496">
        <v>220.3914</v>
      </c>
      <c r="G329" s="496">
        <v>2.7368999999999999</v>
      </c>
      <c r="H329" s="496">
        <v>0.90515699999999999</v>
      </c>
      <c r="I329" s="496">
        <v>148.85050000000001</v>
      </c>
      <c r="J329" s="487">
        <v>89.989295238095252</v>
      </c>
      <c r="K329" s="487">
        <v>93.46106190476192</v>
      </c>
      <c r="L329" s="487">
        <v>104.16069047619047</v>
      </c>
      <c r="M329" s="487">
        <v>72.228171428571429</v>
      </c>
      <c r="N329" s="487">
        <v>20.008930000000003</v>
      </c>
      <c r="O329" s="487">
        <v>14.202089999999998</v>
      </c>
      <c r="P329" s="487">
        <v>83.98861500000001</v>
      </c>
      <c r="Q329" s="487">
        <v>18.494814999999999</v>
      </c>
      <c r="R329" s="487">
        <v>15.963209523809523</v>
      </c>
    </row>
    <row r="330" spans="2:18">
      <c r="B330" s="493"/>
      <c r="C330" s="505" t="s">
        <v>3125</v>
      </c>
      <c r="D330" s="496">
        <v>111.6639</v>
      </c>
      <c r="E330" s="496">
        <v>170.7542</v>
      </c>
      <c r="F330" s="496">
        <v>227.07900000000001</v>
      </c>
      <c r="G330" s="496">
        <v>2.7765</v>
      </c>
      <c r="H330" s="496">
        <v>0.90515699999999999</v>
      </c>
      <c r="I330" s="496">
        <v>153.1455</v>
      </c>
      <c r="J330" s="487">
        <v>92.450695454545453</v>
      </c>
      <c r="K330" s="487">
        <v>96.774627272727244</v>
      </c>
      <c r="L330" s="487">
        <v>106.22351818181818</v>
      </c>
      <c r="M330" s="487">
        <v>73.657499999999999</v>
      </c>
      <c r="N330" s="487">
        <v>20.581131818181817</v>
      </c>
      <c r="O330" s="487">
        <v>14.280672727272728</v>
      </c>
      <c r="P330" s="487">
        <v>87.738854545454529</v>
      </c>
      <c r="Q330" s="487">
        <v>19.29994285714286</v>
      </c>
      <c r="R330" s="487">
        <v>16.65234090909091</v>
      </c>
    </row>
    <row r="331" spans="2:18">
      <c r="B331" s="493"/>
      <c r="C331" s="505" t="s">
        <v>3117</v>
      </c>
      <c r="D331" s="496">
        <v>112.11109999999999</v>
      </c>
      <c r="E331" s="496">
        <v>171.47300000000001</v>
      </c>
      <c r="F331" s="496">
        <v>225.43610000000001</v>
      </c>
      <c r="G331" s="496">
        <v>2.7404999999999999</v>
      </c>
      <c r="H331" s="496">
        <v>0.95945000000000003</v>
      </c>
      <c r="I331" s="496">
        <v>152.7073</v>
      </c>
      <c r="J331" s="487">
        <v>93.206727272727278</v>
      </c>
      <c r="K331" s="487">
        <v>93.154104545454544</v>
      </c>
      <c r="L331" s="487">
        <v>105.77688636363638</v>
      </c>
      <c r="M331" s="487">
        <v>73.63863636363638</v>
      </c>
      <c r="N331" s="487">
        <v>20.518063636363635</v>
      </c>
      <c r="O331" s="487">
        <v>14.342086363636366</v>
      </c>
      <c r="P331" s="487">
        <v>81.544645454545474</v>
      </c>
      <c r="Q331" s="487">
        <v>19.15155</v>
      </c>
      <c r="R331" s="487">
        <v>16.397963636363638</v>
      </c>
    </row>
    <row r="332" spans="2:18">
      <c r="B332" s="493"/>
      <c r="C332" s="505" t="s">
        <v>3113</v>
      </c>
      <c r="D332" s="496">
        <v>113.33880000000001</v>
      </c>
      <c r="E332" s="496">
        <v>174.7704</v>
      </c>
      <c r="F332" s="496">
        <v>228.61510000000001</v>
      </c>
      <c r="G332" s="496">
        <v>2.8229000000000002</v>
      </c>
      <c r="H332" s="496">
        <v>0.98529999999999995</v>
      </c>
      <c r="I332" s="496">
        <v>157.2483</v>
      </c>
      <c r="J332" s="487">
        <v>95.460652631578952</v>
      </c>
      <c r="K332" s="487">
        <v>95.534931578947365</v>
      </c>
      <c r="L332" s="487">
        <v>110.1041052631579</v>
      </c>
      <c r="M332" s="487">
        <v>74.914205263157882</v>
      </c>
      <c r="N332" s="487">
        <v>21.106184210526319</v>
      </c>
      <c r="O332" s="487">
        <v>14.558152631578949</v>
      </c>
      <c r="P332" s="487">
        <v>81.118742105263152</v>
      </c>
      <c r="Q332" s="487">
        <v>20.078142105263161</v>
      </c>
      <c r="R332" s="487">
        <v>16.921710526315788</v>
      </c>
    </row>
    <row r="333" spans="2:18">
      <c r="B333" s="493"/>
      <c r="C333" s="505" t="s">
        <v>3104</v>
      </c>
      <c r="D333" s="477">
        <v>113.0575</v>
      </c>
      <c r="E333" s="477">
        <v>176.20179999999999</v>
      </c>
      <c r="F333" s="477">
        <v>230.9658</v>
      </c>
      <c r="G333" s="477">
        <v>2.8755000000000002</v>
      </c>
      <c r="H333" s="477">
        <v>0.97604999999999997</v>
      </c>
      <c r="I333" s="496">
        <v>160.75110000000001</v>
      </c>
      <c r="J333" s="487">
        <v>96.230327272727294</v>
      </c>
      <c r="K333" s="487">
        <v>101.54466818181821</v>
      </c>
      <c r="L333" s="487">
        <v>115.6409681818182</v>
      </c>
      <c r="M333" s="487">
        <v>77.072563636363626</v>
      </c>
      <c r="N333" s="487">
        <v>21.571527272727277</v>
      </c>
      <c r="O333" s="487">
        <v>14.57739090909091</v>
      </c>
      <c r="P333" s="487">
        <v>85.904354545454552</v>
      </c>
      <c r="Q333" s="487">
        <v>20.926618181818181</v>
      </c>
      <c r="R333" s="487">
        <v>17.529486363636366</v>
      </c>
    </row>
    <row r="334" spans="2:18">
      <c r="B334" s="493"/>
      <c r="C334" s="505" t="s">
        <v>3099</v>
      </c>
      <c r="D334" s="477">
        <v>110.5076</v>
      </c>
      <c r="E334" s="477">
        <v>175.31649999999999</v>
      </c>
      <c r="F334" s="477">
        <v>228.9041</v>
      </c>
      <c r="G334" s="477">
        <v>2.7985000000000002</v>
      </c>
      <c r="H334" s="477">
        <v>0.99582400000000004</v>
      </c>
      <c r="I334" s="496">
        <v>162.30119999999999</v>
      </c>
      <c r="J334" s="487">
        <v>98.437914285714285</v>
      </c>
      <c r="K334" s="487">
        <v>98.054176190476198</v>
      </c>
      <c r="L334" s="487">
        <v>114.42056190476193</v>
      </c>
      <c r="M334" s="487">
        <v>76.353819047619055</v>
      </c>
      <c r="N334" s="487">
        <v>21.773009523809524</v>
      </c>
      <c r="O334" s="487">
        <v>14.208623809523809</v>
      </c>
      <c r="P334" s="487">
        <v>84.315742857142851</v>
      </c>
      <c r="Q334" s="487">
        <v>20.440809523809527</v>
      </c>
      <c r="R334" s="487">
        <v>17.485166666666665</v>
      </c>
    </row>
    <row r="335" spans="2:18">
      <c r="B335" s="493"/>
      <c r="C335" s="505" t="s">
        <v>3094</v>
      </c>
      <c r="D335" s="477">
        <v>109.07510000000001</v>
      </c>
      <c r="E335" s="477">
        <v>171.91220000000001</v>
      </c>
      <c r="F335" s="477">
        <v>220.58619999999999</v>
      </c>
      <c r="G335" s="477">
        <v>2.7795000000000001</v>
      </c>
      <c r="H335" s="477">
        <v>0.97185299999999997</v>
      </c>
      <c r="I335" s="496">
        <v>158.97919999999999</v>
      </c>
      <c r="J335" s="487">
        <v>95.811289473684212</v>
      </c>
      <c r="K335" s="487">
        <v>95.207173684210531</v>
      </c>
      <c r="L335" s="487">
        <v>108.83661578947367</v>
      </c>
      <c r="M335" s="487">
        <v>75.282778947368428</v>
      </c>
      <c r="N335" s="487">
        <v>21.310878947368419</v>
      </c>
      <c r="O335" s="487">
        <v>13.987447368421053</v>
      </c>
      <c r="P335" s="487">
        <v>83.888647368421047</v>
      </c>
      <c r="Q335" s="487">
        <v>19.832036842105264</v>
      </c>
      <c r="R335" s="487">
        <v>16.860663157894738</v>
      </c>
    </row>
    <row r="336" spans="2:18">
      <c r="B336" s="493"/>
      <c r="C336" s="492"/>
      <c r="D336" s="491"/>
      <c r="E336" s="491"/>
      <c r="F336" s="491"/>
      <c r="G336" s="491"/>
      <c r="H336" s="491"/>
      <c r="I336" s="504"/>
      <c r="J336" s="502"/>
      <c r="K336" s="502"/>
      <c r="L336" s="502"/>
      <c r="M336" s="502"/>
      <c r="N336" s="503"/>
      <c r="O336" s="502"/>
      <c r="P336" s="502"/>
      <c r="Q336" s="502"/>
      <c r="R336" s="502"/>
    </row>
    <row r="337" spans="2:18" s="464" customFormat="1">
      <c r="B337" s="483" t="s">
        <v>3856</v>
      </c>
      <c r="C337" s="509"/>
      <c r="D337" s="501">
        <v>110.6232</v>
      </c>
      <c r="E337" s="501">
        <v>169.36627999999999</v>
      </c>
      <c r="F337" s="501">
        <v>221.46036000000001</v>
      </c>
      <c r="G337" s="501">
        <v>2.6912600000000002</v>
      </c>
      <c r="H337" s="501">
        <v>0.94050999999999996</v>
      </c>
      <c r="I337" s="499">
        <v>151.62903</v>
      </c>
      <c r="J337" s="481">
        <v>92.280854249371203</v>
      </c>
      <c r="K337" s="501">
        <v>92.677378268576987</v>
      </c>
      <c r="L337" s="501">
        <v>103.43094956876928</v>
      </c>
      <c r="M337" s="501">
        <v>73.447493313642653</v>
      </c>
      <c r="N337" s="501">
        <v>20.353414171065758</v>
      </c>
      <c r="O337" s="501">
        <v>14.178899815327647</v>
      </c>
      <c r="P337" s="501">
        <v>81.440916439991469</v>
      </c>
      <c r="Q337" s="501">
        <v>18.938076806962819</v>
      </c>
      <c r="R337" s="501">
        <v>16.389437844471917</v>
      </c>
    </row>
    <row r="338" spans="2:18">
      <c r="B338" s="480"/>
      <c r="C338" s="508"/>
      <c r="D338" s="506"/>
      <c r="E338" s="506"/>
      <c r="F338" s="506"/>
      <c r="G338" s="506"/>
      <c r="H338" s="506"/>
      <c r="I338" s="500"/>
      <c r="J338" s="497"/>
      <c r="K338" s="506"/>
      <c r="L338" s="506"/>
      <c r="M338" s="506"/>
      <c r="N338" s="507"/>
      <c r="O338" s="506"/>
      <c r="P338" s="506"/>
      <c r="Q338" s="506"/>
      <c r="R338" s="506"/>
    </row>
    <row r="339" spans="2:18">
      <c r="B339" s="493">
        <v>2008</v>
      </c>
      <c r="C339" s="475" t="s">
        <v>3165</v>
      </c>
      <c r="D339" s="477">
        <v>108.2513</v>
      </c>
      <c r="E339" s="477">
        <v>171.45259999999999</v>
      </c>
      <c r="F339" s="477">
        <v>213.34190000000001</v>
      </c>
      <c r="G339" s="477">
        <v>2.7643</v>
      </c>
      <c r="H339" s="477">
        <v>1.0011000000000001</v>
      </c>
      <c r="I339" s="496">
        <v>159.19710000000001</v>
      </c>
      <c r="J339" s="477">
        <v>98.076171428571456</v>
      </c>
      <c r="K339" s="487">
        <v>95.424599999999984</v>
      </c>
      <c r="L339" s="487">
        <v>107.36980952380955</v>
      </c>
      <c r="M339" s="487">
        <v>75.641599999999997</v>
      </c>
      <c r="N339" s="487">
        <v>21.367338095238093</v>
      </c>
      <c r="O339" s="487">
        <v>13.870519047619046</v>
      </c>
      <c r="P339" s="487">
        <v>83.463723809523799</v>
      </c>
      <c r="Q339" s="487">
        <v>20.017176190476192</v>
      </c>
      <c r="R339" s="487">
        <v>16.887771428571426</v>
      </c>
    </row>
    <row r="340" spans="2:18">
      <c r="B340" s="493"/>
      <c r="C340" s="475" t="s">
        <v>3160</v>
      </c>
      <c r="D340" s="467">
        <v>107.8736</v>
      </c>
      <c r="E340" s="477">
        <v>171.08420000000001</v>
      </c>
      <c r="F340" s="477">
        <v>211.92590000000001</v>
      </c>
      <c r="G340" s="467">
        <v>2.7265999999999999</v>
      </c>
      <c r="H340" s="477">
        <v>1.0067999999999999</v>
      </c>
      <c r="I340" s="496">
        <v>158.98259999999999</v>
      </c>
      <c r="J340" s="477">
        <v>98.874573684210532</v>
      </c>
      <c r="K340" s="487">
        <v>98.456278947368403</v>
      </c>
      <c r="L340" s="487">
        <v>107.81947368421054</v>
      </c>
      <c r="M340" s="487">
        <v>76.425710526315783</v>
      </c>
      <c r="N340" s="487">
        <v>21.292527777777778</v>
      </c>
      <c r="O340" s="487">
        <v>13.835494444444445</v>
      </c>
      <c r="P340" s="487">
        <v>85.77731666666665</v>
      </c>
      <c r="Q340" s="487">
        <v>19.960683333333336</v>
      </c>
      <c r="R340" s="487">
        <v>16.975547368421054</v>
      </c>
    </row>
    <row r="341" spans="2:18">
      <c r="B341" s="493"/>
      <c r="C341" s="505" t="s">
        <v>3154</v>
      </c>
      <c r="D341" s="467">
        <v>107.73260000000001</v>
      </c>
      <c r="E341" s="477">
        <v>175.94720000000001</v>
      </c>
      <c r="F341" s="477">
        <v>215.86600000000001</v>
      </c>
      <c r="G341" s="467">
        <v>2.6884000000000001</v>
      </c>
      <c r="H341" s="477">
        <v>1.0702</v>
      </c>
      <c r="I341" s="496">
        <v>167.25409999999999</v>
      </c>
      <c r="J341" s="477">
        <v>106.52399444444444</v>
      </c>
      <c r="K341" s="487">
        <v>99.606594444444454</v>
      </c>
      <c r="L341" s="487">
        <v>107.75195555555555</v>
      </c>
      <c r="M341" s="487">
        <v>77.763577777777783</v>
      </c>
      <c r="N341" s="487">
        <v>22.431327777777778</v>
      </c>
      <c r="O341" s="487">
        <v>13.844105555555556</v>
      </c>
      <c r="P341" s="487">
        <v>86.313883333333322</v>
      </c>
      <c r="Q341" s="487">
        <v>20.963433333333334</v>
      </c>
      <c r="R341" s="487">
        <v>17.776794444444445</v>
      </c>
    </row>
    <row r="342" spans="2:18">
      <c r="B342" s="493"/>
      <c r="C342" s="505" t="s">
        <v>3148</v>
      </c>
      <c r="D342" s="496">
        <v>107.8082</v>
      </c>
      <c r="E342" s="496">
        <v>176.3802</v>
      </c>
      <c r="F342" s="496">
        <v>213.56950000000001</v>
      </c>
      <c r="G342" s="496">
        <v>2.7025999999999999</v>
      </c>
      <c r="H342" s="496">
        <v>1.0504</v>
      </c>
      <c r="I342" s="496">
        <v>169.84729999999999</v>
      </c>
      <c r="J342" s="477">
        <v>106.40824000000001</v>
      </c>
      <c r="K342" s="487">
        <v>100.266395</v>
      </c>
      <c r="L342" s="487">
        <v>106.395245</v>
      </c>
      <c r="M342" s="487">
        <v>78.974869999999996</v>
      </c>
      <c r="N342" s="487">
        <v>22.766594999999999</v>
      </c>
      <c r="O342" s="487">
        <v>13.837044999999998</v>
      </c>
      <c r="P342" s="487">
        <v>85.10779500000001</v>
      </c>
      <c r="Q342" s="487">
        <v>21.304584999999999</v>
      </c>
      <c r="R342" s="487">
        <v>18.130974999999999</v>
      </c>
    </row>
    <row r="343" spans="2:18">
      <c r="B343" s="493"/>
      <c r="C343" s="505" t="s">
        <v>114</v>
      </c>
      <c r="D343" s="496">
        <v>107.79170000000001</v>
      </c>
      <c r="E343" s="496">
        <v>175.0016</v>
      </c>
      <c r="F343" s="496">
        <v>211.9308</v>
      </c>
      <c r="G343" s="496">
        <v>2.5792999999999999</v>
      </c>
      <c r="H343" s="496">
        <v>1.0342</v>
      </c>
      <c r="I343" s="496">
        <v>167.73099999999999</v>
      </c>
      <c r="J343" s="477">
        <v>103.32105789473685</v>
      </c>
      <c r="K343" s="487">
        <v>102.23467368421052</v>
      </c>
      <c r="L343" s="487">
        <v>107.7351894736842</v>
      </c>
      <c r="M343" s="487">
        <v>78.939784210526298</v>
      </c>
      <c r="N343" s="487">
        <v>22.480036842105264</v>
      </c>
      <c r="O343" s="487">
        <v>13.82072105263158</v>
      </c>
      <c r="P343" s="487">
        <v>83.767647368421038</v>
      </c>
      <c r="Q343" s="487">
        <v>21.297436842105263</v>
      </c>
      <c r="R343" s="487">
        <v>17.997431578947371</v>
      </c>
    </row>
    <row r="344" spans="2:18">
      <c r="B344" s="493"/>
      <c r="C344" s="505" t="s">
        <v>3135</v>
      </c>
      <c r="D344" s="496">
        <v>107.8152</v>
      </c>
      <c r="E344" s="496">
        <v>174.5942</v>
      </c>
      <c r="F344" s="496">
        <v>211.9716</v>
      </c>
      <c r="G344" s="496">
        <v>2.5312999999999999</v>
      </c>
      <c r="H344" s="496">
        <v>1.0088999999999999</v>
      </c>
      <c r="I344" s="496">
        <v>167.74119999999999</v>
      </c>
      <c r="J344" s="477">
        <v>103.95843500000001</v>
      </c>
      <c r="K344" s="487">
        <v>102.59395500000001</v>
      </c>
      <c r="L344" s="487">
        <v>106.18737000000002</v>
      </c>
      <c r="M344" s="487">
        <v>78.816175000000001</v>
      </c>
      <c r="N344" s="487">
        <v>22.489145000000001</v>
      </c>
      <c r="O344" s="487">
        <v>13.810265000000005</v>
      </c>
      <c r="P344" s="487">
        <v>82.168809999999979</v>
      </c>
      <c r="Q344" s="487">
        <v>21.004645000000004</v>
      </c>
      <c r="R344" s="487">
        <v>17.898989999999998</v>
      </c>
    </row>
    <row r="345" spans="2:18">
      <c r="B345" s="493"/>
      <c r="C345" s="505" t="s">
        <v>3125</v>
      </c>
      <c r="D345" s="496">
        <v>107.6463</v>
      </c>
      <c r="E345" s="496">
        <v>175.52719999999999</v>
      </c>
      <c r="F345" s="496">
        <v>213.98509999999999</v>
      </c>
      <c r="G345" s="496">
        <v>2.5259999999999998</v>
      </c>
      <c r="H345" s="496">
        <v>1.0075000000000001</v>
      </c>
      <c r="I345" s="496">
        <v>169.6551</v>
      </c>
      <c r="J345" s="477">
        <v>104.78529545454548</v>
      </c>
      <c r="K345" s="487">
        <v>103.53458636363638</v>
      </c>
      <c r="L345" s="487">
        <v>106.20148636363638</v>
      </c>
      <c r="M345" s="487">
        <v>79.186740909090886</v>
      </c>
      <c r="N345" s="487">
        <v>22.74046666666667</v>
      </c>
      <c r="O345" s="487">
        <v>13.801195238095236</v>
      </c>
      <c r="P345" s="487">
        <v>81.16813333333333</v>
      </c>
      <c r="Q345" s="487">
        <v>21.089419047619046</v>
      </c>
      <c r="R345" s="487">
        <v>17.946809090909088</v>
      </c>
    </row>
    <row r="346" spans="2:18">
      <c r="B346" s="493"/>
      <c r="C346" s="505" t="s">
        <v>3117</v>
      </c>
      <c r="D346" s="496">
        <v>107.75190000000001</v>
      </c>
      <c r="E346" s="496">
        <v>170.78280000000001</v>
      </c>
      <c r="F346" s="496">
        <v>203.9254</v>
      </c>
      <c r="G346" s="496">
        <v>2.5249999999999999</v>
      </c>
      <c r="H346" s="496">
        <v>0.98609999999999998</v>
      </c>
      <c r="I346" s="496">
        <v>161.51230000000001</v>
      </c>
      <c r="J346" s="477">
        <v>99.63020476190475</v>
      </c>
      <c r="K346" s="487">
        <v>95.224733333333319</v>
      </c>
      <c r="L346" s="487">
        <v>102.42364285714287</v>
      </c>
      <c r="M346" s="487">
        <v>76.825447619047623</v>
      </c>
      <c r="N346" s="487">
        <v>21.651276190476192</v>
      </c>
      <c r="O346" s="487">
        <v>13.800195238095238</v>
      </c>
      <c r="P346" s="487">
        <v>76.38557142857141</v>
      </c>
      <c r="Q346" s="487">
        <v>20.242271428571424</v>
      </c>
      <c r="R346" s="487">
        <v>17.188857142857149</v>
      </c>
    </row>
    <row r="347" spans="2:18">
      <c r="B347" s="493"/>
      <c r="C347" s="505" t="s">
        <v>3113</v>
      </c>
      <c r="D347" s="496">
        <v>107.86539999999999</v>
      </c>
      <c r="E347" s="496">
        <v>167.82079999999999</v>
      </c>
      <c r="F347" s="496">
        <v>194.17959999999999</v>
      </c>
      <c r="G347" s="496">
        <v>2.3936000000000002</v>
      </c>
      <c r="H347" s="496">
        <v>1.0118</v>
      </c>
      <c r="I347" s="496">
        <v>155.2525</v>
      </c>
      <c r="J347" s="477">
        <v>97.414131818181829</v>
      </c>
      <c r="K347" s="487">
        <v>88.540781818181799</v>
      </c>
      <c r="L347" s="487">
        <v>101.97488636363637</v>
      </c>
      <c r="M347" s="487">
        <v>75.511781818181831</v>
      </c>
      <c r="N347" s="487">
        <v>20.817072727272731</v>
      </c>
      <c r="O347" s="487">
        <v>13.846590909090908</v>
      </c>
      <c r="P347" s="487">
        <v>72.791113636363633</v>
      </c>
      <c r="Q347" s="487">
        <v>19.064463636363637</v>
      </c>
      <c r="R347" s="487">
        <v>16.236209090909092</v>
      </c>
    </row>
    <row r="348" spans="2:18">
      <c r="B348" s="493"/>
      <c r="C348" s="505" t="s">
        <v>3104</v>
      </c>
      <c r="D348" s="477">
        <v>108.0732</v>
      </c>
      <c r="E348" s="477">
        <v>163.64680000000001</v>
      </c>
      <c r="F348" s="477">
        <v>183.21619999999999</v>
      </c>
      <c r="G348" s="477">
        <v>2.2492000000000001</v>
      </c>
      <c r="H348" s="477">
        <v>1.0782</v>
      </c>
      <c r="I348" s="496">
        <v>143.88990000000001</v>
      </c>
      <c r="J348" s="477">
        <v>94.665385000000001</v>
      </c>
      <c r="K348" s="487">
        <v>74.716500000000011</v>
      </c>
      <c r="L348" s="487">
        <v>92.15510500000002</v>
      </c>
      <c r="M348" s="487">
        <v>73.180300000000017</v>
      </c>
      <c r="N348" s="487">
        <v>19.30433</v>
      </c>
      <c r="O348" s="487">
        <v>13.926305000000003</v>
      </c>
      <c r="P348" s="487">
        <v>65.911010000000005</v>
      </c>
      <c r="Q348" s="487">
        <v>16.728850000000001</v>
      </c>
      <c r="R348" s="487">
        <v>14.602975000000004</v>
      </c>
    </row>
    <row r="349" spans="2:18">
      <c r="B349" s="493"/>
      <c r="C349" s="505" t="s">
        <v>3099</v>
      </c>
      <c r="D349" s="477">
        <v>110.006</v>
      </c>
      <c r="E349" s="477">
        <v>163.23240000000001</v>
      </c>
      <c r="F349" s="477">
        <v>168.66309999999999</v>
      </c>
      <c r="G349" s="477">
        <v>2.2645</v>
      </c>
      <c r="H349" s="477">
        <v>1.1356999999999999</v>
      </c>
      <c r="I349" s="496">
        <v>140.03960000000001</v>
      </c>
      <c r="J349" s="477">
        <v>92.472852631578945</v>
      </c>
      <c r="K349" s="487">
        <v>72.167384210526322</v>
      </c>
      <c r="L349" s="487">
        <v>90.187184210526311</v>
      </c>
      <c r="M349" s="487">
        <v>73.023189473684212</v>
      </c>
      <c r="N349" s="487">
        <v>18.800752631578945</v>
      </c>
      <c r="O349" s="487">
        <v>14.191984210526318</v>
      </c>
      <c r="P349" s="487">
        <v>62.103521052631571</v>
      </c>
      <c r="Q349" s="487">
        <v>15.891778947368422</v>
      </c>
      <c r="R349" s="487">
        <v>13.830263157894736</v>
      </c>
    </row>
    <row r="350" spans="2:18">
      <c r="B350" s="493"/>
      <c r="C350" s="505" t="s">
        <v>3094</v>
      </c>
      <c r="D350" s="477">
        <v>111.38979999999999</v>
      </c>
      <c r="E350" s="477">
        <v>169.45830000000001</v>
      </c>
      <c r="F350" s="477">
        <v>166.21170000000001</v>
      </c>
      <c r="G350" s="477">
        <v>2.3094000000000001</v>
      </c>
      <c r="H350" s="477">
        <v>1.2210000000000001</v>
      </c>
      <c r="I350" s="496">
        <v>150.68199999999999</v>
      </c>
      <c r="J350" s="477">
        <v>98.172454999999999</v>
      </c>
      <c r="K350" s="487">
        <v>74.709009999999992</v>
      </c>
      <c r="L350" s="487">
        <v>90.441260000000014</v>
      </c>
      <c r="M350" s="487">
        <v>75.409930000000003</v>
      </c>
      <c r="N350" s="487">
        <v>20.225625000000001</v>
      </c>
      <c r="O350" s="487">
        <v>14.371934999999999</v>
      </c>
      <c r="P350" s="487">
        <v>62.318935000000025</v>
      </c>
      <c r="Q350" s="487">
        <v>15.913069999999999</v>
      </c>
      <c r="R350" s="487">
        <v>13.946755000000001</v>
      </c>
    </row>
    <row r="351" spans="2:18">
      <c r="B351" s="493"/>
      <c r="C351" s="492"/>
      <c r="D351" s="491"/>
      <c r="E351" s="491"/>
      <c r="F351" s="491"/>
      <c r="G351" s="491"/>
      <c r="H351" s="491"/>
      <c r="I351" s="504"/>
      <c r="J351" s="491"/>
      <c r="K351" s="502"/>
      <c r="L351" s="502"/>
      <c r="M351" s="502"/>
      <c r="N351" s="503"/>
      <c r="O351" s="502"/>
      <c r="P351" s="502"/>
      <c r="Q351" s="502"/>
      <c r="R351" s="502"/>
    </row>
    <row r="352" spans="2:18" s="464" customFormat="1">
      <c r="B352" s="483" t="s">
        <v>3856</v>
      </c>
      <c r="C352" s="482"/>
      <c r="D352" s="481">
        <v>108.33376666666668</v>
      </c>
      <c r="E352" s="481">
        <v>171.24402499999999</v>
      </c>
      <c r="F352" s="481">
        <v>200.73223333333331</v>
      </c>
      <c r="G352" s="481">
        <v>2.5216833333333328</v>
      </c>
      <c r="H352" s="481">
        <v>1.0509916666666668</v>
      </c>
      <c r="I352" s="499">
        <v>159.3153916666667</v>
      </c>
      <c r="J352" s="481">
        <v>100.35856642651453</v>
      </c>
      <c r="K352" s="501">
        <v>92.28962440014179</v>
      </c>
      <c r="L352" s="501">
        <v>102.22021733601683</v>
      </c>
      <c r="M352" s="501">
        <v>76.641592277885366</v>
      </c>
      <c r="N352" s="501">
        <v>21.363874475741117</v>
      </c>
      <c r="O352" s="501">
        <v>13.913029641338197</v>
      </c>
      <c r="P352" s="501">
        <v>77.273121719070403</v>
      </c>
      <c r="Q352" s="501">
        <v>19.456484396597556</v>
      </c>
      <c r="R352" s="501">
        <v>16.618281525246196</v>
      </c>
    </row>
    <row r="353" spans="2:18">
      <c r="B353" s="480"/>
      <c r="C353" s="498"/>
      <c r="D353" s="497"/>
      <c r="E353" s="497"/>
      <c r="F353" s="497"/>
      <c r="G353" s="497"/>
      <c r="H353" s="497"/>
      <c r="I353" s="500"/>
      <c r="J353" s="497"/>
      <c r="K353" s="497"/>
      <c r="L353" s="497"/>
      <c r="M353" s="497"/>
      <c r="N353" s="497"/>
      <c r="O353" s="497"/>
      <c r="P353" s="497"/>
      <c r="Q353" s="497"/>
      <c r="R353" s="497"/>
    </row>
    <row r="354" spans="2:18">
      <c r="B354" s="493">
        <v>2009</v>
      </c>
      <c r="C354" s="475" t="s">
        <v>3165</v>
      </c>
      <c r="D354" s="477">
        <v>113.74299999999999</v>
      </c>
      <c r="E354" s="477">
        <v>171.8844</v>
      </c>
      <c r="F354" s="477">
        <v>164.52799999999999</v>
      </c>
      <c r="G354" s="477">
        <v>2.3504</v>
      </c>
      <c r="H354" s="477">
        <v>1.2575000000000001</v>
      </c>
      <c r="I354" s="496">
        <v>151.5849</v>
      </c>
      <c r="J354" s="477">
        <v>101.41930000000001</v>
      </c>
      <c r="K354" s="477">
        <v>77.270700000000005</v>
      </c>
      <c r="L354" s="477">
        <v>92.911000000000001</v>
      </c>
      <c r="M354" s="477">
        <v>76.531800000000004</v>
      </c>
      <c r="N354" s="477">
        <v>20.340699999999998</v>
      </c>
      <c r="O354" s="477">
        <v>14.664400000000001</v>
      </c>
      <c r="P354" s="477">
        <v>62.983499999999999</v>
      </c>
      <c r="Q354" s="477">
        <v>16.357600000000001</v>
      </c>
      <c r="R354" s="477">
        <v>14.114000000000001</v>
      </c>
    </row>
    <row r="355" spans="2:18">
      <c r="B355" s="493"/>
      <c r="C355" s="475" t="s">
        <v>3160</v>
      </c>
      <c r="D355" s="477">
        <v>113.9198</v>
      </c>
      <c r="E355" s="477">
        <v>169.1026</v>
      </c>
      <c r="F355" s="477">
        <v>163.89179999999999</v>
      </c>
      <c r="G355" s="477">
        <v>2.3254999999999999</v>
      </c>
      <c r="H355" s="477">
        <v>1.2318</v>
      </c>
      <c r="I355" s="496">
        <v>145.4435</v>
      </c>
      <c r="J355" s="477">
        <v>97.664500000000004</v>
      </c>
      <c r="K355" s="477">
        <v>73.817400000000006</v>
      </c>
      <c r="L355" s="477">
        <v>91.505300000000005</v>
      </c>
      <c r="M355" s="477">
        <v>74.992599999999996</v>
      </c>
      <c r="N355" s="477">
        <v>19.507300000000001</v>
      </c>
      <c r="O355" s="477">
        <v>14.692</v>
      </c>
      <c r="P355" s="477">
        <v>58.616999999999997</v>
      </c>
      <c r="Q355" s="477">
        <v>16.520800000000001</v>
      </c>
      <c r="R355" s="477">
        <v>13.3407</v>
      </c>
    </row>
    <row r="356" spans="2:18">
      <c r="B356" s="493"/>
      <c r="C356" s="475" t="s">
        <v>3154</v>
      </c>
      <c r="D356" s="477">
        <v>114.2578</v>
      </c>
      <c r="E356" s="477">
        <v>169.572</v>
      </c>
      <c r="F356" s="477">
        <v>162.48869999999999</v>
      </c>
      <c r="G356" s="477">
        <v>2.2458</v>
      </c>
      <c r="H356" s="477">
        <v>1.1691</v>
      </c>
      <c r="I356" s="496">
        <v>149.30289999999999</v>
      </c>
      <c r="J356" s="477">
        <v>98.913600000000002</v>
      </c>
      <c r="K356" s="477">
        <v>76.132800000000003</v>
      </c>
      <c r="L356" s="477">
        <v>90.572400000000002</v>
      </c>
      <c r="M356" s="477">
        <v>74.696600000000004</v>
      </c>
      <c r="N356" s="477">
        <v>20.038</v>
      </c>
      <c r="O356" s="477">
        <v>14.7364</v>
      </c>
      <c r="P356" s="477">
        <v>60.861699999999999</v>
      </c>
      <c r="Q356" s="477">
        <v>16.906500000000001</v>
      </c>
      <c r="R356" s="477">
        <v>13.3916</v>
      </c>
    </row>
    <row r="357" spans="2:18">
      <c r="B357" s="493"/>
      <c r="C357" s="475" t="s">
        <v>3148</v>
      </c>
      <c r="D357" s="477">
        <v>117.3699</v>
      </c>
      <c r="E357" s="477">
        <v>175.1061</v>
      </c>
      <c r="F357" s="477">
        <v>172.2988</v>
      </c>
      <c r="G357" s="477">
        <v>2.3538999999999999</v>
      </c>
      <c r="H357" s="477">
        <v>1.1913</v>
      </c>
      <c r="I357" s="496">
        <v>154.70760000000001</v>
      </c>
      <c r="J357" s="477">
        <v>102.265</v>
      </c>
      <c r="K357" s="477">
        <v>83.489599999999996</v>
      </c>
      <c r="L357" s="477">
        <v>95.5505</v>
      </c>
      <c r="M357" s="477">
        <v>78.052800000000005</v>
      </c>
      <c r="N357" s="477">
        <v>20.770199999999999</v>
      </c>
      <c r="O357" s="477">
        <v>15.1439</v>
      </c>
      <c r="P357" s="477">
        <v>66.703900000000004</v>
      </c>
      <c r="Q357" s="477">
        <v>17.599399999999999</v>
      </c>
      <c r="R357" s="477">
        <v>14.243</v>
      </c>
    </row>
    <row r="358" spans="2:18">
      <c r="B358" s="493"/>
      <c r="C358" s="475" t="s">
        <v>114</v>
      </c>
      <c r="D358" s="477">
        <v>116.9212</v>
      </c>
      <c r="E358" s="477">
        <v>178.0317</v>
      </c>
      <c r="F358" s="477">
        <v>180.41849999999999</v>
      </c>
      <c r="G358" s="477">
        <v>2.4184000000000001</v>
      </c>
      <c r="H358" s="477">
        <v>1.2132000000000001</v>
      </c>
      <c r="I358" s="496">
        <v>159.6765</v>
      </c>
      <c r="J358" s="477">
        <v>105.63209999999999</v>
      </c>
      <c r="K358" s="477">
        <v>89.292199999999994</v>
      </c>
      <c r="L358" s="477">
        <v>101.53100000000001</v>
      </c>
      <c r="M358" s="477">
        <v>80.038499999999999</v>
      </c>
      <c r="N358" s="477">
        <v>21.442</v>
      </c>
      <c r="O358" s="477">
        <v>15.084099999999999</v>
      </c>
      <c r="P358" s="477">
        <v>70.220699999999994</v>
      </c>
      <c r="Q358" s="477">
        <v>18.133099999999999</v>
      </c>
      <c r="R358" s="477">
        <v>15.0869</v>
      </c>
    </row>
    <row r="359" spans="2:18">
      <c r="B359" s="493"/>
      <c r="C359" s="475" t="s">
        <v>3135</v>
      </c>
      <c r="D359" s="477">
        <v>114.90309999999999</v>
      </c>
      <c r="E359" s="477">
        <v>177.5181</v>
      </c>
      <c r="F359" s="477">
        <v>187.91200000000001</v>
      </c>
      <c r="G359" s="477">
        <v>2.4222999999999999</v>
      </c>
      <c r="H359" s="477">
        <v>1.1903999999999999</v>
      </c>
      <c r="I359" s="496">
        <v>161.1114</v>
      </c>
      <c r="J359" s="477">
        <v>106.3832</v>
      </c>
      <c r="K359" s="477">
        <v>92.1661</v>
      </c>
      <c r="L359" s="477">
        <v>102.2516</v>
      </c>
      <c r="M359" s="477">
        <v>79.111999999999995</v>
      </c>
      <c r="N359" s="477">
        <v>21.638400000000001</v>
      </c>
      <c r="O359" s="477">
        <v>14.824199999999999</v>
      </c>
      <c r="P359" s="477">
        <v>73.246499999999997</v>
      </c>
      <c r="Q359" s="477">
        <v>18.005199999999999</v>
      </c>
      <c r="R359" s="477">
        <v>14.815799999999999</v>
      </c>
    </row>
    <row r="360" spans="2:18">
      <c r="B360" s="493"/>
      <c r="C360" s="475" t="s">
        <v>3125</v>
      </c>
      <c r="D360" s="477">
        <v>114.90530909090911</v>
      </c>
      <c r="E360" s="477">
        <v>178.38645454545457</v>
      </c>
      <c r="F360" s="477">
        <v>188.01724545454542</v>
      </c>
      <c r="G360" s="477">
        <v>2.3858272727272727</v>
      </c>
      <c r="H360" s="477">
        <v>1.2169181818181818</v>
      </c>
      <c r="I360" s="477">
        <v>161.74593181818179</v>
      </c>
      <c r="J360" s="477">
        <v>106.44492727272727</v>
      </c>
      <c r="K360" s="496">
        <v>92.35514545454545</v>
      </c>
      <c r="L360" s="477">
        <v>102.24571363636365</v>
      </c>
      <c r="M360" s="477">
        <v>79.244540909090901</v>
      </c>
      <c r="N360" s="477">
        <v>21.723059090909089</v>
      </c>
      <c r="O360" s="477">
        <v>14.825972727272726</v>
      </c>
      <c r="P360" s="477">
        <v>74.015986363636372</v>
      </c>
      <c r="Q360" s="477">
        <v>18.050095454545453</v>
      </c>
      <c r="R360" s="477">
        <v>14.925718181818183</v>
      </c>
    </row>
    <row r="361" spans="2:18">
      <c r="B361" s="493"/>
      <c r="C361" s="475" t="s">
        <v>3117</v>
      </c>
      <c r="D361" s="477">
        <v>114.86109000000003</v>
      </c>
      <c r="E361" s="477">
        <v>179.16175000000004</v>
      </c>
      <c r="F361" s="477">
        <v>189.87055999999998</v>
      </c>
      <c r="G361" s="477">
        <v>2.3921899999999998</v>
      </c>
      <c r="H361" s="477">
        <v>1.2111399999999999</v>
      </c>
      <c r="I361" s="477">
        <v>163.76083500000001</v>
      </c>
      <c r="J361" s="477">
        <v>107.46055000000001</v>
      </c>
      <c r="K361" s="496">
        <v>95.890685000000005</v>
      </c>
      <c r="L361" s="477">
        <v>105.60229999999999</v>
      </c>
      <c r="M361" s="477">
        <v>79.652869999999993</v>
      </c>
      <c r="N361" s="477">
        <v>21.999350000000003</v>
      </c>
      <c r="O361" s="477">
        <v>14.819275000000001</v>
      </c>
      <c r="P361" s="477">
        <v>77.61484999999999</v>
      </c>
      <c r="Q361" s="477">
        <v>18.909214999999996</v>
      </c>
      <c r="R361" s="477">
        <v>16.038610000000002</v>
      </c>
    </row>
    <row r="362" spans="2:18">
      <c r="B362" s="493"/>
      <c r="C362" s="475" t="s">
        <v>3113</v>
      </c>
      <c r="D362" s="477">
        <v>114.79803</v>
      </c>
      <c r="E362" s="477">
        <v>181.21545</v>
      </c>
      <c r="F362" s="477">
        <v>187.34947</v>
      </c>
      <c r="G362" s="477">
        <v>2.3801950000000005</v>
      </c>
      <c r="H362" s="477">
        <v>1.2560800000000001</v>
      </c>
      <c r="I362" s="477">
        <v>167.100765</v>
      </c>
      <c r="J362" s="477">
        <v>110.32787999999998</v>
      </c>
      <c r="K362" s="496">
        <v>98.832385000000002</v>
      </c>
      <c r="L362" s="496">
        <v>106.098855</v>
      </c>
      <c r="M362" s="477">
        <v>80.644075000000015</v>
      </c>
      <c r="N362" s="477">
        <v>22.451480000000004</v>
      </c>
      <c r="O362" s="477">
        <v>14.811769999999999</v>
      </c>
      <c r="P362" s="477">
        <v>80.778080000000003</v>
      </c>
      <c r="Q362" s="477">
        <v>19.41761</v>
      </c>
      <c r="R362" s="477">
        <v>16.392689999999998</v>
      </c>
    </row>
    <row r="363" spans="2:18">
      <c r="B363" s="493"/>
      <c r="C363" s="475" t="s">
        <v>3104</v>
      </c>
      <c r="D363" s="477">
        <v>114.80360909090906</v>
      </c>
      <c r="E363" s="477">
        <v>182.49054545454547</v>
      </c>
      <c r="F363" s="477">
        <v>185.7653590909091</v>
      </c>
      <c r="G363" s="477">
        <v>2.4683454545454548</v>
      </c>
      <c r="H363" s="477">
        <v>1.272368181818182</v>
      </c>
      <c r="I363" s="477">
        <v>170.13530909090906</v>
      </c>
      <c r="J363" s="477">
        <v>112.36486818181817</v>
      </c>
      <c r="K363" s="496">
        <v>104.10995000000001</v>
      </c>
      <c r="L363" s="496">
        <v>109.05196818181815</v>
      </c>
      <c r="M363" s="477">
        <v>82.12315454545454</v>
      </c>
      <c r="N363" s="477">
        <v>22.856240909090904</v>
      </c>
      <c r="O363" s="477">
        <v>14.81303636363636</v>
      </c>
      <c r="P363" s="477">
        <v>84.697522727272727</v>
      </c>
      <c r="Q363" s="477">
        <v>20.344622727272725</v>
      </c>
      <c r="R363" s="477">
        <v>16.526877272727273</v>
      </c>
    </row>
    <row r="364" spans="2:18">
      <c r="B364" s="493"/>
      <c r="C364" s="475" t="s">
        <v>3099</v>
      </c>
      <c r="D364" s="477">
        <v>114.50943499999998</v>
      </c>
      <c r="E364" s="477">
        <v>183.2603</v>
      </c>
      <c r="F364" s="477">
        <v>190.21014500000004</v>
      </c>
      <c r="G364" s="477">
        <v>2.4718749999999998</v>
      </c>
      <c r="H364" s="477">
        <v>1.2843</v>
      </c>
      <c r="I364" s="477">
        <v>170.89666000000003</v>
      </c>
      <c r="J364" s="477">
        <v>113.15225000000001</v>
      </c>
      <c r="K364" s="496">
        <v>105.47570499999999</v>
      </c>
      <c r="L364" s="496">
        <v>108.17398499999999</v>
      </c>
      <c r="M364" s="477">
        <v>82.479229999999987</v>
      </c>
      <c r="N364" s="477">
        <v>22.965689999999999</v>
      </c>
      <c r="O364" s="477">
        <v>14.775139999999999</v>
      </c>
      <c r="P364" s="477">
        <v>83.65726500000001</v>
      </c>
      <c r="Q364" s="477">
        <v>20.308739999999993</v>
      </c>
      <c r="R364" s="477">
        <v>16.554539999999996</v>
      </c>
    </row>
    <row r="365" spans="2:18">
      <c r="B365" s="493"/>
      <c r="C365" s="475" t="s">
        <v>3094</v>
      </c>
      <c r="D365" s="477">
        <v>114.34522</v>
      </c>
      <c r="E365" s="477">
        <v>180.91900000000001</v>
      </c>
      <c r="F365" s="477">
        <v>185.70533499999999</v>
      </c>
      <c r="G365" s="477">
        <v>2.4616749999999996</v>
      </c>
      <c r="H365" s="477">
        <v>1.2749599999999996</v>
      </c>
      <c r="I365" s="477">
        <v>167.02475999999999</v>
      </c>
      <c r="J365" s="477">
        <v>111.12173500000002</v>
      </c>
      <c r="K365" s="496">
        <v>103.16511499999999</v>
      </c>
      <c r="L365" s="496">
        <v>108.33536000000001</v>
      </c>
      <c r="M365" s="477">
        <v>81.904484999999994</v>
      </c>
      <c r="N365" s="477">
        <v>22.443165</v>
      </c>
      <c r="O365" s="477">
        <v>14.748614999999997</v>
      </c>
      <c r="P365" s="477">
        <v>81.851005000000015</v>
      </c>
      <c r="Q365" s="477">
        <v>19.841964999999998</v>
      </c>
      <c r="R365" s="477">
        <v>16.033239999999999</v>
      </c>
    </row>
    <row r="366" spans="2:18" s="464" customFormat="1">
      <c r="B366" s="483" t="s">
        <v>3856</v>
      </c>
      <c r="C366" s="482"/>
      <c r="D366" s="481">
        <v>114.94479250505755</v>
      </c>
      <c r="E366" s="481">
        <v>177.22070708414699</v>
      </c>
      <c r="F366" s="481">
        <v>179.871323279433</v>
      </c>
      <c r="G366" s="481">
        <v>2.3896974300780918</v>
      </c>
      <c r="H366" s="481">
        <v>1.2307424849333675</v>
      </c>
      <c r="I366" s="499">
        <v>160.20758449070539</v>
      </c>
      <c r="J366" s="481">
        <v>106.09582729299299</v>
      </c>
      <c r="K366" s="481">
        <v>90.99981720029426</v>
      </c>
      <c r="L366" s="481">
        <v>101.15250883803016</v>
      </c>
      <c r="M366" s="481">
        <v>79.122712589550986</v>
      </c>
      <c r="N366" s="481">
        <v>21.514634859696404</v>
      </c>
      <c r="O366" s="481">
        <v>14.828234599850042</v>
      </c>
      <c r="P366" s="481">
        <v>72.937338856350621</v>
      </c>
      <c r="Q366" s="481">
        <v>18.366239702911468</v>
      </c>
      <c r="R366" s="481">
        <v>15.121965768539738</v>
      </c>
    </row>
    <row r="367" spans="2:18">
      <c r="B367" s="480"/>
      <c r="C367" s="498"/>
      <c r="D367" s="497"/>
      <c r="E367" s="497"/>
      <c r="F367" s="497"/>
      <c r="G367" s="497"/>
      <c r="H367" s="497"/>
      <c r="I367" s="497"/>
      <c r="J367" s="497"/>
      <c r="K367" s="497"/>
      <c r="L367" s="497"/>
      <c r="M367" s="497"/>
      <c r="N367" s="497"/>
      <c r="O367" s="497"/>
      <c r="P367" s="497"/>
      <c r="Q367" s="497"/>
      <c r="R367" s="497"/>
    </row>
    <row r="368" spans="2:18">
      <c r="B368" s="493">
        <v>2010</v>
      </c>
      <c r="C368" s="475" t="s">
        <v>3165</v>
      </c>
      <c r="D368" s="477">
        <v>114.35453333333332</v>
      </c>
      <c r="E368" s="477">
        <v>178.97761111111106</v>
      </c>
      <c r="F368" s="477">
        <v>184.81468888888895</v>
      </c>
      <c r="G368" s="477">
        <v>2.4988388888888888</v>
      </c>
      <c r="H368" s="477">
        <v>1.2497611111111115</v>
      </c>
      <c r="I368" s="477">
        <v>163.54276666666667</v>
      </c>
      <c r="J368" s="477">
        <v>110.75110555555555</v>
      </c>
      <c r="K368" s="477">
        <v>104.49028333333335</v>
      </c>
      <c r="L368" s="496">
        <v>109.87285</v>
      </c>
      <c r="M368" s="496">
        <v>81.895005555555542</v>
      </c>
      <c r="N368" s="477">
        <v>21.975966666666672</v>
      </c>
      <c r="O368" s="477">
        <v>14.734222222222222</v>
      </c>
      <c r="P368" s="477">
        <v>83.33219444444444</v>
      </c>
      <c r="Q368" s="477">
        <v>19.969727777777777</v>
      </c>
      <c r="R368" s="477">
        <v>16.043705555555555</v>
      </c>
    </row>
    <row r="369" spans="2:18">
      <c r="B369" s="493"/>
      <c r="C369" s="475" t="s">
        <v>3160</v>
      </c>
      <c r="D369" s="477">
        <v>114.53611578947371</v>
      </c>
      <c r="E369" s="477">
        <v>176.12689473684208</v>
      </c>
      <c r="F369" s="477">
        <v>179.10200526315788</v>
      </c>
      <c r="G369" s="477">
        <v>2.4844789473684217</v>
      </c>
      <c r="H369" s="477">
        <v>1.2694526315789474</v>
      </c>
      <c r="I369" s="477">
        <v>156.6699736842105</v>
      </c>
      <c r="J369" s="477">
        <v>106.81444210526317</v>
      </c>
      <c r="K369" s="477">
        <v>101.5814789473684</v>
      </c>
      <c r="L369" s="496">
        <v>108.41605789473687</v>
      </c>
      <c r="M369" s="496">
        <v>81.092963157894744</v>
      </c>
      <c r="N369" s="477">
        <v>21.046099999999999</v>
      </c>
      <c r="O369" s="477">
        <v>14.745105263157894</v>
      </c>
      <c r="P369" s="477">
        <v>79.883715789473669</v>
      </c>
      <c r="Q369" s="477">
        <v>19.34642105263158</v>
      </c>
      <c r="R369" s="477">
        <v>15.737952631578944</v>
      </c>
    </row>
    <row r="370" spans="2:18">
      <c r="B370" s="493"/>
      <c r="C370" s="475" t="s">
        <v>3154</v>
      </c>
      <c r="D370" s="477">
        <v>114.18249090909089</v>
      </c>
      <c r="E370" s="477">
        <v>174.4559090909091</v>
      </c>
      <c r="F370" s="477">
        <v>171.98915909090908</v>
      </c>
      <c r="G370" s="477">
        <v>2.5165045454545458</v>
      </c>
      <c r="H370" s="477">
        <v>1.2629090909090908</v>
      </c>
      <c r="I370" s="477">
        <v>155.12419090909094</v>
      </c>
      <c r="J370" s="477">
        <v>107.01697272727273</v>
      </c>
      <c r="K370" s="477">
        <v>104.08874545454546</v>
      </c>
      <c r="L370" s="477">
        <v>111.46739090909091</v>
      </c>
      <c r="M370" s="496">
        <v>81.557686363636378</v>
      </c>
      <c r="N370" s="496">
        <v>20.844631818181821</v>
      </c>
      <c r="O370" s="477">
        <v>14.711954545454544</v>
      </c>
      <c r="P370" s="477">
        <v>80.260850000000005</v>
      </c>
      <c r="Q370" s="477">
        <v>19.303522727272725</v>
      </c>
      <c r="R370" s="477">
        <v>15.950740909090909</v>
      </c>
    </row>
    <row r="371" spans="2:18">
      <c r="B371" s="493"/>
      <c r="C371" s="475" t="s">
        <v>3148</v>
      </c>
      <c r="D371" s="477">
        <v>113.88475882352938</v>
      </c>
      <c r="E371" s="477">
        <v>172.7955</v>
      </c>
      <c r="F371" s="477">
        <v>174.56818823529414</v>
      </c>
      <c r="G371" s="477">
        <v>2.5691999999999999</v>
      </c>
      <c r="H371" s="477">
        <v>1.218370588235294</v>
      </c>
      <c r="I371" s="477">
        <v>152.82006470588237</v>
      </c>
      <c r="J371" s="477">
        <v>106.58885294117647</v>
      </c>
      <c r="K371" s="477">
        <v>105.47957058823529</v>
      </c>
      <c r="L371" s="477">
        <v>113.33335882352941</v>
      </c>
      <c r="M371" s="496">
        <v>82.462841176470576</v>
      </c>
      <c r="N371" s="496">
        <v>20.5318</v>
      </c>
      <c r="O371" s="477">
        <v>14.669511764705881</v>
      </c>
      <c r="P371" s="477">
        <v>81.033164705882342</v>
      </c>
      <c r="Q371" s="477">
        <v>19.236835294117643</v>
      </c>
      <c r="R371" s="477">
        <v>15.820182352941174</v>
      </c>
    </row>
    <row r="372" spans="2:18">
      <c r="B372" s="495"/>
      <c r="C372" s="494" t="s">
        <v>114</v>
      </c>
      <c r="D372" s="477">
        <v>113.74183157894736</v>
      </c>
      <c r="E372" s="477">
        <v>168.3476</v>
      </c>
      <c r="F372" s="477">
        <v>167.13981578947369</v>
      </c>
      <c r="G372" s="477">
        <v>2.5033421052631573</v>
      </c>
      <c r="H372" s="477">
        <v>1.2323</v>
      </c>
      <c r="I372" s="477">
        <v>143.44203157894736</v>
      </c>
      <c r="J372" s="477">
        <v>100.96941578947369</v>
      </c>
      <c r="K372" s="477">
        <v>99.638705263157902</v>
      </c>
      <c r="L372" s="477">
        <v>109.62683157894736</v>
      </c>
      <c r="M372" s="477">
        <v>81.715226315789479</v>
      </c>
      <c r="N372" s="477">
        <v>19.275047368421053</v>
      </c>
      <c r="O372" s="477">
        <v>14.607642105263157</v>
      </c>
      <c r="P372" s="477">
        <v>79.848068421052602</v>
      </c>
      <c r="Q372" s="477">
        <v>18.18547894736842</v>
      </c>
      <c r="R372" s="477">
        <v>14.824478947368421</v>
      </c>
    </row>
    <row r="373" spans="2:18">
      <c r="B373" s="495"/>
      <c r="C373" s="494" t="s">
        <v>3135</v>
      </c>
      <c r="D373" s="477">
        <v>113.61490999999998</v>
      </c>
      <c r="E373" s="477">
        <v>166.73269999999997</v>
      </c>
      <c r="F373" s="477">
        <v>167.350335</v>
      </c>
      <c r="G373" s="477">
        <v>2.4574399999999996</v>
      </c>
      <c r="H373" s="477">
        <v>1.2484750000000002</v>
      </c>
      <c r="I373" s="477">
        <v>138.60521999999997</v>
      </c>
      <c r="J373" s="477">
        <v>100.41950499999999</v>
      </c>
      <c r="K373" s="477">
        <v>96.765830000000008</v>
      </c>
      <c r="L373" s="477">
        <v>109.39156</v>
      </c>
      <c r="M373" s="477">
        <v>81.208379999999991</v>
      </c>
      <c r="N373" s="477">
        <v>18.627669999999998</v>
      </c>
      <c r="O373" s="477">
        <v>14.586414999999999</v>
      </c>
      <c r="P373" s="477">
        <v>78.372375000000005</v>
      </c>
      <c r="Q373" s="477">
        <v>17.521220000000003</v>
      </c>
      <c r="R373" s="477">
        <v>14.478479999999996</v>
      </c>
    </row>
    <row r="374" spans="2:18">
      <c r="B374" s="495"/>
      <c r="C374" s="494" t="s">
        <v>3125</v>
      </c>
      <c r="D374" s="477">
        <v>113.05968636363633</v>
      </c>
      <c r="E374" s="477">
        <v>170.00572727272728</v>
      </c>
      <c r="F374" s="477">
        <v>172.5898454545455</v>
      </c>
      <c r="G374" s="477">
        <v>2.4308545454545456</v>
      </c>
      <c r="H374" s="477">
        <v>1.289631818181818</v>
      </c>
      <c r="I374" s="477">
        <v>144.25587272727273</v>
      </c>
      <c r="J374" s="477">
        <v>107.20490454545453</v>
      </c>
      <c r="K374" s="477">
        <v>98.824518181818178</v>
      </c>
      <c r="L374" s="477">
        <v>108.25660909090908</v>
      </c>
      <c r="M374" s="477">
        <v>82.047540909090927</v>
      </c>
      <c r="N374" s="477">
        <v>19.356627272727277</v>
      </c>
      <c r="O374" s="477">
        <v>14.536563636363633</v>
      </c>
      <c r="P374" s="477">
        <v>80.420504545454548</v>
      </c>
      <c r="Q374" s="477">
        <v>17.974313636363636</v>
      </c>
      <c r="R374" s="477">
        <v>15.189659090909089</v>
      </c>
    </row>
    <row r="375" spans="2:18">
      <c r="B375" s="495"/>
      <c r="C375" s="494" t="s">
        <v>3117</v>
      </c>
      <c r="D375" s="477">
        <v>112.44939523809522</v>
      </c>
      <c r="E375" s="477">
        <v>170.7392857142857</v>
      </c>
      <c r="F375" s="477">
        <v>176.25939999999997</v>
      </c>
      <c r="G375" s="477">
        <v>2.4343190476190477</v>
      </c>
      <c r="H375" s="477">
        <v>1.3156476190476192</v>
      </c>
      <c r="I375" s="477">
        <v>145.30757142857141</v>
      </c>
      <c r="J375" s="477">
        <v>108.07556666666667</v>
      </c>
      <c r="K375" s="477">
        <v>101.28285714285714</v>
      </c>
      <c r="L375" s="477">
        <v>108.31329523809522</v>
      </c>
      <c r="M375" s="477">
        <v>82.958547619047636</v>
      </c>
      <c r="N375" s="477">
        <v>19.504790476190472</v>
      </c>
      <c r="O375" s="477">
        <v>14.47156666666667</v>
      </c>
      <c r="P375" s="477">
        <v>80.451409523809531</v>
      </c>
      <c r="Q375" s="477">
        <v>18.321700000000007</v>
      </c>
      <c r="R375" s="477">
        <v>15.411857142857142</v>
      </c>
    </row>
    <row r="376" spans="2:18">
      <c r="B376" s="495"/>
      <c r="C376" s="494" t="s">
        <v>3113</v>
      </c>
      <c r="D376" s="477">
        <v>112.47454</v>
      </c>
      <c r="E376" s="477">
        <v>171.70694999999998</v>
      </c>
      <c r="F376" s="477">
        <v>175.07971000000001</v>
      </c>
      <c r="G376" s="477">
        <v>2.4571899999999998</v>
      </c>
      <c r="H376" s="477">
        <v>1.3324749999999999</v>
      </c>
      <c r="I376" s="477">
        <v>146.84245499999997</v>
      </c>
      <c r="J376" s="477">
        <v>112.195875</v>
      </c>
      <c r="K376" s="477">
        <v>105.181675</v>
      </c>
      <c r="L376" s="477">
        <v>108.60226499999999</v>
      </c>
      <c r="M376" s="477">
        <v>84.191119999999998</v>
      </c>
      <c r="N376" s="477">
        <v>19.717239999999997</v>
      </c>
      <c r="O376" s="477">
        <v>14.482295000000002</v>
      </c>
      <c r="P376" s="477">
        <v>81.657700000000006</v>
      </c>
      <c r="Q376" s="477">
        <v>18.556204999999999</v>
      </c>
      <c r="R376" s="477">
        <v>15.907159999999999</v>
      </c>
    </row>
    <row r="377" spans="2:18">
      <c r="B377" s="495"/>
      <c r="C377" s="494" t="s">
        <v>3104</v>
      </c>
      <c r="D377" s="477">
        <v>111.79248499999999</v>
      </c>
      <c r="E377" s="477">
        <v>175.49574999999999</v>
      </c>
      <c r="F377" s="477">
        <v>177.21159000000003</v>
      </c>
      <c r="G377" s="477">
        <v>2.5282299999999998</v>
      </c>
      <c r="H377" s="477">
        <v>1.3645400000000001</v>
      </c>
      <c r="I377" s="477">
        <v>155.22700000000003</v>
      </c>
      <c r="J377" s="477">
        <v>115.41834000000001</v>
      </c>
      <c r="K377" s="477">
        <v>109.71113499999998</v>
      </c>
      <c r="L377" s="477">
        <v>109.78570500000001</v>
      </c>
      <c r="M377" s="477">
        <v>85.710214999999991</v>
      </c>
      <c r="N377" s="477">
        <v>20.817599999999999</v>
      </c>
      <c r="O377" s="477">
        <v>14.407884999999998</v>
      </c>
      <c r="P377" s="477">
        <v>83.923069999999996</v>
      </c>
      <c r="Q377" s="477">
        <v>19.157554999999995</v>
      </c>
      <c r="R377" s="477">
        <v>16.735674999999997</v>
      </c>
    </row>
    <row r="378" spans="2:18">
      <c r="B378" s="495"/>
      <c r="C378" s="494" t="s">
        <v>3099</v>
      </c>
      <c r="D378" s="477">
        <v>111.58126</v>
      </c>
      <c r="E378" s="477">
        <v>174.02314999999999</v>
      </c>
      <c r="F378" s="477">
        <v>178.19089000000002</v>
      </c>
      <c r="G378" s="477">
        <v>2.4937</v>
      </c>
      <c r="H378" s="477">
        <v>1.3532649999999997</v>
      </c>
      <c r="I378" s="477">
        <v>152.513125</v>
      </c>
      <c r="J378" s="477">
        <v>113.32976499999999</v>
      </c>
      <c r="K378" s="477">
        <v>110.43654999999998</v>
      </c>
      <c r="L378" s="477">
        <v>110.28802499999999</v>
      </c>
      <c r="M378" s="477">
        <v>85.987499999999997</v>
      </c>
      <c r="N378" s="477">
        <v>20.457845000000002</v>
      </c>
      <c r="O378" s="477">
        <v>14.387934999999999</v>
      </c>
      <c r="P378" s="477">
        <v>86.081990000000019</v>
      </c>
      <c r="Q378" s="477">
        <v>18.746404999999999</v>
      </c>
      <c r="R378" s="477">
        <v>16.376595000000002</v>
      </c>
    </row>
    <row r="379" spans="2:18">
      <c r="B379" s="495"/>
      <c r="C379" s="494" t="s">
        <v>3094</v>
      </c>
      <c r="D379" s="477">
        <v>111.10433636363636</v>
      </c>
      <c r="E379" s="477">
        <v>170.63140000000001</v>
      </c>
      <c r="F379" s="477">
        <v>173.4006590909091</v>
      </c>
      <c r="G379" s="477">
        <v>2.4693999999999998</v>
      </c>
      <c r="H379" s="477">
        <v>1.3345363636363636</v>
      </c>
      <c r="I379" s="477">
        <v>146.86108636363636</v>
      </c>
      <c r="J379" s="477">
        <v>114.6268</v>
      </c>
      <c r="K379" s="477">
        <v>110.27048181818182</v>
      </c>
      <c r="L379" s="477">
        <v>110.14717272727275</v>
      </c>
      <c r="M379" s="477">
        <v>85.049195454545469</v>
      </c>
      <c r="N379" s="477">
        <v>19.705113636363638</v>
      </c>
      <c r="O379" s="477">
        <v>14.291090909090904</v>
      </c>
      <c r="P379" s="477">
        <v>83.484363636363625</v>
      </c>
      <c r="Q379" s="477">
        <v>18.564231818181817</v>
      </c>
      <c r="R379" s="477">
        <v>16.209281818181811</v>
      </c>
    </row>
    <row r="380" spans="2:18" s="464" customFormat="1">
      <c r="B380" s="483" t="s">
        <v>3856</v>
      </c>
      <c r="C380" s="482"/>
      <c r="D380" s="481">
        <v>113.06469528331188</v>
      </c>
      <c r="E380" s="481">
        <v>172.50320649382294</v>
      </c>
      <c r="F380" s="481">
        <v>174.80802390109818</v>
      </c>
      <c r="G380" s="481">
        <v>2.486958173337384</v>
      </c>
      <c r="H380" s="481">
        <v>1.2892803518916871</v>
      </c>
      <c r="I380" s="481">
        <v>150.10094650535652</v>
      </c>
      <c r="J380" s="481">
        <v>108.61762877757189</v>
      </c>
      <c r="K380" s="481">
        <v>103.97931922745812</v>
      </c>
      <c r="L380" s="481">
        <v>109.79176010521515</v>
      </c>
      <c r="M380" s="481">
        <v>82.989685129335882</v>
      </c>
      <c r="N380" s="481">
        <v>20.155036019879244</v>
      </c>
      <c r="O380" s="481">
        <v>14.55268225941041</v>
      </c>
      <c r="P380" s="481">
        <v>81.56245050554007</v>
      </c>
      <c r="Q380" s="481">
        <v>18.740301354476134</v>
      </c>
      <c r="R380" s="481">
        <v>15.723814037373586</v>
      </c>
    </row>
    <row r="381" spans="2:18">
      <c r="B381" s="480"/>
      <c r="C381" s="498"/>
      <c r="D381" s="497"/>
      <c r="E381" s="497"/>
      <c r="F381" s="497"/>
      <c r="G381" s="497"/>
      <c r="H381" s="497"/>
      <c r="I381" s="497"/>
      <c r="J381" s="497"/>
      <c r="K381" s="497"/>
      <c r="L381" s="497"/>
      <c r="M381" s="497"/>
      <c r="N381" s="497"/>
      <c r="O381" s="497"/>
      <c r="P381" s="497"/>
      <c r="Q381" s="497"/>
      <c r="R381" s="497"/>
    </row>
    <row r="382" spans="2:18">
      <c r="B382" s="493">
        <v>2011</v>
      </c>
      <c r="C382" s="545">
        <v>40544</v>
      </c>
      <c r="D382" s="546">
        <v>110.897335</v>
      </c>
      <c r="E382" s="477">
        <v>171.56185000000002</v>
      </c>
      <c r="F382" s="477">
        <v>174.64080000000001</v>
      </c>
      <c r="G382" s="477">
        <v>2.4539399999999998</v>
      </c>
      <c r="H382" s="477">
        <v>1.3429449999999998</v>
      </c>
      <c r="I382" s="477">
        <v>148.00634500000001</v>
      </c>
      <c r="J382" s="477">
        <v>115.99586500000001</v>
      </c>
      <c r="K382" s="477">
        <v>110.40250500000002</v>
      </c>
      <c r="L382" s="496">
        <v>111.61431</v>
      </c>
      <c r="M382" s="496">
        <v>86.127545000000012</v>
      </c>
      <c r="N382" s="477">
        <v>19.861345</v>
      </c>
      <c r="O382" s="477">
        <v>14.253785000000002</v>
      </c>
      <c r="P382" s="477">
        <v>84.899584999999988</v>
      </c>
      <c r="Q382" s="477">
        <v>18.912144999999999</v>
      </c>
      <c r="R382" s="477">
        <v>16.593719999999998</v>
      </c>
    </row>
    <row r="383" spans="2:18">
      <c r="B383" s="493"/>
      <c r="C383" s="545">
        <v>40575</v>
      </c>
      <c r="D383" s="546">
        <v>110.96498235294116</v>
      </c>
      <c r="E383" s="477">
        <v>173.43199999999999</v>
      </c>
      <c r="F383" s="477">
        <v>178.98725882352943</v>
      </c>
      <c r="G383" s="477">
        <v>2.4525588235294116</v>
      </c>
      <c r="H383" s="477">
        <v>1.345164705882353</v>
      </c>
      <c r="I383" s="477">
        <v>151.76430588235297</v>
      </c>
      <c r="J383" s="477">
        <v>117.03330588235295</v>
      </c>
      <c r="K383" s="477">
        <v>111.92629999999998</v>
      </c>
      <c r="L383" s="477">
        <v>112.27049411764706</v>
      </c>
      <c r="M383" s="496">
        <v>86.925435294117662</v>
      </c>
      <c r="N383" s="496">
        <v>20.356000000000002</v>
      </c>
      <c r="O383" s="477">
        <v>14.246364705882353</v>
      </c>
      <c r="P383" s="477">
        <v>84.620258823529397</v>
      </c>
      <c r="Q383" s="477">
        <v>19.368611764705882</v>
      </c>
      <c r="R383" s="477">
        <v>17.25035294117647</v>
      </c>
    </row>
    <row r="384" spans="2:18">
      <c r="B384" s="493"/>
      <c r="C384" s="545">
        <v>40603</v>
      </c>
      <c r="D384" s="546">
        <v>110.35884999999999</v>
      </c>
      <c r="E384" s="477">
        <v>174.45127272727271</v>
      </c>
      <c r="F384" s="477">
        <v>178.33905909090907</v>
      </c>
      <c r="G384" s="477">
        <v>2.4607363636363639</v>
      </c>
      <c r="H384" s="477">
        <v>1.3500863636363636</v>
      </c>
      <c r="I384" s="477">
        <v>154.59852272727275</v>
      </c>
      <c r="J384" s="477">
        <v>120.08629545454545</v>
      </c>
      <c r="K384" s="477">
        <v>111.46210909090911</v>
      </c>
      <c r="L384" s="477">
        <v>112.95904999999999</v>
      </c>
      <c r="M384" s="477">
        <v>87.022554545454526</v>
      </c>
      <c r="N384" s="496">
        <v>20.730804545454546</v>
      </c>
      <c r="O384" s="496">
        <v>14.160595454545454</v>
      </c>
      <c r="P384" s="477">
        <v>81.730290909090911</v>
      </c>
      <c r="Q384" s="477">
        <v>19.732918181818182</v>
      </c>
      <c r="R384" s="477">
        <v>17.382486363636367</v>
      </c>
    </row>
    <row r="385" spans="2:18">
      <c r="B385" s="493"/>
      <c r="C385" s="545">
        <v>40634</v>
      </c>
      <c r="D385" s="546">
        <v>110.28969411764707</v>
      </c>
      <c r="E385" s="477">
        <v>176.25299999999993</v>
      </c>
      <c r="F385" s="477">
        <v>180.38424117647057</v>
      </c>
      <c r="G385" s="477">
        <v>2.4958352941176472</v>
      </c>
      <c r="H385" s="477">
        <v>1.3236588235294118</v>
      </c>
      <c r="I385" s="477">
        <v>159.17206470588238</v>
      </c>
      <c r="J385" s="477">
        <v>122.5372</v>
      </c>
      <c r="K385" s="477">
        <v>116.65498823529413</v>
      </c>
      <c r="L385" s="477">
        <v>115.12718235294116</v>
      </c>
      <c r="M385" s="496">
        <v>88.415005882352929</v>
      </c>
      <c r="N385" s="496">
        <v>21.343782352941179</v>
      </c>
      <c r="O385" s="477">
        <v>14.187029411764707</v>
      </c>
      <c r="P385" s="477">
        <v>86.770529411764713</v>
      </c>
      <c r="Q385" s="477">
        <v>20.396652941176473</v>
      </c>
      <c r="R385" s="477">
        <v>17.766347058823531</v>
      </c>
    </row>
    <row r="386" spans="2:18">
      <c r="B386" s="495"/>
      <c r="C386" s="545">
        <v>40664</v>
      </c>
      <c r="D386" s="546">
        <v>109.81657368421054</v>
      </c>
      <c r="E386" s="477">
        <v>175.42726315789474</v>
      </c>
      <c r="F386" s="477">
        <v>179.52707894736844</v>
      </c>
      <c r="G386" s="477">
        <v>2.4527842105263153</v>
      </c>
      <c r="H386" s="477">
        <v>1.3536052631578948</v>
      </c>
      <c r="I386" s="477">
        <v>157.48352105263157</v>
      </c>
      <c r="J386" s="477">
        <v>125.78191578947369</v>
      </c>
      <c r="K386" s="477">
        <v>117.32200000000002</v>
      </c>
      <c r="L386" s="477">
        <v>113.56511578947368</v>
      </c>
      <c r="M386" s="477">
        <v>88.798231578947366</v>
      </c>
      <c r="N386" s="477">
        <v>21.119489473684215</v>
      </c>
      <c r="O386" s="477">
        <v>14.124568421052633</v>
      </c>
      <c r="P386" s="477">
        <v>87.565421052631578</v>
      </c>
      <c r="Q386" s="477">
        <v>20.085368421052625</v>
      </c>
      <c r="R386" s="477">
        <v>17.573368421052628</v>
      </c>
    </row>
    <row r="387" spans="2:18">
      <c r="B387" s="495"/>
      <c r="C387" s="545">
        <v>40695</v>
      </c>
      <c r="D387" s="546">
        <v>109.59328095238095</v>
      </c>
      <c r="E387" s="477">
        <v>175.27023809523814</v>
      </c>
      <c r="F387" s="477">
        <v>177.82279999999997</v>
      </c>
      <c r="G387" s="477">
        <v>2.4513904761904763</v>
      </c>
      <c r="H387" s="477">
        <v>1.3610904761904759</v>
      </c>
      <c r="I387" s="477">
        <v>157.73849047619046</v>
      </c>
      <c r="J387" s="477">
        <v>130.33290476190479</v>
      </c>
      <c r="K387" s="477">
        <v>116.17503809523812</v>
      </c>
      <c r="L387" s="477">
        <v>112.06035714285716</v>
      </c>
      <c r="M387" s="477">
        <v>88.774252380952362</v>
      </c>
      <c r="N387" s="477">
        <v>21.150533333333335</v>
      </c>
      <c r="O387" s="477">
        <v>14.077061904761907</v>
      </c>
      <c r="P387" s="477">
        <v>89.226328571428567</v>
      </c>
      <c r="Q387" s="477">
        <v>20.138223809523812</v>
      </c>
      <c r="R387" s="477">
        <v>17.330661904761907</v>
      </c>
    </row>
    <row r="388" spans="2:18">
      <c r="B388" s="495"/>
      <c r="C388" s="545">
        <v>40725</v>
      </c>
      <c r="D388" s="546">
        <v>109.50241999999999</v>
      </c>
      <c r="E388" s="477">
        <v>174.6661</v>
      </c>
      <c r="F388" s="477">
        <v>176.66694000000001</v>
      </c>
      <c r="G388" s="477">
        <v>2.4706999999999999</v>
      </c>
      <c r="H388" s="477">
        <v>1.3779999999999997</v>
      </c>
      <c r="I388" s="477">
        <v>156.563075</v>
      </c>
      <c r="J388" s="477">
        <v>132.81519999999995</v>
      </c>
      <c r="K388" s="477">
        <v>117.88085500000003</v>
      </c>
      <c r="L388" s="477">
        <v>114.50119499999998</v>
      </c>
      <c r="M388" s="477">
        <v>89.980364999999992</v>
      </c>
      <c r="N388" s="477">
        <v>20.996985000000002</v>
      </c>
      <c r="O388" s="477">
        <v>14.058680000000001</v>
      </c>
      <c r="P388" s="477">
        <v>92.49264500000001</v>
      </c>
      <c r="Q388" s="477">
        <v>20.115369999999999</v>
      </c>
      <c r="R388" s="477">
        <v>17.142405</v>
      </c>
    </row>
    <row r="389" spans="2:18">
      <c r="B389" s="495"/>
      <c r="C389" s="545">
        <v>40756</v>
      </c>
      <c r="D389" s="546">
        <v>109.79894999999998</v>
      </c>
      <c r="E389" s="477">
        <v>176.31177272727274</v>
      </c>
      <c r="F389" s="477">
        <v>179.69534999999999</v>
      </c>
      <c r="G389" s="477">
        <v>2.4346181818181813</v>
      </c>
      <c r="H389" s="477">
        <v>1.4235454545454547</v>
      </c>
      <c r="I389" s="477">
        <v>157.41766818181816</v>
      </c>
      <c r="J389" s="477">
        <v>141.05661363636364</v>
      </c>
      <c r="K389" s="477">
        <v>115.29024999999997</v>
      </c>
      <c r="L389" s="477">
        <v>111.97640454545454</v>
      </c>
      <c r="M389" s="477">
        <v>90.826413636363654</v>
      </c>
      <c r="N389" s="477">
        <v>21.130754545454547</v>
      </c>
      <c r="O389" s="477">
        <v>14.081127272727276</v>
      </c>
      <c r="P389" s="477">
        <v>91.945281818181797</v>
      </c>
      <c r="Q389" s="477">
        <v>20.174450000000004</v>
      </c>
      <c r="R389" s="477">
        <v>17.162922727272726</v>
      </c>
    </row>
    <row r="390" spans="2:18">
      <c r="B390" s="495"/>
      <c r="C390" s="545">
        <v>40787</v>
      </c>
      <c r="D390" s="546">
        <v>110.13596818181817</v>
      </c>
      <c r="E390" s="477">
        <v>173.57040909090915</v>
      </c>
      <c r="F390" s="477">
        <v>173.95559090909089</v>
      </c>
      <c r="G390" s="477">
        <v>2.326936363636364</v>
      </c>
      <c r="H390" s="477">
        <v>1.4338863636363637</v>
      </c>
      <c r="I390" s="477">
        <v>151.76035909090905</v>
      </c>
      <c r="J390" s="477">
        <v>126.89035909090909</v>
      </c>
      <c r="K390" s="477">
        <v>112.86808181818179</v>
      </c>
      <c r="L390" s="477">
        <v>110.1586681818182</v>
      </c>
      <c r="M390" s="477">
        <v>88.206186363636377</v>
      </c>
      <c r="N390" s="477">
        <v>20.380340909090908</v>
      </c>
      <c r="O390" s="477">
        <v>14.129931818181815</v>
      </c>
      <c r="P390" s="477">
        <v>89.599786363636369</v>
      </c>
      <c r="Q390" s="477">
        <v>19.648204545454544</v>
      </c>
      <c r="R390" s="477">
        <v>16.612359090909091</v>
      </c>
    </row>
    <row r="391" spans="2:18">
      <c r="B391" s="495"/>
      <c r="C391" s="545">
        <v>40817</v>
      </c>
      <c r="D391" s="546">
        <v>110.19164210526318</v>
      </c>
      <c r="E391" s="477">
        <v>173.22594736842106</v>
      </c>
      <c r="F391" s="477">
        <v>173.35569473684208</v>
      </c>
      <c r="G391" s="477">
        <v>2.2437263157894729</v>
      </c>
      <c r="H391" s="477">
        <v>1.4353263157894738</v>
      </c>
      <c r="I391" s="477">
        <v>150.81917368421051</v>
      </c>
      <c r="J391" s="477">
        <v>122.63968947368421</v>
      </c>
      <c r="K391" s="477">
        <v>111.28525789473686</v>
      </c>
      <c r="L391" s="477">
        <v>107.80988421052632</v>
      </c>
      <c r="M391" s="477">
        <v>86.153410526315795</v>
      </c>
      <c r="N391" s="477">
        <v>20.259621052631577</v>
      </c>
      <c r="O391" s="477">
        <v>14.16581052631579</v>
      </c>
      <c r="P391" s="477">
        <v>86.823100000000011</v>
      </c>
      <c r="Q391" s="477">
        <v>19.455273684210521</v>
      </c>
      <c r="R391" s="477">
        <v>16.531463157894738</v>
      </c>
    </row>
    <row r="392" spans="2:18">
      <c r="B392" s="495"/>
      <c r="C392" s="545">
        <v>40848</v>
      </c>
      <c r="D392" s="546">
        <v>111.33303000000001</v>
      </c>
      <c r="E392" s="477">
        <v>174.23419999999999</v>
      </c>
      <c r="F392" s="477">
        <v>175.82521500000001</v>
      </c>
      <c r="G392" s="477">
        <v>2.2027450000000011</v>
      </c>
      <c r="H392" s="477">
        <v>1.4364499999999998</v>
      </c>
      <c r="I392" s="477">
        <v>150.95564500000003</v>
      </c>
      <c r="J392" s="477">
        <v>122.59768</v>
      </c>
      <c r="K392" s="477">
        <v>112.338555</v>
      </c>
      <c r="L392" s="477">
        <v>108.56461500000003</v>
      </c>
      <c r="M392" s="477">
        <v>86.321345000000022</v>
      </c>
      <c r="N392" s="477">
        <v>20.28633</v>
      </c>
      <c r="O392" s="477">
        <v>14.305294999999997</v>
      </c>
      <c r="P392" s="477">
        <v>85.734729999999999</v>
      </c>
      <c r="Q392" s="477">
        <v>19.384784999999997</v>
      </c>
      <c r="R392" s="477">
        <v>16.506700000000002</v>
      </c>
    </row>
    <row r="393" spans="2:18">
      <c r="B393" s="495"/>
      <c r="C393" s="545">
        <v>40878</v>
      </c>
      <c r="D393" s="546">
        <v>113.89973333333334</v>
      </c>
      <c r="E393" s="477">
        <v>176.0515</v>
      </c>
      <c r="F393" s="477">
        <v>177.60467142857138</v>
      </c>
      <c r="G393" s="477">
        <v>2.1763285714285714</v>
      </c>
      <c r="H393" s="477">
        <v>1.4628619047619045</v>
      </c>
      <c r="I393" s="477">
        <v>150.08540952380957</v>
      </c>
      <c r="J393" s="477">
        <v>122.1788857142857</v>
      </c>
      <c r="K393" s="477">
        <v>115.24834761904761</v>
      </c>
      <c r="L393" s="477">
        <v>111.26720000000002</v>
      </c>
      <c r="M393" s="477">
        <v>87.949261904761912</v>
      </c>
      <c r="N393" s="477">
        <v>20.188419047619053</v>
      </c>
      <c r="O393" s="477">
        <v>14.644266666666667</v>
      </c>
      <c r="P393" s="477">
        <v>87.717971428571417</v>
      </c>
      <c r="Q393" s="477">
        <v>19.369547619047619</v>
      </c>
      <c r="R393" s="477">
        <v>16.630909523809525</v>
      </c>
    </row>
    <row r="394" spans="2:18">
      <c r="B394" s="493">
        <v>2012</v>
      </c>
      <c r="C394" s="545">
        <v>40909</v>
      </c>
      <c r="D394" s="546">
        <v>113.89960476190477</v>
      </c>
      <c r="E394" s="477">
        <v>174.94433333333333</v>
      </c>
      <c r="F394" s="477">
        <v>176.78032380952379</v>
      </c>
      <c r="G394" s="477">
        <v>2.2242952380952379</v>
      </c>
      <c r="H394" s="477">
        <v>1.4798666666666667</v>
      </c>
      <c r="I394" s="477">
        <v>147.15339523809524</v>
      </c>
      <c r="J394" s="477">
        <v>121.497</v>
      </c>
      <c r="K394" s="477">
        <v>118.43198571428572</v>
      </c>
      <c r="L394" s="477">
        <v>112.41512380952379</v>
      </c>
      <c r="M394" s="477">
        <v>89.04014761904763</v>
      </c>
      <c r="N394" s="477">
        <v>19.791157142857145</v>
      </c>
      <c r="O394" s="477">
        <v>14.670299999999994</v>
      </c>
      <c r="P394" s="477">
        <v>91.051876190476193</v>
      </c>
      <c r="Q394" s="477">
        <v>19.165190476190482</v>
      </c>
      <c r="R394" s="477">
        <v>16.641199999999998</v>
      </c>
    </row>
    <row r="395" spans="2:18">
      <c r="B395" s="493"/>
      <c r="C395" s="545">
        <v>40940</v>
      </c>
      <c r="D395" s="546">
        <v>117.2322611111111</v>
      </c>
      <c r="E395" s="477">
        <v>181.61038888888891</v>
      </c>
      <c r="F395" s="477">
        <v>185.10411666666667</v>
      </c>
      <c r="G395" s="477">
        <v>2.3858944444444443</v>
      </c>
      <c r="H395" s="477">
        <v>1.4943499999999998</v>
      </c>
      <c r="I395" s="477">
        <v>155.06073888888886</v>
      </c>
      <c r="J395" s="477">
        <v>128.50413888888889</v>
      </c>
      <c r="K395" s="477">
        <v>125.63321111111109</v>
      </c>
      <c r="L395" s="477">
        <v>117.44029444444443</v>
      </c>
      <c r="M395" s="477">
        <v>93.457988888888892</v>
      </c>
      <c r="N395" s="477">
        <v>20.857783333333334</v>
      </c>
      <c r="O395" s="477">
        <v>15.116955555555554</v>
      </c>
      <c r="P395" s="477">
        <v>97.72697222222223</v>
      </c>
      <c r="Q395" s="477">
        <v>20.506372222222222</v>
      </c>
      <c r="R395" s="477">
        <v>17.580300000000001</v>
      </c>
    </row>
    <row r="396" spans="2:18">
      <c r="B396" s="493"/>
      <c r="C396" s="545">
        <v>40969</v>
      </c>
      <c r="D396" s="546">
        <v>125.51524285714285</v>
      </c>
      <c r="E396" s="477">
        <v>193.39233333333334</v>
      </c>
      <c r="F396" s="477">
        <v>198.72741428571433</v>
      </c>
      <c r="G396" s="477">
        <v>2.4987761904761903</v>
      </c>
      <c r="H396" s="477">
        <v>1.5204333333333335</v>
      </c>
      <c r="I396" s="477">
        <v>165.9834619047619</v>
      </c>
      <c r="J396" s="477">
        <v>137.58406666666664</v>
      </c>
      <c r="K396" s="477">
        <v>132.33474285714286</v>
      </c>
      <c r="L396" s="477">
        <v>126.44889523809522</v>
      </c>
      <c r="M396" s="477">
        <v>99.75833333333334</v>
      </c>
      <c r="N396" s="477">
        <v>22.323638095238096</v>
      </c>
      <c r="O396" s="477">
        <v>16.169766666666668</v>
      </c>
      <c r="P396" s="477">
        <v>103.07480476190477</v>
      </c>
      <c r="Q396" s="477">
        <v>22.027966666666671</v>
      </c>
      <c r="R396" s="477">
        <v>18.669385714285717</v>
      </c>
    </row>
    <row r="397" spans="2:18">
      <c r="B397" s="493"/>
      <c r="C397" s="545">
        <v>41000</v>
      </c>
      <c r="D397" s="546">
        <v>128.65764999999999</v>
      </c>
      <c r="E397" s="477">
        <v>198.56588888888891</v>
      </c>
      <c r="F397" s="477">
        <v>206.0231722222222</v>
      </c>
      <c r="G397" s="477">
        <v>2.4942277777777777</v>
      </c>
      <c r="H397" s="477">
        <v>1.5797666666666668</v>
      </c>
      <c r="I397" s="477">
        <v>169.43357222222224</v>
      </c>
      <c r="J397" s="477">
        <v>140.93481111111112</v>
      </c>
      <c r="K397" s="477">
        <v>133.05552222222224</v>
      </c>
      <c r="L397" s="477">
        <v>129.62042777777776</v>
      </c>
      <c r="M397" s="477">
        <v>102.83337777777778</v>
      </c>
      <c r="N397" s="477">
        <v>22.774749999999997</v>
      </c>
      <c r="O397" s="477">
        <v>16.575072222222222</v>
      </c>
      <c r="P397" s="477">
        <v>105.17472777777779</v>
      </c>
      <c r="Q397" s="477">
        <v>22.389016666666667</v>
      </c>
      <c r="R397" s="477">
        <v>19.125255555555551</v>
      </c>
    </row>
    <row r="398" spans="2:18">
      <c r="B398" s="493"/>
      <c r="C398" s="545">
        <v>41030</v>
      </c>
      <c r="D398" s="546">
        <v>129.37788095238093</v>
      </c>
      <c r="E398" s="477">
        <v>197.71004761904757</v>
      </c>
      <c r="F398" s="477">
        <v>205.87210952380957</v>
      </c>
      <c r="G398" s="477">
        <v>2.3837428571428569</v>
      </c>
      <c r="H398" s="477">
        <v>1.6224714285714286</v>
      </c>
      <c r="I398" s="477">
        <v>165.45170000000002</v>
      </c>
      <c r="J398" s="477">
        <v>137.72365238095239</v>
      </c>
      <c r="K398" s="477">
        <v>128.87425714285715</v>
      </c>
      <c r="L398" s="477">
        <v>128.05410476190474</v>
      </c>
      <c r="M398" s="477">
        <v>102.45942380952381</v>
      </c>
      <c r="N398" s="477">
        <v>22.258385714285712</v>
      </c>
      <c r="O398" s="477">
        <v>16.664252380952384</v>
      </c>
      <c r="P398" s="477">
        <v>100.00072857142855</v>
      </c>
      <c r="Q398" s="477">
        <v>21.857733333333336</v>
      </c>
      <c r="R398" s="477">
        <v>18.383409523809522</v>
      </c>
    </row>
    <row r="399" spans="2:18">
      <c r="B399" s="493"/>
      <c r="C399" s="545">
        <v>41061</v>
      </c>
      <c r="D399" s="546">
        <v>132.04018000000002</v>
      </c>
      <c r="E399" s="477">
        <v>200.10669999999999</v>
      </c>
      <c r="F399" s="477">
        <v>205.39913499999997</v>
      </c>
      <c r="G399" s="477">
        <v>2.3586400000000003</v>
      </c>
      <c r="H399" s="477">
        <v>1.6645499999999998</v>
      </c>
      <c r="I399" s="477">
        <v>165.65456</v>
      </c>
      <c r="J399" s="477">
        <v>137.91944999999998</v>
      </c>
      <c r="K399" s="477">
        <v>131.88516000000004</v>
      </c>
      <c r="L399" s="477">
        <v>128.55406499999998</v>
      </c>
      <c r="M399" s="477">
        <v>103.308825</v>
      </c>
      <c r="N399" s="477">
        <v>22.287609999999997</v>
      </c>
      <c r="O399" s="477">
        <v>17.017879999999998</v>
      </c>
      <c r="P399" s="477">
        <v>103.00088500000001</v>
      </c>
      <c r="Q399" s="477">
        <v>21.967984999999999</v>
      </c>
      <c r="R399" s="477">
        <v>18.682444999999998</v>
      </c>
    </row>
    <row r="400" spans="2:18">
      <c r="B400" s="493"/>
      <c r="C400" s="545">
        <v>41091</v>
      </c>
      <c r="D400" s="546">
        <v>132.86918095238096</v>
      </c>
      <c r="E400" s="477">
        <v>200.14214285714283</v>
      </c>
      <c r="F400" s="477">
        <v>207.11762380952379</v>
      </c>
      <c r="G400" s="477">
        <v>2.401933333333333</v>
      </c>
      <c r="H400" s="477">
        <v>1.6822857142857144</v>
      </c>
      <c r="I400" s="477">
        <v>163.2979333333333</v>
      </c>
      <c r="J400" s="477">
        <v>135.95709047619044</v>
      </c>
      <c r="K400" s="477">
        <v>136.7247476190476</v>
      </c>
      <c r="L400" s="477">
        <v>130.97095714285715</v>
      </c>
      <c r="M400" s="477">
        <v>105.32429999999998</v>
      </c>
      <c r="N400" s="477">
        <v>21.953304761904761</v>
      </c>
      <c r="O400" s="477">
        <v>17.131476190476192</v>
      </c>
      <c r="P400" s="477">
        <v>105.98989999999999</v>
      </c>
      <c r="Q400" s="477">
        <v>21.901033333333334</v>
      </c>
      <c r="R400" s="477">
        <v>19.103085714285715</v>
      </c>
    </row>
    <row r="401" spans="2:18">
      <c r="B401" s="493"/>
      <c r="C401" s="545">
        <v>41122</v>
      </c>
      <c r="D401" s="546">
        <v>132.07084761904764</v>
      </c>
      <c r="E401" s="477">
        <v>199.7588095238095</v>
      </c>
      <c r="F401" s="477">
        <v>207.38617142857143</v>
      </c>
      <c r="G401" s="477">
        <v>2.380638095238095</v>
      </c>
      <c r="H401" s="477">
        <v>1.6780285714285714</v>
      </c>
      <c r="I401" s="477">
        <v>163.65554761904764</v>
      </c>
      <c r="J401" s="477">
        <v>136.24242857142858</v>
      </c>
      <c r="K401" s="477">
        <v>138.39687619047618</v>
      </c>
      <c r="L401" s="477">
        <v>132.96934761904762</v>
      </c>
      <c r="M401" s="477">
        <v>105.80094285714287</v>
      </c>
      <c r="N401" s="477">
        <v>21.980400000000003</v>
      </c>
      <c r="O401" s="477">
        <v>17.028114285714285</v>
      </c>
      <c r="P401" s="477">
        <v>107.05909999999999</v>
      </c>
      <c r="Q401" s="477">
        <v>22.336004761904764</v>
      </c>
      <c r="R401" s="477">
        <v>19.766561904761907</v>
      </c>
    </row>
    <row r="402" spans="2:18">
      <c r="B402" s="493"/>
      <c r="C402" s="545">
        <v>41153</v>
      </c>
      <c r="D402" s="546">
        <v>131.78463000000002</v>
      </c>
      <c r="E402" s="477">
        <v>202.58864999999997</v>
      </c>
      <c r="F402" s="477">
        <v>212.21775499999998</v>
      </c>
      <c r="G402" s="477">
        <v>2.4137649999999997</v>
      </c>
      <c r="H402" s="477">
        <v>1.6862600000000001</v>
      </c>
      <c r="I402" s="477">
        <v>169.484915</v>
      </c>
      <c r="J402" s="477">
        <v>140.21064999999999</v>
      </c>
      <c r="K402" s="477">
        <v>136.975505</v>
      </c>
      <c r="L402" s="477">
        <v>134.66992999999997</v>
      </c>
      <c r="M402" s="477">
        <v>106.98594</v>
      </c>
      <c r="N402" s="477">
        <v>22.737939999999998</v>
      </c>
      <c r="O402" s="477">
        <v>16.995274999999999</v>
      </c>
      <c r="P402" s="477">
        <v>107.74726999999999</v>
      </c>
      <c r="Q402" s="477">
        <v>22.918770000000002</v>
      </c>
      <c r="R402" s="477">
        <v>19.9651</v>
      </c>
    </row>
    <row r="403" spans="2:18">
      <c r="B403" s="493"/>
      <c r="C403" s="545">
        <v>41183</v>
      </c>
      <c r="D403" s="546">
        <v>129.11185909090909</v>
      </c>
      <c r="E403" s="477">
        <v>198.82886363636365</v>
      </c>
      <c r="F403" s="477">
        <v>207.48379545454543</v>
      </c>
      <c r="G403" s="477">
        <v>2.4407181818181818</v>
      </c>
      <c r="H403" s="477">
        <v>1.6361272727272722</v>
      </c>
      <c r="I403" s="477">
        <v>167.3830909090909</v>
      </c>
      <c r="J403" s="477">
        <v>138.34588181818182</v>
      </c>
      <c r="K403" s="477">
        <v>132.90774999999999</v>
      </c>
      <c r="L403" s="477">
        <v>130.97910909090913</v>
      </c>
      <c r="M403" s="477">
        <v>105.43131818181818</v>
      </c>
      <c r="N403" s="477">
        <v>22.442359090909097</v>
      </c>
      <c r="O403" s="477">
        <v>16.655450000000002</v>
      </c>
      <c r="P403" s="477">
        <v>105.87360454545455</v>
      </c>
      <c r="Q403" s="477">
        <v>22.608581818181822</v>
      </c>
      <c r="R403" s="477">
        <v>19.44230454545454</v>
      </c>
    </row>
    <row r="404" spans="2:18">
      <c r="B404" s="493"/>
      <c r="C404" s="545">
        <v>41214</v>
      </c>
      <c r="D404" s="546">
        <v>130.33470999999997</v>
      </c>
      <c r="E404" s="477">
        <v>199.28379999999999</v>
      </c>
      <c r="F404" s="477">
        <v>208.16747999999998</v>
      </c>
      <c r="G404" s="477">
        <v>2.3826900000000002</v>
      </c>
      <c r="H404" s="477">
        <v>1.6104500000000002</v>
      </c>
      <c r="I404" s="477">
        <v>167.28674999999998</v>
      </c>
      <c r="J404" s="477">
        <v>138.76394499999998</v>
      </c>
      <c r="K404" s="477">
        <v>135.56687500000001</v>
      </c>
      <c r="L404" s="477">
        <v>130.70891500000002</v>
      </c>
      <c r="M404" s="477">
        <v>106.53259</v>
      </c>
      <c r="N404" s="477">
        <v>22.427164999999995</v>
      </c>
      <c r="O404" s="477">
        <v>16.815929999999998</v>
      </c>
      <c r="P404" s="477">
        <v>106.75640000000001</v>
      </c>
      <c r="Q404" s="477">
        <v>22.782710000000002</v>
      </c>
      <c r="R404" s="477">
        <v>19.432020000000005</v>
      </c>
    </row>
    <row r="405" spans="2:18">
      <c r="B405" s="493"/>
      <c r="C405" s="545">
        <v>41244</v>
      </c>
      <c r="D405" s="546">
        <v>128.34619473684211</v>
      </c>
      <c r="E405" s="477">
        <v>197.59100000000001</v>
      </c>
      <c r="F405" s="477">
        <v>207.06954210526317</v>
      </c>
      <c r="G405" s="477">
        <v>2.3532368421052632</v>
      </c>
      <c r="H405" s="477">
        <v>1.5357947368421052</v>
      </c>
      <c r="I405" s="477">
        <v>168.2274157894737</v>
      </c>
      <c r="J405" s="477">
        <v>139.17248947368418</v>
      </c>
      <c r="K405" s="477">
        <v>134.33781578947367</v>
      </c>
      <c r="L405" s="477">
        <v>129.70669999999998</v>
      </c>
      <c r="M405" s="477">
        <v>105.13965789473684</v>
      </c>
      <c r="N405" s="477">
        <v>22.549463157894738</v>
      </c>
      <c r="O405" s="477">
        <v>16.560194736842103</v>
      </c>
      <c r="P405" s="477">
        <v>106.75842105263158</v>
      </c>
      <c r="Q405" s="477">
        <v>22.840926315789474</v>
      </c>
      <c r="R405" s="477">
        <v>19.416821052631587</v>
      </c>
    </row>
    <row r="406" spans="2:18" s="464" customFormat="1">
      <c r="B406" s="478">
        <v>2013</v>
      </c>
      <c r="C406" s="545">
        <v>41275</v>
      </c>
      <c r="D406" s="546">
        <v>126.85358095238094</v>
      </c>
      <c r="E406" s="477">
        <v>194.75133333333329</v>
      </c>
      <c r="F406" s="477">
        <v>202.85771904761904</v>
      </c>
      <c r="G406" s="477">
        <v>2.3394476190476192</v>
      </c>
      <c r="H406" s="477">
        <v>1.4288285714285711</v>
      </c>
      <c r="I406" s="477">
        <v>168.43978571428573</v>
      </c>
      <c r="J406" s="477">
        <v>137.15109523809522</v>
      </c>
      <c r="K406" s="477">
        <v>133.17315238095239</v>
      </c>
      <c r="L406" s="477">
        <v>127.96857142857144</v>
      </c>
      <c r="M406" s="477">
        <v>103.31986190476189</v>
      </c>
      <c r="N406" s="477">
        <v>22.573938095238095</v>
      </c>
      <c r="O406" s="477">
        <v>16.361485714285713</v>
      </c>
      <c r="P406" s="477">
        <v>106.1485</v>
      </c>
      <c r="Q406" s="477">
        <v>22.816023809523809</v>
      </c>
      <c r="R406" s="477">
        <v>19.544700000000006</v>
      </c>
    </row>
    <row r="407" spans="2:18" s="464" customFormat="1">
      <c r="B407" s="478"/>
      <c r="C407" s="545">
        <v>41306</v>
      </c>
      <c r="D407" s="546">
        <v>126.7025888888889</v>
      </c>
      <c r="E407" s="477">
        <v>193.44805555555558</v>
      </c>
      <c r="F407" s="477">
        <v>196.49652777777783</v>
      </c>
      <c r="G407" s="477">
        <v>2.3586055555555552</v>
      </c>
      <c r="H407" s="477">
        <v>1.3605722222222221</v>
      </c>
      <c r="I407" s="477">
        <v>169.28662222222221</v>
      </c>
      <c r="J407" s="477">
        <v>137.65039999999999</v>
      </c>
      <c r="K407" s="477">
        <v>130.71260000000001</v>
      </c>
      <c r="L407" s="477">
        <v>125.74334444444445</v>
      </c>
      <c r="M407" s="477">
        <v>102.31551666666667</v>
      </c>
      <c r="N407" s="477">
        <v>22.693194444444444</v>
      </c>
      <c r="O407" s="477">
        <v>16.33733333333333</v>
      </c>
      <c r="P407" s="477">
        <v>106.32801666666666</v>
      </c>
      <c r="Q407" s="477">
        <v>22.812150000000003</v>
      </c>
      <c r="R407" s="477">
        <v>19.88571111111111</v>
      </c>
    </row>
    <row r="408" spans="2:18" s="464" customFormat="1">
      <c r="B408" s="478"/>
      <c r="C408" s="545">
        <v>41334</v>
      </c>
      <c r="D408" s="546">
        <v>126.81498421052632</v>
      </c>
      <c r="E408" s="477">
        <v>190.67768421052634</v>
      </c>
      <c r="F408" s="477">
        <v>191.18062105263158</v>
      </c>
      <c r="G408" s="477">
        <v>2.3308631578947363</v>
      </c>
      <c r="H408" s="477">
        <v>1.3373526315789475</v>
      </c>
      <c r="I408" s="477">
        <v>164.57556315789472</v>
      </c>
      <c r="J408" s="477">
        <v>134.10696315789474</v>
      </c>
      <c r="K408" s="477">
        <v>130.96289473684209</v>
      </c>
      <c r="L408" s="477">
        <v>123.68598421052631</v>
      </c>
      <c r="M408" s="477">
        <v>101.71038421052633</v>
      </c>
      <c r="N408" s="477">
        <v>22.074505263157892</v>
      </c>
      <c r="O408" s="477">
        <v>16.186836842105262</v>
      </c>
      <c r="P408" s="477">
        <v>104.88488421052631</v>
      </c>
      <c r="Q408" s="477">
        <v>21.997500000000006</v>
      </c>
      <c r="R408" s="477">
        <v>19.713868421052631</v>
      </c>
    </row>
    <row r="409" spans="2:18" s="464" customFormat="1">
      <c r="B409" s="478"/>
      <c r="C409" s="545">
        <v>41365</v>
      </c>
      <c r="D409" s="546">
        <v>126.02995999999999</v>
      </c>
      <c r="E409" s="477">
        <v>189.54649999999998</v>
      </c>
      <c r="F409" s="477">
        <v>192.80153999999999</v>
      </c>
      <c r="G409" s="477">
        <v>2.3208899999999995</v>
      </c>
      <c r="H409" s="477">
        <v>1.2929899999999999</v>
      </c>
      <c r="I409" s="477">
        <v>163.94906999999998</v>
      </c>
      <c r="J409" s="477">
        <v>134.46130000000002</v>
      </c>
      <c r="K409" s="477">
        <v>130.850145</v>
      </c>
      <c r="L409" s="477">
        <v>123.73261000000002</v>
      </c>
      <c r="M409" s="477">
        <v>101.812895</v>
      </c>
      <c r="N409" s="477">
        <v>21.990304999999999</v>
      </c>
      <c r="O409" s="477">
        <v>16.234785000000002</v>
      </c>
      <c r="P409" s="477">
        <v>106.66840499999998</v>
      </c>
      <c r="Q409" s="477">
        <v>21.743935</v>
      </c>
      <c r="R409" s="477">
        <v>19.419010000000004</v>
      </c>
    </row>
    <row r="410" spans="2:18" s="464" customFormat="1">
      <c r="B410" s="478"/>
      <c r="C410" s="545">
        <v>41395</v>
      </c>
      <c r="D410" s="546">
        <v>126.30676190476193</v>
      </c>
      <c r="E410" s="477">
        <v>189.27861904761903</v>
      </c>
      <c r="F410" s="477">
        <v>193.22524285714286</v>
      </c>
      <c r="G410" s="477">
        <v>2.302519047619048</v>
      </c>
      <c r="H410" s="477">
        <v>1.2511809523809521</v>
      </c>
      <c r="I410" s="477">
        <v>163.94239999999999</v>
      </c>
      <c r="J410" s="477">
        <v>132.14633333333333</v>
      </c>
      <c r="K410" s="477">
        <v>125.2369761904762</v>
      </c>
      <c r="L410" s="477">
        <v>123.84986666666667</v>
      </c>
      <c r="M410" s="477">
        <v>101.23194285714287</v>
      </c>
      <c r="N410" s="477">
        <v>21.994966666666659</v>
      </c>
      <c r="O410" s="477">
        <v>16.273104761904758</v>
      </c>
      <c r="P410" s="477">
        <v>104.24968095238096</v>
      </c>
      <c r="Q410" s="477">
        <v>21.68704285714286</v>
      </c>
      <c r="R410" s="477">
        <v>19.129914285714285</v>
      </c>
    </row>
    <row r="411" spans="2:18" s="464" customFormat="1">
      <c r="B411" s="478"/>
      <c r="C411" s="545">
        <v>41426</v>
      </c>
      <c r="D411" s="546">
        <v>127.80649999999999</v>
      </c>
      <c r="E411" s="477">
        <v>193.50599999999997</v>
      </c>
      <c r="F411" s="477">
        <v>198.01707000000002</v>
      </c>
      <c r="G411" s="477">
        <v>2.1963699999999995</v>
      </c>
      <c r="H411" s="477">
        <v>1.3128549999999999</v>
      </c>
      <c r="I411" s="477">
        <v>168.70841999999999</v>
      </c>
      <c r="J411" s="477">
        <v>136.92522500000001</v>
      </c>
      <c r="K411" s="477">
        <v>120.57427499999999</v>
      </c>
      <c r="L411" s="477">
        <v>123.92999999999999</v>
      </c>
      <c r="M411" s="477">
        <v>101.418375</v>
      </c>
      <c r="N411" s="477">
        <v>22.621985000000002</v>
      </c>
      <c r="O411" s="477">
        <v>16.469034999999998</v>
      </c>
      <c r="P411" s="477">
        <v>101.03243000000001</v>
      </c>
      <c r="Q411" s="477">
        <v>21.813215000000003</v>
      </c>
      <c r="R411" s="477">
        <v>19.435814999999998</v>
      </c>
    </row>
    <row r="412" spans="2:18" s="464" customFormat="1">
      <c r="B412" s="478"/>
      <c r="C412" s="545">
        <v>41456</v>
      </c>
      <c r="D412" s="546">
        <v>131.00989999999999</v>
      </c>
      <c r="E412" s="477">
        <v>196.96645454545458</v>
      </c>
      <c r="F412" s="477">
        <v>198.91614090909096</v>
      </c>
      <c r="G412" s="477">
        <v>2.1932318181818178</v>
      </c>
      <c r="H412" s="477">
        <v>1.3150863636363634</v>
      </c>
      <c r="I412" s="477">
        <v>171.37810000000002</v>
      </c>
      <c r="J412" s="477">
        <v>138.63472272727273</v>
      </c>
      <c r="K412" s="477">
        <v>120.16830909090912</v>
      </c>
      <c r="L412" s="477">
        <v>125.82185909090909</v>
      </c>
      <c r="M412" s="477">
        <v>103.32003181818185</v>
      </c>
      <c r="N412" s="477">
        <v>22.978750000000002</v>
      </c>
      <c r="O412" s="477">
        <v>16.890336363636365</v>
      </c>
      <c r="P412" s="477">
        <v>103.30254999999998</v>
      </c>
      <c r="Q412" s="477">
        <v>21.718040909090906</v>
      </c>
      <c r="R412" s="477">
        <v>19.785086363636363</v>
      </c>
    </row>
    <row r="413" spans="2:18" s="464" customFormat="1">
      <c r="B413" s="478"/>
      <c r="C413" s="545">
        <v>41487</v>
      </c>
      <c r="D413" s="546">
        <v>131.82826</v>
      </c>
      <c r="E413" s="477">
        <v>200.11664999999999</v>
      </c>
      <c r="F413" s="477">
        <v>204.00821999999999</v>
      </c>
      <c r="G413" s="477">
        <v>2.1062049999999997</v>
      </c>
      <c r="H413" s="477">
        <v>1.3471300000000002</v>
      </c>
      <c r="I413" s="477">
        <v>175.56766000000002</v>
      </c>
      <c r="J413" s="477">
        <v>142.38205500000001</v>
      </c>
      <c r="K413" s="477">
        <v>118.98089499999996</v>
      </c>
      <c r="L413" s="477">
        <v>126.72878</v>
      </c>
      <c r="M413" s="477">
        <v>103.561745</v>
      </c>
      <c r="N413" s="477">
        <v>23.540294999999997</v>
      </c>
      <c r="O413" s="477">
        <v>16.99783</v>
      </c>
      <c r="P413" s="477">
        <v>104.25776999999998</v>
      </c>
      <c r="Q413" s="477">
        <v>22.121345000000002</v>
      </c>
      <c r="R413" s="477">
        <v>20.189065000000006</v>
      </c>
    </row>
    <row r="414" spans="2:18" s="464" customFormat="1">
      <c r="B414" s="478"/>
      <c r="C414" s="545">
        <v>41518</v>
      </c>
      <c r="D414" s="546">
        <v>132.468965</v>
      </c>
      <c r="E414" s="477">
        <v>201.64439999999996</v>
      </c>
      <c r="F414" s="477">
        <v>209.74503999999996</v>
      </c>
      <c r="G414" s="477">
        <v>2.0722349999999992</v>
      </c>
      <c r="H414" s="477">
        <v>1.3351900000000001</v>
      </c>
      <c r="I414" s="477">
        <v>176.68943000000007</v>
      </c>
      <c r="J414" s="477">
        <v>143.20570999999998</v>
      </c>
      <c r="K414" s="477">
        <v>122.70540000000001</v>
      </c>
      <c r="L414" s="477">
        <v>127.75505000000001</v>
      </c>
      <c r="M414" s="477">
        <v>104.77587500000001</v>
      </c>
      <c r="N414" s="477">
        <v>23.690115000000002</v>
      </c>
      <c r="O414" s="477">
        <v>17.082879999999999</v>
      </c>
      <c r="P414" s="477">
        <v>107.42578499999999</v>
      </c>
      <c r="Q414" s="477">
        <v>22.150660000000002</v>
      </c>
      <c r="R414" s="477">
        <v>20.355605000000004</v>
      </c>
    </row>
    <row r="415" spans="2:18" s="464" customFormat="1">
      <c r="B415" s="478"/>
      <c r="C415" s="545">
        <v>41548</v>
      </c>
      <c r="D415" s="546">
        <v>131.0965523809524</v>
      </c>
      <c r="E415" s="477">
        <v>201.78885714285718</v>
      </c>
      <c r="F415" s="477">
        <v>211.05854285714281</v>
      </c>
      <c r="G415" s="477">
        <v>2.1259952380952383</v>
      </c>
      <c r="H415" s="477">
        <v>1.3398476190476192</v>
      </c>
      <c r="I415" s="477">
        <v>178.83206666666669</v>
      </c>
      <c r="J415" s="477">
        <v>145.23384761904765</v>
      </c>
      <c r="K415" s="477">
        <v>124.63176666666666</v>
      </c>
      <c r="L415" s="477">
        <v>126.4920523809524</v>
      </c>
      <c r="M415" s="477">
        <v>105.3492857142857</v>
      </c>
      <c r="N415" s="477">
        <v>23.974680952380954</v>
      </c>
      <c r="O415" s="477">
        <v>16.907104761904769</v>
      </c>
      <c r="P415" s="477">
        <v>109.21775714285715</v>
      </c>
      <c r="Q415" s="477">
        <v>22.022928571428572</v>
      </c>
      <c r="R415" s="477">
        <v>20.465028571428572</v>
      </c>
    </row>
    <row r="416" spans="2:18" s="464" customFormat="1">
      <c r="B416" s="478"/>
      <c r="C416" s="545">
        <v>41579</v>
      </c>
      <c r="D416" s="546">
        <v>131.08254285714284</v>
      </c>
      <c r="E416" s="477">
        <v>200.63290476190477</v>
      </c>
      <c r="F416" s="477">
        <v>210.99655238095238</v>
      </c>
      <c r="G416" s="477">
        <v>2.0972476190476192</v>
      </c>
      <c r="H416" s="477">
        <v>1.3116333333333334</v>
      </c>
      <c r="I416" s="477">
        <v>176.89154285714289</v>
      </c>
      <c r="J416" s="477">
        <v>143.5735</v>
      </c>
      <c r="K416" s="477">
        <v>122.30597619047619</v>
      </c>
      <c r="L416" s="477">
        <v>125.05591428571428</v>
      </c>
      <c r="M416" s="477">
        <v>105.08963809523809</v>
      </c>
      <c r="N416" s="477">
        <v>23.715647619047623</v>
      </c>
      <c r="O416" s="477">
        <v>16.908490476190476</v>
      </c>
      <c r="P416" s="477">
        <v>108.3167761904762</v>
      </c>
      <c r="Q416" s="477">
        <v>21.55765238095238</v>
      </c>
      <c r="R416" s="477">
        <v>19.917804761904765</v>
      </c>
    </row>
    <row r="417" spans="2:18" s="464" customFormat="1">
      <c r="B417" s="478"/>
      <c r="C417" s="545">
        <v>41609</v>
      </c>
      <c r="D417" s="546">
        <v>130.82774000000001</v>
      </c>
      <c r="E417" s="477">
        <v>201.26589999999999</v>
      </c>
      <c r="F417" s="477">
        <v>214.33149499999999</v>
      </c>
      <c r="G417" s="477">
        <v>2.1145649999999998</v>
      </c>
      <c r="H417" s="477">
        <v>1.2643399999999998</v>
      </c>
      <c r="I417" s="477">
        <v>179.16220499999997</v>
      </c>
      <c r="J417" s="477">
        <v>146.25357500000001</v>
      </c>
      <c r="K417" s="477">
        <v>117.56098000000001</v>
      </c>
      <c r="L417" s="477">
        <v>122.93586499999999</v>
      </c>
      <c r="M417" s="477">
        <v>103.92916499999998</v>
      </c>
      <c r="N417" s="477">
        <v>24.016085000000004</v>
      </c>
      <c r="O417" s="477">
        <v>16.873094999999999</v>
      </c>
      <c r="P417" s="477">
        <v>107.54564500000001</v>
      </c>
      <c r="Q417" s="477">
        <v>21.3156</v>
      </c>
      <c r="R417" s="477">
        <v>19.998280000000001</v>
      </c>
    </row>
    <row r="418" spans="2:18" s="464" customFormat="1">
      <c r="B418" s="478">
        <v>2014</v>
      </c>
      <c r="C418" s="545">
        <v>41640</v>
      </c>
      <c r="D418" s="546">
        <v>130.72937619047622</v>
      </c>
      <c r="E418" s="477">
        <v>200.75720000000001</v>
      </c>
      <c r="F418" s="477">
        <v>215.44315238095237</v>
      </c>
      <c r="G418" s="477">
        <v>2.1048904761904761</v>
      </c>
      <c r="H418" s="477">
        <v>1.2567142857142857</v>
      </c>
      <c r="I418" s="477">
        <v>178.17324285714287</v>
      </c>
      <c r="J418" s="477">
        <v>144.71843333333331</v>
      </c>
      <c r="K418" s="477">
        <v>115.65779047619047</v>
      </c>
      <c r="L418" s="477">
        <v>119.78667142857144</v>
      </c>
      <c r="M418" s="477">
        <v>102.72074761904763</v>
      </c>
      <c r="N418" s="477">
        <v>23.880923809523807</v>
      </c>
      <c r="O418" s="477">
        <v>16.851938095238097</v>
      </c>
      <c r="P418" s="477">
        <v>107.98622857142858</v>
      </c>
      <c r="Q418" s="477">
        <v>21.250152380952379</v>
      </c>
      <c r="R418" s="477">
        <v>20.175795238095237</v>
      </c>
    </row>
    <row r="419" spans="2:18" s="464" customFormat="1">
      <c r="B419" s="478"/>
      <c r="C419" s="545">
        <v>41671</v>
      </c>
      <c r="D419" s="546">
        <v>130.82041176470585</v>
      </c>
      <c r="E419" s="477">
        <v>201.43876470588233</v>
      </c>
      <c r="F419" s="477">
        <v>216.60148235294113</v>
      </c>
      <c r="G419" s="477">
        <v>2.1022705882352946</v>
      </c>
      <c r="H419" s="477">
        <v>1.2812411764705882</v>
      </c>
      <c r="I419" s="477">
        <v>178.70673529411766</v>
      </c>
      <c r="J419" s="477">
        <v>146.26187058823527</v>
      </c>
      <c r="K419" s="477">
        <v>117.34459411764703</v>
      </c>
      <c r="L419" s="477">
        <v>118.32785294117649</v>
      </c>
      <c r="M419" s="477">
        <v>103.31358235294118</v>
      </c>
      <c r="N419" s="477">
        <v>23.948</v>
      </c>
      <c r="O419" s="477">
        <v>16.862458823529408</v>
      </c>
      <c r="P419" s="477">
        <v>108.43015294117646</v>
      </c>
      <c r="Q419" s="477">
        <v>21.368770588235293</v>
      </c>
      <c r="R419" s="477">
        <v>20.139076470588233</v>
      </c>
    </row>
    <row r="420" spans="2:18" s="464" customFormat="1">
      <c r="B420" s="478"/>
      <c r="C420" s="545">
        <v>41699</v>
      </c>
      <c r="D420" s="546">
        <v>130.62817619047621</v>
      </c>
      <c r="E420" s="477">
        <v>202.14599999999999</v>
      </c>
      <c r="F420" s="477">
        <v>217.12238571428571</v>
      </c>
      <c r="G420" s="477">
        <v>2.139785714285714</v>
      </c>
      <c r="H420" s="477">
        <v>1.2771190476190475</v>
      </c>
      <c r="I420" s="477">
        <v>180.59318571428568</v>
      </c>
      <c r="J420" s="477">
        <v>148.34950000000003</v>
      </c>
      <c r="K420" s="477">
        <v>118.5174619047619</v>
      </c>
      <c r="L420" s="477">
        <v>117.59277619047619</v>
      </c>
      <c r="M420" s="477">
        <v>103.08974285714285</v>
      </c>
      <c r="N420" s="477">
        <v>24.195495238095244</v>
      </c>
      <c r="O420" s="477">
        <v>16.830590476190473</v>
      </c>
      <c r="P420" s="477">
        <v>111.32941428571431</v>
      </c>
      <c r="Q420" s="477">
        <v>21.772747619047621</v>
      </c>
      <c r="R420" s="477">
        <v>20.375290476190475</v>
      </c>
    </row>
    <row r="421" spans="2:18" s="464" customFormat="1">
      <c r="B421" s="478"/>
      <c r="C421" s="545">
        <v>41730</v>
      </c>
      <c r="D421" s="546">
        <v>130.62219999999994</v>
      </c>
      <c r="E421" s="477">
        <v>202.21199999999999</v>
      </c>
      <c r="F421" s="477">
        <v>218.65377894736844</v>
      </c>
      <c r="G421" s="477">
        <v>2.1645578947368422</v>
      </c>
      <c r="H421" s="477">
        <v>1.2726052631578948</v>
      </c>
      <c r="I421" s="477">
        <v>180.3021947368421</v>
      </c>
      <c r="J421" s="477">
        <v>147.81952631578946</v>
      </c>
      <c r="K421" s="477">
        <v>121.54382105263157</v>
      </c>
      <c r="L421" s="477">
        <v>118.7743052631579</v>
      </c>
      <c r="M421" s="477">
        <v>104.02326842105263</v>
      </c>
      <c r="N421" s="477">
        <v>24.151352631578945</v>
      </c>
      <c r="O421" s="477">
        <v>16.844421052631578</v>
      </c>
      <c r="P421" s="477">
        <v>112.41035789473685</v>
      </c>
      <c r="Q421" s="477">
        <v>21.835047368421055</v>
      </c>
      <c r="R421" s="477">
        <v>19.966173684210528</v>
      </c>
    </row>
    <row r="422" spans="2:18" s="464" customFormat="1">
      <c r="B422" s="478"/>
      <c r="C422" s="545">
        <v>41760</v>
      </c>
      <c r="D422" s="546">
        <v>130.45497368421053</v>
      </c>
      <c r="E422" s="477">
        <v>201.80589473684211</v>
      </c>
      <c r="F422" s="477">
        <v>219.84922631578948</v>
      </c>
      <c r="G422" s="477">
        <v>2.2012263157894734</v>
      </c>
      <c r="H422" s="477">
        <v>1.2815684210526315</v>
      </c>
      <c r="I422" s="477">
        <v>179.27312631578945</v>
      </c>
      <c r="J422" s="477">
        <v>146.8753789473684</v>
      </c>
      <c r="K422" s="477">
        <v>121.32218421052633</v>
      </c>
      <c r="L422" s="477">
        <v>119.80030526315791</v>
      </c>
      <c r="M422" s="477">
        <v>104.21448421052632</v>
      </c>
      <c r="N422" s="477">
        <v>24.017694736842106</v>
      </c>
      <c r="O422" s="477">
        <v>16.827326315789474</v>
      </c>
      <c r="P422" s="477">
        <v>112.23345263157894</v>
      </c>
      <c r="Q422" s="477">
        <v>21.955873684210527</v>
      </c>
      <c r="R422" s="477">
        <v>19.845884210526311</v>
      </c>
    </row>
    <row r="423" spans="2:18" s="464" customFormat="1">
      <c r="B423" s="478"/>
      <c r="C423" s="545">
        <v>41791</v>
      </c>
      <c r="D423" s="546">
        <v>130.28733000000003</v>
      </c>
      <c r="E423" s="487">
        <v>200.81610000000006</v>
      </c>
      <c r="F423" s="477">
        <v>220.25953999999996</v>
      </c>
      <c r="G423" s="477">
        <v>2.1831900000000002</v>
      </c>
      <c r="H423" s="477">
        <v>1.2765900000000001</v>
      </c>
      <c r="I423" s="477">
        <v>177.15519499999999</v>
      </c>
      <c r="J423" s="477">
        <v>145.42318</v>
      </c>
      <c r="K423" s="477">
        <v>121.98333499999998</v>
      </c>
      <c r="L423" s="477">
        <v>120.28781499999998</v>
      </c>
      <c r="M423" s="477">
        <v>104.10489499999998</v>
      </c>
      <c r="N423" s="477">
        <v>23.752354999999994</v>
      </c>
      <c r="O423" s="477">
        <v>16.807004999999997</v>
      </c>
      <c r="P423" s="477">
        <v>112.25896</v>
      </c>
      <c r="Q423" s="477">
        <v>21.585744999999999</v>
      </c>
      <c r="R423" s="477">
        <v>19.490579999999994</v>
      </c>
    </row>
    <row r="424" spans="2:18" s="464" customFormat="1">
      <c r="B424" s="478"/>
      <c r="C424" s="545">
        <v>41821</v>
      </c>
      <c r="D424" s="546">
        <v>130.2402727272727</v>
      </c>
      <c r="E424" s="485">
        <v>200.80950000000001</v>
      </c>
      <c r="F424" s="477">
        <v>222.57152272727271</v>
      </c>
      <c r="G424" s="477">
        <v>2.171031818181818</v>
      </c>
      <c r="H424" s="477">
        <v>1.2807136363636364</v>
      </c>
      <c r="I424" s="477">
        <v>176.5405090909091</v>
      </c>
      <c r="J424" s="477">
        <v>145.28170454545452</v>
      </c>
      <c r="K424" s="477">
        <v>122.29627727272728</v>
      </c>
      <c r="L424" s="477">
        <v>121.47258636363637</v>
      </c>
      <c r="M424" s="477">
        <v>104.77260000000001</v>
      </c>
      <c r="N424" s="477">
        <v>23.675890909090903</v>
      </c>
      <c r="O424" s="477">
        <v>16.803999999999998</v>
      </c>
      <c r="P424" s="477">
        <v>113.33485454545452</v>
      </c>
      <c r="Q424" s="477">
        <v>21.035204545454544</v>
      </c>
      <c r="R424" s="477">
        <v>19.124745454545458</v>
      </c>
    </row>
    <row r="425" spans="2:18" s="464" customFormat="1">
      <c r="B425" s="478"/>
      <c r="C425" s="545">
        <v>41852</v>
      </c>
      <c r="D425" s="546">
        <v>130.18850000000006</v>
      </c>
      <c r="E425" s="485">
        <v>198.69842857142854</v>
      </c>
      <c r="F425" s="477">
        <v>217.56210476190475</v>
      </c>
      <c r="G425" s="477">
        <v>2.1410523809523809</v>
      </c>
      <c r="H425" s="477">
        <v>1.2647857142857144</v>
      </c>
      <c r="I425" s="477">
        <v>173.43713333333329</v>
      </c>
      <c r="J425" s="477">
        <v>143.10357619047622</v>
      </c>
      <c r="K425" s="477">
        <v>121.1304761904762</v>
      </c>
      <c r="L425" s="477">
        <v>119.15833809523809</v>
      </c>
      <c r="M425" s="477">
        <v>104.27808095238095</v>
      </c>
      <c r="N425" s="477">
        <v>23.263504761904759</v>
      </c>
      <c r="O425" s="477">
        <v>16.797304761904766</v>
      </c>
      <c r="P425" s="477">
        <v>109.75604761904762</v>
      </c>
      <c r="Q425" s="477">
        <v>20.995571428571431</v>
      </c>
      <c r="R425" s="477">
        <v>18.874166666666671</v>
      </c>
    </row>
    <row r="426" spans="2:18" s="464" customFormat="1">
      <c r="B426" s="478"/>
      <c r="C426" s="545">
        <v>41883</v>
      </c>
      <c r="D426" s="546">
        <v>130.26052380952382</v>
      </c>
      <c r="E426" s="485">
        <v>195.38476190476186</v>
      </c>
      <c r="F426" s="477">
        <v>212.65074285714286</v>
      </c>
      <c r="G426" s="477">
        <v>2.1417238095238096</v>
      </c>
      <c r="H426" s="477">
        <v>1.2142952380952383</v>
      </c>
      <c r="I426" s="477">
        <v>168.23061428571432</v>
      </c>
      <c r="J426" s="477">
        <v>139.27590000000001</v>
      </c>
      <c r="K426" s="477">
        <v>117.92045714285716</v>
      </c>
      <c r="L426" s="477">
        <v>118.38375238095237</v>
      </c>
      <c r="M426" s="477">
        <v>103.13019999999999</v>
      </c>
      <c r="N426" s="477">
        <v>22.591942857142858</v>
      </c>
      <c r="O426" s="477">
        <v>16.803057142857138</v>
      </c>
      <c r="P426" s="477">
        <v>106.09610952380952</v>
      </c>
      <c r="Q426" s="477">
        <v>20.548990476190479</v>
      </c>
      <c r="R426" s="477">
        <v>18.295047619047619</v>
      </c>
    </row>
    <row r="427" spans="2:18" s="464" customFormat="1">
      <c r="B427" s="478"/>
      <c r="C427" s="545">
        <v>41913</v>
      </c>
      <c r="D427" s="546">
        <v>130.59949999999998</v>
      </c>
      <c r="E427" s="485">
        <v>194.15055000000004</v>
      </c>
      <c r="F427" s="477">
        <v>210.07637</v>
      </c>
      <c r="G427" s="477">
        <v>2.1299600000000001</v>
      </c>
      <c r="H427" s="477">
        <v>1.2103600000000001</v>
      </c>
      <c r="I427" s="477">
        <v>165.77445499999999</v>
      </c>
      <c r="J427" s="477">
        <v>137.25976999999997</v>
      </c>
      <c r="K427" s="477">
        <v>114.681005</v>
      </c>
      <c r="L427" s="477">
        <v>116.48180500000001</v>
      </c>
      <c r="M427" s="477">
        <v>102.55120500000001</v>
      </c>
      <c r="N427" s="477">
        <v>22.267169999999997</v>
      </c>
      <c r="O427" s="477">
        <v>16.834330000000001</v>
      </c>
      <c r="P427" s="477">
        <v>102.873245</v>
      </c>
      <c r="Q427" s="477">
        <v>19.961665</v>
      </c>
      <c r="R427" s="477">
        <v>18.064404999999997</v>
      </c>
    </row>
    <row r="428" spans="2:18" s="464" customFormat="1">
      <c r="B428" s="478"/>
      <c r="C428" s="545">
        <v>41944</v>
      </c>
      <c r="D428" s="546">
        <v>130.93755789473687</v>
      </c>
      <c r="E428" s="485">
        <v>192.00321052631577</v>
      </c>
      <c r="F428" s="477">
        <v>206.63807894736843</v>
      </c>
      <c r="G428" s="477">
        <v>2.1248</v>
      </c>
      <c r="H428" s="477">
        <v>1.1283684210526317</v>
      </c>
      <c r="I428" s="477">
        <v>163.41044210526317</v>
      </c>
      <c r="J428" s="477">
        <v>135.85677368421051</v>
      </c>
      <c r="K428" s="477">
        <v>113.37073684210526</v>
      </c>
      <c r="L428" s="477">
        <v>115.65474210526315</v>
      </c>
      <c r="M428" s="477">
        <v>101.09517368421052</v>
      </c>
      <c r="N428" s="477">
        <v>21.959073684210527</v>
      </c>
      <c r="O428" s="477">
        <v>16.885457894736842</v>
      </c>
      <c r="P428" s="477">
        <v>102.65709473684211</v>
      </c>
      <c r="Q428" s="477">
        <v>19.239863157894735</v>
      </c>
      <c r="R428" s="477">
        <v>17.663373684210526</v>
      </c>
    </row>
    <row r="429" spans="2:18" s="464" customFormat="1">
      <c r="B429" s="478"/>
      <c r="C429" s="545">
        <v>41974</v>
      </c>
      <c r="D429" s="546">
        <v>131.02158181818183</v>
      </c>
      <c r="E429" s="485">
        <v>190.83190909090908</v>
      </c>
      <c r="F429" s="477">
        <v>204.84923181818183</v>
      </c>
      <c r="G429" s="477">
        <v>2.0916545454545457</v>
      </c>
      <c r="H429" s="477">
        <v>1.0975999999999999</v>
      </c>
      <c r="I429" s="477">
        <v>161.51322272727273</v>
      </c>
      <c r="J429" s="477">
        <v>134.31665454545455</v>
      </c>
      <c r="K429" s="477">
        <v>108.11633181818183</v>
      </c>
      <c r="L429" s="477">
        <v>113.63531818181819</v>
      </c>
      <c r="M429" s="477">
        <v>99.618318181818182</v>
      </c>
      <c r="N429" s="477">
        <v>21.706695454545454</v>
      </c>
      <c r="O429" s="477">
        <v>16.893259090909087</v>
      </c>
      <c r="P429" s="477">
        <v>101.63053636363638</v>
      </c>
      <c r="Q429" s="477">
        <v>18.00785909090909</v>
      </c>
      <c r="R429" s="477">
        <v>17.174881818181824</v>
      </c>
    </row>
    <row r="430" spans="2:18" s="464" customFormat="1">
      <c r="B430" s="478">
        <v>2015</v>
      </c>
      <c r="C430" s="545">
        <v>42005</v>
      </c>
      <c r="D430" s="546">
        <v>131.55075263157892</v>
      </c>
      <c r="E430" s="474">
        <v>187.05457894736847</v>
      </c>
      <c r="F430" s="477">
        <v>199.58502631578949</v>
      </c>
      <c r="G430" s="477">
        <v>2.1158052631578945</v>
      </c>
      <c r="H430" s="477">
        <v>1.1106</v>
      </c>
      <c r="I430" s="477">
        <v>152.83602631578947</v>
      </c>
      <c r="J430" s="477">
        <v>141.17620526315787</v>
      </c>
      <c r="K430" s="477">
        <v>106.30554736842105</v>
      </c>
      <c r="L430" s="477">
        <v>108.95747368421053</v>
      </c>
      <c r="M430" s="477">
        <v>98.367363157894744</v>
      </c>
      <c r="N430" s="477">
        <v>20.56208947368421</v>
      </c>
      <c r="O430" s="477">
        <v>16.967289473684211</v>
      </c>
      <c r="P430" s="477">
        <v>100.60848947368422</v>
      </c>
      <c r="Q430" s="477">
        <v>17.149442105263159</v>
      </c>
      <c r="R430" s="477">
        <v>16.241563157894735</v>
      </c>
    </row>
    <row r="431" spans="2:18" s="464" customFormat="1">
      <c r="B431" s="478"/>
      <c r="C431" s="545">
        <v>42036</v>
      </c>
      <c r="D431" s="546">
        <v>132.7292823529412</v>
      </c>
      <c r="E431" s="474">
        <v>187.44111764705889</v>
      </c>
      <c r="F431" s="477">
        <v>203.6902294117647</v>
      </c>
      <c r="G431" s="477">
        <v>2.1374529411764702</v>
      </c>
      <c r="H431" s="477">
        <v>1.1180823529411765</v>
      </c>
      <c r="I431" s="477">
        <v>150.76141764705883</v>
      </c>
      <c r="J431" s="477">
        <v>141.91383529411763</v>
      </c>
      <c r="K431" s="477">
        <v>103.4618294117647</v>
      </c>
      <c r="L431" s="477">
        <v>106.0873882352941</v>
      </c>
      <c r="M431" s="477">
        <v>97.942923529411772</v>
      </c>
      <c r="N431" s="477">
        <v>20.237511764705882</v>
      </c>
      <c r="O431" s="477">
        <v>17.114888235294117</v>
      </c>
      <c r="P431" s="477">
        <v>99.01161176470589</v>
      </c>
      <c r="Q431" s="477">
        <v>17.486417647058822</v>
      </c>
      <c r="R431" s="477">
        <v>15.884929411764704</v>
      </c>
    </row>
    <row r="432" spans="2:18" s="464" customFormat="1">
      <c r="B432" s="478"/>
      <c r="C432" s="545">
        <v>42064</v>
      </c>
      <c r="D432" s="546">
        <v>132.89895238095241</v>
      </c>
      <c r="E432" s="474">
        <v>184.00347619047616</v>
      </c>
      <c r="F432" s="477">
        <v>199.07441904761905</v>
      </c>
      <c r="G432" s="477">
        <v>2.1264142857142856</v>
      </c>
      <c r="H432" s="477">
        <v>1.1037142857142856</v>
      </c>
      <c r="I432" s="477">
        <v>143.96088571428572</v>
      </c>
      <c r="J432" s="477">
        <v>135.62917619047622</v>
      </c>
      <c r="K432" s="477">
        <v>102.70431904761905</v>
      </c>
      <c r="L432" s="477">
        <v>105.32974285714285</v>
      </c>
      <c r="M432" s="477">
        <v>96.513242857142842</v>
      </c>
      <c r="N432" s="477">
        <v>19.303857142857144</v>
      </c>
      <c r="O432" s="477">
        <v>17.130490476190477</v>
      </c>
      <c r="P432" s="477">
        <v>99.194519047619039</v>
      </c>
      <c r="Q432" s="477">
        <v>16.651480952380957</v>
      </c>
      <c r="R432" s="477">
        <v>15.564057142857145</v>
      </c>
    </row>
    <row r="433" spans="2:18" s="464" customFormat="1">
      <c r="B433" s="478"/>
      <c r="C433" s="545">
        <v>42095</v>
      </c>
      <c r="D433" s="546">
        <v>132.89925789473688</v>
      </c>
      <c r="E433" s="474">
        <v>184.07315789473685</v>
      </c>
      <c r="F433" s="477">
        <v>199.10758947368421</v>
      </c>
      <c r="G433" s="477">
        <v>2.1198315789473683</v>
      </c>
      <c r="H433" s="477">
        <v>1.1126368421052633</v>
      </c>
      <c r="I433" s="477">
        <v>143.77077894736843</v>
      </c>
      <c r="J433" s="477">
        <v>138.474452631579</v>
      </c>
      <c r="K433" s="477">
        <v>102.87137368421051</v>
      </c>
      <c r="L433" s="477">
        <v>107.83384736842108</v>
      </c>
      <c r="M433" s="477">
        <v>98.577147368421052</v>
      </c>
      <c r="N433" s="477">
        <v>19.246326315789474</v>
      </c>
      <c r="O433" s="477">
        <v>17.145847368421052</v>
      </c>
      <c r="P433" s="477">
        <v>100.89677368421052</v>
      </c>
      <c r="Q433" s="477">
        <v>16.873978947368418</v>
      </c>
      <c r="R433" s="477">
        <v>15.401142105263157</v>
      </c>
    </row>
    <row r="434" spans="2:18" s="464" customFormat="1">
      <c r="B434" s="478"/>
      <c r="C434" s="545">
        <v>42125</v>
      </c>
      <c r="D434" s="546">
        <v>133.49602631578949</v>
      </c>
      <c r="E434" s="474">
        <v>187.52789473684211</v>
      </c>
      <c r="F434" s="477">
        <v>206.77180526315794</v>
      </c>
      <c r="G434" s="477">
        <v>2.0934368421052629</v>
      </c>
      <c r="H434" s="477">
        <v>1.1054894736842105</v>
      </c>
      <c r="I434" s="477">
        <v>148.95122631578946</v>
      </c>
      <c r="J434" s="477">
        <v>143.22231052631579</v>
      </c>
      <c r="K434" s="477">
        <v>105.4687947368421</v>
      </c>
      <c r="L434" s="477">
        <v>109.71697368421053</v>
      </c>
      <c r="M434" s="477">
        <v>100.02843157894736</v>
      </c>
      <c r="N434" s="477">
        <v>19.965105263157891</v>
      </c>
      <c r="O434" s="477">
        <v>17.2192052631579</v>
      </c>
      <c r="P434" s="477">
        <v>98.489494736842104</v>
      </c>
      <c r="Q434" s="477">
        <v>17.694394736842106</v>
      </c>
      <c r="R434" s="477">
        <v>16.017689473684211</v>
      </c>
    </row>
    <row r="435" spans="2:18" s="464" customFormat="1">
      <c r="B435" s="478"/>
      <c r="C435" s="545">
        <v>42156</v>
      </c>
      <c r="D435" s="546">
        <v>133.8952238095238</v>
      </c>
      <c r="E435" s="474">
        <v>188.16795238095239</v>
      </c>
      <c r="F435" s="477">
        <v>208.59116190476192</v>
      </c>
      <c r="G435" s="477">
        <v>2.0967047619047614</v>
      </c>
      <c r="H435" s="477">
        <v>1.0826142857142855</v>
      </c>
      <c r="I435" s="477">
        <v>150.32297142857144</v>
      </c>
      <c r="J435" s="477">
        <v>143.77563809523812</v>
      </c>
      <c r="K435" s="477">
        <v>103.37436666666666</v>
      </c>
      <c r="L435" s="477">
        <v>108.4095333333333</v>
      </c>
      <c r="M435" s="477">
        <v>99.520852380952377</v>
      </c>
      <c r="N435" s="477">
        <v>20.149890476190475</v>
      </c>
      <c r="O435" s="477">
        <v>17.271061904761901</v>
      </c>
      <c r="P435" s="477">
        <v>93.597671428571431</v>
      </c>
      <c r="Q435" s="477">
        <v>17.163885714285712</v>
      </c>
      <c r="R435" s="477">
        <v>16.206961904761908</v>
      </c>
    </row>
    <row r="436" spans="2:18" s="464" customFormat="1">
      <c r="B436" s="478"/>
      <c r="C436" s="545">
        <v>42186</v>
      </c>
      <c r="D436" s="546">
        <v>133.68600454545452</v>
      </c>
      <c r="E436" s="474">
        <v>186.6851818181818</v>
      </c>
      <c r="F436" s="477">
        <v>208.0366318181818</v>
      </c>
      <c r="G436" s="477">
        <v>2.1012681818181815</v>
      </c>
      <c r="H436" s="477">
        <v>1.0848772727272726</v>
      </c>
      <c r="I436" s="477">
        <v>146.80577272727271</v>
      </c>
      <c r="J436" s="477">
        <v>140.45324090909091</v>
      </c>
      <c r="K436" s="477">
        <v>99.301518181818167</v>
      </c>
      <c r="L436" s="477">
        <v>104.32263636363632</v>
      </c>
      <c r="M436" s="477">
        <v>98.289618181818156</v>
      </c>
      <c r="N436" s="477">
        <v>19.722963636363637</v>
      </c>
      <c r="O436" s="477">
        <v>17.246218181818179</v>
      </c>
      <c r="P436" s="477">
        <v>89.035168181818193</v>
      </c>
      <c r="Q436" s="477">
        <v>16.477522727272728</v>
      </c>
      <c r="R436" s="477">
        <v>15.707759090909088</v>
      </c>
    </row>
    <row r="437" spans="2:18" s="464" customFormat="1">
      <c r="B437" s="478"/>
      <c r="C437" s="545">
        <v>42217</v>
      </c>
      <c r="D437" s="546">
        <v>133.88293333333337</v>
      </c>
      <c r="E437" s="474">
        <v>187.76290476190476</v>
      </c>
      <c r="F437" s="477">
        <v>208.77349047619049</v>
      </c>
      <c r="G437" s="477">
        <v>2.0594428571428574</v>
      </c>
      <c r="H437" s="477">
        <v>1.0865</v>
      </c>
      <c r="I437" s="477">
        <v>149.08387619047622</v>
      </c>
      <c r="J437" s="477">
        <v>138.26721428571429</v>
      </c>
      <c r="K437" s="477">
        <v>97.681833333333302</v>
      </c>
      <c r="L437" s="477">
        <v>101.82575714285716</v>
      </c>
      <c r="M437" s="477">
        <v>95.759433333333334</v>
      </c>
      <c r="N437" s="477">
        <v>19.974157142857138</v>
      </c>
      <c r="O437" s="477">
        <v>17.268738095238099</v>
      </c>
      <c r="P437" s="477">
        <v>87.683204761904747</v>
      </c>
      <c r="Q437" s="477">
        <v>16.231909523809527</v>
      </c>
      <c r="R437" s="477">
        <v>15.65712857142857</v>
      </c>
    </row>
    <row r="438" spans="2:18" s="464" customFormat="1">
      <c r="B438" s="490"/>
      <c r="C438" s="545">
        <v>42248</v>
      </c>
      <c r="D438" s="547">
        <v>138.87692857142861</v>
      </c>
      <c r="E438" s="488">
        <v>195.02828571428577</v>
      </c>
      <c r="F438" s="487">
        <v>213.19595238095238</v>
      </c>
      <c r="G438" s="487">
        <v>2.0954666666666668</v>
      </c>
      <c r="H438" s="487">
        <v>1.1561047619047622</v>
      </c>
      <c r="I438" s="487">
        <v>156.10947619047616</v>
      </c>
      <c r="J438" s="487">
        <v>142.98464761904762</v>
      </c>
      <c r="K438" s="487">
        <v>98.048038095238098</v>
      </c>
      <c r="L438" s="487">
        <v>104.46758095238094</v>
      </c>
      <c r="M438" s="487">
        <v>98.168052380952389</v>
      </c>
      <c r="N438" s="487">
        <v>20.922957142857143</v>
      </c>
      <c r="O438" s="487">
        <v>17.097385714285714</v>
      </c>
      <c r="P438" s="487">
        <v>83.912599999999998</v>
      </c>
      <c r="Q438" s="487">
        <v>16.796849999999999</v>
      </c>
      <c r="R438" s="487">
        <v>16.604014285714282</v>
      </c>
    </row>
    <row r="439" spans="2:18" s="484" customFormat="1">
      <c r="B439" s="486"/>
      <c r="C439" s="545">
        <v>42278</v>
      </c>
      <c r="D439" s="548">
        <v>140.89449999999999</v>
      </c>
      <c r="E439" s="474">
        <v>198.20190476190476</v>
      </c>
      <c r="F439" s="485">
        <v>215.92829047619051</v>
      </c>
      <c r="G439" s="485">
        <v>2.1654952380952386</v>
      </c>
      <c r="H439" s="485">
        <v>1.1736333333333333</v>
      </c>
      <c r="I439" s="485">
        <v>158.37172857142855</v>
      </c>
      <c r="J439" s="485">
        <v>145.52354761904766</v>
      </c>
      <c r="K439" s="485">
        <v>101.4590761904762</v>
      </c>
      <c r="L439" s="485">
        <v>107.78368095238095</v>
      </c>
      <c r="M439" s="485">
        <v>100.48795714285714</v>
      </c>
      <c r="N439" s="485">
        <v>21.228095238095239</v>
      </c>
      <c r="O439" s="485">
        <v>19.077085714285715</v>
      </c>
      <c r="P439" s="485">
        <v>94.035476190476203</v>
      </c>
      <c r="Q439" s="485">
        <v>17.046590476190474</v>
      </c>
      <c r="R439" s="485">
        <v>16.939271428571427</v>
      </c>
    </row>
    <row r="440" spans="2:18" s="484" customFormat="1">
      <c r="B440" s="486"/>
      <c r="C440" s="545">
        <v>42309</v>
      </c>
      <c r="D440" s="548">
        <v>142.02476315789471</v>
      </c>
      <c r="E440" s="474">
        <v>196.27673684210529</v>
      </c>
      <c r="F440" s="485">
        <v>216.22926842105264</v>
      </c>
      <c r="G440" s="485">
        <v>2.1500999999999997</v>
      </c>
      <c r="H440" s="485">
        <v>1.1597368421052632</v>
      </c>
      <c r="I440" s="485">
        <v>152.71171052631576</v>
      </c>
      <c r="J440" s="485">
        <v>140.92893684210526</v>
      </c>
      <c r="K440" s="485">
        <v>101.56942631578947</v>
      </c>
      <c r="L440" s="485">
        <v>107.15179473684211</v>
      </c>
      <c r="M440" s="485">
        <v>100.52829999999999</v>
      </c>
      <c r="N440" s="485">
        <v>20.470889473684213</v>
      </c>
      <c r="O440" s="485">
        <v>18.32324736842105</v>
      </c>
      <c r="P440" s="485">
        <v>93.33252631578948</v>
      </c>
      <c r="Q440" s="485">
        <v>16.460147368421048</v>
      </c>
      <c r="R440" s="485">
        <v>16.37597894736842</v>
      </c>
    </row>
    <row r="441" spans="2:18" s="484" customFormat="1">
      <c r="B441" s="486"/>
      <c r="C441" s="545">
        <v>42339</v>
      </c>
      <c r="D441" s="548">
        <v>143.44832857142853</v>
      </c>
      <c r="E441" s="474">
        <v>198.7372380952381</v>
      </c>
      <c r="F441" s="485">
        <v>215.20960952380955</v>
      </c>
      <c r="G441" s="485">
        <v>2.153971428571428</v>
      </c>
      <c r="H441" s="485">
        <v>1.1774809523809526</v>
      </c>
      <c r="I441" s="485">
        <v>156.00951428571429</v>
      </c>
      <c r="J441" s="485">
        <v>144.07058095238094</v>
      </c>
      <c r="K441" s="485">
        <v>103.98714285714286</v>
      </c>
      <c r="L441" s="485">
        <v>104.71053809523809</v>
      </c>
      <c r="M441" s="485">
        <v>101.85811904761903</v>
      </c>
      <c r="N441" s="485">
        <v>20.909876190476194</v>
      </c>
      <c r="O441" s="485">
        <v>18.506509523809523</v>
      </c>
      <c r="P441" s="485">
        <v>96.654042857142869</v>
      </c>
      <c r="Q441" s="485">
        <v>16.509999999999998</v>
      </c>
      <c r="R441" s="485">
        <v>16.860261904761909</v>
      </c>
    </row>
    <row r="442" spans="2:18" s="464" customFormat="1">
      <c r="B442" s="478">
        <v>2016</v>
      </c>
      <c r="C442" s="545">
        <v>42370</v>
      </c>
      <c r="D442" s="546">
        <v>143.94025499999998</v>
      </c>
      <c r="E442" s="474">
        <v>198.94284999999999</v>
      </c>
      <c r="F442" s="477">
        <v>207.69230499999995</v>
      </c>
      <c r="G442" s="477">
        <v>2.140085</v>
      </c>
      <c r="H442" s="477">
        <v>1.2175300000000002</v>
      </c>
      <c r="I442" s="477">
        <v>156.36672499999997</v>
      </c>
      <c r="J442" s="477">
        <v>143.07574</v>
      </c>
      <c r="K442" s="477">
        <v>101.16837999999998</v>
      </c>
      <c r="L442" s="477">
        <v>101.40842499999999</v>
      </c>
      <c r="M442" s="477">
        <v>100.50507500000001</v>
      </c>
      <c r="N442" s="477">
        <v>20.954690000000003</v>
      </c>
      <c r="O442" s="477">
        <v>18.506259999999997</v>
      </c>
      <c r="P442" s="477">
        <v>94.320835000000017</v>
      </c>
      <c r="Q442" s="477">
        <v>16.305014999999997</v>
      </c>
      <c r="R442" s="477">
        <v>16.863395000000001</v>
      </c>
    </row>
    <row r="443" spans="2:18" s="464" customFormat="1">
      <c r="B443" s="476"/>
      <c r="C443" s="545">
        <v>42401</v>
      </c>
      <c r="D443" s="549">
        <v>143.92836315789472</v>
      </c>
      <c r="E443" s="474">
        <v>200.62921052631577</v>
      </c>
      <c r="F443" s="474">
        <v>205.92103157894735</v>
      </c>
      <c r="G443" s="474">
        <v>2.1089789473684211</v>
      </c>
      <c r="H443" s="474">
        <v>1.2540052631578946</v>
      </c>
      <c r="I443" s="474">
        <v>159.81289473684208</v>
      </c>
      <c r="J443" s="474">
        <v>145.08340526315791</v>
      </c>
      <c r="K443" s="474">
        <v>102.56293157894737</v>
      </c>
      <c r="L443" s="474">
        <v>104.15877368421052</v>
      </c>
      <c r="M443" s="474">
        <v>102.4124894736842</v>
      </c>
      <c r="N443" s="474">
        <v>21.440884210526313</v>
      </c>
      <c r="O443" s="474">
        <v>18.495084210526318</v>
      </c>
      <c r="P443" s="474">
        <v>95.474978947368413</v>
      </c>
      <c r="Q443" s="474">
        <v>16.744700000000002</v>
      </c>
      <c r="R443" s="474">
        <v>16.986068421052632</v>
      </c>
    </row>
    <row r="444" spans="2:18" s="464" customFormat="1">
      <c r="B444" s="476"/>
      <c r="C444" s="545">
        <v>42430</v>
      </c>
      <c r="D444" s="549">
        <v>143.95937500000002</v>
      </c>
      <c r="E444" s="474">
        <v>200.85415</v>
      </c>
      <c r="F444" s="474">
        <v>204.738765</v>
      </c>
      <c r="G444" s="474">
        <v>2.1467249999999996</v>
      </c>
      <c r="H444" s="474">
        <v>1.2744800000000001</v>
      </c>
      <c r="I444" s="474">
        <v>159.99410500000002</v>
      </c>
      <c r="J444" s="474">
        <v>146.43092500000003</v>
      </c>
      <c r="K444" s="474">
        <v>107.74552999999999</v>
      </c>
      <c r="L444" s="474">
        <v>108.681405</v>
      </c>
      <c r="M444" s="474">
        <v>104.69129000000001</v>
      </c>
      <c r="N444" s="474">
        <v>21.454474999999999</v>
      </c>
      <c r="O444" s="474">
        <v>18.545880000000007</v>
      </c>
      <c r="P444" s="474">
        <v>96.823290000000014</v>
      </c>
      <c r="Q444" s="474">
        <v>16.954574999999998</v>
      </c>
      <c r="R444" s="474">
        <v>17.222894999999998</v>
      </c>
    </row>
    <row r="445" spans="2:18" s="464" customFormat="1">
      <c r="B445" s="476"/>
      <c r="C445" s="545">
        <v>42461</v>
      </c>
      <c r="D445" s="549">
        <v>143.90013333333337</v>
      </c>
      <c r="E445" s="474">
        <v>202.78199999999998</v>
      </c>
      <c r="F445" s="474">
        <v>205.91189444444439</v>
      </c>
      <c r="G445" s="474">
        <v>2.1644111111111113</v>
      </c>
      <c r="H445" s="474">
        <v>1.3107444444444443</v>
      </c>
      <c r="I445" s="474">
        <v>163.23033333333331</v>
      </c>
      <c r="J445" s="474">
        <v>149.31072777777777</v>
      </c>
      <c r="K445" s="474">
        <v>110.13996666666665</v>
      </c>
      <c r="L445" s="474">
        <v>111.95442777777777</v>
      </c>
      <c r="M445" s="474">
        <v>106.5669111111111</v>
      </c>
      <c r="N445" s="474">
        <v>21.930400000000002</v>
      </c>
      <c r="O445" s="474">
        <v>18.552066666666668</v>
      </c>
      <c r="P445" s="474">
        <v>99.061655555555546</v>
      </c>
      <c r="Q445" s="474">
        <v>17.470700000000001</v>
      </c>
      <c r="R445" s="474">
        <v>17.711538888888889</v>
      </c>
    </row>
    <row r="446" spans="2:18" s="464" customFormat="1">
      <c r="B446" s="476"/>
      <c r="C446" s="545">
        <v>42491</v>
      </c>
      <c r="D446" s="549">
        <v>145.65021999999999</v>
      </c>
      <c r="E446" s="474">
        <v>205.46615000000003</v>
      </c>
      <c r="F446" s="474">
        <v>211.64115999999996</v>
      </c>
      <c r="G446" s="474">
        <v>2.1758650000000004</v>
      </c>
      <c r="H446" s="474">
        <v>1.3377349999999999</v>
      </c>
      <c r="I446" s="474">
        <v>164.72895</v>
      </c>
      <c r="J446" s="474">
        <v>148.95555999999999</v>
      </c>
      <c r="K446" s="474">
        <v>106.606565</v>
      </c>
      <c r="L446" s="474">
        <v>112.60856499999997</v>
      </c>
      <c r="M446" s="474">
        <v>106.31514000000001</v>
      </c>
      <c r="N446" s="474">
        <v>22.145384999999997</v>
      </c>
      <c r="O446" s="474">
        <v>18.761085000000001</v>
      </c>
      <c r="P446" s="474">
        <v>94.152650000000008</v>
      </c>
      <c r="Q446" s="474">
        <v>17.704405000000001</v>
      </c>
      <c r="R446" s="474">
        <v>17.72767</v>
      </c>
    </row>
    <row r="447" spans="2:18" s="464" customFormat="1">
      <c r="B447" s="476"/>
      <c r="C447" s="545">
        <v>42522</v>
      </c>
      <c r="D447" s="549">
        <v>145.28357272727271</v>
      </c>
      <c r="E447" s="474">
        <v>204.51890909090906</v>
      </c>
      <c r="F447" s="474">
        <v>206.59968636363638</v>
      </c>
      <c r="G447" s="474">
        <v>2.160386363636364</v>
      </c>
      <c r="H447" s="474">
        <v>1.3766954545454546</v>
      </c>
      <c r="I447" s="474">
        <v>163.24205000000001</v>
      </c>
      <c r="J447" s="474">
        <v>149.75356818181817</v>
      </c>
      <c r="K447" s="474">
        <v>107.4249681818182</v>
      </c>
      <c r="L447" s="474">
        <v>112.65010000000001</v>
      </c>
      <c r="M447" s="474">
        <v>107.18876363636365</v>
      </c>
      <c r="N447" s="474">
        <v>21.949618181818177</v>
      </c>
      <c r="O447" s="474">
        <v>18.717109090909091</v>
      </c>
      <c r="P447" s="474">
        <v>102.06776363636364</v>
      </c>
      <c r="Q447" s="474">
        <v>17.484354545454547</v>
      </c>
      <c r="R447" s="474">
        <v>17.508890909090912</v>
      </c>
    </row>
    <row r="448" spans="2:18" s="464" customFormat="1">
      <c r="B448" s="473"/>
      <c r="C448" s="472"/>
      <c r="D448" s="470"/>
      <c r="E448" s="471"/>
      <c r="F448" s="470"/>
      <c r="G448" s="470"/>
      <c r="H448" s="470"/>
      <c r="I448" s="470"/>
      <c r="J448" s="470"/>
      <c r="K448" s="470"/>
      <c r="L448" s="470"/>
      <c r="M448" s="470"/>
      <c r="N448" s="470"/>
      <c r="O448" s="470"/>
      <c r="P448" s="470"/>
      <c r="Q448" s="470"/>
      <c r="R448" s="470"/>
    </row>
    <row r="449" spans="2:19">
      <c r="B449" s="469"/>
      <c r="C449" s="468"/>
      <c r="D449" s="467"/>
      <c r="E449" s="467"/>
      <c r="F449" s="467"/>
      <c r="G449" s="467"/>
      <c r="H449" s="467"/>
      <c r="I449" s="467"/>
      <c r="J449" s="467"/>
      <c r="K449" s="467"/>
      <c r="L449" s="467"/>
      <c r="M449" s="467"/>
      <c r="N449" s="467"/>
      <c r="O449" s="467"/>
      <c r="P449" s="467"/>
      <c r="Q449" s="467"/>
      <c r="R449" s="467"/>
    </row>
    <row r="450" spans="2:19">
      <c r="B450" s="446"/>
      <c r="I450" s="466"/>
      <c r="J450" s="466"/>
      <c r="K450" s="466"/>
      <c r="L450" s="466"/>
      <c r="M450" s="466"/>
      <c r="N450" s="466"/>
      <c r="O450" s="466"/>
      <c r="P450" s="466"/>
      <c r="Q450" s="466"/>
      <c r="R450" s="466"/>
    </row>
    <row r="451" spans="2:19">
      <c r="B451" s="446"/>
      <c r="I451" s="466"/>
      <c r="J451" s="466"/>
      <c r="K451" s="466"/>
      <c r="L451" s="466"/>
      <c r="M451" s="466"/>
      <c r="N451" s="466"/>
      <c r="O451" s="466"/>
      <c r="P451" s="466"/>
      <c r="Q451" s="465" t="s">
        <v>3855</v>
      </c>
    </row>
    <row r="452" spans="2:19">
      <c r="B452" s="464" t="s">
        <v>3854</v>
      </c>
      <c r="C452" s="446" t="s">
        <v>3853</v>
      </c>
    </row>
    <row r="453" spans="2:19">
      <c r="C453" s="446" t="s">
        <v>3852</v>
      </c>
    </row>
    <row r="454" spans="2:19">
      <c r="C454" s="459" t="s">
        <v>3851</v>
      </c>
      <c r="D454" s="449"/>
      <c r="E454" s="459"/>
      <c r="F454" s="449"/>
      <c r="G454" s="459"/>
      <c r="H454" s="459"/>
      <c r="I454" s="459"/>
      <c r="J454" s="459"/>
      <c r="K454" s="459"/>
      <c r="L454" s="459"/>
      <c r="M454" s="459"/>
      <c r="N454" s="459"/>
      <c r="O454" s="459"/>
      <c r="P454" s="459"/>
      <c r="Q454" s="459"/>
      <c r="R454" s="459"/>
    </row>
    <row r="455" spans="2:19" ht="13.8" thickBot="1">
      <c r="B455" s="446"/>
      <c r="D455" s="449"/>
      <c r="E455" s="459"/>
      <c r="F455" s="449"/>
      <c r="G455" s="459"/>
      <c r="H455" s="459"/>
      <c r="I455" s="459"/>
      <c r="J455" s="459"/>
      <c r="K455" s="459"/>
      <c r="L455" s="459"/>
      <c r="M455" s="459"/>
      <c r="N455" s="459"/>
      <c r="O455" s="459"/>
      <c r="P455" s="459"/>
      <c r="Q455" s="459"/>
      <c r="R455" s="459"/>
    </row>
    <row r="456" spans="2:19">
      <c r="B456" s="459" t="s">
        <v>3850</v>
      </c>
      <c r="C456" s="463" t="s">
        <v>3849</v>
      </c>
      <c r="D456" s="461"/>
      <c r="E456" s="462"/>
      <c r="F456" s="461"/>
      <c r="G456" s="461"/>
      <c r="H456" s="461"/>
      <c r="I456" s="460"/>
      <c r="J456" s="459"/>
      <c r="K456" s="459"/>
      <c r="L456" s="459"/>
      <c r="M456" s="459"/>
      <c r="N456" s="459"/>
      <c r="O456" s="459"/>
      <c r="P456" s="459"/>
      <c r="Q456" s="459"/>
      <c r="R456" s="459"/>
    </row>
    <row r="457" spans="2:19">
      <c r="C457" s="455" t="s">
        <v>3848</v>
      </c>
      <c r="D457" s="456"/>
      <c r="E457" s="448" t="s">
        <v>3847</v>
      </c>
      <c r="F457" s="456"/>
      <c r="G457" s="456"/>
      <c r="H457" s="456"/>
      <c r="I457" s="454"/>
      <c r="S457" s="449"/>
    </row>
    <row r="458" spans="2:19">
      <c r="B458" s="446"/>
      <c r="C458" s="455" t="s">
        <v>3817</v>
      </c>
      <c r="E458" s="448" t="s">
        <v>3846</v>
      </c>
      <c r="F458" s="456"/>
      <c r="I458" s="454"/>
      <c r="S458" s="449"/>
    </row>
    <row r="459" spans="2:19">
      <c r="B459" s="446"/>
      <c r="C459" s="455" t="s">
        <v>3845</v>
      </c>
      <c r="E459" s="448" t="s">
        <v>3844</v>
      </c>
      <c r="F459" s="456"/>
      <c r="I459" s="454"/>
      <c r="S459" s="449"/>
    </row>
    <row r="460" spans="2:19">
      <c r="B460" s="446"/>
      <c r="C460" s="458" t="s">
        <v>3843</v>
      </c>
      <c r="E460" s="448" t="s">
        <v>3842</v>
      </c>
      <c r="F460" s="456"/>
      <c r="I460" s="454"/>
      <c r="S460" s="449"/>
    </row>
    <row r="461" spans="2:19">
      <c r="B461" s="446"/>
      <c r="C461" s="458" t="s">
        <v>3841</v>
      </c>
      <c r="E461" s="448" t="s">
        <v>3840</v>
      </c>
      <c r="F461" s="456"/>
      <c r="I461" s="454"/>
      <c r="S461" s="449"/>
    </row>
    <row r="462" spans="2:19">
      <c r="B462" s="446"/>
      <c r="C462" s="455" t="s">
        <v>3839</v>
      </c>
      <c r="E462" s="446" t="s">
        <v>3838</v>
      </c>
      <c r="F462" s="456"/>
      <c r="I462" s="454"/>
      <c r="S462" s="449"/>
    </row>
    <row r="463" spans="2:19">
      <c r="B463" s="446"/>
      <c r="C463" s="455" t="s">
        <v>3837</v>
      </c>
      <c r="E463" s="446" t="s">
        <v>3836</v>
      </c>
      <c r="F463" s="456"/>
      <c r="I463" s="454"/>
      <c r="S463" s="449"/>
    </row>
    <row r="464" spans="2:19">
      <c r="B464" s="446"/>
      <c r="C464" s="458" t="s">
        <v>3835</v>
      </c>
      <c r="E464" s="457" t="s">
        <v>3834</v>
      </c>
      <c r="F464" s="456"/>
      <c r="I464" s="454"/>
      <c r="S464" s="449"/>
    </row>
    <row r="465" spans="2:19">
      <c r="B465" s="446"/>
      <c r="C465" s="455" t="s">
        <v>3833</v>
      </c>
      <c r="E465" s="446" t="s">
        <v>3832</v>
      </c>
      <c r="F465" s="456"/>
      <c r="I465" s="454"/>
      <c r="S465" s="449"/>
    </row>
    <row r="466" spans="2:19">
      <c r="B466" s="446"/>
      <c r="C466" s="455" t="s">
        <v>3831</v>
      </c>
      <c r="E466" s="448" t="s">
        <v>3830</v>
      </c>
      <c r="F466" s="456"/>
      <c r="I466" s="454"/>
      <c r="S466" s="449"/>
    </row>
    <row r="467" spans="2:19">
      <c r="B467" s="446"/>
      <c r="C467" s="455" t="s">
        <v>3829</v>
      </c>
      <c r="E467" s="446" t="s">
        <v>3828</v>
      </c>
      <c r="I467" s="454"/>
      <c r="S467" s="449"/>
    </row>
    <row r="468" spans="2:19">
      <c r="B468" s="446"/>
      <c r="C468" s="455" t="s">
        <v>3827</v>
      </c>
      <c r="E468" s="446" t="s">
        <v>3826</v>
      </c>
      <c r="I468" s="454"/>
    </row>
    <row r="469" spans="2:19">
      <c r="C469" s="455" t="s">
        <v>3825</v>
      </c>
      <c r="E469" s="446" t="s">
        <v>3824</v>
      </c>
      <c r="I469" s="454"/>
    </row>
    <row r="470" spans="2:19">
      <c r="C470" s="455" t="s">
        <v>3823</v>
      </c>
      <c r="D470" s="448"/>
      <c r="E470" s="446" t="s">
        <v>3822</v>
      </c>
      <c r="I470" s="454"/>
    </row>
    <row r="471" spans="2:19" ht="13.8" thickBot="1">
      <c r="C471" s="453" t="s">
        <v>3821</v>
      </c>
      <c r="D471" s="452"/>
      <c r="E471" s="451" t="s">
        <v>3820</v>
      </c>
      <c r="F471" s="451"/>
      <c r="G471" s="451"/>
      <c r="H471" s="451"/>
      <c r="I471" s="450"/>
    </row>
    <row r="472" spans="2:19">
      <c r="D472" s="448"/>
    </row>
    <row r="473" spans="2:19">
      <c r="D473" s="448"/>
      <c r="E473" s="449"/>
      <c r="F473" s="449"/>
      <c r="G473" s="449"/>
      <c r="H473" s="449"/>
      <c r="I473" s="449"/>
      <c r="J473" s="449"/>
      <c r="K473" s="449"/>
      <c r="L473" s="449"/>
      <c r="M473" s="449"/>
      <c r="N473" s="449"/>
      <c r="O473" s="449"/>
    </row>
    <row r="474" spans="2:19">
      <c r="D474" s="448"/>
    </row>
    <row r="475" spans="2:19">
      <c r="D475" s="448"/>
      <c r="E475" s="446">
        <v>2011</v>
      </c>
      <c r="F475" s="550">
        <f t="array" ref="F475:F483">TRANSPOSE(IS_BS_Assumptions!B44:K44)</f>
        <v>110.56520497729953</v>
      </c>
    </row>
    <row r="476" spans="2:19">
      <c r="D476" s="448"/>
      <c r="E476" s="446">
        <v>2012</v>
      </c>
      <c r="F476" s="550">
        <v>127.60335350680997</v>
      </c>
    </row>
    <row r="477" spans="2:19">
      <c r="D477" s="448"/>
      <c r="E477" s="446">
        <v>2013</v>
      </c>
      <c r="F477" s="550">
        <v>129.10990041152255</v>
      </c>
    </row>
    <row r="478" spans="2:19">
      <c r="D478" s="448"/>
      <c r="E478" s="446">
        <v>2014</v>
      </c>
      <c r="F478" s="550">
        <v>130.56058842975204</v>
      </c>
    </row>
    <row r="479" spans="2:19">
      <c r="E479" s="446">
        <v>2015</v>
      </c>
      <c r="F479" s="550">
        <v>135.93778874999992</v>
      </c>
    </row>
    <row r="480" spans="2:19">
      <c r="E480" s="551" t="s">
        <v>3076</v>
      </c>
      <c r="F480" s="550">
        <v>144.44</v>
      </c>
    </row>
    <row r="481" spans="5:6">
      <c r="E481" s="551" t="s">
        <v>252</v>
      </c>
      <c r="F481" s="550">
        <v>146</v>
      </c>
    </row>
    <row r="482" spans="5:6">
      <c r="E482" s="551" t="s">
        <v>253</v>
      </c>
      <c r="F482" s="550">
        <v>151.84</v>
      </c>
    </row>
    <row r="483" spans="5:6">
      <c r="E483" s="551" t="s">
        <v>254</v>
      </c>
      <c r="F483" s="550">
        <v>157.15439999999998</v>
      </c>
    </row>
  </sheetData>
  <pageMargins left="0.75" right="0.75" top="1" bottom="1" header="0.5" footer="0.5"/>
  <pageSetup orientation="portrait"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FFC000"/>
  </sheetPr>
  <dimension ref="A1"/>
  <sheetViews>
    <sheetView workbookViewId="0">
      <selection activeCell="E19" sqref="E19"/>
    </sheetView>
  </sheetViews>
  <sheetFormatPr defaultRowHeight="14.4"/>
  <cols>
    <col min="3" max="3" width="11.88671875" bestFit="1" customWidth="1"/>
    <col min="12" max="12" width="55.88671875" bestFit="1"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FFC000"/>
    <pageSetUpPr fitToPage="1"/>
  </sheetPr>
  <dimension ref="B2:J13"/>
  <sheetViews>
    <sheetView zoomScale="85" zoomScaleNormal="85" workbookViewId="0">
      <selection activeCell="F13" sqref="F13"/>
    </sheetView>
  </sheetViews>
  <sheetFormatPr defaultRowHeight="14.4"/>
  <cols>
    <col min="2" max="2" width="17" customWidth="1"/>
    <col min="3" max="3" width="28.5546875" customWidth="1"/>
    <col min="4" max="7" width="15" customWidth="1"/>
    <col min="9" max="9" width="21.44140625" bestFit="1" customWidth="1"/>
    <col min="10" max="10" width="20.88671875" bestFit="1" customWidth="1"/>
  </cols>
  <sheetData>
    <row r="2" spans="2:10" ht="18.75" customHeight="1">
      <c r="B2" s="601" t="s">
        <v>2924</v>
      </c>
      <c r="C2" s="602" t="s">
        <v>2925</v>
      </c>
      <c r="D2" s="603" t="s">
        <v>2926</v>
      </c>
      <c r="E2" s="603" t="s">
        <v>2927</v>
      </c>
      <c r="F2" s="603" t="s">
        <v>2928</v>
      </c>
      <c r="G2" s="604" t="s">
        <v>2929</v>
      </c>
    </row>
    <row r="3" spans="2:10" s="268" customFormat="1" ht="27.75" customHeight="1">
      <c r="B3" s="605" t="s">
        <v>2930</v>
      </c>
      <c r="C3" s="606" t="s">
        <v>2931</v>
      </c>
      <c r="D3" s="607" t="s">
        <v>2932</v>
      </c>
      <c r="E3" s="608" t="s">
        <v>2933</v>
      </c>
      <c r="F3" s="608" t="s">
        <v>2934</v>
      </c>
      <c r="G3" s="609" t="s">
        <v>2935</v>
      </c>
      <c r="J3" s="268" t="s">
        <v>2936</v>
      </c>
    </row>
    <row r="4" spans="2:10" s="268" customFormat="1" ht="27.75" customHeight="1">
      <c r="B4" s="605" t="s">
        <v>2937</v>
      </c>
      <c r="C4" s="606" t="s">
        <v>2938</v>
      </c>
      <c r="D4" s="610" t="s">
        <v>2939</v>
      </c>
      <c r="E4" s="611" t="s">
        <v>2940</v>
      </c>
      <c r="F4" s="611" t="s">
        <v>2941</v>
      </c>
      <c r="G4" s="612" t="s">
        <v>2942</v>
      </c>
      <c r="I4" s="268" t="s">
        <v>2943</v>
      </c>
      <c r="J4" s="268" t="s">
        <v>2943</v>
      </c>
    </row>
    <row r="5" spans="2:10" s="268" customFormat="1" ht="27.75" customHeight="1">
      <c r="B5" s="613" t="s">
        <v>2944</v>
      </c>
      <c r="C5" s="614" t="s">
        <v>2945</v>
      </c>
      <c r="D5" s="615" t="s">
        <v>2946</v>
      </c>
      <c r="E5" s="616" t="s">
        <v>2947</v>
      </c>
      <c r="F5" s="616" t="s">
        <v>2948</v>
      </c>
      <c r="G5" s="617" t="s">
        <v>2949</v>
      </c>
      <c r="I5" s="268" t="s">
        <v>2950</v>
      </c>
      <c r="J5" s="268" t="s">
        <v>2951</v>
      </c>
    </row>
    <row r="6" spans="2:10">
      <c r="I6" t="s">
        <v>2952</v>
      </c>
      <c r="J6" t="s">
        <v>2953</v>
      </c>
    </row>
    <row r="7" spans="2:10">
      <c r="I7" t="s">
        <v>2954</v>
      </c>
      <c r="J7" t="s">
        <v>2955</v>
      </c>
    </row>
    <row r="8" spans="2:10" ht="18">
      <c r="D8" s="269">
        <v>42578</v>
      </c>
      <c r="E8" s="270" t="s">
        <v>2956</v>
      </c>
      <c r="F8" s="271">
        <v>0.1052</v>
      </c>
      <c r="I8" t="s">
        <v>2957</v>
      </c>
      <c r="J8" t="s">
        <v>2958</v>
      </c>
    </row>
    <row r="9" spans="2:10" ht="15" thickBot="1"/>
    <row r="10" spans="2:10" ht="33" customHeight="1">
      <c r="B10" s="272" t="s">
        <v>2924</v>
      </c>
      <c r="C10" s="273" t="s">
        <v>2925</v>
      </c>
      <c r="D10" s="274" t="s">
        <v>2926</v>
      </c>
      <c r="E10" s="274" t="s">
        <v>2927</v>
      </c>
      <c r="F10" s="274" t="s">
        <v>2928</v>
      </c>
      <c r="G10" s="275" t="s">
        <v>2929</v>
      </c>
    </row>
    <row r="11" spans="2:10" s="268" customFormat="1" ht="38.25" customHeight="1">
      <c r="B11" s="276" t="s">
        <v>2930</v>
      </c>
      <c r="C11" s="277" t="s">
        <v>2931</v>
      </c>
      <c r="D11" s="278">
        <f>+$F$8+10%</f>
        <v>0.20519999999999999</v>
      </c>
      <c r="E11" s="279">
        <f>+$F$8+5%</f>
        <v>0.1552</v>
      </c>
      <c r="F11" s="279">
        <f>+$F$8+1%</f>
        <v>0.1152</v>
      </c>
      <c r="G11" s="280">
        <f>+$F$8+1%</f>
        <v>0.1152</v>
      </c>
    </row>
    <row r="12" spans="2:10" s="268" customFormat="1" ht="38.25" customHeight="1">
      <c r="B12" s="276" t="s">
        <v>2937</v>
      </c>
      <c r="C12" s="277" t="s">
        <v>2938</v>
      </c>
      <c r="D12" s="281">
        <f>+$F$8+13%</f>
        <v>0.23520000000000002</v>
      </c>
      <c r="E12" s="282">
        <f>+$F$8+8%</f>
        <v>0.1852</v>
      </c>
      <c r="F12" s="282">
        <f>+$F$8+3%</f>
        <v>0.13519999999999999</v>
      </c>
      <c r="G12" s="283">
        <f>+$F$8+3%</f>
        <v>0.13519999999999999</v>
      </c>
    </row>
    <row r="13" spans="2:10" ht="37.5" customHeight="1" thickBot="1">
      <c r="B13" s="284" t="s">
        <v>2944</v>
      </c>
      <c r="C13" s="285" t="s">
        <v>2945</v>
      </c>
      <c r="D13" s="286">
        <f>+$F$8+16%</f>
        <v>0.26519999999999999</v>
      </c>
      <c r="E13" s="287">
        <f>+$F$8+11%</f>
        <v>0.2152</v>
      </c>
      <c r="F13" s="287">
        <f>+$F$8+6%</f>
        <v>0.16520000000000001</v>
      </c>
      <c r="G13" s="288">
        <f>+$F$8+6%</f>
        <v>0.16520000000000001</v>
      </c>
    </row>
  </sheetData>
  <pageMargins left="0.7" right="0.7" top="0.75" bottom="0.75" header="0.3" footer="0.3"/>
  <pageSetup scale="61" fitToHeight="0" orientation="landscape"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FFC000"/>
  </sheetPr>
  <dimension ref="A1:X163"/>
  <sheetViews>
    <sheetView topLeftCell="D161" zoomScale="90" zoomScaleNormal="90" workbookViewId="0">
      <pane xSplit="8232" topLeftCell="R1" activePane="topRight"/>
      <selection activeCell="H16" sqref="H16"/>
      <selection pane="topRight" activeCell="T12" sqref="T12"/>
    </sheetView>
  </sheetViews>
  <sheetFormatPr defaultRowHeight="14.4"/>
  <cols>
    <col min="1" max="1" width="35" bestFit="1" customWidth="1"/>
    <col min="2" max="2" width="47.88671875" customWidth="1"/>
    <col min="3" max="3" width="126" customWidth="1"/>
    <col min="4" max="4" width="15.88671875" bestFit="1" customWidth="1"/>
    <col min="5" max="5" width="11.44140625" bestFit="1" customWidth="1"/>
    <col min="6" max="6" width="114.6640625" bestFit="1" customWidth="1"/>
    <col min="7" max="7" width="20.33203125" bestFit="1" customWidth="1"/>
    <col min="8" max="8" width="194.6640625" bestFit="1" customWidth="1"/>
    <col min="20" max="20" width="22.6640625" bestFit="1" customWidth="1"/>
    <col min="23" max="23" width="5.6640625" bestFit="1" customWidth="1"/>
  </cols>
  <sheetData>
    <row r="1" spans="1:24">
      <c r="A1" s="212"/>
      <c r="B1" s="213" t="s">
        <v>2390</v>
      </c>
      <c r="C1" s="213" t="s">
        <v>2391</v>
      </c>
      <c r="D1" s="213" t="s">
        <v>2392</v>
      </c>
      <c r="E1" s="213" t="s">
        <v>2393</v>
      </c>
      <c r="F1" s="213" t="s">
        <v>2394</v>
      </c>
      <c r="G1" s="214" t="s">
        <v>2395</v>
      </c>
    </row>
    <row r="2" spans="1:24" ht="15" thickBot="1">
      <c r="A2" s="215"/>
      <c r="B2" s="216"/>
      <c r="C2" s="216" t="s">
        <v>2396</v>
      </c>
      <c r="D2" s="216"/>
      <c r="E2" s="216"/>
      <c r="F2" s="216"/>
      <c r="G2" s="217" t="s">
        <v>2397</v>
      </c>
    </row>
    <row r="3" spans="1:24" ht="15.6">
      <c r="A3" s="218" t="s">
        <v>2398</v>
      </c>
      <c r="B3" s="219" t="s">
        <v>2399</v>
      </c>
      <c r="C3" s="220" t="s">
        <v>2400</v>
      </c>
      <c r="D3" s="221">
        <v>41528</v>
      </c>
      <c r="E3" s="221">
        <v>42801</v>
      </c>
      <c r="F3" s="220" t="s">
        <v>2401</v>
      </c>
      <c r="G3" s="222">
        <v>6956</v>
      </c>
      <c r="H3" s="219" t="s">
        <v>2402</v>
      </c>
      <c r="W3" t="s">
        <v>3773</v>
      </c>
      <c r="X3" t="s">
        <v>3774</v>
      </c>
    </row>
    <row r="4" spans="1:24" ht="15.6">
      <c r="A4" s="218"/>
      <c r="B4" s="219"/>
      <c r="C4" s="223" t="s">
        <v>2403</v>
      </c>
      <c r="D4" s="224">
        <v>42186</v>
      </c>
      <c r="E4" s="224">
        <v>42490</v>
      </c>
      <c r="F4" s="223" t="s">
        <v>2401</v>
      </c>
      <c r="G4" s="225">
        <v>374.7</v>
      </c>
      <c r="H4" s="219" t="s">
        <v>2404</v>
      </c>
      <c r="T4" t="s">
        <v>3772</v>
      </c>
      <c r="W4">
        <v>48</v>
      </c>
      <c r="X4" t="s">
        <v>3775</v>
      </c>
    </row>
    <row r="5" spans="1:24" ht="15.6">
      <c r="A5" s="218"/>
      <c r="B5" s="219"/>
      <c r="C5" s="223" t="s">
        <v>2405</v>
      </c>
      <c r="D5" s="224">
        <v>42250</v>
      </c>
      <c r="E5" s="224">
        <v>42483</v>
      </c>
      <c r="F5" s="223" t="s">
        <v>2406</v>
      </c>
      <c r="G5" s="225"/>
      <c r="H5" s="219" t="s">
        <v>2407</v>
      </c>
      <c r="T5" t="s">
        <v>3777</v>
      </c>
      <c r="W5">
        <v>512</v>
      </c>
      <c r="X5" t="s">
        <v>3776</v>
      </c>
    </row>
    <row r="6" spans="1:24" ht="15.6">
      <c r="A6" s="218"/>
      <c r="B6" s="219"/>
      <c r="C6" s="223" t="s">
        <v>2408</v>
      </c>
      <c r="D6" s="224">
        <v>41078</v>
      </c>
      <c r="E6" s="224">
        <v>41990</v>
      </c>
      <c r="F6" s="223" t="s">
        <v>2409</v>
      </c>
      <c r="G6" s="225">
        <v>1250</v>
      </c>
      <c r="H6" s="219" t="s">
        <v>2410</v>
      </c>
      <c r="T6" t="s">
        <v>3778</v>
      </c>
    </row>
    <row r="7" spans="1:24" ht="15.6">
      <c r="A7" s="218"/>
      <c r="B7" s="219"/>
      <c r="C7" s="223" t="s">
        <v>2411</v>
      </c>
      <c r="D7" s="224">
        <v>41152</v>
      </c>
      <c r="E7" s="224">
        <v>41943</v>
      </c>
      <c r="F7" s="223" t="s">
        <v>2412</v>
      </c>
      <c r="G7" s="225">
        <v>1214</v>
      </c>
      <c r="H7" s="219" t="s">
        <v>2413</v>
      </c>
    </row>
    <row r="8" spans="1:24" ht="15.6">
      <c r="A8" s="218"/>
      <c r="B8" s="219"/>
      <c r="C8" s="223" t="s">
        <v>2414</v>
      </c>
      <c r="D8" s="224">
        <v>41242</v>
      </c>
      <c r="E8" s="224">
        <v>41941</v>
      </c>
      <c r="F8" s="223" t="s">
        <v>2401</v>
      </c>
      <c r="G8" s="225">
        <v>2571</v>
      </c>
      <c r="H8" s="219" t="s">
        <v>2415</v>
      </c>
    </row>
    <row r="9" spans="1:24" ht="15.6">
      <c r="A9" s="218"/>
      <c r="B9" s="219"/>
      <c r="C9" s="223" t="s">
        <v>2416</v>
      </c>
      <c r="D9" s="224">
        <v>40976</v>
      </c>
      <c r="E9" s="224">
        <v>41823</v>
      </c>
      <c r="F9" s="223" t="s">
        <v>2401</v>
      </c>
      <c r="G9" s="225">
        <v>2861.8</v>
      </c>
      <c r="H9" s="219" t="s">
        <v>2417</v>
      </c>
    </row>
    <row r="10" spans="1:24" ht="15.6">
      <c r="A10" s="218"/>
      <c r="B10" s="219"/>
      <c r="C10" s="223" t="s">
        <v>2418</v>
      </c>
      <c r="D10" s="224">
        <v>40918</v>
      </c>
      <c r="E10" s="224">
        <v>41771</v>
      </c>
      <c r="F10" s="223" t="s">
        <v>2412</v>
      </c>
      <c r="G10" s="225">
        <v>1012.6</v>
      </c>
      <c r="H10" s="219" t="s">
        <v>2419</v>
      </c>
    </row>
    <row r="11" spans="1:24" ht="15.6">
      <c r="A11" s="218"/>
      <c r="B11" s="219"/>
      <c r="C11" s="223" t="s">
        <v>2420</v>
      </c>
      <c r="D11" s="224">
        <v>41532</v>
      </c>
      <c r="E11" s="224">
        <v>41729</v>
      </c>
      <c r="F11" s="223" t="s">
        <v>2401</v>
      </c>
      <c r="G11" s="225">
        <v>477</v>
      </c>
      <c r="H11" s="219" t="s">
        <v>2421</v>
      </c>
    </row>
    <row r="12" spans="1:24" ht="15.6">
      <c r="A12" s="218"/>
      <c r="B12" s="219"/>
      <c r="C12" s="223" t="s">
        <v>2422</v>
      </c>
      <c r="D12" s="224">
        <v>40585</v>
      </c>
      <c r="E12" s="224">
        <v>41560</v>
      </c>
      <c r="F12" s="223" t="s">
        <v>2423</v>
      </c>
      <c r="G12" s="225">
        <v>3662</v>
      </c>
      <c r="H12" s="219" t="s">
        <v>2424</v>
      </c>
    </row>
    <row r="13" spans="1:24" ht="15.6">
      <c r="A13" s="218"/>
      <c r="B13" s="219"/>
      <c r="C13" s="223" t="s">
        <v>2425</v>
      </c>
      <c r="D13" s="224">
        <v>40735</v>
      </c>
      <c r="E13" s="224">
        <v>41333</v>
      </c>
      <c r="F13" s="223" t="s">
        <v>2401</v>
      </c>
      <c r="G13" s="225">
        <v>864.7</v>
      </c>
      <c r="H13" s="219" t="s">
        <v>2426</v>
      </c>
    </row>
    <row r="14" spans="1:24" ht="15.6">
      <c r="A14" s="218"/>
      <c r="B14" s="219"/>
      <c r="C14" s="223" t="s">
        <v>2427</v>
      </c>
      <c r="D14" s="224">
        <v>40431</v>
      </c>
      <c r="E14" s="224">
        <v>41060</v>
      </c>
      <c r="F14" s="223" t="s">
        <v>2428</v>
      </c>
      <c r="G14" s="225">
        <v>577.5</v>
      </c>
      <c r="H14" s="219" t="s">
        <v>2429</v>
      </c>
    </row>
    <row r="15" spans="1:24" ht="15.6">
      <c r="A15" s="218"/>
      <c r="B15" s="219"/>
      <c r="C15" s="223" t="s">
        <v>2430</v>
      </c>
      <c r="D15" s="224">
        <v>40872</v>
      </c>
      <c r="E15" s="224">
        <v>41052</v>
      </c>
      <c r="F15" s="223" t="s">
        <v>2401</v>
      </c>
      <c r="G15" s="225">
        <v>473.3</v>
      </c>
      <c r="H15" s="219" t="s">
        <v>2431</v>
      </c>
    </row>
    <row r="16" spans="1:24" ht="15.6">
      <c r="A16" s="218"/>
      <c r="B16" s="219"/>
      <c r="C16" s="223" t="s">
        <v>2432</v>
      </c>
      <c r="D16" s="224">
        <v>40840</v>
      </c>
      <c r="E16" s="224">
        <v>41022</v>
      </c>
      <c r="F16" s="223" t="s">
        <v>2433</v>
      </c>
      <c r="G16" s="225">
        <v>360</v>
      </c>
      <c r="H16" s="219" t="s">
        <v>2434</v>
      </c>
    </row>
    <row r="17" spans="1:8" ht="15.6">
      <c r="A17" s="218"/>
      <c r="B17" s="219"/>
      <c r="C17" s="223" t="s">
        <v>2435</v>
      </c>
      <c r="D17" s="224">
        <v>40676</v>
      </c>
      <c r="E17" s="224">
        <v>40999</v>
      </c>
      <c r="F17" s="223" t="s">
        <v>2436</v>
      </c>
      <c r="G17" s="225">
        <v>44.6</v>
      </c>
      <c r="H17" s="219" t="s">
        <v>2437</v>
      </c>
    </row>
    <row r="18" spans="1:8" ht="15.6">
      <c r="A18" s="218"/>
      <c r="B18" s="219"/>
      <c r="C18" s="223" t="s">
        <v>2438</v>
      </c>
      <c r="D18" s="224">
        <v>39904</v>
      </c>
      <c r="E18" s="224">
        <v>40994</v>
      </c>
      <c r="F18" s="223" t="s">
        <v>2412</v>
      </c>
      <c r="G18" s="225">
        <v>1400</v>
      </c>
      <c r="H18" s="219" t="s">
        <v>2439</v>
      </c>
    </row>
    <row r="19" spans="1:8" ht="15.6">
      <c r="A19" s="218"/>
      <c r="B19" s="219"/>
      <c r="C19" s="223" t="s">
        <v>2440</v>
      </c>
      <c r="D19" s="224">
        <v>40558</v>
      </c>
      <c r="E19" s="224">
        <v>40968</v>
      </c>
      <c r="F19" s="223" t="s">
        <v>2441</v>
      </c>
      <c r="G19" s="225">
        <v>206</v>
      </c>
      <c r="H19" s="219" t="s">
        <v>2442</v>
      </c>
    </row>
    <row r="20" spans="1:8" ht="15.6">
      <c r="A20" s="218"/>
      <c r="B20" s="219"/>
      <c r="C20" s="223" t="s">
        <v>2443</v>
      </c>
      <c r="D20" s="224">
        <v>40840</v>
      </c>
      <c r="E20" s="224">
        <v>40966</v>
      </c>
      <c r="F20" s="223" t="s">
        <v>2401</v>
      </c>
      <c r="G20" s="225">
        <v>380.2</v>
      </c>
      <c r="H20" s="219" t="s">
        <v>2444</v>
      </c>
    </row>
    <row r="21" spans="1:8" ht="15.6">
      <c r="A21" s="218"/>
      <c r="B21" s="219"/>
      <c r="C21" s="223" t="s">
        <v>2445</v>
      </c>
      <c r="D21" s="224">
        <v>40395</v>
      </c>
      <c r="E21" s="224">
        <v>40892</v>
      </c>
      <c r="F21" s="223" t="s">
        <v>2401</v>
      </c>
      <c r="G21" s="225">
        <v>134.5</v>
      </c>
      <c r="H21" s="219" t="s">
        <v>2446</v>
      </c>
    </row>
    <row r="22" spans="1:8" ht="15.6">
      <c r="A22" s="218"/>
      <c r="B22" s="219"/>
      <c r="C22" s="223" t="s">
        <v>2447</v>
      </c>
      <c r="D22" s="224">
        <v>40763</v>
      </c>
      <c r="E22" s="224">
        <v>40836</v>
      </c>
      <c r="F22" s="223" t="s">
        <v>2401</v>
      </c>
      <c r="G22" s="225">
        <v>49.2</v>
      </c>
      <c r="H22" s="219" t="s">
        <v>2448</v>
      </c>
    </row>
    <row r="23" spans="1:8" ht="15.6">
      <c r="A23" s="218"/>
      <c r="B23" s="219"/>
      <c r="C23" s="223" t="s">
        <v>2449</v>
      </c>
      <c r="D23" s="224">
        <v>40630</v>
      </c>
      <c r="E23" s="224">
        <v>40791</v>
      </c>
      <c r="F23" s="223" t="s">
        <v>2450</v>
      </c>
      <c r="G23" s="225">
        <v>86</v>
      </c>
      <c r="H23" s="219" t="s">
        <v>2451</v>
      </c>
    </row>
    <row r="24" spans="1:8" ht="15.6">
      <c r="A24" s="218"/>
      <c r="B24" s="219"/>
      <c r="C24" s="223" t="s">
        <v>2452</v>
      </c>
      <c r="D24" s="224">
        <v>40421</v>
      </c>
      <c r="E24" s="224">
        <v>40788</v>
      </c>
      <c r="F24" s="223" t="s">
        <v>2401</v>
      </c>
      <c r="G24" s="225">
        <v>141.30000000000001</v>
      </c>
      <c r="H24" s="219" t="s">
        <v>2453</v>
      </c>
    </row>
    <row r="25" spans="1:8" ht="15.6">
      <c r="A25" s="218"/>
      <c r="B25" s="219"/>
      <c r="C25" s="223" t="s">
        <v>2454</v>
      </c>
      <c r="D25" s="224">
        <v>37744</v>
      </c>
      <c r="E25" s="224">
        <v>40329</v>
      </c>
      <c r="F25" s="223" t="s">
        <v>2455</v>
      </c>
      <c r="G25" s="225">
        <v>900</v>
      </c>
      <c r="H25" s="219" t="s">
        <v>2456</v>
      </c>
    </row>
    <row r="26" spans="1:8" ht="15.6">
      <c r="A26" s="218"/>
      <c r="B26" s="219"/>
      <c r="C26" s="223" t="s">
        <v>2457</v>
      </c>
      <c r="D26" s="224">
        <v>38951</v>
      </c>
      <c r="E26" s="224">
        <v>40147</v>
      </c>
      <c r="F26" s="223" t="s">
        <v>2401</v>
      </c>
      <c r="G26" s="225">
        <v>377.8</v>
      </c>
      <c r="H26" s="219" t="s">
        <v>2458</v>
      </c>
    </row>
    <row r="27" spans="1:8" ht="15.6">
      <c r="A27" s="218"/>
      <c r="B27" s="219"/>
      <c r="C27" s="218"/>
      <c r="D27" s="226"/>
      <c r="E27" s="226"/>
      <c r="F27" s="218"/>
      <c r="G27" s="227"/>
      <c r="H27" s="219"/>
    </row>
    <row r="28" spans="1:8" ht="15.6">
      <c r="A28" s="218" t="s">
        <v>2459</v>
      </c>
      <c r="B28" s="219" t="s">
        <v>2460</v>
      </c>
      <c r="C28" s="220" t="s">
        <v>2461</v>
      </c>
      <c r="D28" s="221">
        <v>42527</v>
      </c>
      <c r="E28" s="221">
        <v>43453</v>
      </c>
      <c r="F28" s="220" t="s">
        <v>2462</v>
      </c>
      <c r="G28" s="222">
        <v>868</v>
      </c>
      <c r="H28" s="219" t="s">
        <v>2463</v>
      </c>
    </row>
    <row r="29" spans="1:8" ht="15.6">
      <c r="A29" s="218"/>
      <c r="B29" s="219"/>
      <c r="C29" s="220" t="s">
        <v>2464</v>
      </c>
      <c r="D29" s="221">
        <v>42480</v>
      </c>
      <c r="E29" s="221">
        <v>42966</v>
      </c>
      <c r="F29" s="220" t="s">
        <v>2462</v>
      </c>
      <c r="G29" s="222">
        <v>597</v>
      </c>
      <c r="H29" s="219" t="s">
        <v>2465</v>
      </c>
    </row>
    <row r="30" spans="1:8" ht="15.6">
      <c r="A30" s="218"/>
      <c r="B30" s="219"/>
      <c r="C30" s="220" t="s">
        <v>2466</v>
      </c>
      <c r="D30" s="221">
        <v>42480</v>
      </c>
      <c r="E30" s="221">
        <v>42905</v>
      </c>
      <c r="F30" s="220" t="s">
        <v>2462</v>
      </c>
      <c r="G30" s="222">
        <v>389</v>
      </c>
      <c r="H30" s="219" t="s">
        <v>2467</v>
      </c>
    </row>
    <row r="31" spans="1:8" ht="15.6">
      <c r="A31" s="218"/>
      <c r="B31" s="219"/>
      <c r="C31" s="220" t="s">
        <v>2468</v>
      </c>
      <c r="D31" s="221">
        <v>42416</v>
      </c>
      <c r="E31" s="221">
        <v>42658</v>
      </c>
      <c r="F31" s="220" t="s">
        <v>2469</v>
      </c>
      <c r="G31" s="228">
        <v>340.8</v>
      </c>
      <c r="H31" s="219" t="s">
        <v>2470</v>
      </c>
    </row>
    <row r="32" spans="1:8" ht="15.6">
      <c r="A32" s="218"/>
      <c r="B32" s="219"/>
      <c r="C32" s="223" t="s">
        <v>2471</v>
      </c>
      <c r="D32" s="224">
        <v>41496</v>
      </c>
      <c r="E32" s="224">
        <v>41887</v>
      </c>
      <c r="F32" s="223" t="s">
        <v>2401</v>
      </c>
      <c r="G32" s="225">
        <v>1819</v>
      </c>
      <c r="H32" s="219" t="s">
        <v>2472</v>
      </c>
    </row>
    <row r="33" spans="1:8" ht="15.6">
      <c r="A33" s="218"/>
      <c r="B33" s="219"/>
      <c r="C33" s="223" t="s">
        <v>2473</v>
      </c>
      <c r="D33" s="224">
        <v>41175</v>
      </c>
      <c r="E33" s="224">
        <v>41601</v>
      </c>
      <c r="F33" s="223" t="s">
        <v>2474</v>
      </c>
      <c r="G33" s="225">
        <v>1887</v>
      </c>
      <c r="H33" s="219" t="s">
        <v>2475</v>
      </c>
    </row>
    <row r="34" spans="1:8" ht="15.6">
      <c r="A34" s="218"/>
      <c r="B34" s="219"/>
      <c r="C34" s="223" t="s">
        <v>2476</v>
      </c>
      <c r="D34" s="224">
        <v>40760</v>
      </c>
      <c r="E34" s="224">
        <v>41501</v>
      </c>
      <c r="F34" s="223" t="s">
        <v>2477</v>
      </c>
      <c r="G34" s="225">
        <v>324.8</v>
      </c>
      <c r="H34" s="219" t="s">
        <v>2478</v>
      </c>
    </row>
    <row r="35" spans="1:8" ht="15.6">
      <c r="A35" s="218"/>
      <c r="B35" s="219"/>
      <c r="C35" s="223" t="s">
        <v>2479</v>
      </c>
      <c r="D35" s="224">
        <v>40167</v>
      </c>
      <c r="E35" s="224">
        <v>40559</v>
      </c>
      <c r="F35" s="223" t="s">
        <v>2401</v>
      </c>
      <c r="G35" s="225">
        <v>1020</v>
      </c>
      <c r="H35" s="219" t="s">
        <v>2480</v>
      </c>
    </row>
    <row r="36" spans="1:8" ht="15.6">
      <c r="A36" s="218"/>
      <c r="B36" s="219"/>
      <c r="C36" s="223" t="s">
        <v>2481</v>
      </c>
      <c r="D36" s="224">
        <v>40025</v>
      </c>
      <c r="E36" s="224">
        <v>40520</v>
      </c>
      <c r="F36" s="223" t="s">
        <v>2401</v>
      </c>
      <c r="G36" s="225">
        <v>135.1</v>
      </c>
      <c r="H36" s="219" t="s">
        <v>2482</v>
      </c>
    </row>
    <row r="37" spans="1:8" ht="15.6">
      <c r="A37" s="218"/>
      <c r="B37" s="219"/>
      <c r="C37" s="223" t="s">
        <v>2483</v>
      </c>
      <c r="D37" s="224">
        <v>40001</v>
      </c>
      <c r="E37" s="224">
        <v>40108</v>
      </c>
      <c r="F37" s="223" t="s">
        <v>2401</v>
      </c>
      <c r="G37" s="225">
        <v>1059.9000000000001</v>
      </c>
      <c r="H37" s="219" t="s">
        <v>2484</v>
      </c>
    </row>
    <row r="38" spans="1:8" ht="15.6">
      <c r="A38" s="218"/>
      <c r="B38" s="219"/>
      <c r="C38" s="223" t="s">
        <v>2485</v>
      </c>
      <c r="D38" s="224">
        <v>39722</v>
      </c>
      <c r="E38" s="224">
        <v>39836</v>
      </c>
      <c r="F38" s="223" t="s">
        <v>2401</v>
      </c>
      <c r="G38" s="225">
        <v>822.3</v>
      </c>
      <c r="H38" s="219" t="s">
        <v>2486</v>
      </c>
    </row>
    <row r="39" spans="1:8" ht="15.6">
      <c r="A39" s="218"/>
      <c r="B39" s="219"/>
      <c r="C39" s="218"/>
      <c r="D39" s="226"/>
      <c r="E39" s="226"/>
      <c r="F39" s="218"/>
      <c r="G39" s="227"/>
      <c r="H39" s="219"/>
    </row>
    <row r="40" spans="1:8" ht="15.6">
      <c r="A40" s="218" t="s">
        <v>2487</v>
      </c>
      <c r="B40" s="219" t="s">
        <v>2488</v>
      </c>
      <c r="C40" s="220" t="s">
        <v>2489</v>
      </c>
      <c r="D40" s="221">
        <v>42095</v>
      </c>
      <c r="E40" s="221">
        <v>42855</v>
      </c>
      <c r="F40" s="220" t="s">
        <v>2490</v>
      </c>
      <c r="G40" s="222">
        <v>5100</v>
      </c>
      <c r="H40" s="219" t="s">
        <v>2491</v>
      </c>
    </row>
    <row r="41" spans="1:8" ht="15.6">
      <c r="A41" s="218"/>
      <c r="B41" s="219"/>
      <c r="C41" s="220" t="s">
        <v>2492</v>
      </c>
      <c r="D41" s="221">
        <v>41568</v>
      </c>
      <c r="E41" s="221">
        <v>42664</v>
      </c>
      <c r="F41" s="220" t="s">
        <v>2493</v>
      </c>
      <c r="G41" s="222" t="s">
        <v>2494</v>
      </c>
      <c r="H41" s="219" t="s">
        <v>2495</v>
      </c>
    </row>
    <row r="42" spans="1:8" ht="15.6">
      <c r="A42" s="218"/>
      <c r="B42" s="219"/>
      <c r="C42" s="220" t="s">
        <v>2496</v>
      </c>
      <c r="D42" s="221">
        <v>42024</v>
      </c>
      <c r="E42" s="221">
        <v>42598</v>
      </c>
      <c r="F42" s="220" t="s">
        <v>2497</v>
      </c>
      <c r="G42" s="222">
        <v>312.39999999999998</v>
      </c>
      <c r="H42" s="219" t="s">
        <v>2498</v>
      </c>
    </row>
    <row r="43" spans="1:8" ht="15.6">
      <c r="A43" s="218"/>
      <c r="B43" s="219"/>
      <c r="C43" s="223" t="s">
        <v>2499</v>
      </c>
      <c r="D43" s="224">
        <v>41358</v>
      </c>
      <c r="E43" s="224">
        <v>42088</v>
      </c>
      <c r="F43" s="223" t="s">
        <v>2500</v>
      </c>
      <c r="G43" s="225">
        <v>723</v>
      </c>
      <c r="H43" s="219" t="s">
        <v>2501</v>
      </c>
    </row>
    <row r="44" spans="1:8" ht="15.6">
      <c r="A44" s="218"/>
      <c r="B44" s="219"/>
      <c r="C44" s="223" t="s">
        <v>2502</v>
      </c>
      <c r="D44" s="224">
        <v>40940</v>
      </c>
      <c r="E44" s="224">
        <v>41508</v>
      </c>
      <c r="F44" s="223" t="s">
        <v>2503</v>
      </c>
      <c r="G44" s="225">
        <v>130</v>
      </c>
      <c r="H44" s="219" t="s">
        <v>2504</v>
      </c>
    </row>
    <row r="45" spans="1:8" ht="15.6">
      <c r="A45" s="218"/>
      <c r="B45" s="219"/>
      <c r="C45" s="223" t="s">
        <v>2505</v>
      </c>
      <c r="D45" s="224">
        <v>39753</v>
      </c>
      <c r="E45" s="224">
        <v>41455</v>
      </c>
      <c r="F45" s="223" t="s">
        <v>2506</v>
      </c>
      <c r="G45" s="225">
        <v>960</v>
      </c>
      <c r="H45" s="219" t="s">
        <v>2507</v>
      </c>
    </row>
    <row r="46" spans="1:8" ht="15.6">
      <c r="A46" s="218"/>
      <c r="B46" s="219"/>
      <c r="C46" s="223" t="s">
        <v>2508</v>
      </c>
      <c r="D46" s="224">
        <v>40967</v>
      </c>
      <c r="E46" s="224">
        <v>41364</v>
      </c>
      <c r="F46" s="223" t="s">
        <v>2509</v>
      </c>
      <c r="G46" s="225">
        <v>123.5</v>
      </c>
      <c r="H46" s="219" t="s">
        <v>2510</v>
      </c>
    </row>
    <row r="47" spans="1:8" ht="15.6">
      <c r="A47" s="218"/>
      <c r="B47" s="219"/>
      <c r="C47" s="223" t="s">
        <v>2511</v>
      </c>
      <c r="D47" s="224">
        <v>40982</v>
      </c>
      <c r="E47" s="224">
        <v>41364</v>
      </c>
      <c r="F47" s="223" t="s">
        <v>2506</v>
      </c>
      <c r="G47" s="225">
        <v>234.2</v>
      </c>
      <c r="H47" s="219" t="s">
        <v>2512</v>
      </c>
    </row>
    <row r="48" spans="1:8" ht="15.6">
      <c r="A48" s="218"/>
      <c r="B48" s="219"/>
      <c r="C48" s="223" t="s">
        <v>2513</v>
      </c>
      <c r="D48" s="224">
        <v>40982</v>
      </c>
      <c r="E48" s="224">
        <v>41364</v>
      </c>
      <c r="F48" s="223" t="s">
        <v>2514</v>
      </c>
      <c r="G48" s="225">
        <v>26.2</v>
      </c>
      <c r="H48" s="219" t="s">
        <v>2515</v>
      </c>
    </row>
    <row r="49" spans="1:8" ht="15.6">
      <c r="A49" s="218"/>
      <c r="B49" s="219"/>
      <c r="C49" s="223" t="s">
        <v>2516</v>
      </c>
      <c r="D49" s="224">
        <v>40686</v>
      </c>
      <c r="E49" s="224">
        <v>40999</v>
      </c>
      <c r="F49" s="223" t="s">
        <v>2517</v>
      </c>
      <c r="G49" s="225">
        <v>35</v>
      </c>
      <c r="H49" s="219" t="s">
        <v>2518</v>
      </c>
    </row>
    <row r="50" spans="1:8" ht="15.6">
      <c r="A50" s="218"/>
      <c r="B50" s="219"/>
      <c r="C50" s="223" t="s">
        <v>2519</v>
      </c>
      <c r="D50" s="224">
        <v>40131</v>
      </c>
      <c r="E50" s="224">
        <v>40907</v>
      </c>
      <c r="F50" s="223" t="s">
        <v>2520</v>
      </c>
      <c r="G50" s="225">
        <v>2443.6799999999998</v>
      </c>
      <c r="H50" s="219" t="s">
        <v>2521</v>
      </c>
    </row>
    <row r="51" spans="1:8" ht="15.6">
      <c r="A51" s="218"/>
      <c r="B51" s="219"/>
      <c r="C51" s="223" t="s">
        <v>2522</v>
      </c>
      <c r="D51" s="224">
        <v>40713</v>
      </c>
      <c r="E51" s="224">
        <v>40878</v>
      </c>
      <c r="F51" s="223" t="s">
        <v>2523</v>
      </c>
      <c r="G51" s="225">
        <v>104.7</v>
      </c>
      <c r="H51" s="219" t="s">
        <v>2524</v>
      </c>
    </row>
    <row r="52" spans="1:8" ht="15.6">
      <c r="A52" s="218"/>
      <c r="B52" s="219"/>
      <c r="C52" s="223" t="s">
        <v>2525</v>
      </c>
      <c r="D52" s="224">
        <v>39326</v>
      </c>
      <c r="E52" s="224">
        <v>40846</v>
      </c>
      <c r="F52" s="223" t="s">
        <v>2520</v>
      </c>
      <c r="G52" s="225">
        <v>4141.3999999999996</v>
      </c>
      <c r="H52" s="219" t="s">
        <v>2526</v>
      </c>
    </row>
    <row r="53" spans="1:8" ht="15.6">
      <c r="A53" s="218"/>
      <c r="B53" s="219"/>
      <c r="C53" s="223" t="s">
        <v>2527</v>
      </c>
      <c r="D53" s="224">
        <v>40804</v>
      </c>
      <c r="E53" s="224">
        <v>41005</v>
      </c>
      <c r="F53" s="223" t="s">
        <v>2517</v>
      </c>
      <c r="G53" s="225">
        <v>24.4</v>
      </c>
      <c r="H53" s="219" t="s">
        <v>2528</v>
      </c>
    </row>
    <row r="54" spans="1:8" ht="15.6">
      <c r="A54" s="218"/>
      <c r="B54" s="219"/>
      <c r="C54" s="223" t="s">
        <v>2529</v>
      </c>
      <c r="D54" s="224">
        <v>40062</v>
      </c>
      <c r="E54" s="224">
        <v>40658</v>
      </c>
      <c r="F54" s="223" t="s">
        <v>2530</v>
      </c>
      <c r="G54" s="225">
        <v>24.02937</v>
      </c>
      <c r="H54" s="219" t="s">
        <v>2531</v>
      </c>
    </row>
    <row r="55" spans="1:8" ht="15.6">
      <c r="A55" s="218"/>
      <c r="B55" s="219"/>
      <c r="C55" s="223" t="s">
        <v>2532</v>
      </c>
      <c r="D55" s="224">
        <v>39021</v>
      </c>
      <c r="E55" s="224">
        <v>40539</v>
      </c>
      <c r="F55" s="223" t="s">
        <v>2533</v>
      </c>
      <c r="G55" s="225">
        <v>2200</v>
      </c>
      <c r="H55" s="219" t="s">
        <v>2534</v>
      </c>
    </row>
    <row r="56" spans="1:8" ht="15.6">
      <c r="A56" s="218"/>
      <c r="B56" s="219"/>
      <c r="C56" s="218"/>
      <c r="D56" s="226"/>
      <c r="E56" s="226"/>
      <c r="F56" s="218"/>
      <c r="G56" s="227"/>
      <c r="H56" s="219"/>
    </row>
    <row r="57" spans="1:8" ht="15.6">
      <c r="A57" s="218" t="s">
        <v>2535</v>
      </c>
      <c r="B57" s="219" t="s">
        <v>2536</v>
      </c>
      <c r="C57" s="220" t="s">
        <v>2537</v>
      </c>
      <c r="D57" s="221">
        <v>42361</v>
      </c>
      <c r="E57" s="221">
        <v>43457</v>
      </c>
      <c r="F57" s="220" t="s">
        <v>2538</v>
      </c>
      <c r="G57" s="222">
        <v>4499.2</v>
      </c>
      <c r="H57" s="219" t="s">
        <v>2539</v>
      </c>
    </row>
    <row r="58" spans="1:8" ht="15.6">
      <c r="A58" s="218"/>
      <c r="B58" s="219"/>
      <c r="C58" s="220" t="s">
        <v>2540</v>
      </c>
      <c r="D58" s="221">
        <v>41831</v>
      </c>
      <c r="E58" s="221">
        <v>42806</v>
      </c>
      <c r="F58" s="220" t="s">
        <v>2538</v>
      </c>
      <c r="G58" s="222">
        <v>3246</v>
      </c>
      <c r="H58" s="219" t="s">
        <v>2541</v>
      </c>
    </row>
    <row r="59" spans="1:8" ht="15.6">
      <c r="A59" s="218"/>
      <c r="B59" s="219"/>
      <c r="C59" s="220" t="s">
        <v>2542</v>
      </c>
      <c r="D59" s="221">
        <v>41694</v>
      </c>
      <c r="E59" s="221">
        <v>42704</v>
      </c>
      <c r="F59" s="220" t="s">
        <v>2543</v>
      </c>
      <c r="G59" s="222"/>
      <c r="H59" s="219" t="s">
        <v>2544</v>
      </c>
    </row>
    <row r="60" spans="1:8" ht="15.6">
      <c r="A60" s="218"/>
      <c r="B60" s="219"/>
      <c r="C60" s="220" t="s">
        <v>2545</v>
      </c>
      <c r="D60" s="221">
        <v>42143</v>
      </c>
      <c r="E60" s="221">
        <v>42613</v>
      </c>
      <c r="F60" s="220" t="s">
        <v>2546</v>
      </c>
      <c r="G60" s="222">
        <v>230.4</v>
      </c>
      <c r="H60" s="219" t="s">
        <v>2547</v>
      </c>
    </row>
    <row r="61" spans="1:8" ht="15.6">
      <c r="A61" s="218"/>
      <c r="B61" s="219"/>
      <c r="C61" s="223" t="s">
        <v>2548</v>
      </c>
      <c r="D61" s="224">
        <v>42241</v>
      </c>
      <c r="E61" s="224">
        <v>42460</v>
      </c>
      <c r="F61" s="223" t="s">
        <v>2549</v>
      </c>
      <c r="G61" s="225">
        <v>224.8</v>
      </c>
      <c r="H61" s="219" t="s">
        <v>2550</v>
      </c>
    </row>
    <row r="62" spans="1:8" ht="16.5" customHeight="1">
      <c r="A62" s="218"/>
      <c r="B62" s="229"/>
      <c r="C62" s="223" t="s">
        <v>2551</v>
      </c>
      <c r="D62" s="224">
        <v>42149</v>
      </c>
      <c r="E62" s="224">
        <v>42369</v>
      </c>
      <c r="F62" s="223" t="s">
        <v>2552</v>
      </c>
      <c r="G62" s="225">
        <v>94.5</v>
      </c>
      <c r="H62" s="229" t="s">
        <v>2553</v>
      </c>
    </row>
    <row r="63" spans="1:8" ht="16.5" customHeight="1">
      <c r="A63" s="218"/>
      <c r="B63" s="229"/>
      <c r="C63" s="223" t="s">
        <v>2554</v>
      </c>
      <c r="D63" s="224">
        <v>41730</v>
      </c>
      <c r="E63" s="224">
        <v>42369</v>
      </c>
      <c r="F63" s="223" t="s">
        <v>2555</v>
      </c>
      <c r="G63" s="225">
        <v>1270</v>
      </c>
      <c r="H63" s="229" t="s">
        <v>2556</v>
      </c>
    </row>
    <row r="64" spans="1:8" ht="16.5" customHeight="1">
      <c r="A64" s="218"/>
      <c r="B64" s="229"/>
      <c r="C64" s="223" t="s">
        <v>2557</v>
      </c>
      <c r="D64" s="224">
        <v>42154</v>
      </c>
      <c r="E64" s="224">
        <v>42247</v>
      </c>
      <c r="F64" s="223" t="s">
        <v>2558</v>
      </c>
      <c r="G64" s="225">
        <v>17.399999999999999</v>
      </c>
      <c r="H64" s="229" t="s">
        <v>2559</v>
      </c>
    </row>
    <row r="65" spans="1:8" ht="16.5" customHeight="1">
      <c r="A65" s="218"/>
      <c r="B65" s="229"/>
      <c r="C65" s="223" t="s">
        <v>2560</v>
      </c>
      <c r="D65" s="224">
        <v>40843</v>
      </c>
      <c r="E65" s="224">
        <v>41882</v>
      </c>
      <c r="F65" s="223" t="s">
        <v>2538</v>
      </c>
      <c r="G65" s="225">
        <v>2900</v>
      </c>
      <c r="H65" s="229" t="s">
        <v>2561</v>
      </c>
    </row>
    <row r="66" spans="1:8" ht="15.6">
      <c r="A66" s="218"/>
      <c r="B66" s="229"/>
      <c r="C66" s="223" t="s">
        <v>2562</v>
      </c>
      <c r="D66" s="224">
        <v>40634</v>
      </c>
      <c r="E66" s="224">
        <v>41348</v>
      </c>
      <c r="F66" s="223" t="s">
        <v>2523</v>
      </c>
      <c r="G66" s="225">
        <v>712</v>
      </c>
      <c r="H66" s="229" t="s">
        <v>2563</v>
      </c>
    </row>
    <row r="67" spans="1:8" ht="15.6">
      <c r="A67" s="218"/>
      <c r="B67" s="229"/>
      <c r="C67" s="218"/>
      <c r="D67" s="226"/>
      <c r="E67" s="226"/>
      <c r="F67" s="218"/>
      <c r="G67" s="227"/>
      <c r="H67" s="229"/>
    </row>
    <row r="68" spans="1:8" ht="15.6">
      <c r="A68" s="218" t="s">
        <v>2564</v>
      </c>
      <c r="B68" s="219" t="s">
        <v>2565</v>
      </c>
      <c r="C68" s="223" t="s">
        <v>2566</v>
      </c>
      <c r="D68" s="224">
        <v>40954</v>
      </c>
      <c r="E68" s="224">
        <v>41364</v>
      </c>
      <c r="F68" s="223" t="s">
        <v>2555</v>
      </c>
      <c r="G68" s="225">
        <v>618</v>
      </c>
    </row>
    <row r="69" spans="1:8" ht="15.6">
      <c r="A69" s="218"/>
      <c r="B69" s="219"/>
    </row>
    <row r="70" spans="1:8" ht="15.6">
      <c r="A70" s="218" t="s">
        <v>2567</v>
      </c>
      <c r="B70" s="219" t="s">
        <v>2568</v>
      </c>
      <c r="C70" s="220" t="s">
        <v>2569</v>
      </c>
      <c r="D70" s="221">
        <v>41275</v>
      </c>
      <c r="E70" s="221">
        <v>42735</v>
      </c>
      <c r="F70" s="220" t="s">
        <v>2570</v>
      </c>
      <c r="G70" s="222" t="s">
        <v>2571</v>
      </c>
      <c r="H70" s="219" t="s">
        <v>2572</v>
      </c>
    </row>
    <row r="71" spans="1:8" ht="15.6">
      <c r="A71" s="218"/>
      <c r="B71" s="219"/>
      <c r="C71" s="220" t="s">
        <v>2573</v>
      </c>
      <c r="D71" s="221">
        <v>42373</v>
      </c>
      <c r="E71" s="221">
        <v>42581</v>
      </c>
      <c r="F71" s="220" t="s">
        <v>2574</v>
      </c>
      <c r="G71" s="222">
        <v>95.9</v>
      </c>
      <c r="H71" s="219" t="s">
        <v>2575</v>
      </c>
    </row>
    <row r="72" spans="1:8" ht="15.6">
      <c r="A72" s="218"/>
      <c r="B72" s="229"/>
      <c r="C72" s="223" t="s">
        <v>2576</v>
      </c>
      <c r="D72" s="224">
        <v>41579</v>
      </c>
      <c r="E72" s="224">
        <v>42369</v>
      </c>
      <c r="F72" s="223" t="s">
        <v>2574</v>
      </c>
      <c r="G72" s="225">
        <v>865</v>
      </c>
      <c r="H72" s="229" t="s">
        <v>2577</v>
      </c>
    </row>
    <row r="73" spans="1:8" ht="15.6">
      <c r="A73" s="218"/>
      <c r="B73" s="229"/>
      <c r="C73" s="223" t="s">
        <v>2578</v>
      </c>
      <c r="D73" s="224">
        <v>41974</v>
      </c>
      <c r="E73" s="224">
        <v>42369</v>
      </c>
      <c r="F73" s="223" t="s">
        <v>2574</v>
      </c>
      <c r="G73" s="225">
        <v>378.7</v>
      </c>
      <c r="H73" s="229" t="s">
        <v>2579</v>
      </c>
    </row>
    <row r="74" spans="1:8" ht="15.6">
      <c r="A74" s="218"/>
      <c r="B74" s="229"/>
      <c r="C74" s="223" t="s">
        <v>2580</v>
      </c>
      <c r="D74" s="224">
        <v>41906</v>
      </c>
      <c r="E74" s="224">
        <v>41956</v>
      </c>
      <c r="F74" s="223" t="s">
        <v>2581</v>
      </c>
      <c r="G74" s="225">
        <v>4.0999999999999996</v>
      </c>
      <c r="H74" s="229" t="s">
        <v>2582</v>
      </c>
    </row>
    <row r="75" spans="1:8" ht="15.6">
      <c r="A75" s="218"/>
      <c r="B75" s="229"/>
      <c r="C75" s="223" t="s">
        <v>2583</v>
      </c>
      <c r="D75" s="224">
        <v>41431</v>
      </c>
      <c r="E75" s="224">
        <v>41676</v>
      </c>
      <c r="F75" s="223" t="s">
        <v>2574</v>
      </c>
      <c r="G75" s="225">
        <v>517.6</v>
      </c>
      <c r="H75" s="229" t="s">
        <v>2584</v>
      </c>
    </row>
    <row r="76" spans="1:8" ht="15.6">
      <c r="A76" s="218"/>
      <c r="B76" s="229"/>
      <c r="C76" s="223" t="s">
        <v>2585</v>
      </c>
      <c r="D76" s="224">
        <v>41275</v>
      </c>
      <c r="E76" s="224">
        <v>41578</v>
      </c>
      <c r="F76" s="223" t="s">
        <v>2586</v>
      </c>
      <c r="G76" s="225">
        <v>369.5</v>
      </c>
      <c r="H76" s="229" t="s">
        <v>2587</v>
      </c>
    </row>
    <row r="77" spans="1:8" ht="15.6">
      <c r="A77" s="218"/>
      <c r="B77" s="229"/>
      <c r="C77" s="223" t="s">
        <v>2588</v>
      </c>
      <c r="D77" s="224">
        <v>41043</v>
      </c>
      <c r="E77" s="224">
        <v>41517</v>
      </c>
      <c r="F77" s="223" t="s">
        <v>2581</v>
      </c>
      <c r="G77" s="225">
        <v>68.599999999999994</v>
      </c>
      <c r="H77" s="229" t="s">
        <v>2589</v>
      </c>
    </row>
    <row r="78" spans="1:8" ht="15.6">
      <c r="A78" s="218"/>
      <c r="B78" s="229"/>
      <c r="C78" s="223" t="s">
        <v>2590</v>
      </c>
      <c r="D78" s="224">
        <v>40765</v>
      </c>
      <c r="E78" s="224">
        <v>41403</v>
      </c>
      <c r="F78" s="223" t="s">
        <v>2581</v>
      </c>
      <c r="G78" s="225">
        <v>997.4</v>
      </c>
      <c r="H78" s="229" t="s">
        <v>2591</v>
      </c>
    </row>
    <row r="79" spans="1:8" ht="15.6">
      <c r="A79" s="218"/>
      <c r="B79" s="229"/>
      <c r="C79" s="223" t="s">
        <v>2592</v>
      </c>
      <c r="D79" s="224">
        <v>39594</v>
      </c>
      <c r="E79" s="224">
        <v>40755</v>
      </c>
      <c r="F79" s="223" t="s">
        <v>2574</v>
      </c>
      <c r="G79" s="225">
        <v>2380</v>
      </c>
      <c r="H79" s="229" t="s">
        <v>2593</v>
      </c>
    </row>
    <row r="80" spans="1:8" ht="15.6">
      <c r="A80" s="218"/>
      <c r="B80" s="229"/>
      <c r="C80" s="223" t="s">
        <v>2594</v>
      </c>
      <c r="D80" s="224">
        <v>38792</v>
      </c>
      <c r="E80" s="224">
        <v>39507</v>
      </c>
      <c r="F80" s="223" t="s">
        <v>2574</v>
      </c>
      <c r="G80" s="225">
        <v>1100</v>
      </c>
      <c r="H80" s="229" t="s">
        <v>2595</v>
      </c>
    </row>
    <row r="81" spans="1:8" ht="15.6">
      <c r="A81" s="218"/>
      <c r="B81" s="229"/>
      <c r="C81" s="223" t="s">
        <v>2596</v>
      </c>
      <c r="D81" s="224">
        <v>38808</v>
      </c>
      <c r="E81" s="224">
        <v>39173</v>
      </c>
      <c r="F81" s="223" t="s">
        <v>2597</v>
      </c>
      <c r="G81" s="225">
        <v>130</v>
      </c>
      <c r="H81" s="229" t="s">
        <v>2598</v>
      </c>
    </row>
    <row r="82" spans="1:8" ht="15.6">
      <c r="A82" s="218"/>
      <c r="B82" s="229"/>
      <c r="C82" s="218"/>
      <c r="D82" s="226"/>
      <c r="E82" s="226"/>
      <c r="F82" s="218"/>
      <c r="G82" s="227"/>
      <c r="H82" s="229"/>
    </row>
    <row r="83" spans="1:8" ht="15.6">
      <c r="A83" s="218" t="s">
        <v>2599</v>
      </c>
      <c r="B83" s="219" t="s">
        <v>2600</v>
      </c>
      <c r="C83" s="220" t="s">
        <v>2601</v>
      </c>
      <c r="D83" s="221">
        <v>42212</v>
      </c>
      <c r="E83" s="221">
        <v>42578</v>
      </c>
      <c r="F83" s="220" t="s">
        <v>2602</v>
      </c>
      <c r="G83" s="222">
        <v>470</v>
      </c>
      <c r="H83" s="219" t="s">
        <v>2603</v>
      </c>
    </row>
    <row r="84" spans="1:8" ht="15.6">
      <c r="A84" s="218"/>
      <c r="B84" s="229"/>
      <c r="C84" s="223" t="s">
        <v>2604</v>
      </c>
      <c r="D84" s="224">
        <v>42184</v>
      </c>
      <c r="E84" s="224">
        <v>42247</v>
      </c>
      <c r="F84" s="223" t="s">
        <v>2605</v>
      </c>
      <c r="G84" s="225">
        <v>46.4</v>
      </c>
      <c r="H84" s="229" t="s">
        <v>2606</v>
      </c>
    </row>
    <row r="85" spans="1:8" ht="15.6">
      <c r="A85" s="218"/>
      <c r="B85" s="229"/>
      <c r="C85" s="223" t="s">
        <v>2607</v>
      </c>
      <c r="D85" s="224">
        <v>42174</v>
      </c>
      <c r="E85" s="224">
        <v>42195</v>
      </c>
      <c r="F85" s="223" t="s">
        <v>2608</v>
      </c>
      <c r="G85" s="225">
        <v>288.8</v>
      </c>
      <c r="H85" s="229" t="s">
        <v>2609</v>
      </c>
    </row>
    <row r="86" spans="1:8" ht="15.6">
      <c r="A86" s="218"/>
      <c r="B86" s="229"/>
      <c r="C86" s="223" t="s">
        <v>2610</v>
      </c>
      <c r="D86" s="224">
        <v>40889</v>
      </c>
      <c r="E86" s="224">
        <v>41364</v>
      </c>
      <c r="F86" s="223" t="s">
        <v>2605</v>
      </c>
      <c r="G86" s="225">
        <v>371.5</v>
      </c>
      <c r="H86" s="229" t="s">
        <v>2611</v>
      </c>
    </row>
    <row r="87" spans="1:8" ht="15.6">
      <c r="A87" s="218"/>
      <c r="B87" s="229"/>
      <c r="C87" s="223" t="s">
        <v>2612</v>
      </c>
      <c r="D87" s="224">
        <v>40577</v>
      </c>
      <c r="E87" s="224">
        <v>40663</v>
      </c>
      <c r="F87" s="223" t="s">
        <v>2613</v>
      </c>
      <c r="G87" s="225" t="s">
        <v>2614</v>
      </c>
      <c r="H87" s="229" t="s">
        <v>2615</v>
      </c>
    </row>
    <row r="88" spans="1:8" ht="15.6">
      <c r="A88" s="218"/>
      <c r="B88" s="229"/>
      <c r="C88" s="223" t="s">
        <v>2616</v>
      </c>
      <c r="D88" s="224">
        <v>40245</v>
      </c>
      <c r="E88" s="224">
        <v>40259</v>
      </c>
      <c r="F88" s="223" t="s">
        <v>2605</v>
      </c>
      <c r="G88" s="225">
        <v>12897.2</v>
      </c>
      <c r="H88" s="229" t="s">
        <v>2617</v>
      </c>
    </row>
    <row r="89" spans="1:8" ht="15.6">
      <c r="A89" s="218"/>
      <c r="B89" s="229"/>
      <c r="C89" s="223" t="s">
        <v>2618</v>
      </c>
      <c r="D89" s="224">
        <v>39687</v>
      </c>
      <c r="E89" s="224">
        <v>39797</v>
      </c>
      <c r="F89" s="223" t="s">
        <v>2619</v>
      </c>
      <c r="G89" s="225" t="s">
        <v>2620</v>
      </c>
      <c r="H89" s="229" t="s">
        <v>2621</v>
      </c>
    </row>
    <row r="90" spans="1:8" ht="15.6">
      <c r="A90" s="218"/>
      <c r="B90" s="229"/>
      <c r="C90" s="223" t="s">
        <v>2622</v>
      </c>
      <c r="D90" s="224">
        <v>39035</v>
      </c>
      <c r="E90" s="224">
        <v>39668</v>
      </c>
      <c r="F90" s="223" t="s">
        <v>2623</v>
      </c>
      <c r="G90" s="225">
        <v>1100</v>
      </c>
      <c r="H90" s="229" t="s">
        <v>2624</v>
      </c>
    </row>
    <row r="91" spans="1:8" ht="15.6">
      <c r="A91" s="218"/>
      <c r="B91" s="229"/>
      <c r="C91" s="223" t="s">
        <v>2625</v>
      </c>
      <c r="D91" s="224">
        <v>37865</v>
      </c>
      <c r="E91" s="224">
        <v>38231</v>
      </c>
      <c r="F91" s="223" t="s">
        <v>2626</v>
      </c>
      <c r="G91" s="225">
        <v>87</v>
      </c>
      <c r="H91" s="229" t="s">
        <v>2627</v>
      </c>
    </row>
    <row r="92" spans="1:8" ht="15.6">
      <c r="A92" s="218"/>
      <c r="B92" s="229"/>
      <c r="C92" s="223" t="s">
        <v>2628</v>
      </c>
      <c r="D92" s="224">
        <v>36390</v>
      </c>
      <c r="E92" s="224">
        <v>36602</v>
      </c>
      <c r="F92" s="223" t="s">
        <v>2629</v>
      </c>
      <c r="G92" s="225">
        <v>42</v>
      </c>
      <c r="H92" s="229" t="s">
        <v>2630</v>
      </c>
    </row>
    <row r="93" spans="1:8" ht="15.6">
      <c r="A93" s="218"/>
      <c r="B93" s="229"/>
      <c r="C93" s="218"/>
      <c r="D93" s="226"/>
      <c r="E93" s="226"/>
      <c r="F93" s="218"/>
      <c r="G93" s="227"/>
      <c r="H93" s="229"/>
    </row>
    <row r="94" spans="1:8" ht="15.6">
      <c r="A94" s="218" t="s">
        <v>2631</v>
      </c>
      <c r="B94" s="219" t="s">
        <v>2632</v>
      </c>
      <c r="C94" s="220" t="s">
        <v>2633</v>
      </c>
      <c r="D94" s="221">
        <v>42271</v>
      </c>
      <c r="E94" s="221">
        <v>43001</v>
      </c>
      <c r="F94" s="220" t="s">
        <v>2634</v>
      </c>
      <c r="G94" s="222">
        <v>488.36</v>
      </c>
      <c r="H94" s="219" t="s">
        <v>2635</v>
      </c>
    </row>
    <row r="95" spans="1:8" ht="15.6">
      <c r="A95" s="218"/>
      <c r="B95" s="219"/>
      <c r="C95" s="220" t="s">
        <v>2636</v>
      </c>
      <c r="D95" s="221">
        <v>42278</v>
      </c>
      <c r="E95" s="221">
        <v>42644</v>
      </c>
      <c r="F95" s="220" t="s">
        <v>2637</v>
      </c>
      <c r="G95" s="222">
        <v>397.5</v>
      </c>
      <c r="H95" s="219" t="s">
        <v>2638</v>
      </c>
    </row>
    <row r="96" spans="1:8" ht="15.6">
      <c r="A96" s="218"/>
      <c r="B96" s="219"/>
      <c r="C96" s="220" t="s">
        <v>2639</v>
      </c>
      <c r="D96" s="221">
        <v>42214</v>
      </c>
      <c r="E96" s="221">
        <v>42578</v>
      </c>
      <c r="F96" s="220" t="s">
        <v>2640</v>
      </c>
      <c r="G96" s="222">
        <v>94.4</v>
      </c>
      <c r="H96" s="219" t="s">
        <v>2641</v>
      </c>
    </row>
    <row r="97" spans="1:8" ht="15.6">
      <c r="A97" s="218"/>
      <c r="B97" s="219"/>
      <c r="C97" s="223" t="s">
        <v>2642</v>
      </c>
      <c r="D97" s="224">
        <v>41943</v>
      </c>
      <c r="E97" s="224">
        <v>42455</v>
      </c>
      <c r="F97" s="223" t="s">
        <v>2643</v>
      </c>
      <c r="G97" s="225">
        <v>259.7</v>
      </c>
      <c r="H97" s="219" t="s">
        <v>2644</v>
      </c>
    </row>
    <row r="98" spans="1:8" ht="15.6">
      <c r="A98" s="218"/>
      <c r="B98" s="219"/>
      <c r="C98" s="223" t="s">
        <v>2645</v>
      </c>
      <c r="D98" s="224">
        <v>42144</v>
      </c>
      <c r="E98" s="224">
        <v>42412</v>
      </c>
      <c r="F98" s="223" t="s">
        <v>2640</v>
      </c>
      <c r="G98" s="225">
        <v>37.799999999999997</v>
      </c>
      <c r="H98" s="219" t="s">
        <v>2646</v>
      </c>
    </row>
    <row r="99" spans="1:8" ht="15.6">
      <c r="A99" s="218"/>
      <c r="B99" s="219"/>
      <c r="C99" s="223" t="s">
        <v>2647</v>
      </c>
      <c r="D99" s="224">
        <v>38693</v>
      </c>
      <c r="E99" s="224">
        <v>40116</v>
      </c>
      <c r="F99" s="223" t="s">
        <v>2648</v>
      </c>
      <c r="G99" s="225">
        <v>550</v>
      </c>
      <c r="H99" s="219" t="s">
        <v>2649</v>
      </c>
    </row>
    <row r="100" spans="1:8" ht="15.6">
      <c r="A100" s="218"/>
      <c r="B100" s="219"/>
      <c r="C100" s="223" t="s">
        <v>2650</v>
      </c>
      <c r="D100" s="224">
        <v>38587</v>
      </c>
      <c r="E100" s="224">
        <v>39195</v>
      </c>
      <c r="F100" s="223" t="s">
        <v>2640</v>
      </c>
      <c r="G100" s="225">
        <v>81.3</v>
      </c>
      <c r="H100" s="219" t="s">
        <v>2651</v>
      </c>
    </row>
    <row r="101" spans="1:8" ht="15.6">
      <c r="A101" s="218"/>
      <c r="B101" s="229"/>
      <c r="C101" s="218"/>
      <c r="D101" s="226"/>
      <c r="E101" s="226"/>
      <c r="F101" s="218"/>
      <c r="G101" s="227"/>
    </row>
    <row r="102" spans="1:8" ht="15.6">
      <c r="A102" s="218" t="s">
        <v>2652</v>
      </c>
      <c r="B102" s="219" t="s">
        <v>2653</v>
      </c>
      <c r="C102" s="223" t="s">
        <v>2654</v>
      </c>
      <c r="D102" s="224">
        <v>42148</v>
      </c>
      <c r="E102" s="224">
        <v>42308</v>
      </c>
      <c r="F102" s="223" t="s">
        <v>2655</v>
      </c>
      <c r="G102" s="225">
        <v>30</v>
      </c>
      <c r="H102" s="219" t="s">
        <v>2656</v>
      </c>
    </row>
    <row r="103" spans="1:8" ht="15.6">
      <c r="A103" s="218"/>
      <c r="B103" s="219"/>
      <c r="C103" s="223" t="s">
        <v>2657</v>
      </c>
      <c r="D103" s="224">
        <v>41730</v>
      </c>
      <c r="E103" s="224">
        <v>41882</v>
      </c>
      <c r="F103" s="223" t="s">
        <v>2658</v>
      </c>
      <c r="G103" s="225"/>
      <c r="H103" s="219" t="s">
        <v>2659</v>
      </c>
    </row>
    <row r="104" spans="1:8" ht="15.6">
      <c r="A104" s="218"/>
      <c r="B104" s="219"/>
      <c r="C104" s="223" t="s">
        <v>2660</v>
      </c>
      <c r="D104" s="224">
        <v>40448</v>
      </c>
      <c r="E104" s="224">
        <v>40663</v>
      </c>
      <c r="F104" s="223" t="s">
        <v>2433</v>
      </c>
      <c r="G104" s="225">
        <v>39.619999999999997</v>
      </c>
      <c r="H104" s="219" t="s">
        <v>2661</v>
      </c>
    </row>
    <row r="105" spans="1:8" ht="15.6">
      <c r="A105" s="218"/>
      <c r="B105" s="219"/>
      <c r="C105" s="223" t="s">
        <v>2662</v>
      </c>
      <c r="D105" s="224">
        <v>39032</v>
      </c>
      <c r="E105" s="224">
        <v>39538</v>
      </c>
      <c r="F105" s="223" t="s">
        <v>2602</v>
      </c>
      <c r="G105" s="225">
        <v>104.2</v>
      </c>
      <c r="H105" s="219" t="s">
        <v>2663</v>
      </c>
    </row>
    <row r="106" spans="1:8" ht="15.6">
      <c r="A106" s="218"/>
      <c r="B106" s="219"/>
      <c r="C106" s="218"/>
    </row>
    <row r="107" spans="1:8" ht="15.6">
      <c r="A107" s="218" t="s">
        <v>2664</v>
      </c>
      <c r="B107" s="219" t="s">
        <v>2665</v>
      </c>
      <c r="C107" s="223" t="s">
        <v>2666</v>
      </c>
      <c r="D107" s="224">
        <v>39090</v>
      </c>
      <c r="E107" s="224">
        <v>39507</v>
      </c>
      <c r="F107" s="223" t="s">
        <v>2667</v>
      </c>
      <c r="G107" s="225">
        <v>264</v>
      </c>
      <c r="H107" s="219" t="s">
        <v>2668</v>
      </c>
    </row>
    <row r="108" spans="1:8" ht="15.6">
      <c r="A108" s="218"/>
      <c r="B108" s="219"/>
      <c r="C108" s="223" t="s">
        <v>2669</v>
      </c>
      <c r="D108" s="224">
        <v>36719</v>
      </c>
      <c r="E108" s="224">
        <v>38183</v>
      </c>
      <c r="F108" s="223" t="s">
        <v>2670</v>
      </c>
      <c r="G108" s="225">
        <v>850</v>
      </c>
      <c r="H108" s="219" t="s">
        <v>2671</v>
      </c>
    </row>
    <row r="109" spans="1:8" ht="23.4">
      <c r="A109" s="218"/>
      <c r="B109" s="219"/>
      <c r="C109" s="230"/>
      <c r="D109" s="231"/>
      <c r="E109" s="231"/>
      <c r="F109" s="232"/>
      <c r="G109" s="233"/>
    </row>
    <row r="110" spans="1:8" ht="15.6">
      <c r="A110" s="218" t="s">
        <v>2672</v>
      </c>
      <c r="B110" s="219" t="s">
        <v>2673</v>
      </c>
      <c r="C110" s="220" t="s">
        <v>2674</v>
      </c>
      <c r="D110" s="221">
        <v>42502</v>
      </c>
      <c r="E110" s="221">
        <v>42762</v>
      </c>
      <c r="F110" s="220" t="s">
        <v>2675</v>
      </c>
      <c r="G110" s="222">
        <v>176.6</v>
      </c>
      <c r="H110" s="219" t="s">
        <v>2676</v>
      </c>
    </row>
    <row r="111" spans="1:8" ht="15.6">
      <c r="A111" s="218"/>
      <c r="C111" s="220" t="s">
        <v>2677</v>
      </c>
      <c r="D111" s="221">
        <v>42467</v>
      </c>
      <c r="E111" s="221">
        <v>42623</v>
      </c>
      <c r="F111" s="220" t="s">
        <v>2677</v>
      </c>
      <c r="G111" s="222">
        <v>24.4</v>
      </c>
      <c r="H111" s="219" t="s">
        <v>2678</v>
      </c>
    </row>
    <row r="112" spans="1:8" ht="15.6">
      <c r="A112" s="218"/>
      <c r="C112" s="220" t="s">
        <v>2679</v>
      </c>
      <c r="D112" s="221">
        <v>42309</v>
      </c>
      <c r="E112" s="221">
        <v>42546</v>
      </c>
      <c r="F112" s="220" t="s">
        <v>2679</v>
      </c>
      <c r="G112" s="222">
        <v>390</v>
      </c>
      <c r="H112" s="219" t="s">
        <v>2680</v>
      </c>
    </row>
    <row r="113" spans="1:8" ht="15.6">
      <c r="A113" s="218"/>
      <c r="C113" s="220" t="s">
        <v>2681</v>
      </c>
      <c r="D113" s="221">
        <v>41962</v>
      </c>
      <c r="E113" s="221">
        <v>42546</v>
      </c>
      <c r="F113" s="220" t="s">
        <v>2681</v>
      </c>
      <c r="G113" s="222">
        <v>1395</v>
      </c>
      <c r="H113" s="219" t="s">
        <v>2682</v>
      </c>
    </row>
    <row r="114" spans="1:8" ht="15.6">
      <c r="C114" s="223" t="s">
        <v>2683</v>
      </c>
      <c r="D114" s="224">
        <v>42375</v>
      </c>
      <c r="E114" s="224">
        <v>42528</v>
      </c>
      <c r="F114" s="223" t="s">
        <v>2684</v>
      </c>
      <c r="G114" s="225">
        <v>118.4</v>
      </c>
      <c r="H114" s="219" t="s">
        <v>2685</v>
      </c>
    </row>
    <row r="115" spans="1:8" ht="15.6">
      <c r="C115" s="223" t="s">
        <v>2686</v>
      </c>
      <c r="D115" s="224">
        <v>42265</v>
      </c>
      <c r="E115" s="224">
        <v>42521</v>
      </c>
      <c r="F115" s="223" t="s">
        <v>2687</v>
      </c>
      <c r="G115" s="225">
        <v>221</v>
      </c>
      <c r="H115" s="219" t="s">
        <v>2688</v>
      </c>
    </row>
    <row r="116" spans="1:8" ht="15.6">
      <c r="C116" s="223" t="s">
        <v>2689</v>
      </c>
      <c r="D116" s="224">
        <v>42450</v>
      </c>
      <c r="E116" s="224">
        <v>42492</v>
      </c>
      <c r="F116" s="223" t="s">
        <v>2690</v>
      </c>
      <c r="G116" s="225">
        <v>24.4</v>
      </c>
      <c r="H116" s="219" t="s">
        <v>2691</v>
      </c>
    </row>
    <row r="117" spans="1:8" ht="15.6">
      <c r="C117" s="223" t="s">
        <v>2692</v>
      </c>
      <c r="D117" s="224">
        <v>42347</v>
      </c>
      <c r="E117" s="224">
        <v>42486</v>
      </c>
      <c r="F117" s="223" t="s">
        <v>2693</v>
      </c>
      <c r="G117" s="225">
        <v>98.6</v>
      </c>
      <c r="H117" s="219" t="s">
        <v>2694</v>
      </c>
    </row>
    <row r="118" spans="1:8" ht="15.6">
      <c r="C118" s="223" t="s">
        <v>2695</v>
      </c>
      <c r="D118" s="224">
        <v>42412</v>
      </c>
      <c r="E118" s="224">
        <v>42449</v>
      </c>
      <c r="F118" s="223" t="s">
        <v>2696</v>
      </c>
      <c r="G118" s="225">
        <v>15</v>
      </c>
      <c r="H118" s="219" t="s">
        <v>2697</v>
      </c>
    </row>
    <row r="119" spans="1:8" ht="15.6">
      <c r="C119" s="223" t="s">
        <v>2698</v>
      </c>
      <c r="D119" s="224">
        <v>42339</v>
      </c>
      <c r="E119" s="224">
        <v>42444</v>
      </c>
      <c r="F119" s="223" t="s">
        <v>2699</v>
      </c>
      <c r="G119" s="225">
        <v>58.3</v>
      </c>
      <c r="H119" s="219" t="s">
        <v>2700</v>
      </c>
    </row>
    <row r="120" spans="1:8" ht="15.6">
      <c r="C120" s="223" t="s">
        <v>2701</v>
      </c>
      <c r="D120" s="224">
        <v>42381</v>
      </c>
      <c r="E120" s="224">
        <v>42440</v>
      </c>
      <c r="F120" s="223" t="s">
        <v>2702</v>
      </c>
      <c r="G120" s="225">
        <v>27.9</v>
      </c>
      <c r="H120" s="219" t="s">
        <v>2703</v>
      </c>
    </row>
    <row r="121" spans="1:8" ht="15.6">
      <c r="C121" s="223" t="s">
        <v>2704</v>
      </c>
      <c r="D121" s="224">
        <v>42390</v>
      </c>
      <c r="E121" s="224">
        <v>42421</v>
      </c>
      <c r="F121" s="223" t="s">
        <v>2705</v>
      </c>
      <c r="G121" s="225">
        <v>16</v>
      </c>
      <c r="H121" s="219" t="s">
        <v>2706</v>
      </c>
    </row>
    <row r="122" spans="1:8" ht="15.6">
      <c r="C122" s="223" t="s">
        <v>2707</v>
      </c>
      <c r="D122" s="224">
        <v>42312</v>
      </c>
      <c r="E122" s="224">
        <v>42403</v>
      </c>
      <c r="F122" s="223" t="s">
        <v>2708</v>
      </c>
      <c r="G122" s="225">
        <v>14.6</v>
      </c>
      <c r="H122" s="219" t="s">
        <v>2709</v>
      </c>
    </row>
    <row r="123" spans="1:8" ht="15.6">
      <c r="C123" s="223" t="s">
        <v>2710</v>
      </c>
      <c r="D123" s="224">
        <v>42317</v>
      </c>
      <c r="E123" s="224">
        <v>42392</v>
      </c>
      <c r="F123" s="223" t="s">
        <v>2702</v>
      </c>
      <c r="G123" s="225">
        <v>27.1</v>
      </c>
      <c r="H123" s="219" t="s">
        <v>2711</v>
      </c>
    </row>
    <row r="124" spans="1:8" ht="15.6">
      <c r="C124" s="223" t="s">
        <v>2712</v>
      </c>
      <c r="D124" s="224">
        <v>42252</v>
      </c>
      <c r="E124" s="224">
        <v>42312</v>
      </c>
      <c r="F124" s="223" t="s">
        <v>2713</v>
      </c>
      <c r="G124" s="225">
        <v>16.399999999999999</v>
      </c>
      <c r="H124" s="219" t="s">
        <v>2714</v>
      </c>
    </row>
    <row r="125" spans="1:8" ht="15.6">
      <c r="C125" s="223" t="s">
        <v>2715</v>
      </c>
      <c r="D125" s="224">
        <v>42200</v>
      </c>
      <c r="E125" s="224">
        <v>42308</v>
      </c>
      <c r="F125" s="223" t="s">
        <v>2716</v>
      </c>
      <c r="G125" s="225">
        <v>123.2</v>
      </c>
      <c r="H125" s="219" t="s">
        <v>2717</v>
      </c>
    </row>
    <row r="126" spans="1:8" ht="15.6">
      <c r="C126" s="223" t="s">
        <v>2718</v>
      </c>
      <c r="D126" s="224">
        <v>42226</v>
      </c>
      <c r="E126" s="224">
        <v>42256</v>
      </c>
      <c r="F126" s="223" t="s">
        <v>2719</v>
      </c>
      <c r="G126" s="225">
        <v>4.9000000000000004</v>
      </c>
      <c r="H126" s="219" t="s">
        <v>2720</v>
      </c>
    </row>
    <row r="127" spans="1:8" ht="15.6">
      <c r="C127" s="223" t="s">
        <v>2721</v>
      </c>
      <c r="D127" s="224">
        <v>42165</v>
      </c>
      <c r="E127" s="224">
        <v>42247</v>
      </c>
      <c r="F127" s="223" t="s">
        <v>2722</v>
      </c>
      <c r="G127" s="225">
        <v>70.8</v>
      </c>
      <c r="H127" s="219" t="s">
        <v>2723</v>
      </c>
    </row>
    <row r="128" spans="1:8" ht="15.6">
      <c r="C128" s="223" t="s">
        <v>2724</v>
      </c>
      <c r="D128" s="224">
        <v>42135</v>
      </c>
      <c r="E128" s="224">
        <v>42226</v>
      </c>
      <c r="F128" s="223" t="s">
        <v>2725</v>
      </c>
      <c r="G128" s="225">
        <v>39.4</v>
      </c>
      <c r="H128" s="219" t="s">
        <v>2726</v>
      </c>
    </row>
    <row r="129" spans="3:8" ht="15.6">
      <c r="C129" s="223" t="s">
        <v>2727</v>
      </c>
      <c r="D129" s="224">
        <v>41991</v>
      </c>
      <c r="E129" s="224">
        <v>42200</v>
      </c>
      <c r="F129" s="223" t="s">
        <v>2728</v>
      </c>
      <c r="G129" s="225">
        <v>193</v>
      </c>
      <c r="H129" s="219" t="s">
        <v>2729</v>
      </c>
    </row>
    <row r="130" spans="3:8" ht="15.6">
      <c r="C130" s="223" t="s">
        <v>2730</v>
      </c>
      <c r="D130" s="224">
        <v>42033</v>
      </c>
      <c r="E130" s="224">
        <v>42196</v>
      </c>
      <c r="F130" s="223" t="s">
        <v>2731</v>
      </c>
      <c r="G130" s="225">
        <v>340.4</v>
      </c>
      <c r="H130" s="219" t="s">
        <v>2732</v>
      </c>
    </row>
    <row r="131" spans="3:8" ht="15.6">
      <c r="C131" s="223" t="s">
        <v>2733</v>
      </c>
      <c r="D131" s="224">
        <v>42146</v>
      </c>
      <c r="E131" s="224">
        <v>42166</v>
      </c>
      <c r="F131" s="223" t="s">
        <v>2734</v>
      </c>
      <c r="G131" s="225">
        <v>14.4</v>
      </c>
      <c r="H131" s="219" t="s">
        <v>2735</v>
      </c>
    </row>
    <row r="132" spans="3:8" ht="15.6">
      <c r="C132" s="223" t="s">
        <v>2736</v>
      </c>
      <c r="D132" s="224">
        <v>42098</v>
      </c>
      <c r="E132" s="224">
        <v>42159</v>
      </c>
      <c r="F132" s="223" t="s">
        <v>2737</v>
      </c>
      <c r="G132" s="225">
        <v>43.6</v>
      </c>
      <c r="H132" s="219" t="s">
        <v>2738</v>
      </c>
    </row>
    <row r="133" spans="3:8" ht="15.6">
      <c r="C133" s="223" t="s">
        <v>2739</v>
      </c>
      <c r="D133" s="224">
        <v>42024</v>
      </c>
      <c r="E133" s="224">
        <v>42144</v>
      </c>
      <c r="F133" s="223" t="s">
        <v>2740</v>
      </c>
      <c r="G133" s="225">
        <v>31.9</v>
      </c>
      <c r="H133" s="219" t="s">
        <v>2741</v>
      </c>
    </row>
    <row r="134" spans="3:8" ht="15.6">
      <c r="C134" s="223" t="s">
        <v>2742</v>
      </c>
      <c r="D134" s="224">
        <v>42054</v>
      </c>
      <c r="E134" s="224">
        <v>42144</v>
      </c>
      <c r="F134" s="223" t="s">
        <v>2743</v>
      </c>
      <c r="G134" s="225">
        <v>58.9</v>
      </c>
      <c r="H134" s="219" t="s">
        <v>2744</v>
      </c>
    </row>
    <row r="135" spans="3:8" ht="15.6">
      <c r="C135" s="223" t="s">
        <v>2745</v>
      </c>
      <c r="D135" s="224">
        <v>42005</v>
      </c>
      <c r="E135" s="224">
        <v>42094</v>
      </c>
      <c r="F135" s="223" t="s">
        <v>2746</v>
      </c>
      <c r="G135" s="225">
        <v>29.6</v>
      </c>
      <c r="H135" s="219" t="s">
        <v>2747</v>
      </c>
    </row>
    <row r="136" spans="3:8" ht="15.6">
      <c r="C136" s="223" t="s">
        <v>2748</v>
      </c>
      <c r="D136" s="224">
        <v>41935</v>
      </c>
      <c r="E136" s="224">
        <v>42080</v>
      </c>
      <c r="F136" s="223" t="s">
        <v>2749</v>
      </c>
      <c r="G136" s="225">
        <v>107.8</v>
      </c>
      <c r="H136" s="219" t="s">
        <v>2750</v>
      </c>
    </row>
    <row r="137" spans="3:8" ht="15.6">
      <c r="C137" s="223" t="s">
        <v>2751</v>
      </c>
      <c r="D137" s="224">
        <v>41907</v>
      </c>
      <c r="E137" s="224">
        <v>42030</v>
      </c>
      <c r="F137" s="223" t="s">
        <v>2752</v>
      </c>
      <c r="G137" s="225">
        <v>118</v>
      </c>
      <c r="H137" s="219" t="s">
        <v>2753</v>
      </c>
    </row>
    <row r="138" spans="3:8" ht="15.6">
      <c r="C138" s="223" t="s">
        <v>2754</v>
      </c>
      <c r="D138" s="224">
        <v>41933</v>
      </c>
      <c r="E138" s="224">
        <v>42027</v>
      </c>
      <c r="F138" s="223" t="s">
        <v>2755</v>
      </c>
      <c r="G138" s="225">
        <v>29</v>
      </c>
      <c r="H138" s="219" t="s">
        <v>2756</v>
      </c>
    </row>
    <row r="139" spans="3:8" ht="15.6">
      <c r="C139" s="223" t="s">
        <v>2757</v>
      </c>
      <c r="D139" s="224">
        <v>41935</v>
      </c>
      <c r="E139" s="224">
        <v>42019</v>
      </c>
      <c r="F139" s="223"/>
      <c r="G139" s="225">
        <v>38</v>
      </c>
      <c r="H139" s="219" t="s">
        <v>2758</v>
      </c>
    </row>
    <row r="140" spans="3:8" ht="15.6">
      <c r="C140" s="223" t="s">
        <v>2759</v>
      </c>
      <c r="D140" s="224">
        <v>41909</v>
      </c>
      <c r="E140" s="224">
        <v>42009</v>
      </c>
      <c r="F140" s="223" t="s">
        <v>2760</v>
      </c>
      <c r="G140" s="225">
        <v>26.6</v>
      </c>
      <c r="H140" s="219" t="s">
        <v>2761</v>
      </c>
    </row>
    <row r="141" spans="3:8" ht="15.6">
      <c r="C141" s="223" t="s">
        <v>2762</v>
      </c>
      <c r="D141" s="224">
        <v>41787</v>
      </c>
      <c r="E141" s="224">
        <v>41994</v>
      </c>
      <c r="F141" s="223" t="s">
        <v>2763</v>
      </c>
      <c r="G141" s="225">
        <v>21</v>
      </c>
      <c r="H141" s="219" t="s">
        <v>2764</v>
      </c>
    </row>
    <row r="142" spans="3:8" ht="15.6">
      <c r="C142" s="223" t="s">
        <v>2765</v>
      </c>
      <c r="D142" s="224">
        <v>41950</v>
      </c>
      <c r="E142" s="224">
        <v>41992</v>
      </c>
      <c r="F142" s="223" t="s">
        <v>2766</v>
      </c>
      <c r="G142" s="225">
        <v>408.3</v>
      </c>
      <c r="H142" s="219" t="s">
        <v>2767</v>
      </c>
    </row>
    <row r="143" spans="3:8" ht="15.6">
      <c r="C143" s="223" t="s">
        <v>2768</v>
      </c>
      <c r="D143" s="224">
        <v>41761</v>
      </c>
      <c r="E143" s="224">
        <v>41927</v>
      </c>
      <c r="F143" s="223" t="s">
        <v>2538</v>
      </c>
      <c r="G143" s="225">
        <v>186</v>
      </c>
      <c r="H143" s="219" t="s">
        <v>2769</v>
      </c>
    </row>
    <row r="144" spans="3:8" ht="15.6">
      <c r="C144" s="223" t="s">
        <v>2770</v>
      </c>
      <c r="D144" s="224">
        <v>41757</v>
      </c>
      <c r="E144" s="224">
        <v>41892</v>
      </c>
      <c r="F144" s="223" t="s">
        <v>2771</v>
      </c>
      <c r="G144" s="225">
        <v>146.4</v>
      </c>
      <c r="H144" s="219" t="s">
        <v>2772</v>
      </c>
    </row>
    <row r="145" spans="3:8" ht="15.6">
      <c r="C145" s="223" t="s">
        <v>2773</v>
      </c>
      <c r="D145" s="224">
        <v>40750</v>
      </c>
      <c r="E145" s="224">
        <v>41759</v>
      </c>
      <c r="F145" s="223" t="s">
        <v>2774</v>
      </c>
      <c r="G145" s="225">
        <v>3108</v>
      </c>
      <c r="H145" t="s">
        <v>2775</v>
      </c>
    </row>
    <row r="146" spans="3:8" ht="15.6">
      <c r="C146" s="223" t="s">
        <v>2776</v>
      </c>
      <c r="D146" s="224">
        <v>40974</v>
      </c>
      <c r="E146" s="224">
        <v>41295</v>
      </c>
      <c r="F146" s="223" t="s">
        <v>2777</v>
      </c>
      <c r="G146" s="225">
        <v>137.4</v>
      </c>
      <c r="H146" t="s">
        <v>2778</v>
      </c>
    </row>
    <row r="147" spans="3:8" ht="15.6">
      <c r="C147" s="223" t="s">
        <v>2779</v>
      </c>
      <c r="D147" s="224">
        <v>40436</v>
      </c>
      <c r="E147" s="224">
        <v>40822</v>
      </c>
      <c r="F147" s="223"/>
      <c r="G147" s="225">
        <v>120.6</v>
      </c>
      <c r="H147" t="s">
        <v>2780</v>
      </c>
    </row>
    <row r="148" spans="3:8" ht="15.6">
      <c r="C148" s="223" t="s">
        <v>2781</v>
      </c>
      <c r="D148" s="224">
        <v>40575</v>
      </c>
      <c r="E148" s="224">
        <v>40816</v>
      </c>
      <c r="F148" s="223" t="s">
        <v>2538</v>
      </c>
      <c r="G148" s="225">
        <v>198.9</v>
      </c>
      <c r="H148" t="s">
        <v>2782</v>
      </c>
    </row>
    <row r="149" spans="3:8" ht="15.6">
      <c r="C149" s="223" t="s">
        <v>2783</v>
      </c>
      <c r="D149" s="224">
        <v>40302</v>
      </c>
      <c r="E149" s="224">
        <v>40407</v>
      </c>
      <c r="F149" s="223" t="s">
        <v>2401</v>
      </c>
      <c r="G149" s="225">
        <v>81.7</v>
      </c>
      <c r="H149" t="s">
        <v>2784</v>
      </c>
    </row>
    <row r="150" spans="3:8" ht="15.6">
      <c r="C150" s="223" t="s">
        <v>2785</v>
      </c>
      <c r="D150" s="224">
        <v>40130</v>
      </c>
      <c r="E150" s="224">
        <v>40177</v>
      </c>
      <c r="F150" s="223"/>
      <c r="G150" s="225">
        <v>64.900000000000006</v>
      </c>
      <c r="H150" t="s">
        <v>2786</v>
      </c>
    </row>
    <row r="151" spans="3:8" ht="15.6">
      <c r="C151" s="223" t="s">
        <v>2787</v>
      </c>
      <c r="D151" s="224">
        <v>40072</v>
      </c>
      <c r="E151" s="224">
        <v>40010</v>
      </c>
      <c r="F151" s="223"/>
      <c r="G151" s="225">
        <v>61.2</v>
      </c>
      <c r="H151" t="s">
        <v>2788</v>
      </c>
    </row>
    <row r="152" spans="3:8" ht="15.6">
      <c r="C152" s="223" t="s">
        <v>2789</v>
      </c>
      <c r="D152" s="224">
        <v>39724</v>
      </c>
      <c r="E152" s="224">
        <v>39755</v>
      </c>
      <c r="F152" s="224" t="s">
        <v>2401</v>
      </c>
      <c r="G152" s="225">
        <v>144.69999999999999</v>
      </c>
      <c r="H152" t="s">
        <v>2790</v>
      </c>
    </row>
    <row r="153" spans="3:8" ht="15.6">
      <c r="C153" s="223" t="s">
        <v>2791</v>
      </c>
      <c r="D153" s="224">
        <v>42217</v>
      </c>
      <c r="E153" s="224">
        <v>39731</v>
      </c>
      <c r="F153" s="224" t="s">
        <v>2792</v>
      </c>
      <c r="G153" s="225">
        <v>120.2</v>
      </c>
      <c r="H153" t="s">
        <v>2793</v>
      </c>
    </row>
    <row r="154" spans="3:8" ht="15.6">
      <c r="C154" s="223" t="s">
        <v>2794</v>
      </c>
      <c r="D154" s="224">
        <v>39576</v>
      </c>
      <c r="E154" s="224">
        <v>39586</v>
      </c>
      <c r="F154" s="224" t="s">
        <v>2795</v>
      </c>
      <c r="G154" s="225">
        <v>4.4000000000000004</v>
      </c>
      <c r="H154" t="s">
        <v>2796</v>
      </c>
    </row>
    <row r="163" spans="1:1">
      <c r="A163" t="s">
        <v>2797</v>
      </c>
    </row>
  </sheetData>
  <hyperlinks>
    <hyperlink ref="B3" r:id="rId1" xr:uid="{00000000-0004-0000-2000-000000000000}"/>
    <hyperlink ref="B28" r:id="rId2" xr:uid="{00000000-0004-0000-2000-000001000000}"/>
    <hyperlink ref="B40" r:id="rId3" xr:uid="{00000000-0004-0000-2000-000002000000}"/>
    <hyperlink ref="B57" r:id="rId4" xr:uid="{00000000-0004-0000-2000-000003000000}"/>
    <hyperlink ref="B70" r:id="rId5" xr:uid="{00000000-0004-0000-2000-000004000000}"/>
    <hyperlink ref="B83" r:id="rId6" xr:uid="{00000000-0004-0000-2000-000005000000}"/>
    <hyperlink ref="B68" r:id="rId7" xr:uid="{00000000-0004-0000-2000-000006000000}"/>
    <hyperlink ref="B94" r:id="rId8" xr:uid="{00000000-0004-0000-2000-000007000000}"/>
    <hyperlink ref="B102" r:id="rId9" xr:uid="{00000000-0004-0000-2000-000008000000}"/>
    <hyperlink ref="B107" r:id="rId10" xr:uid="{00000000-0004-0000-2000-000009000000}"/>
    <hyperlink ref="B110" r:id="rId11" xr:uid="{00000000-0004-0000-2000-00000A000000}"/>
    <hyperlink ref="H3" r:id="rId12" xr:uid="{00000000-0004-0000-2000-00000B000000}"/>
    <hyperlink ref="H4" r:id="rId13" xr:uid="{00000000-0004-0000-2000-00000C000000}"/>
    <hyperlink ref="H28" r:id="rId14" xr:uid="{00000000-0004-0000-2000-00000D000000}"/>
    <hyperlink ref="H29" r:id="rId15" xr:uid="{00000000-0004-0000-2000-00000E000000}"/>
    <hyperlink ref="H30" r:id="rId16" xr:uid="{00000000-0004-0000-2000-00000F000000}"/>
    <hyperlink ref="H31" r:id="rId17" xr:uid="{00000000-0004-0000-2000-000010000000}"/>
    <hyperlink ref="H40" r:id="rId18" xr:uid="{00000000-0004-0000-2000-000011000000}"/>
    <hyperlink ref="H41" r:id="rId19" xr:uid="{00000000-0004-0000-2000-000012000000}"/>
    <hyperlink ref="H42" r:id="rId20" xr:uid="{00000000-0004-0000-2000-000013000000}"/>
    <hyperlink ref="H70" r:id="rId21" xr:uid="{00000000-0004-0000-2000-000014000000}"/>
    <hyperlink ref="H71" r:id="rId22" xr:uid="{00000000-0004-0000-2000-000015000000}"/>
    <hyperlink ref="H83" r:id="rId23" xr:uid="{00000000-0004-0000-2000-000016000000}"/>
    <hyperlink ref="H57" r:id="rId24" xr:uid="{00000000-0004-0000-2000-000017000000}"/>
    <hyperlink ref="H58" r:id="rId25" xr:uid="{00000000-0004-0000-2000-000018000000}"/>
    <hyperlink ref="H59" r:id="rId26" xr:uid="{00000000-0004-0000-2000-000019000000}"/>
    <hyperlink ref="H60" r:id="rId27" xr:uid="{00000000-0004-0000-2000-00001A000000}"/>
    <hyperlink ref="H61" r:id="rId28" xr:uid="{00000000-0004-0000-2000-00001B000000}"/>
    <hyperlink ref="H135" r:id="rId29" xr:uid="{00000000-0004-0000-2000-00001C000000}"/>
    <hyperlink ref="H94" r:id="rId30" xr:uid="{00000000-0004-0000-2000-00001D000000}"/>
    <hyperlink ref="H95" r:id="rId31" xr:uid="{00000000-0004-0000-2000-00001E000000}"/>
    <hyperlink ref="H96" r:id="rId32" xr:uid="{00000000-0004-0000-2000-00001F000000}"/>
    <hyperlink ref="H97" r:id="rId33" xr:uid="{00000000-0004-0000-2000-000020000000}"/>
    <hyperlink ref="H98" r:id="rId34" xr:uid="{00000000-0004-0000-2000-000021000000}"/>
    <hyperlink ref="H99" r:id="rId35" xr:uid="{00000000-0004-0000-2000-000022000000}"/>
    <hyperlink ref="H103" r:id="rId36" xr:uid="{00000000-0004-0000-2000-000023000000}"/>
    <hyperlink ref="H104" r:id="rId37" xr:uid="{00000000-0004-0000-2000-000024000000}"/>
    <hyperlink ref="H105" r:id="rId38" xr:uid="{00000000-0004-0000-2000-000025000000}"/>
    <hyperlink ref="H107" r:id="rId39" xr:uid="{00000000-0004-0000-2000-000026000000}"/>
    <hyperlink ref="H108" r:id="rId40" xr:uid="{00000000-0004-0000-2000-000027000000}"/>
    <hyperlink ref="H110" r:id="rId41" xr:uid="{00000000-0004-0000-2000-000028000000}"/>
    <hyperlink ref="H111" r:id="rId42" xr:uid="{00000000-0004-0000-2000-000029000000}"/>
    <hyperlink ref="H112" r:id="rId43" xr:uid="{00000000-0004-0000-2000-00002A000000}"/>
    <hyperlink ref="H113" r:id="rId44" xr:uid="{00000000-0004-0000-2000-00002B000000}"/>
    <hyperlink ref="H114" r:id="rId45" xr:uid="{00000000-0004-0000-2000-00002C000000}"/>
    <hyperlink ref="H115" r:id="rId46" xr:uid="{00000000-0004-0000-2000-00002D000000}"/>
    <hyperlink ref="H117" r:id="rId47" xr:uid="{00000000-0004-0000-2000-00002E000000}"/>
    <hyperlink ref="H118" r:id="rId48" xr:uid="{00000000-0004-0000-2000-00002F000000}"/>
    <hyperlink ref="H120" r:id="rId49" xr:uid="{00000000-0004-0000-2000-000030000000}"/>
    <hyperlink ref="H121" r:id="rId50" xr:uid="{00000000-0004-0000-2000-000031000000}"/>
    <hyperlink ref="H122" r:id="rId51" xr:uid="{00000000-0004-0000-2000-000032000000}"/>
    <hyperlink ref="H123" r:id="rId52" xr:uid="{00000000-0004-0000-2000-000033000000}"/>
    <hyperlink ref="H125" r:id="rId53" xr:uid="{00000000-0004-0000-2000-000034000000}"/>
    <hyperlink ref="H126" r:id="rId54" xr:uid="{00000000-0004-0000-2000-000035000000}"/>
    <hyperlink ref="H127" r:id="rId55" xr:uid="{00000000-0004-0000-2000-000036000000}"/>
    <hyperlink ref="H128" r:id="rId56" xr:uid="{00000000-0004-0000-2000-000037000000}"/>
    <hyperlink ref="H129" r:id="rId57" xr:uid="{00000000-0004-0000-2000-000038000000}"/>
    <hyperlink ref="H130" r:id="rId58" xr:uid="{00000000-0004-0000-2000-000039000000}"/>
    <hyperlink ref="H131" r:id="rId59" xr:uid="{00000000-0004-0000-2000-00003A000000}"/>
    <hyperlink ref="H132" r:id="rId60" xr:uid="{00000000-0004-0000-2000-00003B000000}"/>
    <hyperlink ref="H133" r:id="rId61" xr:uid="{00000000-0004-0000-2000-00003C000000}"/>
    <hyperlink ref="H134" r:id="rId62" xr:uid="{00000000-0004-0000-2000-00003D000000}"/>
    <hyperlink ref="H136" r:id="rId63" xr:uid="{00000000-0004-0000-2000-00003E000000}"/>
    <hyperlink ref="H137" r:id="rId64" xr:uid="{00000000-0004-0000-2000-00003F000000}"/>
    <hyperlink ref="H138" r:id="rId65" xr:uid="{00000000-0004-0000-2000-000040000000}"/>
    <hyperlink ref="H140" r:id="rId66" xr:uid="{00000000-0004-0000-2000-000041000000}"/>
    <hyperlink ref="H142" r:id="rId67" xr:uid="{00000000-0004-0000-2000-000042000000}"/>
    <hyperlink ref="H143" r:id="rId68" xr:uid="{00000000-0004-0000-2000-000043000000}"/>
    <hyperlink ref="H144" r:id="rId69" xr:uid="{00000000-0004-0000-2000-000044000000}"/>
    <hyperlink ref="H139" r:id="rId70" xr:uid="{00000000-0004-0000-2000-000045000000}"/>
    <hyperlink ref="H141" r:id="rId71" xr:uid="{00000000-0004-0000-2000-000046000000}"/>
    <hyperlink ref="H124" r:id="rId72" xr:uid="{00000000-0004-0000-2000-000047000000}"/>
    <hyperlink ref="H119" r:id="rId73" xr:uid="{00000000-0004-0000-2000-000048000000}"/>
    <hyperlink ref="H116" r:id="rId74" xr:uid="{00000000-0004-0000-2000-000049000000}"/>
    <hyperlink ref="H102" r:id="rId75" xr:uid="{00000000-0004-0000-2000-00004A000000}"/>
    <hyperlink ref="H100" r:id="rId76" xr:uid="{00000000-0004-0000-2000-00004B000000}"/>
    <hyperlink ref="H53" r:id="rId77" xr:uid="{00000000-0004-0000-2000-00004C000000}"/>
  </hyperlinks>
  <pageMargins left="0.7" right="0.7" top="0.75" bottom="0.75" header="0.3" footer="0.3"/>
  <pageSetup orientation="portrait" verticalDpi="0" r:id="rId78"/>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2:G20"/>
  <sheetViews>
    <sheetView workbookViewId="0"/>
  </sheetViews>
  <sheetFormatPr defaultRowHeight="14.4"/>
  <cols>
    <col min="1" max="1" width="30" bestFit="1" customWidth="1"/>
    <col min="2" max="2" width="13.5546875" customWidth="1"/>
    <col min="4" max="4" width="9.109375"/>
  </cols>
  <sheetData>
    <row r="2" spans="1:7">
      <c r="A2" s="4" t="s">
        <v>98</v>
      </c>
      <c r="B2" s="4"/>
      <c r="C2" s="4"/>
      <c r="D2" s="4"/>
    </row>
    <row r="3" spans="1:7">
      <c r="A3" s="4"/>
      <c r="B3" s="4">
        <v>2011</v>
      </c>
      <c r="C3" s="4">
        <v>2012</v>
      </c>
      <c r="D3" s="4">
        <v>2013</v>
      </c>
      <c r="E3" s="4"/>
    </row>
    <row r="4" spans="1:7">
      <c r="A4" t="s">
        <v>99</v>
      </c>
      <c r="B4">
        <v>7827.3929680000001</v>
      </c>
      <c r="C4" s="10">
        <v>8808.3803630000002</v>
      </c>
      <c r="D4" s="10">
        <v>9908.797697</v>
      </c>
      <c r="E4">
        <f>((D4-C4)/C4)*100</f>
        <v>12.492845320603461</v>
      </c>
      <c r="G4">
        <f>((C4-B4)/B4)*100</f>
        <v>12.532747480680722</v>
      </c>
    </row>
    <row r="5" spans="1:7">
      <c r="A5" t="s">
        <v>100</v>
      </c>
      <c r="B5">
        <v>1744.789681</v>
      </c>
      <c r="C5" s="10">
        <v>1497.799802</v>
      </c>
      <c r="D5" s="10">
        <v>1417.7230119999999</v>
      </c>
      <c r="E5" s="12">
        <f>((D5-C5)/C5)*100</f>
        <v>-5.3462946044641066</v>
      </c>
      <c r="F5" s="12"/>
      <c r="G5" s="12">
        <f>((C5-B5)/B5)*100</f>
        <v>-14.155853951316438</v>
      </c>
    </row>
    <row r="6" spans="1:7" ht="15" thickBot="1">
      <c r="A6" t="s">
        <v>101</v>
      </c>
      <c r="B6" s="13">
        <f>SUM(B4:B5)</f>
        <v>9572.1826490000003</v>
      </c>
      <c r="C6" s="11">
        <f>SUM(C4:C5)</f>
        <v>10306.180165</v>
      </c>
      <c r="D6" s="11">
        <f>SUM(D4:D5)</f>
        <v>11326.520709</v>
      </c>
    </row>
    <row r="7" spans="1:7" ht="15" thickTop="1"/>
    <row r="11" spans="1:7">
      <c r="C11" t="s">
        <v>260</v>
      </c>
    </row>
    <row r="12" spans="1:7">
      <c r="C12" t="s">
        <v>261</v>
      </c>
    </row>
    <row r="13" spans="1:7">
      <c r="C13" t="s">
        <v>262</v>
      </c>
    </row>
    <row r="14" spans="1:7">
      <c r="C14" t="s">
        <v>263</v>
      </c>
    </row>
    <row r="19" spans="3:3">
      <c r="C19" t="s">
        <v>144</v>
      </c>
    </row>
    <row r="20" spans="3:3">
      <c r="C20" t="s">
        <v>264</v>
      </c>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8"/>
  <dimension ref="A1:K45"/>
  <sheetViews>
    <sheetView topLeftCell="A15" workbookViewId="0">
      <selection activeCell="G8" sqref="G8"/>
    </sheetView>
  </sheetViews>
  <sheetFormatPr defaultRowHeight="14.4"/>
  <cols>
    <col min="2" max="2" width="20.109375" bestFit="1" customWidth="1"/>
    <col min="3" max="3" width="10.6640625" bestFit="1" customWidth="1"/>
    <col min="4" max="4" width="10.5546875" bestFit="1" customWidth="1"/>
    <col min="5" max="5" width="10.33203125" bestFit="1" customWidth="1"/>
    <col min="6" max="6" width="10.5546875" bestFit="1" customWidth="1"/>
    <col min="8" max="8" width="10.5546875" bestFit="1" customWidth="1"/>
  </cols>
  <sheetData>
    <row r="1" spans="2:6">
      <c r="C1" s="4" t="s">
        <v>1</v>
      </c>
      <c r="D1" s="4" t="s">
        <v>144</v>
      </c>
      <c r="E1" t="s">
        <v>1</v>
      </c>
      <c r="F1" t="s">
        <v>144</v>
      </c>
    </row>
    <row r="2" spans="2:6">
      <c r="C2" s="44" t="s">
        <v>105</v>
      </c>
      <c r="D2" t="s">
        <v>105</v>
      </c>
      <c r="E2" t="s">
        <v>150</v>
      </c>
      <c r="F2" t="s">
        <v>150</v>
      </c>
    </row>
    <row r="3" spans="2:6">
      <c r="B3" s="4" t="s">
        <v>123</v>
      </c>
    </row>
    <row r="4" spans="2:6">
      <c r="B4" t="s">
        <v>127</v>
      </c>
      <c r="C4" s="16">
        <v>6914.9</v>
      </c>
    </row>
    <row r="5" spans="2:6">
      <c r="B5" t="s">
        <v>142</v>
      </c>
      <c r="C5" s="16">
        <v>4736.5</v>
      </c>
      <c r="D5" s="28"/>
      <c r="E5" s="17"/>
    </row>
    <row r="6" spans="2:6">
      <c r="B6" t="s">
        <v>155</v>
      </c>
      <c r="C6" s="16">
        <v>1122.9000000000001</v>
      </c>
      <c r="D6" s="28"/>
      <c r="E6" s="17"/>
    </row>
    <row r="7" spans="2:6">
      <c r="B7" t="s">
        <v>156</v>
      </c>
      <c r="C7" s="16">
        <f>C8-C4-C5-C6</f>
        <v>-533.29999999999973</v>
      </c>
    </row>
    <row r="8" spans="2:6">
      <c r="B8" t="s">
        <v>154</v>
      </c>
      <c r="C8" s="16">
        <v>12241</v>
      </c>
    </row>
    <row r="10" spans="2:6">
      <c r="B10" s="4" t="s">
        <v>100</v>
      </c>
    </row>
    <row r="11" spans="2:6">
      <c r="B11" t="s">
        <v>127</v>
      </c>
      <c r="C11" s="16">
        <v>980</v>
      </c>
      <c r="D11" s="16"/>
    </row>
    <row r="12" spans="2:6">
      <c r="B12" t="s">
        <v>142</v>
      </c>
      <c r="C12" s="16">
        <v>981.6</v>
      </c>
      <c r="D12" s="16"/>
    </row>
    <row r="13" spans="2:6">
      <c r="B13" t="s">
        <v>155</v>
      </c>
      <c r="C13" s="16">
        <v>27</v>
      </c>
      <c r="D13" s="16"/>
    </row>
    <row r="14" spans="2:6">
      <c r="B14" t="s">
        <v>156</v>
      </c>
      <c r="C14" s="16">
        <f>C15-C11-C12-C13</f>
        <v>197.20000000000016</v>
      </c>
      <c r="D14" s="16"/>
    </row>
    <row r="15" spans="2:6">
      <c r="B15" t="s">
        <v>154</v>
      </c>
      <c r="C15" s="16">
        <v>2185.8000000000002</v>
      </c>
      <c r="D15" s="16"/>
    </row>
    <row r="16" spans="2:6">
      <c r="C16" s="16"/>
      <c r="D16" s="16"/>
    </row>
    <row r="17" spans="2:9">
      <c r="B17" s="4" t="s">
        <v>157</v>
      </c>
      <c r="C17" s="16">
        <v>486.2</v>
      </c>
      <c r="D17" s="16"/>
    </row>
    <row r="18" spans="2:9">
      <c r="C18" s="16"/>
    </row>
    <row r="19" spans="2:9">
      <c r="B19" t="s">
        <v>159</v>
      </c>
      <c r="C19" s="16">
        <f>C4+C11</f>
        <v>7894.9</v>
      </c>
      <c r="D19" s="16">
        <v>5772</v>
      </c>
      <c r="E19">
        <v>6790.5550000000003</v>
      </c>
      <c r="H19" s="17">
        <f>C19/$C$22</f>
        <v>0.5177289151490907</v>
      </c>
      <c r="I19" s="17">
        <f>E19/$E$22</f>
        <v>0.46240211954889315</v>
      </c>
    </row>
    <row r="20" spans="2:9">
      <c r="B20" t="s">
        <v>160</v>
      </c>
      <c r="C20" s="16">
        <f>C5+C12+C17</f>
        <v>6204.3</v>
      </c>
      <c r="D20" s="16">
        <v>5140</v>
      </c>
      <c r="E20">
        <v>6619.7759999999998</v>
      </c>
      <c r="H20" s="17">
        <f>C20/$C$22</f>
        <v>0.40686335587018252</v>
      </c>
      <c r="I20" s="17">
        <f>E20/$E$22</f>
        <v>0.45077294173140392</v>
      </c>
    </row>
    <row r="21" spans="2:9">
      <c r="B21" t="s">
        <v>161</v>
      </c>
      <c r="C21" s="16">
        <f>C6+C13</f>
        <v>1149.9000000000001</v>
      </c>
      <c r="D21" s="16">
        <v>921</v>
      </c>
      <c r="E21">
        <v>1275.058</v>
      </c>
      <c r="H21" s="17">
        <f>C21/$C$22</f>
        <v>7.5407728980726729E-2</v>
      </c>
      <c r="I21" s="17">
        <f>E21/$E$22</f>
        <v>8.6824938719702968E-2</v>
      </c>
    </row>
    <row r="22" spans="2:9">
      <c r="B22" t="s">
        <v>162</v>
      </c>
      <c r="C22" s="16">
        <f>SUM(C19:C21)</f>
        <v>15249.1</v>
      </c>
      <c r="D22" s="16">
        <f>SUM(D19:D21)</f>
        <v>11833</v>
      </c>
      <c r="E22" s="16">
        <f>SUM(E19:E21)</f>
        <v>14685.388999999999</v>
      </c>
    </row>
    <row r="23" spans="2:9">
      <c r="C23" s="27">
        <f>C24-C22</f>
        <v>-822.10000000000036</v>
      </c>
      <c r="D23" s="16"/>
      <c r="E23" s="27">
        <f>E24-E22</f>
        <v>-1874.1649999999991</v>
      </c>
      <c r="H23" s="17">
        <f>C23/C24</f>
        <v>-5.6983433839329058E-2</v>
      </c>
      <c r="I23" s="17">
        <f>E23/E24</f>
        <v>-0.14629086182553666</v>
      </c>
    </row>
    <row r="24" spans="2:9">
      <c r="B24" s="4" t="s">
        <v>158</v>
      </c>
      <c r="C24" s="16">
        <v>14427</v>
      </c>
      <c r="D24" s="16">
        <v>10142</v>
      </c>
      <c r="E24" s="15">
        <f>IS_BS_Assumptions!G6</f>
        <v>12811.224</v>
      </c>
      <c r="F24" s="43"/>
    </row>
    <row r="25" spans="2:9">
      <c r="C25" s="16"/>
      <c r="D25" s="16"/>
      <c r="F25" s="7"/>
    </row>
    <row r="26" spans="2:9">
      <c r="C26" s="16"/>
      <c r="D26" s="16"/>
      <c r="F26" s="27"/>
    </row>
    <row r="27" spans="2:9">
      <c r="B27" t="s">
        <v>241</v>
      </c>
      <c r="C27" s="16">
        <f>C19+C20</f>
        <v>14099.2</v>
      </c>
      <c r="D27" s="16"/>
      <c r="F27" s="17">
        <f>C27/$C$22</f>
        <v>0.92459227101927333</v>
      </c>
    </row>
    <row r="28" spans="2:9">
      <c r="B28" t="s">
        <v>242</v>
      </c>
      <c r="C28" s="16">
        <f>C21</f>
        <v>1149.9000000000001</v>
      </c>
      <c r="D28" s="16"/>
      <c r="F28" s="17">
        <f>C28/$C$22</f>
        <v>7.5407728980726729E-2</v>
      </c>
    </row>
    <row r="29" spans="2:9">
      <c r="B29" t="s">
        <v>156</v>
      </c>
      <c r="C29" s="16"/>
      <c r="D29" s="16"/>
      <c r="F29" s="27"/>
    </row>
    <row r="31" spans="2:9">
      <c r="B31" t="s">
        <v>146</v>
      </c>
    </row>
    <row r="35" spans="1:11">
      <c r="C35" t="s">
        <v>143</v>
      </c>
    </row>
    <row r="37" spans="1:11">
      <c r="B37" t="s">
        <v>1</v>
      </c>
      <c r="C37">
        <v>3482</v>
      </c>
    </row>
    <row r="38" spans="1:11">
      <c r="B38" t="s">
        <v>144</v>
      </c>
      <c r="C38">
        <v>2740</v>
      </c>
      <c r="D38" s="17">
        <f>(C37-C38)/C37</f>
        <v>0.21309592188397472</v>
      </c>
    </row>
    <row r="39" spans="1:11">
      <c r="B39" t="s">
        <v>145</v>
      </c>
      <c r="C39">
        <v>250</v>
      </c>
      <c r="D39" s="17">
        <f>C39/C37</f>
        <v>7.1797817346352669E-2</v>
      </c>
    </row>
    <row r="41" spans="1:11">
      <c r="B41">
        <f>Comps!B3</f>
        <v>0</v>
      </c>
      <c r="C41">
        <f>Comps!C3</f>
        <v>0</v>
      </c>
      <c r="D41">
        <f>Comps!D3</f>
        <v>0</v>
      </c>
      <c r="E41">
        <f>Comps!E3</f>
        <v>0</v>
      </c>
      <c r="F41">
        <f>Comps!F3</f>
        <v>0</v>
      </c>
      <c r="G41">
        <f>Comps!G3</f>
        <v>0</v>
      </c>
      <c r="H41">
        <f>Comps!H3</f>
        <v>0</v>
      </c>
      <c r="I41">
        <f>Comps!I3</f>
        <v>0</v>
      </c>
      <c r="J41">
        <f>Comps!J3</f>
        <v>0</v>
      </c>
      <c r="K41">
        <f>Comps!K3</f>
        <v>0</v>
      </c>
    </row>
    <row r="42" spans="1:11">
      <c r="A42" s="1" t="s">
        <v>182</v>
      </c>
      <c r="B42" s="15">
        <v>630.91922599999998</v>
      </c>
      <c r="C42" s="15">
        <v>746.06186000000002</v>
      </c>
      <c r="D42" s="15">
        <v>858.63400000000001</v>
      </c>
      <c r="E42" s="15">
        <v>967.70899999999995</v>
      </c>
      <c r="F42" s="15">
        <v>1087.355</v>
      </c>
      <c r="G42" s="15">
        <v>1171.2560000000001</v>
      </c>
      <c r="H42" s="107">
        <f>H43*H45</f>
        <v>1182.96856</v>
      </c>
      <c r="I42" s="107">
        <f>I43*I45</f>
        <v>1194.7982456</v>
      </c>
      <c r="J42" s="107">
        <f>J43*J45</f>
        <v>1206.7462280560001</v>
      </c>
      <c r="K42" s="107">
        <f>K43*K45</f>
        <v>1218.8136903365601</v>
      </c>
    </row>
    <row r="43" spans="1:11" s="48" customFormat="1">
      <c r="A43" s="47" t="s">
        <v>183</v>
      </c>
      <c r="B43" s="53">
        <v>1149</v>
      </c>
      <c r="C43" s="53">
        <v>1166</v>
      </c>
      <c r="D43" s="53">
        <v>1238</v>
      </c>
      <c r="E43" s="53">
        <v>1326</v>
      </c>
      <c r="F43" s="53">
        <v>1440</v>
      </c>
      <c r="G43" s="53">
        <v>1402</v>
      </c>
      <c r="H43" s="64">
        <f>G43*(1+H44)</f>
        <v>1416.02</v>
      </c>
      <c r="I43" s="64">
        <f>H43*(1+I44)</f>
        <v>1430.1802</v>
      </c>
      <c r="J43" s="64">
        <f>I43*(1+J44)</f>
        <v>1444.482002</v>
      </c>
      <c r="K43" s="64">
        <f>J43*(1+K44)</f>
        <v>1458.9268220199999</v>
      </c>
    </row>
    <row r="44" spans="1:11" s="48" customFormat="1">
      <c r="A44" s="47" t="s">
        <v>232</v>
      </c>
      <c r="B44" s="53"/>
      <c r="C44" s="52">
        <f>IFERROR(C43/B43-1,"NA")</f>
        <v>1.4795474325500546E-2</v>
      </c>
      <c r="D44" s="52">
        <f>IFERROR(D43/C43-1,"NA")</f>
        <v>6.1749571183533414E-2</v>
      </c>
      <c r="E44" s="52">
        <f>IFERROR(E43/D43-1,"NA")</f>
        <v>7.1082390953150165E-2</v>
      </c>
      <c r="F44" s="52">
        <f>IFERROR(F43/E43-1,"NA")</f>
        <v>8.5972850678732948E-2</v>
      </c>
      <c r="G44" s="52">
        <f>IFERROR(G43/F43-1,"NA")</f>
        <v>-2.6388888888888906E-2</v>
      </c>
      <c r="H44" s="60">
        <v>0.01</v>
      </c>
      <c r="I44" s="60">
        <v>0.01</v>
      </c>
      <c r="J44" s="60">
        <v>0.01</v>
      </c>
      <c r="K44" s="60">
        <v>0.01</v>
      </c>
    </row>
    <row r="45" spans="1:11" s="48" customFormat="1">
      <c r="A45" s="47" t="s">
        <v>184</v>
      </c>
      <c r="B45" s="54">
        <f t="shared" ref="B45:G45" si="0">B42/B43</f>
        <v>0.54910289469103568</v>
      </c>
      <c r="C45" s="54">
        <f t="shared" si="0"/>
        <v>0.63984722126929672</v>
      </c>
      <c r="D45" s="54">
        <f t="shared" si="0"/>
        <v>0.69356542810985466</v>
      </c>
      <c r="E45" s="54">
        <f t="shared" si="0"/>
        <v>0.72979562594268477</v>
      </c>
      <c r="F45" s="54">
        <f t="shared" si="0"/>
        <v>0.75510763888888888</v>
      </c>
      <c r="G45" s="54">
        <f t="shared" si="0"/>
        <v>0.83541797432239662</v>
      </c>
      <c r="H45" s="61">
        <f>G45</f>
        <v>0.83541797432239662</v>
      </c>
      <c r="I45" s="61">
        <f>H45</f>
        <v>0.83541797432239662</v>
      </c>
      <c r="J45" s="61">
        <f>I45</f>
        <v>0.83541797432239662</v>
      </c>
      <c r="K45" s="61">
        <f>J45</f>
        <v>0.83541797432239662</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7"/>
  <dimension ref="A1"/>
  <sheetViews>
    <sheetView workbookViewId="0">
      <selection activeCell="I18" sqref="I18"/>
    </sheetView>
  </sheetViews>
  <sheetFormatPr defaultRowHeight="14.4"/>
  <cols>
    <col min="1" max="1" width="37.6640625" bestFit="1"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1</vt:i4>
      </vt:variant>
    </vt:vector>
  </HeadingPairs>
  <TitlesOfParts>
    <vt:vector size="37" baseType="lpstr">
      <vt:lpstr>Cover</vt:lpstr>
      <vt:lpstr>Summary</vt:lpstr>
      <vt:lpstr>IS &amp; BS</vt:lpstr>
      <vt:lpstr>Cashflow</vt:lpstr>
      <vt:lpstr>IS_BS_Assumptions</vt:lpstr>
      <vt:lpstr>Ratios watch</vt:lpstr>
      <vt:lpstr>Segment</vt:lpstr>
      <vt:lpstr>Comps</vt:lpstr>
      <vt:lpstr>DCF</vt:lpstr>
      <vt:lpstr>Multiplier</vt:lpstr>
      <vt:lpstr>ACL.N0000`N</vt:lpstr>
      <vt:lpstr>Matetial prices</vt:lpstr>
      <vt:lpstr>ACL N0000`N</vt:lpstr>
      <vt:lpstr>PE band</vt:lpstr>
      <vt:lpstr>ACL N0000</vt:lpstr>
      <vt:lpstr>Front Corp_Update</vt:lpstr>
      <vt:lpstr>52 W data</vt:lpstr>
      <vt:lpstr>Valuaiton tables FY18</vt:lpstr>
      <vt:lpstr>Quarterly</vt:lpstr>
      <vt:lpstr>Front Earnings Update</vt:lpstr>
      <vt:lpstr>Valuaiton tables C U</vt:lpstr>
      <vt:lpstr>Valuaiton tables E U</vt:lpstr>
      <vt:lpstr>ASPIv ACL</vt:lpstr>
      <vt:lpstr>Interest rates</vt:lpstr>
      <vt:lpstr>News</vt:lpstr>
      <vt:lpstr>Industry</vt:lpstr>
      <vt:lpstr>2.0 charts</vt:lpstr>
      <vt:lpstr>3.0 charts</vt:lpstr>
      <vt:lpstr>3.0 Cu and Al</vt:lpstr>
      <vt:lpstr>3.0Ex rate</vt:lpstr>
      <vt:lpstr>Structure_etc</vt:lpstr>
      <vt:lpstr>Recommendation</vt:lpstr>
      <vt:lpstr>Projects</vt:lpstr>
      <vt:lpstr>Sheet1</vt:lpstr>
      <vt:lpstr>Workings</vt:lpstr>
      <vt:lpstr>Analysis</vt:lpstr>
      <vt:lpstr>'Interest rates'!Print_Area</vt:lpstr>
    </vt:vector>
  </TitlesOfParts>
  <Company>FCE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nandika</dc:creator>
  <cp:lastModifiedBy>Hansinee Beddage</cp:lastModifiedBy>
  <cp:lastPrinted>2016-08-10T07:33:33Z</cp:lastPrinted>
  <dcterms:created xsi:type="dcterms:W3CDTF">2014-07-21T06:24:45Z</dcterms:created>
  <dcterms:modified xsi:type="dcterms:W3CDTF">2026-06-18T09:35:37Z</dcterms:modified>
</cp:coreProperties>
</file>